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820" tabRatio="802" activeTab="0"/>
  </bookViews>
  <sheets>
    <sheet name="Ap. 2 Ingresos C. Benef." sheetId="1" r:id="rId1"/>
    <sheet name="Ap. 3 Costos Directos" sheetId="2" r:id="rId2"/>
    <sheet name="Ap. 4 Costos Indirectos" sheetId="3" r:id="rId3"/>
    <sheet name="Ap. 5 Tarifado" sheetId="4" r:id="rId4"/>
    <sheet name="Ap. 6 Remuneraciones" sheetId="5" r:id="rId5"/>
    <sheet name="Presentación de Costos" sheetId="6" r:id="rId6"/>
    <sheet name="Ap. 5 Tarifado " sheetId="7" state="hidden" r:id="rId7"/>
    <sheet name="Ap. 1 Est. Precios " sheetId="8" state="hidden" r:id="rId8"/>
    <sheet name="RR.HH." sheetId="9" state="hidden" r:id="rId9"/>
    <sheet name="GASTOS BASICOS" sheetId="10" state="hidden" r:id="rId10"/>
    <sheet name="plan adquisiciones" sheetId="11" state="hidden" r:id="rId11"/>
    <sheet name="PLAN DE MANTENCIÓN" sheetId="12" state="hidden" r:id="rId12"/>
  </sheets>
  <externalReferences>
    <externalReference r:id="rId15"/>
    <externalReference r:id="rId16"/>
  </externalReferences>
  <definedNames>
    <definedName name="_xlnm._FilterDatabase" localSheetId="10" hidden="1">'plan adquisiciones'!$A$1:$J$42</definedName>
    <definedName name="_xlnm.Print_Area" localSheetId="7">'Ap. 1 Est. Precios '!$A$1:$E$27</definedName>
    <definedName name="_xlnm.Print_Area" localSheetId="0">'Ap. 2 Ingresos C. Benef.'!$A$1:$O$39</definedName>
    <definedName name="_xlnm.Print_Area" localSheetId="1">'Ap. 3 Costos Directos'!$B$1:$H$67</definedName>
    <definedName name="_xlnm.Print_Area" localSheetId="2">'Ap. 4 Costos Indirectos'!$A$1:$B$9</definedName>
    <definedName name="_xlnm.Print_Area" localSheetId="6">'Ap. 5 Tarifado '!$A$1:$J$10</definedName>
    <definedName name="_xlnm.Print_Area" localSheetId="5">'Presentación de Costos'!$A$1:$G$13</definedName>
    <definedName name="Excel_BuiltIn_Print_Area_2_1">'Ap. 3 Costos Directos'!$A$1:$H$67</definedName>
    <definedName name="Excel_BuiltIn_Print_Titles_4" localSheetId="5">'Ap. 5 Tarifado '!#REF!</definedName>
    <definedName name="Excel_BuiltIn_Print_Titles_4">'Ap. 5 Tarifado '!#REF!</definedName>
    <definedName name="Excel_BuiltIn_Print_Titles_5" localSheetId="5">'Ap. 1 Est. Precios '!#REF!</definedName>
    <definedName name="Excel_BuiltIn_Print_Titles_5">'Ap. 1 Est. Precios '!#REF!</definedName>
    <definedName name="_xlnm.Print_Titles" localSheetId="0">'Ap. 2 Ingresos C. Benef.'!$1:$30</definedName>
    <definedName name="_xlnm.Print_Titles" localSheetId="1">'Ap. 3 Costos Directos'!$1:$8</definedName>
    <definedName name="_xlnm.Print_Titles" localSheetId="2">'Ap. 4 Costos Indirectos'!$7:$8</definedName>
    <definedName name="_xlnm.Print_Titles" localSheetId="5">'Presentación de Costos'!$1:$13</definedName>
  </definedNames>
  <calcPr fullCalcOnLoad="1"/>
</workbook>
</file>

<file path=xl/comments2.xml><?xml version="1.0" encoding="utf-8"?>
<comments xmlns="http://schemas.openxmlformats.org/spreadsheetml/2006/main">
  <authors>
    <author>Owner</author>
    <author>2.10.0 SILVA ALVAREZ MARIA VIRGINIA</author>
    <author>Sala Reuniones</author>
  </authors>
  <commentList>
    <comment ref="D221" authorId="0">
      <text>
        <r>
          <rPr>
            <sz val="9"/>
            <rFont val="Tahoma"/>
            <family val="2"/>
          </rPr>
          <t xml:space="preserve">
Gastos comunes</t>
        </r>
      </text>
    </comment>
    <comment ref="K9" authorId="1">
      <text>
        <r>
          <rPr>
            <b/>
            <sz val="9"/>
            <rFont val="Tahoma"/>
            <family val="2"/>
          </rPr>
          <t>2.10.0 SILVA ALVAREZ MARIA VIRGINIA:</t>
        </r>
        <r>
          <rPr>
            <sz val="9"/>
            <rFont val="Tahoma"/>
            <family val="2"/>
          </rPr>
          <t xml:space="preserve">
educ media jornada de trabajo</t>
        </r>
      </text>
    </comment>
    <comment ref="K10" authorId="1">
      <text>
        <r>
          <rPr>
            <b/>
            <sz val="9"/>
            <rFont val="Tahoma"/>
            <family val="2"/>
          </rPr>
          <t>2.10.0 SILVA ALVAREZ MARIA VIRGINIA:</t>
        </r>
        <r>
          <rPr>
            <sz val="9"/>
            <rFont val="Tahoma"/>
            <family val="2"/>
          </rPr>
          <t xml:space="preserve">
2  tecnicos para cada nivel   menor y mayor 
1 tecnico para cada nivel prekinder</t>
        </r>
      </text>
    </comment>
    <comment ref="K97" authorId="1">
      <text>
        <r>
          <rPr>
            <b/>
            <sz val="9"/>
            <rFont val="Tahoma"/>
            <family val="2"/>
          </rPr>
          <t>2.10.0 SILVA ALVAREZ MARIA VIRGINIA:</t>
        </r>
        <r>
          <rPr>
            <sz val="9"/>
            <rFont val="Tahoma"/>
            <family val="2"/>
          </rPr>
          <t xml:space="preserve">
educ ffpp</t>
        </r>
      </text>
    </comment>
    <comment ref="K98" authorId="1">
      <text>
        <r>
          <rPr>
            <b/>
            <sz val="9"/>
            <rFont val="Tahoma"/>
            <family val="2"/>
          </rPr>
          <t>2.10.0 SILVA ALVAREZ MARIA VIRGINIA:</t>
        </r>
        <r>
          <rPr>
            <sz val="9"/>
            <rFont val="Tahoma"/>
            <family val="2"/>
          </rPr>
          <t xml:space="preserve">
2 tecnicos para cada nivel menor y mayor y 1 ec para niveles prekinder.</t>
        </r>
      </text>
    </comment>
    <comment ref="L9" authorId="2">
      <text>
        <r>
          <rPr>
            <b/>
            <sz val="9"/>
            <rFont val="Tahoma"/>
            <family val="2"/>
          </rPr>
          <t>Sala Reuniones:</t>
        </r>
        <r>
          <rPr>
            <sz val="9"/>
            <rFont val="Tahoma"/>
            <family val="2"/>
          </rPr>
          <t xml:space="preserve">
EDUC PARV MEDIA JORNADA</t>
        </r>
      </text>
    </comment>
  </commentList>
</comments>
</file>

<file path=xl/comments5.xml><?xml version="1.0" encoding="utf-8"?>
<comments xmlns="http://schemas.openxmlformats.org/spreadsheetml/2006/main">
  <authors>
    <author>321 Marcelo Hernandez</author>
  </authors>
  <commentList>
    <comment ref="C5" authorId="0">
      <text>
        <r>
          <rPr>
            <b/>
            <sz val="9"/>
            <rFont val="Tahoma"/>
            <family val="2"/>
          </rPr>
          <t>Corresponde al personal Fondos Propios de:
- Administración Central
- A. Jurídica
- A. Social</t>
        </r>
        <r>
          <rPr>
            <sz val="9"/>
            <rFont val="Tahoma"/>
            <family val="2"/>
          </rPr>
          <t xml:space="preserve">
- </t>
        </r>
        <r>
          <rPr>
            <b/>
            <sz val="9"/>
            <rFont val="Tahoma"/>
            <family val="2"/>
          </rPr>
          <t>A. Habitacional</t>
        </r>
      </text>
    </comment>
    <comment ref="R5" authorId="0">
      <text>
        <r>
          <rPr>
            <b/>
            <sz val="9"/>
            <rFont val="Tahoma"/>
            <family val="2"/>
          </rPr>
          <t>AREA INSTITUCIONAL:
- ADMINISTRACIÓN CENTRAL
- A. JURÍDICA
- A. SOCIAL
- A. HABITACIONAL</t>
        </r>
      </text>
    </comment>
    <comment ref="T5" authorId="0">
      <text>
        <r>
          <rPr>
            <b/>
            <sz val="9"/>
            <rFont val="Tahoma"/>
            <family val="2"/>
          </rPr>
          <t>Debe sumar 100% por persona.</t>
        </r>
      </text>
    </comment>
    <comment ref="M32" authorId="0">
      <text>
        <r>
          <rPr>
            <b/>
            <sz val="9"/>
            <rFont val="Tahoma"/>
            <family val="2"/>
          </rPr>
          <t>COSTO INDIRECTO en remuneraciones en la estructura de costos de la tarifa de la A. Recreativa.</t>
        </r>
      </text>
    </comment>
    <comment ref="O32" authorId="0">
      <text>
        <r>
          <rPr>
            <b/>
            <sz val="9"/>
            <rFont val="Tahoma"/>
            <family val="2"/>
          </rPr>
          <t>COSTO INDIRECTO en remuneraciones en la estructura de costos de la tarifa de la A. Educacional.</t>
        </r>
        <r>
          <rPr>
            <sz val="9"/>
            <rFont val="Tahoma"/>
            <family val="2"/>
          </rPr>
          <t xml:space="preserve">
</t>
        </r>
      </text>
    </comment>
  </commentList>
</comments>
</file>

<file path=xl/comments8.xml><?xml version="1.0" encoding="utf-8"?>
<comments xmlns="http://schemas.openxmlformats.org/spreadsheetml/2006/main">
  <authors>
    <author>2.10.0. SANCHEZ REYES VERONICA</author>
  </authors>
  <commentList>
    <comment ref="B21" authorId="0">
      <text>
        <r>
          <rPr>
            <b/>
            <sz val="9"/>
            <rFont val="Tahoma"/>
            <family val="2"/>
          </rPr>
          <t>2.10.0. SANCHEZ REYES VERONICA:</t>
        </r>
        <r>
          <rPr>
            <sz val="9"/>
            <rFont val="Tahoma"/>
            <family val="2"/>
          </rPr>
          <t xml:space="preserve">
HORARIO:9:00 A 12:45 HRS.</t>
        </r>
      </text>
    </comment>
  </commentList>
</comments>
</file>

<file path=xl/sharedStrings.xml><?xml version="1.0" encoding="utf-8"?>
<sst xmlns="http://schemas.openxmlformats.org/spreadsheetml/2006/main" count="2141" uniqueCount="744">
  <si>
    <t>ANEXO A</t>
  </si>
  <si>
    <t>APENDICE 2 AL ANEXO A</t>
  </si>
  <si>
    <t>ESTIMACION DE INGRESOS DE CENTRO DE BENEFICIO EDUCACIONAL</t>
  </si>
  <si>
    <t>REPARTICION:</t>
  </si>
  <si>
    <t>RESUMEN DE INGRESOS Y COSTOS DE LOS CENTROS DE BENEFICIO EDUCACIONALES</t>
  </si>
  <si>
    <t>ING. MATR.</t>
  </si>
  <si>
    <t>ING. MENS.</t>
  </si>
  <si>
    <t>ING.TOTAL</t>
  </si>
  <si>
    <t>COSTOS DIR</t>
  </si>
  <si>
    <t>C.IND. Dp.</t>
  </si>
  <si>
    <t>C. TOTAL</t>
  </si>
  <si>
    <t>EXCEDENTE</t>
  </si>
  <si>
    <t>DETALLE DE INGRESOS Y COSTOS DE LOS CENTROS DE BENEFICIO EDUCACIONALES</t>
  </si>
  <si>
    <t>Centro Beneficio</t>
  </si>
  <si>
    <t>Prestación [Unidad]</t>
  </si>
  <si>
    <t>Matrícula</t>
  </si>
  <si>
    <t>Mensualidad</t>
  </si>
  <si>
    <t>Casos Especiales</t>
  </si>
  <si>
    <t>Ingreso Anual por DL 3.500</t>
  </si>
  <si>
    <t>Ingresos
Matrícula</t>
  </si>
  <si>
    <t>Ingresos
Mensualidad</t>
  </si>
  <si>
    <t xml:space="preserve">Total Anual </t>
  </si>
  <si>
    <t>Tarifa [$/U]</t>
  </si>
  <si>
    <t>Unid. Anuales [Nr]</t>
  </si>
  <si>
    <t>Ingreso Anual [$]</t>
  </si>
  <si>
    <t>Todos las Prestaciones</t>
  </si>
  <si>
    <t>Ing. Tot. Anual[$]</t>
  </si>
  <si>
    <t>APENDICE 3 AL ANEXO A</t>
  </si>
  <si>
    <t>ESTIMACION DE COSTOS POR CADA CENTRO DIRECTO DE BENEFICIO (JARDIN Y SALA CUNA)</t>
  </si>
  <si>
    <t>DEPARTAMENTO /DELEGACION:</t>
  </si>
  <si>
    <t>COSTOS FIJOS</t>
  </si>
  <si>
    <t xml:space="preserve">COSTOS VARIABLES </t>
  </si>
  <si>
    <t>TOTAL VARIABLES</t>
  </si>
  <si>
    <t>COSTOS DIRECTOS</t>
  </si>
  <si>
    <t>CENTRO BENEFICIO</t>
  </si>
  <si>
    <t>Item Gasto</t>
  </si>
  <si>
    <t>Costo [$]</t>
  </si>
  <si>
    <t>Costo Unit[$] Promedio</t>
  </si>
  <si>
    <t>Cant Unid [Nr]</t>
  </si>
  <si>
    <t>Total [$]</t>
  </si>
  <si>
    <t>Agua</t>
  </si>
  <si>
    <t>Gas</t>
  </si>
  <si>
    <t>Servicios Generales</t>
  </si>
  <si>
    <t>COSTOS TOTALES</t>
  </si>
  <si>
    <t xml:space="preserve">ESTIMACION DE COSTOS APOYO AREA EDUCACIONAL DEPARTAMENTO / DELEGACION </t>
  </si>
  <si>
    <t>REPARTICION</t>
  </si>
  <si>
    <t>COSTOS</t>
  </si>
  <si>
    <t>COSTOS INDIRECTOS (APOYO AREA EDUCACIONAL)</t>
  </si>
  <si>
    <t>APENDICE 5 AL ANEXO A</t>
  </si>
  <si>
    <t>TARIFAS PROPUESTAS PARA LOS CENTROS DE BENEFICIO DEL AREA EDUCACIONAL</t>
  </si>
  <si>
    <t>APENDICE 1 AL ANEXO A</t>
  </si>
  <si>
    <t>ESTUDIO DE PRECIOS DE MERCADO</t>
  </si>
  <si>
    <t>Meses/Año Salas Cuna</t>
  </si>
  <si>
    <t>Total Año</t>
  </si>
  <si>
    <t>Mat + Mens* M/A</t>
  </si>
  <si>
    <t>Personal en Retiro</t>
  </si>
  <si>
    <t>Personal</t>
  </si>
  <si>
    <t>Sueldos y Sobresueldos (Personal Estable)</t>
  </si>
  <si>
    <t>Alumnos en Práctica</t>
  </si>
  <si>
    <t>Aguinaldos y Bonos (septiembre, diciembre, otros bonos)</t>
  </si>
  <si>
    <t>Prestaciones de Seguridad Social</t>
  </si>
  <si>
    <t>Finiquitos e Indemnizaciones</t>
  </si>
  <si>
    <t>Otros gastos en Personal</t>
  </si>
  <si>
    <t>Viáticos (Ej. comisiones de servicio; reuniones, revistas a centros, etc.)</t>
  </si>
  <si>
    <t>Sala Cuna Personal Ley 18.712 (obligaciòn legal funcionarias contratadas con hijos menores de 2 años)</t>
  </si>
  <si>
    <t>BIENES Y SERVICIOS DE CONSUMO</t>
  </si>
  <si>
    <t>Alimentos y Bebidas</t>
  </si>
  <si>
    <t>Alimentación funcionarios - Alumnos en Práctica.</t>
  </si>
  <si>
    <t>Textiles , Vestuario y Calzado</t>
  </si>
  <si>
    <t>Vestuario , Accesorios y Prendas Diversas (Ej.Uniformes personal)</t>
  </si>
  <si>
    <t>Calzado (del personal)</t>
  </si>
  <si>
    <t>Combustibles y Lubricantes</t>
  </si>
  <si>
    <t>Para maquinarias, Equipos de Producción (Ej. cortadoras de pasto, orilladoras,etc.)</t>
  </si>
  <si>
    <t>Para Calefacción (Ej.Estufas a Parafina)</t>
  </si>
  <si>
    <t>Materiales de Uso o Consumo</t>
  </si>
  <si>
    <t>Materiales de Oficina (Ej.Utiles de Escritorio, impresos de talonarios, boletas,comandas, formularios, etc.)</t>
  </si>
  <si>
    <t>Productos Químicos (Ej.Productos para limpieza y mantención de piscinas y pozos, recarga de extintores)</t>
  </si>
  <si>
    <t>Productos Farmaceúticos (Ej. Remedios botiquín: vitáminas, penicilina, aspirina, anti inflamatorios, dipirona,etc.)</t>
  </si>
  <si>
    <t>Materiales y útiles quirúrgicos (Ej. Jeringas, agujas, vendajes, alcohol, yodo, gasa, aldodón, suturas, guantes, etc.)</t>
  </si>
  <si>
    <t>Materiales y Utiles de Aseo (Todo producto destinado a ser consumido o usado en el aseo de los centros)</t>
  </si>
  <si>
    <t>Insumos, Repuestos y Accesorios Computacionales (Ej.Papel impresora, catridge, etc.)</t>
  </si>
  <si>
    <t xml:space="preserve">Materiales para Mantención y Reparación de Inmuebles (pinturas, maderas, pegamentos, cañerías, fitting, cerrajería, art. Eléctricos, aislantes, etc) </t>
  </si>
  <si>
    <t>Servicios Básicos</t>
  </si>
  <si>
    <t>Correo</t>
  </si>
  <si>
    <t>Telefónía Fija</t>
  </si>
  <si>
    <t>Telefonía Celular</t>
  </si>
  <si>
    <t>Acceso a Internet</t>
  </si>
  <si>
    <t>Enlaces de Telecomunicaciones (Ej.Tv Cable, Televisión satelital)</t>
  </si>
  <si>
    <t>Otros servicios básicos (Leña)</t>
  </si>
  <si>
    <t>Mantenimiento y Reparaciones</t>
  </si>
  <si>
    <t>Mantenimiento y Reparaciones de Edificaciones (Exteriores e interiores)</t>
  </si>
  <si>
    <t>Mantenimiento y Reparaciones de Mobiliarios y Otros (Mantenimiento y reparación mobiliario habitaciones y/o cabañas)</t>
  </si>
  <si>
    <t>Mantenimiento y Reparaciones de Máquinas y Equipos de Oficina (Ej.Calderas, Aire acondicionado, termos, TV,etc)</t>
  </si>
  <si>
    <t>Mantenimiento y Reparaciones de Maquinaria y Equipos de Producción (Ej.Equipos de cocina, refrigeradores, mantenedores, etc.)</t>
  </si>
  <si>
    <t>Mantenimiento y Reparaciones de Otras Maquinarias y Equipos (Ej. Mantenciòbn de ascensor)</t>
  </si>
  <si>
    <t>Mantenimiento y Reparaciones de de Equipos Informáticos</t>
  </si>
  <si>
    <t>Otros mantenciones y reparaciones</t>
  </si>
  <si>
    <t>Publicidad y Difusión</t>
  </si>
  <si>
    <t>Servicios de Publicidad (Ej. Avisos periòdicos, radio, TV  etc)</t>
  </si>
  <si>
    <t>Servicios de Impresión (Ej.Boletines, folletos, dipticos promocionales, etc)</t>
  </si>
  <si>
    <t>Otros servicios de publicidad</t>
  </si>
  <si>
    <t>Servicios de Aseo (Ej.Servicio externo de lavandería, extracción de basura municipal,etc)</t>
  </si>
  <si>
    <t>Servicios de Vigilancia (Ej.Servicios de seguridad y alarma contratados)</t>
  </si>
  <si>
    <t>Servicios de Mantención de jardines</t>
  </si>
  <si>
    <t>Pasajes, Fletes y Bodegajes (Ej. Movilizaciòn, locomoción, peajes,etc)</t>
  </si>
  <si>
    <t>Suscripciones Técnicas (Periódicos y Revistas)</t>
  </si>
  <si>
    <t>Servicios Financieros y de Seguros</t>
  </si>
  <si>
    <t>Servicios Técnicos y Profesionales</t>
  </si>
  <si>
    <t>Cursos de capacitación (para el personal)</t>
  </si>
  <si>
    <t>Servicios Informáticos</t>
  </si>
  <si>
    <t>Certificaciones (calefont, higiene y seguridad, etc.)</t>
  </si>
  <si>
    <t>Otros servicios técnicos y profesionales</t>
  </si>
  <si>
    <t>Otros Gastos en Bienes y Servicios de Consumo</t>
  </si>
  <si>
    <t>Gastos Menores FO.FI. (Directiva D.G.F.A. Nº 02-DC/0201/22 Fecha Enero 2009)</t>
  </si>
  <si>
    <t>ADQUISICIÓN DE ACTIVOS NO FINANCIEROS</t>
  </si>
  <si>
    <t>PERSONAL</t>
  </si>
  <si>
    <t>Textiles  y Acabados Textiles (Ej.Cortinaje, alfombras, sábanas, frazadas, cobertores)</t>
  </si>
  <si>
    <t>Alimentación párvulos</t>
  </si>
  <si>
    <t>Fertilizantes, insecticidas, Fungicidas y otros  (Ej. Productos para fumigación y desratización, etc)</t>
  </si>
  <si>
    <t>Otros materiales, Repuestos y Utiles Diversos</t>
  </si>
  <si>
    <t>Derechos y tasas (gastos notariales, legalización de doctos. y similares, etc)</t>
  </si>
  <si>
    <t>Seguro Inmueble</t>
  </si>
  <si>
    <t>Seguro Escolar</t>
  </si>
  <si>
    <t>Menaje para oficina,  cocina y otros (Reposición vajilla, ollas, platos, etc.)</t>
  </si>
  <si>
    <t xml:space="preserve"> Mobiliario y Otros</t>
  </si>
  <si>
    <t xml:space="preserve"> Máquinas y Equipos</t>
  </si>
  <si>
    <t xml:space="preserve"> Equipos Informaticos</t>
  </si>
  <si>
    <t xml:space="preserve"> Programas Informaticos</t>
  </si>
  <si>
    <t xml:space="preserve"> Otros Activos no Financieros</t>
  </si>
  <si>
    <t>Personal por reemplazo (reemplazos EAC o EC no FF.PP. puesto que estos reemplazos se pagan con el sueldo del reemplazado)</t>
  </si>
  <si>
    <t xml:space="preserve">Electricidad </t>
  </si>
  <si>
    <t>Muebles para implementación de sala</t>
  </si>
  <si>
    <t>Servicio de entretención para niños</t>
  </si>
  <si>
    <r>
      <t xml:space="preserve">Personal por reemplazo </t>
    </r>
    <r>
      <rPr>
        <sz val="8"/>
        <color indexed="8"/>
        <rFont val="Arial Narrow"/>
        <family val="2"/>
      </rPr>
      <t>(reemplazos EAC o EC no FF.PP., estos reemplazos se pagan con el sueldo del reemplazado)</t>
    </r>
  </si>
  <si>
    <t xml:space="preserve"> Sueldos y Sobresueldos (Personal Estable)</t>
  </si>
  <si>
    <t xml:space="preserve"> Aportes Patronales</t>
  </si>
  <si>
    <t xml:space="preserve"> Alumnos en Práctica</t>
  </si>
  <si>
    <t xml:space="preserve"> Aguinaldos y Bonos (septiembre, diciembre, otros bonos)</t>
  </si>
  <si>
    <t xml:space="preserve"> Gasto de Alimentación del Personal</t>
  </si>
  <si>
    <t xml:space="preserve"> Finiquitos e indemnizaciones</t>
  </si>
  <si>
    <t xml:space="preserve"> Viáticos (Ej. Comisiones de servicio, reuniones, revistas a centros, etc.)</t>
  </si>
  <si>
    <t xml:space="preserve"> Alimentación funcionarios, alumnos en practica.</t>
  </si>
  <si>
    <t xml:space="preserve"> Textiles,  vestuarios y calzado (uniforme del personal)</t>
  </si>
  <si>
    <t xml:space="preserve"> Para Calefacción (Estufas a Parafina)</t>
  </si>
  <si>
    <t xml:space="preserve"> Cursos de capacitación (para el personal)</t>
  </si>
  <si>
    <t xml:space="preserve"> Servicios Informáticos</t>
  </si>
  <si>
    <t xml:space="preserve"> Certificaciones (calefont, higiene y seguridad, etc.)</t>
  </si>
  <si>
    <t xml:space="preserve"> Otros servicios técnicos y profesionales</t>
  </si>
  <si>
    <t xml:space="preserve"> Gastos Menores (Directiva D.G.F.A. Nº 02-DC/0201/22 Fecha Enero 2009)</t>
  </si>
  <si>
    <t xml:space="preserve"> Materiales de Oficina (Utiles de Escritorio, impresos de talonarios, boletas,comandas, formularios)</t>
  </si>
  <si>
    <t xml:space="preserve"> Productos Farmaceúticos (Botiquines)</t>
  </si>
  <si>
    <t xml:space="preserve"> Materiales y Utiles de Aseo </t>
  </si>
  <si>
    <t xml:space="preserve"> Insumos, Repuestos y Accesorios Computacionales (Papel impresora, catridge)</t>
  </si>
  <si>
    <t xml:space="preserve"> Agua</t>
  </si>
  <si>
    <t xml:space="preserve"> Energía Eléctrica</t>
  </si>
  <si>
    <t xml:space="preserve"> Gas</t>
  </si>
  <si>
    <t xml:space="preserve"> Correo</t>
  </si>
  <si>
    <t xml:space="preserve"> Telefónía Fija</t>
  </si>
  <si>
    <t xml:space="preserve"> Telefonía Celular</t>
  </si>
  <si>
    <t xml:space="preserve"> Acceso a Internet</t>
  </si>
  <si>
    <t xml:space="preserve"> Enlaces de Telecomunicaciones (Tv Cable, Televisión satelital)</t>
  </si>
  <si>
    <t xml:space="preserve"> Otros Servicios Básicos (Leña)</t>
  </si>
  <si>
    <t xml:space="preserve"> Servicios de Publicidad (avisos, periódicos, radio, TV, etc.)</t>
  </si>
  <si>
    <t xml:space="preserve"> Servicios de Impresión (Boletines, folletos, dipticos promocionales)</t>
  </si>
  <si>
    <t xml:space="preserve"> Otros servicios de publicidad</t>
  </si>
  <si>
    <t>BIENVALP</t>
  </si>
  <si>
    <t>TOTAL  BIENVALP</t>
  </si>
  <si>
    <t>JARDIN INFANTIL "LOS DELFINES"</t>
  </si>
  <si>
    <t>JARDIN INFANTIL "LORD COCHRANE"</t>
  </si>
  <si>
    <t>JARDIN INFANTIL "CARACOLITO DE MAR"</t>
  </si>
  <si>
    <t>Comparación Jardín Viña del Mar</t>
  </si>
  <si>
    <t>Comparación Sala Cuna Valparaíso</t>
  </si>
  <si>
    <t>Comparación Sala Cuna Viña del Mar</t>
  </si>
  <si>
    <t>JARDIN INFANTIL "PECECITOS DE COLORES"</t>
  </si>
  <si>
    <t>APOYO VIDA</t>
  </si>
  <si>
    <t>Alumno en práctica</t>
  </si>
  <si>
    <t>Materiales de Apoyo Educativo/Mejoramiento</t>
  </si>
  <si>
    <t>Suscripciones Técnicas (Periódicos y Revistas)/Cuota actividades extraprogramáticas</t>
  </si>
  <si>
    <t>ocupaciòn</t>
  </si>
  <si>
    <t>LOS DELFINES</t>
  </si>
  <si>
    <t>LORD COCHRANE</t>
  </si>
  <si>
    <t>BONO TERMINO CONFLICTO</t>
  </si>
  <si>
    <t>SALA CUNA MAR AZUL DIURNA</t>
  </si>
  <si>
    <t>SALA CUNA MAR AZUL NOCTURNA</t>
  </si>
  <si>
    <t>Se considera la compra de Libros de Apoyo Pedagógico</t>
  </si>
  <si>
    <t>SALA CUNA CARACOLITO DE MAR DIURNA</t>
  </si>
  <si>
    <t>SALA CUNA CARACOLITO DE MAR NOCTURNA</t>
  </si>
  <si>
    <t>PASAJE AVIÓN</t>
  </si>
  <si>
    <t>JARDÍN CARACOLITO DE MAR</t>
  </si>
  <si>
    <t>PECESITOS DE COLORES</t>
  </si>
  <si>
    <t>.</t>
  </si>
  <si>
    <t>VERANO</t>
  </si>
  <si>
    <t>Recambio de cortinas sala 2 y 3.</t>
  </si>
  <si>
    <t>Renovacion de mesa 3 y 15 sillas.</t>
  </si>
  <si>
    <t>Provisión de Fondos del 1% sobre remuneración anual 2016 proyectada</t>
  </si>
  <si>
    <t>set de matematica,2 alfombras ludicas y 4 cajas de construccion</t>
  </si>
  <si>
    <t>Adquisicion de platos, vasos, ollas y bandejas para ninos ,otros segun normativa</t>
  </si>
  <si>
    <t>Camas apilables,mesas,sillas y juegos de patio</t>
  </si>
  <si>
    <t>1 Computadores para uso del SISBIEN</t>
  </si>
  <si>
    <t>Material pedagogico</t>
  </si>
  <si>
    <t>compra de 10 mesas y 34 sillas de parvulos</t>
  </si>
  <si>
    <t>Reposicion de loza y vasos</t>
  </si>
  <si>
    <t>Material de aseo y limpieza</t>
  </si>
  <si>
    <t>Juegos de patio y equipo de musica</t>
  </si>
  <si>
    <t>cuota de activ.extraprogramatica</t>
  </si>
  <si>
    <t>Reposicion de cortinas</t>
  </si>
  <si>
    <t>4 personasr delantal</t>
  </si>
  <si>
    <t>material pedagogico</t>
  </si>
  <si>
    <t>mesas y sillas para parv.</t>
  </si>
  <si>
    <t>sabanas y cobertores,frazadas</t>
  </si>
  <si>
    <t>material de apoyo y pedagogico</t>
  </si>
  <si>
    <t>renovacion de menaje</t>
  </si>
  <si>
    <t>citofonos exteriores</t>
  </si>
  <si>
    <t>material didactico y texto apoyo .tv plasma y dvd.</t>
  </si>
  <si>
    <t>licuadora ind. Y microndas</t>
  </si>
  <si>
    <t>computado para ofic. Educ..</t>
  </si>
  <si>
    <t>delantal 4 personas</t>
  </si>
  <si>
    <t>Delantales, unif. Para manipuladora</t>
  </si>
  <si>
    <t>Cambio de sacos de dormir</t>
  </si>
  <si>
    <t>Renovación de material didáctico</t>
  </si>
  <si>
    <t>C</t>
  </si>
  <si>
    <t>GREENTOWN</t>
  </si>
  <si>
    <t>CHARLIE BROWN</t>
  </si>
  <si>
    <t>Cálculo Ingreso</t>
  </si>
  <si>
    <r>
      <t xml:space="preserve">Sala Cuna [media jornada] </t>
    </r>
    <r>
      <rPr>
        <sz val="10"/>
        <color indexed="10"/>
        <rFont val="Arial Narrow"/>
        <family val="2"/>
      </rPr>
      <t>Matrícula Proyectada 0</t>
    </r>
  </si>
  <si>
    <r>
      <t xml:space="preserve">Sala Cuna [Noche] 18 </t>
    </r>
    <r>
      <rPr>
        <sz val="10"/>
        <color indexed="10"/>
        <rFont val="Arial Narrow"/>
        <family val="2"/>
      </rPr>
      <t>Matrícula Proyectada 18</t>
    </r>
  </si>
  <si>
    <t>IPC PROYECTADO</t>
  </si>
  <si>
    <t>LOBITO MARINO</t>
  </si>
  <si>
    <t>Bono Término de Conflicto</t>
  </si>
  <si>
    <t>Ed. De Párvulos</t>
  </si>
  <si>
    <t>Técnicos</t>
  </si>
  <si>
    <t>Aguinaldos y Bonos de Vac.</t>
  </si>
  <si>
    <t>Man. De Alimentos</t>
  </si>
  <si>
    <t>AGUINALDO</t>
  </si>
  <si>
    <t>Aux.  De Aseo</t>
  </si>
  <si>
    <t>BONO VACACIONES</t>
  </si>
  <si>
    <t>Remuneración Mensual</t>
  </si>
  <si>
    <t>TOTAL</t>
  </si>
  <si>
    <t>Remuneración Anual</t>
  </si>
  <si>
    <t>Reajuste</t>
  </si>
  <si>
    <t>BONO VAC</t>
  </si>
  <si>
    <t>BONO FIN DE AÑO</t>
  </si>
  <si>
    <t>AGUINALDOS</t>
  </si>
  <si>
    <t>TOTAL GASTO ANUAL</t>
  </si>
  <si>
    <t>Jardín Infantíl Lobito Marino</t>
  </si>
  <si>
    <t>PEREIRA LUNDBERG XIMENA ALEJANDRA</t>
  </si>
  <si>
    <t>Educadora De Parvulos</t>
  </si>
  <si>
    <t>VARAS PEREZ JACQUELINE BETZABÉ</t>
  </si>
  <si>
    <t>Asistente De Parvulos</t>
  </si>
  <si>
    <t>FARIAS ORMEÑO MARIA INES</t>
  </si>
  <si>
    <t>LAZO TORO LUISA JEANETTE</t>
  </si>
  <si>
    <t>GUAJARDO TAPIA CATHERINE ELIZABETH</t>
  </si>
  <si>
    <t>HIDALGO BASSI FRANCISCA PAZ</t>
  </si>
  <si>
    <t>RAMOS BARROS PAULINA ANDREA</t>
  </si>
  <si>
    <t>DELGADO TORRES ESTORMI DE LAS MERCE</t>
  </si>
  <si>
    <t>SOTO VERA NICOLE CONSTANZA</t>
  </si>
  <si>
    <t>ESPINOZA BRUNA SOLANGE ISABEL</t>
  </si>
  <si>
    <t>CORREA HUMPHREYS JOSEFINA VICTORIA</t>
  </si>
  <si>
    <t>Apoyo Asistencia De Párvulos</t>
  </si>
  <si>
    <t>Jardín Infantíl Los Delfines</t>
  </si>
  <si>
    <t>BOUTEILLE HERRERA NICOLE ANDREE</t>
  </si>
  <si>
    <t>SPAANDERMAN NEUMANN ANNEMARIE PAULA (o reemplazo)</t>
  </si>
  <si>
    <t>HERRERA GONZALEZ CLAUDIA MAGDALENA</t>
  </si>
  <si>
    <t>ROJAS GODOY PRISCILA</t>
  </si>
  <si>
    <t>ESTAY AZOCAR PAMELA DEL CARMEN</t>
  </si>
  <si>
    <t>Manipuladora De Alimentos</t>
  </si>
  <si>
    <t>ACEVEDO HUERTA CAROLINA ELSA</t>
  </si>
  <si>
    <t>HUERTA NUÑEZ SARA ESTER</t>
  </si>
  <si>
    <t>CARREÑO CORNEJO EVELYN XIMENA</t>
  </si>
  <si>
    <t>PEREIRA FAÚNDEZ BÁRBARA ISABEL</t>
  </si>
  <si>
    <t>YAÑEZ ROJAS FABIOLA SCARLETTE</t>
  </si>
  <si>
    <t>OLIVARES SILVA YASNA ORNELA</t>
  </si>
  <si>
    <t>OPAZO HERNANDEZ GUISEL DAYAN</t>
  </si>
  <si>
    <t>ARAYA SEGUEL DANIELA VALESKA</t>
  </si>
  <si>
    <t>FIGUEROA DÍAZ CAROLINA ANDREA</t>
  </si>
  <si>
    <t>ESCUDERO ALZAMORA SONIA SOLEDAD</t>
  </si>
  <si>
    <t>CONTRERAS DONOSO NAYARETTE CINTHIA</t>
  </si>
  <si>
    <t>VELÁZQUEZ HENRÍQUEZ CLAUDIA  BEATRIZ</t>
  </si>
  <si>
    <t>DEILA SILVA ALEJANDRA DEL PILAR</t>
  </si>
  <si>
    <t>ZUÑIGA CORDERO XIMENA PATRICIA</t>
  </si>
  <si>
    <t>Auxiliar De Aseo</t>
  </si>
  <si>
    <t>HUERTA NUÑEZ RUTH ELIZABETH</t>
  </si>
  <si>
    <t>Jardín Infantíl Lord Cochrane</t>
  </si>
  <si>
    <t>VICENT AVILA LUZ MARIELA</t>
  </si>
  <si>
    <t>HERRERA SALINAS ISABEL MARGARITA</t>
  </si>
  <si>
    <t>MOLINA FIGUEROA ASENCION DEL CARMEN</t>
  </si>
  <si>
    <t>Jardín Infantil Pececitos de Colores</t>
  </si>
  <si>
    <t>LILLO PARDO FRANCISCA SCARLET</t>
  </si>
  <si>
    <t>PECECITOS DE COLORES</t>
  </si>
  <si>
    <t>BAYER ANABALON VALENTINA ALEJANDRA</t>
  </si>
  <si>
    <t>HIDALGO CASTILLO JULIETTE CATHERINE</t>
  </si>
  <si>
    <t>VALLADARES LOPEZ PAULA MARCELA</t>
  </si>
  <si>
    <t>PEÑAFIEL VALDEBENITO SILVANA LORETO</t>
  </si>
  <si>
    <t>JIMÉNEZ MARTÍNEZ VANESSA ELIZABETH</t>
  </si>
  <si>
    <t>VILLAR ASTUDILLO DANITZA SOLANGE</t>
  </si>
  <si>
    <t>ANGULO PAREDES CAMILA MAKARENA</t>
  </si>
  <si>
    <t>BRAVO ESPINOZA PATRICIA IVONNE</t>
  </si>
  <si>
    <t>JARDIN CARACOLITO DE MAR</t>
  </si>
  <si>
    <t>Jardín Infantíl Caracolito de Mar</t>
  </si>
  <si>
    <t>Sala Cuna Caracolito de Mar</t>
  </si>
  <si>
    <t>LANDEROS PÉREZ FRANCISCA ANDREA</t>
  </si>
  <si>
    <t>ROJAS BARRA VALENTINA</t>
  </si>
  <si>
    <t>IBARRA OPAZO ANA MARIA</t>
  </si>
  <si>
    <t>ARAYA LAMBUCCINI YORDANA BELÉN</t>
  </si>
  <si>
    <t>MOLINA JARA SANDRA ANDREA</t>
  </si>
  <si>
    <t>ROMERO ARANDA INES DE LAS MERCEDES</t>
  </si>
  <si>
    <t>Educadora De Párvulos Guardia</t>
  </si>
  <si>
    <t>MUÑOZ ARANGUEZ AVELINA ROSA</t>
  </si>
  <si>
    <t>SOTO CONTRERAS PATRICIA EDITH</t>
  </si>
  <si>
    <t>BUSTAMANTE BOMBAL LIDIA JAQUELINA</t>
  </si>
  <si>
    <t>TOBAR SOTO NUBIA DEL CARMEN</t>
  </si>
  <si>
    <t>MUÑOZ TAPIA VALESKA PAOLA</t>
  </si>
  <si>
    <t>VERA CORTÉS JACQUELINE DE LAS ME</t>
  </si>
  <si>
    <t>BAEZA JAQUE BEATRIZ LORETO</t>
  </si>
  <si>
    <t>SALA CUNA CARACOLITO DE MAR</t>
  </si>
  <si>
    <t>Sala Cuna Mar Azul</t>
  </si>
  <si>
    <t>SALA CUNA MAR AZUL</t>
  </si>
  <si>
    <t>HERRERA CANESSA CAMILA FERNANDA</t>
  </si>
  <si>
    <t>SEPULVEDA SILVA JESSICA DEL PILAR</t>
  </si>
  <si>
    <t>ROJAS GONZÁLEZ MARÍA LEONOR</t>
  </si>
  <si>
    <t>REYES ÁLVAREZ CATALINA ALEJANDRA</t>
  </si>
  <si>
    <t>CABRERA QUEZADA PAULINA</t>
  </si>
  <si>
    <t>LEIVA ZURITA ILSE INÉS</t>
  </si>
  <si>
    <t>ESPINOZA RETAMAL PAULINA ANDREA</t>
  </si>
  <si>
    <t>SILVA DAMELE MACARENA ANDREA</t>
  </si>
  <si>
    <t>SARAVIA ORTEGA DANIELA ADRIANA</t>
  </si>
  <si>
    <t>RIVERA BUSTAMENTE MARÍA ANGÉLICA</t>
  </si>
  <si>
    <t>PEREIRA MORALES ISABEL</t>
  </si>
  <si>
    <t>LEIVA ASTUDILLO YESENIA</t>
  </si>
  <si>
    <t>VIDAL DONOSO FABIOLA DEL CARMEN</t>
  </si>
  <si>
    <t>ORTEGA OLAVE PAMELA DEL CARMEN</t>
  </si>
  <si>
    <t>BUSTOS SUAREZ MYRIAM</t>
  </si>
  <si>
    <t>MARTINEZ GUZMAN ANDREA PAMELA</t>
  </si>
  <si>
    <t>OYARZO HERNANDEZ GUILLERMINA ANDREA</t>
  </si>
  <si>
    <t>RIVERA CABRERA CAROLINA ANDREA</t>
  </si>
  <si>
    <t>COFRÉ OYANEDER CLAUDIA DEL CARMEN</t>
  </si>
  <si>
    <t>GUTIERREZ BERNALES DENIS CARMEN</t>
  </si>
  <si>
    <t>ARANCIBIA INOSTROZA CAROLAINE DENNISE</t>
  </si>
  <si>
    <t>BASUALTO RIVERA GINA IVONNE</t>
  </si>
  <si>
    <t>BERNAL ACEVEDO PAMELA ANDREA</t>
  </si>
  <si>
    <t>CASTRO FARÍAS MIRIAM DEL CARMEN</t>
  </si>
  <si>
    <t>LÓPEZ RUIZ ISABEL ANGÉLICA</t>
  </si>
  <si>
    <t>ARANCIBIA CABRERA MADELIN TAMARA</t>
  </si>
  <si>
    <t>CORREA VEAS SUSAN KAREN</t>
  </si>
  <si>
    <t>MUÑOZ LERIS KATHERINE MARCELA</t>
  </si>
  <si>
    <t>MATELUNA RAMÍREZ MARTA KARINA</t>
  </si>
  <si>
    <t>BONOS Y AGUINALDOS</t>
  </si>
  <si>
    <t>SOLO SUELDOS</t>
  </si>
  <si>
    <t>CARACOLITO DE MAR DIURNA</t>
  </si>
  <si>
    <t>CARACOLITO DE MAR NOCTURNA</t>
  </si>
  <si>
    <t>ITEM</t>
  </si>
  <si>
    <t xml:space="preserve">PROMEDIO </t>
  </si>
  <si>
    <t>2015 AGOSTO</t>
  </si>
  <si>
    <t>2015 PROY DIC</t>
  </si>
  <si>
    <t>NOTA: SE CONSIDERA EL PROMEDIO DOS AÑOS MAS IPC</t>
  </si>
  <si>
    <t>CARACOLITO DE MAR</t>
  </si>
  <si>
    <t>OCUPACIÓN PROYECTADA</t>
  </si>
  <si>
    <t>FACTOR JI</t>
  </si>
  <si>
    <t>OK</t>
  </si>
  <si>
    <t>SCN</t>
  </si>
  <si>
    <t>1 EC DIRECTORA</t>
  </si>
  <si>
    <t>DOTACION (3)</t>
  </si>
  <si>
    <t>8 delantan asist. Y 6 delantala educ.</t>
  </si>
  <si>
    <t xml:space="preserve"> proporción amplificador (1/7). Costo otal $350,000</t>
  </si>
  <si>
    <t>Considera la compra de 35 sacos de dormir (a 4 años). Costo unitario $8.268</t>
  </si>
  <si>
    <t>7 delant. De educ. ,12 delantal de asist. Parv, $18.000 app. 5 unif. De manip. Alim. $ 30.000 y 2 de auxiliar de aseo $ 20.000</t>
  </si>
  <si>
    <t>RECURSOS HUMANOS</t>
  </si>
  <si>
    <t xml:space="preserve"> 4 delantales de $ 18.000c/u.</t>
  </si>
  <si>
    <t>CONSIDERA TRIPLE PACK</t>
  </si>
  <si>
    <t>1 data y proporción amplificador</t>
  </si>
  <si>
    <t>DELANTALES PARA 9 PERSONAS</t>
  </si>
  <si>
    <t>3 muebles modulares 20 sillas de parv. Y 5 mesas de ninos 9 sillas adulto y 20 camas apilables</t>
  </si>
  <si>
    <t>DOTACION (10)</t>
  </si>
  <si>
    <t>11 delantal personal Educ.Esist. Manip. Y Aseo</t>
  </si>
  <si>
    <t>SCD</t>
  </si>
  <si>
    <t>50% COMPUTADOR</t>
  </si>
  <si>
    <t>SALA CUNA "CARACOLITO DE MAR" DIURNA</t>
  </si>
  <si>
    <t>SALA CUNA "CARACOLITO DE MAR" NOCTURNA</t>
  </si>
  <si>
    <t>SALA CUNA "CARACOLITO DE MAR"
DIURNA</t>
  </si>
  <si>
    <t>SALA CUNA "CARACOLITO DE MAR"
NOCTURNA</t>
  </si>
  <si>
    <t>DOTACION (4)</t>
  </si>
  <si>
    <r>
      <t xml:space="preserve">Sala Cuna [Noche]  
</t>
    </r>
    <r>
      <rPr>
        <sz val="10"/>
        <color indexed="10"/>
        <rFont val="Arial Narrow"/>
        <family val="2"/>
      </rPr>
      <t>Matrícula Proyectada 6</t>
    </r>
  </si>
  <si>
    <t>SALA CUNA "MAR AZUL" DIURNA</t>
  </si>
  <si>
    <t>SALA CUNA "MAR AZUL" NOCTURNA</t>
  </si>
  <si>
    <t>ING. ESCUELA DE VERANO</t>
  </si>
  <si>
    <t>DOTACION (6)</t>
  </si>
  <si>
    <t>Computador ofic. Educ. impresoramultifuncional (70%)</t>
  </si>
  <si>
    <t>Personal Servicio Activo Armada y otras FFAA</t>
  </si>
  <si>
    <t>Gendarmeria y PDI</t>
  </si>
  <si>
    <t>DISMINUCIÓN COSTOS INDIRECTOS</t>
  </si>
  <si>
    <t>JI CARACOLITO DE MAR</t>
  </si>
  <si>
    <t>SC CARACOLITO DIURNA</t>
  </si>
  <si>
    <t>SC CARACOLITO NOCTURNA</t>
  </si>
  <si>
    <t>SC MAR AZUL DIURNA</t>
  </si>
  <si>
    <t>TEXTILES</t>
  </si>
  <si>
    <t>DELANTALES</t>
  </si>
  <si>
    <t>APOYO PEDAGOGICO</t>
  </si>
  <si>
    <t>MOBILIARIO</t>
  </si>
  <si>
    <t>ELECTRONICA Y COMPUTACIÓN</t>
  </si>
  <si>
    <t>MENAJE</t>
  </si>
  <si>
    <t>cobertores y frazadas</t>
  </si>
  <si>
    <t>COCINA</t>
  </si>
  <si>
    <t>equipo informatico</t>
  </si>
  <si>
    <t>CARACOLITO</t>
  </si>
  <si>
    <t>MAR AZUL</t>
  </si>
  <si>
    <t xml:space="preserve"> DIFERENCIA IPC PROYECTADO</t>
  </si>
  <si>
    <t xml:space="preserve">JARDÍN INFANTIL </t>
  </si>
  <si>
    <t xml:space="preserve">Jardín [Media Jornada] </t>
  </si>
  <si>
    <t xml:space="preserve">Jardín [Jornada Completa] </t>
  </si>
  <si>
    <t xml:space="preserve">Sala Cuna [Diurna] Jornada Completa </t>
  </si>
  <si>
    <t xml:space="preserve">Sala Cuna [Diurna]Media Jornada </t>
  </si>
  <si>
    <t xml:space="preserve">Sala Cuna [NOCHE] </t>
  </si>
  <si>
    <t>SC MAR AZUL</t>
  </si>
  <si>
    <t>SC CARACOLITO DE MAR</t>
  </si>
  <si>
    <t>Computador ofic. Educ. impresoramultifuncional (30%)</t>
  </si>
  <si>
    <t>SALAS CUNA</t>
  </si>
  <si>
    <t>50% PARA ji</t>
  </si>
  <si>
    <t>ADQUISICIONES JI (50%)</t>
  </si>
  <si>
    <t>50 SALA CUNA Y 50 JI</t>
  </si>
  <si>
    <t>MANTENCIONES JI (Sólo prioritarias)</t>
  </si>
  <si>
    <t>RESULTADO SC</t>
  </si>
  <si>
    <t>RESULTADO JI</t>
  </si>
  <si>
    <t xml:space="preserve">Jardín 
[Media Jornada] </t>
  </si>
  <si>
    <t xml:space="preserve">Jardín 
[Jornada Completa] </t>
  </si>
  <si>
    <t>SALA CUNA 
CARACOLITO DE MAR</t>
  </si>
  <si>
    <t>SALA CUNA
 MAR AZUL</t>
  </si>
  <si>
    <t>Gasto de material de oficina administ. Y pedagogico del JI</t>
  </si>
  <si>
    <t>Mant. de campana y electrodomesticos industriales</t>
  </si>
  <si>
    <t xml:space="preserve">1 EC EDUC + 1 PAC EDUC + 1 C1° ASIST  </t>
  </si>
  <si>
    <t>Triple pack</t>
  </si>
  <si>
    <t>Renovacion de menaje</t>
  </si>
  <si>
    <t>Calzado de manipuladora</t>
  </si>
  <si>
    <t>Material didactico y texto apoyo .tv plasma y dvd.</t>
  </si>
  <si>
    <t>Material de oficna</t>
  </si>
  <si>
    <t xml:space="preserve">Agendas </t>
  </si>
  <si>
    <t>Delantal 4 personas</t>
  </si>
  <si>
    <t>Adq. Material de oficina</t>
  </si>
  <si>
    <t>Impresora y tintas</t>
  </si>
  <si>
    <t>Mant. Areas verdes</t>
  </si>
  <si>
    <t>PROYECCIÓN 2017</t>
  </si>
  <si>
    <t>Remuneración anual 2017</t>
  </si>
  <si>
    <t>Cambio de sacos de dormir 50 uni.</t>
  </si>
  <si>
    <t>4 pares de manip.y 2 de auxiliar de aseo.</t>
  </si>
  <si>
    <t>Delantales, unif. Para manipuladora,aseo</t>
  </si>
  <si>
    <t>Calzado manipuladora y aseo</t>
  </si>
  <si>
    <t>Certif. sec</t>
  </si>
  <si>
    <t>Recarga y  mantencion  de 6  Extintores pqs Y 1 extin. De acetato</t>
  </si>
  <si>
    <t>Considera serv. Aseo munic 2 veces $ 548.838. Fumigacion $ 1.551.727 y lavanderia + IPC</t>
  </si>
  <si>
    <t>CUOTA DE PADRES ACT. EXTRAP.</t>
  </si>
  <si>
    <t>PASAJE AEREO $ 132.485 + 1 2 diasc/pern. Y 1 dia s/pernoct. $ 102.552</t>
  </si>
  <si>
    <t>MATERIAL DE OFICINA ,LAPICES,CUADERNOS Y OTROS.</t>
  </si>
  <si>
    <t>MAT. DE ASEO Y LIMPIEZA</t>
  </si>
  <si>
    <t>MAT. PARA IMPREVISTOS, PINTURA,GASFITERIA.ETC.</t>
  </si>
  <si>
    <t>MANT. THERMO DE AGUA CALIENTE</t>
  </si>
  <si>
    <t>CUOTA EXTRAP.</t>
  </si>
  <si>
    <t>SEG. NIÑOS</t>
  </si>
  <si>
    <t>MAT. OFICINA Y ADMIN. CUADEROS,LAPICES,TIJERAS ETC.</t>
  </si>
  <si>
    <t>MESAS $ 26.000 Y SILLAS  $9.500 APP.PARA 2 SALAS</t>
  </si>
  <si>
    <t>RECARGA Y MANT. 2 EXT.</t>
  </si>
  <si>
    <t>REPOSICION DE GUANTES ,SABANILLAS..</t>
  </si>
  <si>
    <t>MAT.ASEO Y LIMP.</t>
  </si>
  <si>
    <t>TINTAS Y HOJAS DE IMPRESORA</t>
  </si>
  <si>
    <t>MAT. IMPREVISTOS. GRIFERIA,SILICONAS SELLADO..ETC</t>
  </si>
  <si>
    <t>CUOTA EXTRAPROGRAMATICA</t>
  </si>
  <si>
    <t>CURSO DE CAPACITACION PARA PROFESIONAL</t>
  </si>
  <si>
    <t>Delantales para 4 personas</t>
  </si>
  <si>
    <t>6 PERSON. X 10 DÍAS APP. X 11 MESES</t>
  </si>
  <si>
    <t>18NIÑOS X 11 MESESX 10 DIAS DE GUARDIA MENS. APP.</t>
  </si>
  <si>
    <t>Considera compra reposicion de insumos 6 Botiquines crema arnica,alcohol.etc.</t>
  </si>
  <si>
    <t>Imprevistos,arreglos menores,reparacion de rejas, pintura gasf. Elect.</t>
  </si>
  <si>
    <t>Fumigacion,desratic.sanit.(trimestral) $ 1.668.644 y Serv.aseo munic. $ 169.670 x 2veces</t>
  </si>
  <si>
    <t>RECARGA Y MANTENCION DE  3 EXTINT.=IPC</t>
  </si>
  <si>
    <t>MATERIAL DE 3 BOTIQUIN,GUANTE Y SABANILLAS</t>
  </si>
  <si>
    <t>GASTOS COMUNES POB. LORD COCHRANE + CONS. AGUA</t>
  </si>
  <si>
    <t>materiales de aseo y limpieza</t>
  </si>
  <si>
    <t>Rep. de extractores,Gasfit.,mant.,elect.rep. mant.sellos de calefontlimp.canaletas</t>
  </si>
  <si>
    <t>Apoyo asist.</t>
  </si>
  <si>
    <t>MOVIL. CURSO DE PERS.</t>
  </si>
  <si>
    <t>71 LACT. X 21 DIASX 11 MESES</t>
  </si>
  <si>
    <r>
      <t>Sala Cuna [Diurna] 26</t>
    </r>
    <r>
      <rPr>
        <sz val="10"/>
        <color indexed="10"/>
        <rFont val="Arial Narrow"/>
        <family val="2"/>
      </rPr>
      <t xml:space="preserve"> Matrícula Proyectada 26</t>
    </r>
  </si>
  <si>
    <t>SEGURO PARA 26 NIÑOS A $6,400</t>
  </si>
  <si>
    <t>70% de 8 FOFI*6 UTM $ 45999 + IPC</t>
  </si>
  <si>
    <t>30% de 8 fofi de 6 UTM( 45999 xIPC)</t>
  </si>
  <si>
    <r>
      <t xml:space="preserve">TARIFAS </t>
    </r>
    <r>
      <rPr>
        <b/>
        <sz val="10"/>
        <color indexed="10"/>
        <rFont val="Arial Narrow"/>
        <family val="2"/>
      </rPr>
      <t>2017</t>
    </r>
  </si>
  <si>
    <t>20% cocina de leche</t>
  </si>
  <si>
    <t>20% para equipo inform.</t>
  </si>
  <si>
    <t>70% Mant. Areas verdes</t>
  </si>
  <si>
    <t>TARIFAS 2016</t>
  </si>
  <si>
    <t>70%PINTURA INST.ARREGLO BAÑO EDUC.FILM VENTANAS</t>
  </si>
  <si>
    <t>70%MANT. CLIMATIZADOR</t>
  </si>
  <si>
    <t>30%MANT. CLIMATIZADOR</t>
  </si>
  <si>
    <t>30%CAMBIO DE FILM A VENTANAS</t>
  </si>
  <si>
    <t>70%CAMBIO DE FILM A VENTANAS</t>
  </si>
  <si>
    <t>30%Curso de capacitacion personal</t>
  </si>
  <si>
    <t>SEGURO PARA 55 NIÑOS A $6,400</t>
  </si>
  <si>
    <t>Tintas 1 unid.</t>
  </si>
  <si>
    <t>22 PERS. X 11 MESESX21 DIAS</t>
  </si>
  <si>
    <t>Gasto prom.Mascarillas,guantes y sabanillas.</t>
  </si>
  <si>
    <t>Agendas</t>
  </si>
  <si>
    <t>SEGURO PARA 71 NIÑOS A $6,400</t>
  </si>
  <si>
    <t>telefonia</t>
  </si>
  <si>
    <t>internet</t>
  </si>
  <si>
    <t>($560 2 raciones) x4 guardiasx6 ni;os x 11 meses</t>
  </si>
  <si>
    <t>Manten.5 Extintores Y 1 TIPO K</t>
  </si>
  <si>
    <t>Mat. Imprevisto griferia,iluminaria, silicona para lavaplatos,sifon, y otros</t>
  </si>
  <si>
    <t>70% Fumigacion ,Serv. Lavanderia .ASEO MUNIC.</t>
  </si>
  <si>
    <t>Suscripciones Técnicas (Periódicos y Revistas)/Cuota actividades extraprogramatica</t>
  </si>
  <si>
    <t>Jardín Infantil</t>
  </si>
  <si>
    <t>1730 x 21 dias y 11 personasX 11 meses</t>
  </si>
  <si>
    <t>SCD 70%</t>
  </si>
  <si>
    <t>SCN 30%</t>
  </si>
  <si>
    <t>Examenes de manipuladora y psicologicos</t>
  </si>
  <si>
    <t>Mat.oficina 30%</t>
  </si>
  <si>
    <t>Guantes,sabanillas. 30%</t>
  </si>
  <si>
    <t>Material de aseo 30%</t>
  </si>
  <si>
    <r>
      <t>Sala Cuna [media jornada] 1</t>
    </r>
    <r>
      <rPr>
        <sz val="10"/>
        <color indexed="10"/>
        <rFont val="Arial Narrow"/>
        <family val="2"/>
      </rPr>
      <t xml:space="preserve"> Matrícula Proyectada 0</t>
    </r>
  </si>
  <si>
    <t>contratar 2 educ de guardia.</t>
  </si>
  <si>
    <t xml:space="preserve">curso de capacitacion para 5 pers. </t>
  </si>
  <si>
    <t>1 examen de preseleccion (33 mil app)1 examen de manipuladora</t>
  </si>
  <si>
    <t>Curso de capacitacion para 3  per. Profesional</t>
  </si>
  <si>
    <t>Adq. De tinta de impresora( $92960 *3 pack)y 30 resmas de hojas $3300 app c/u (carta y ofic)</t>
  </si>
  <si>
    <t>Costo unitario mascarilla $1300 cja/ Gorro $1690 cja./ Guantes $3529 cja./sabanillas $4185</t>
  </si>
  <si>
    <t>MANT. AREAS VERDES$ 66.100 * 4veces</t>
  </si>
  <si>
    <t>7 TINTAS IMPRESORA$ 18990 Y 8 * 3300 APP.RESMAS DE PAPEL OFI.CARTA</t>
  </si>
  <si>
    <t>GASTOS COMUNES DETALLE $15000 + ipc.</t>
  </si>
  <si>
    <t>Sev.Vigilancia 50% con JI Caracolito de Mar $23500 app mensual.+IPC</t>
  </si>
  <si>
    <t xml:space="preserve">70%Curso de capacitacion para  personal. </t>
  </si>
  <si>
    <t>4 Examen de manipuladora/pre seleccion</t>
  </si>
  <si>
    <t xml:space="preserve"> 26 niños</t>
  </si>
  <si>
    <t>Ingresos Totales</t>
  </si>
  <si>
    <t>Costo Total</t>
  </si>
  <si>
    <t>Diferencia</t>
  </si>
  <si>
    <t>Apoyo de Vida 100%</t>
  </si>
  <si>
    <t>Resultado Operacional</t>
  </si>
  <si>
    <t>Déficit</t>
  </si>
  <si>
    <t>ALIM NIÑOS JORNADA COMPLETA</t>
  </si>
  <si>
    <t xml:space="preserve">8 delantales para el personal + uniformes manip alim y aux.aseo $50.000 </t>
  </si>
  <si>
    <t>2 pares zapato de seguridad manip alim y aux.aseo.</t>
  </si>
  <si>
    <r>
      <t xml:space="preserve">Jardín [Media Jornada] </t>
    </r>
    <r>
      <rPr>
        <sz val="10"/>
        <color indexed="10"/>
        <rFont val="Arial Narrow"/>
        <family val="2"/>
      </rPr>
      <t xml:space="preserve"> Matrícula Proyectada 2</t>
    </r>
  </si>
  <si>
    <t>PROM. IER SEM. 2017 + IPC</t>
  </si>
  <si>
    <t>4 educ Pedag. Contrato 1/2 jornada.</t>
  </si>
  <si>
    <t>1 EC DIRECTORA + 2 EC/PAC EDUC + 1 OT ASEO</t>
  </si>
  <si>
    <t>Remuneración anual 2018</t>
  </si>
  <si>
    <t>Provisión de Fondos del 1% sobre remuneración anual 2018 proyectada</t>
  </si>
  <si>
    <t xml:space="preserve">14 PERSONAS * 21 DÍAS * 11 MESES A $1.680 </t>
  </si>
  <si>
    <t>Mat. de aseo limpieza promedio año 2017.</t>
  </si>
  <si>
    <t>Mantencion 6 extintor co2 polvo qcos.</t>
  </si>
  <si>
    <t>Lim.Canaletas,Mant. Elect. Mant. Gasfiteria.</t>
  </si>
  <si>
    <t>Mant. Áreas verdes ($78.000 mensual)</t>
  </si>
  <si>
    <t>Actividades extraprogramáticas cuota padres</t>
  </si>
  <si>
    <t>Capacitacion de personal curso de perfecc. (3 ) personas.</t>
  </si>
  <si>
    <t xml:space="preserve"> 1 pers. pre selección costo exam.sicolog.+ examen manip($12.000)</t>
  </si>
  <si>
    <t xml:space="preserve">1 EC DIREC + 3 EC EDUC + 2 PAC </t>
  </si>
  <si>
    <t>1 EC DIRECTORA + S1 ASIST. PARV</t>
  </si>
  <si>
    <t>Considera media racion de $1.680 (17 personas) x 21 dias app.</t>
  </si>
  <si>
    <t>Mant.techumbre , Pintura interior.</t>
  </si>
  <si>
    <t>Considera valor seguro año 2017</t>
  </si>
  <si>
    <t>CURSOS DE CAPACITACION  6 PERSONAS</t>
  </si>
  <si>
    <t>EXAMENES MED. DE MANIP. DE ALIM 1 VEZ AL AÑO ($48.00) Y 2 EXAM. SICOLOGICOS</t>
  </si>
  <si>
    <t>8 fofi de 6 UTM +IPC</t>
  </si>
  <si>
    <t>2 EC EDUC + 1 PAC EDUC</t>
  </si>
  <si>
    <t>1680 x 20 dias y 6 personas x11meses</t>
  </si>
  <si>
    <t xml:space="preserve">Ed. De Párvulos </t>
  </si>
  <si>
    <t>Renovacion de impresora y computador</t>
  </si>
  <si>
    <t>costo para el apoderado por orden del Cmte</t>
  </si>
  <si>
    <t>Provisión de Fondos del 1% sobre remuneración anual 2017 proyectada</t>
  </si>
  <si>
    <t>14 delantales educ y tec+4 uni manip(30.000c7u +2 uni aseo(20.000)</t>
  </si>
  <si>
    <t>SEGURO PARA 120 NIÑOS A $6,400</t>
  </si>
  <si>
    <t>SEG. NIÑOS $ 6400 x 17 niños.</t>
  </si>
  <si>
    <t>CONSUMO AÑO 2016 Y IER SEM.2017</t>
  </si>
  <si>
    <t>ALIM. 1 PERS. X 11 MESES Y 21 DIAS + IPC</t>
  </si>
  <si>
    <t>Varillado alcant.,Mant. Gasf.,Mant. Elect.,Lim.Canaletas.</t>
  </si>
  <si>
    <t>Plan fumigación anual</t>
  </si>
  <si>
    <t>UNIF. PARA 3 PERS.</t>
  </si>
  <si>
    <t>Mantencion de gasfiteria, certificaciones autorización funcionamiento.</t>
  </si>
  <si>
    <t>plan fumigación anual y serv. aseo .</t>
  </si>
  <si>
    <t>7 FOFi  de 3 UTM $46.786 +IPC</t>
  </si>
  <si>
    <t>PROYECCIÓN 58 NIÑOS</t>
  </si>
  <si>
    <t xml:space="preserve">8 unif personal+ 2 unif. Manip. Alim ($30.000 c/u) </t>
  </si>
  <si>
    <t>2 Calzado manipuladora/aseo</t>
  </si>
  <si>
    <t>DOTACION (21)</t>
  </si>
  <si>
    <t>PROYECCIÓN 2018</t>
  </si>
  <si>
    <t>DOTACION 23 (2018)</t>
  </si>
  <si>
    <t>DOTACION (9)</t>
  </si>
  <si>
    <t xml:space="preserve">30%PINTURA </t>
  </si>
  <si>
    <t xml:space="preserve">30% Serv. De Aseo Municipal y prop. lavanderia. </t>
  </si>
  <si>
    <r>
      <t xml:space="preserve">Jardín [Media Jornada] </t>
    </r>
    <r>
      <rPr>
        <sz val="10"/>
        <color indexed="10"/>
        <rFont val="Arial Narrow"/>
        <family val="2"/>
      </rPr>
      <t>M</t>
    </r>
    <r>
      <rPr>
        <sz val="10"/>
        <color indexed="10"/>
        <rFont val="Arial Narrow"/>
        <family val="2"/>
      </rPr>
      <t>atricula proyectada 90</t>
    </r>
  </si>
  <si>
    <r>
      <t xml:space="preserve">Jardín [ Jornada Compelta] </t>
    </r>
    <r>
      <rPr>
        <sz val="10"/>
        <color indexed="10"/>
        <rFont val="Arial Narrow"/>
        <family val="2"/>
      </rPr>
      <t>Matricula proyectada 48</t>
    </r>
  </si>
  <si>
    <t>Material oficina y escritorio para trabajo adm y pedagogico. VALOR AÑO 2016 MAS 3,7</t>
  </si>
  <si>
    <t>16 tinta negro  - 7 tintas color  20 resma papel de impresión ofi.y carta. $20.000 C/U</t>
  </si>
  <si>
    <t>SEGURO PARA 138 NIÑOS A $6.400</t>
  </si>
  <si>
    <t>certificaciones sec. CONSIDERADO DENTRO PROYECTO</t>
  </si>
  <si>
    <t xml:space="preserve"> </t>
  </si>
  <si>
    <t>Pasaje aereo y viaticos EC G9 Reunión anual directoras solo en Direbien</t>
  </si>
  <si>
    <t>Pasaje aereo y viaticos EC G9 Reunión anual directoras en direbien</t>
  </si>
  <si>
    <t>ROLLERS AUTORIZACIÓN FUNCIONAMIENTO solo para sala de educ, salas comunicadas, sala multiuso</t>
  </si>
  <si>
    <t>Gastos menpores de materiales para imprevistos exigidos por resolucion sanitaria. Financiado por direbien</t>
  </si>
  <si>
    <t>mensual</t>
  </si>
  <si>
    <t>Pasaje aereo y viaticos EC G9 Reunión anual directoras. EN DIREBIEN</t>
  </si>
  <si>
    <t>AGENDAS Y FOLLETOS PUERTAS ABIERTAS $ 30.000 solicitar cuaderno</t>
  </si>
  <si>
    <t xml:space="preserve">AGENDAS </t>
  </si>
  <si>
    <t>JI 30%</t>
  </si>
  <si>
    <t>SC D 60%</t>
  </si>
  <si>
    <t>SC N 10%</t>
  </si>
  <si>
    <t>PROYECCIÓN TOTAL 2018</t>
  </si>
  <si>
    <t xml:space="preserve">                                                      </t>
  </si>
  <si>
    <t>pasaje ida -vuelta $ 132.485 2 dias con/ pernoct. Y 1 dia s/pernoc.$126.365Gdo 8. Actividades en Direbien</t>
  </si>
  <si>
    <t xml:space="preserve"> 6 delantal X $ 18990  personal Educ.Esist. Manip. Y Aseo</t>
  </si>
  <si>
    <t>material oficina</t>
  </si>
  <si>
    <t>muebles imple salas</t>
  </si>
  <si>
    <t>material apyo o pedag</t>
  </si>
  <si>
    <t>produc quimic</t>
  </si>
  <si>
    <t>mat quirurgicos</t>
  </si>
  <si>
    <t>menaje of y cocina</t>
  </si>
  <si>
    <t>materiales aseo</t>
  </si>
  <si>
    <t>insumos compu</t>
  </si>
  <si>
    <t>materiales mantencion y repa</t>
  </si>
  <si>
    <t>Mantencion repa maqui</t>
  </si>
  <si>
    <t>otras reparaciones</t>
  </si>
  <si>
    <t>servicio aseo</t>
  </si>
  <si>
    <t>servicio vigilancia</t>
  </si>
  <si>
    <t>mantencion jardines</t>
  </si>
  <si>
    <t>seguro inmueble</t>
  </si>
  <si>
    <t>curso capacitación</t>
  </si>
  <si>
    <t>EXAMENES PS Y MANIP</t>
  </si>
  <si>
    <t>Gastos comunes Pob. Fuerte Vergara</t>
  </si>
  <si>
    <t xml:space="preserve">                   </t>
  </si>
  <si>
    <t>mayteriales varios de acuerdo a planificación de adquisiciones</t>
  </si>
  <si>
    <t>138 AGENDAS POR 3.200</t>
  </si>
  <si>
    <t>material didactico según normativa vigente</t>
  </si>
  <si>
    <t xml:space="preserve">                                                                                                                                                       </t>
  </si>
  <si>
    <t xml:space="preserve">     </t>
  </si>
  <si>
    <t>Mantencion y reparac edif</t>
  </si>
  <si>
    <t>fofi</t>
  </si>
  <si>
    <t>Considera 9 FOFI UTM $ 47000</t>
  </si>
  <si>
    <t>adquisición de roller</t>
  </si>
  <si>
    <t>pintado interior</t>
  </si>
  <si>
    <t>Personal Servicio Activo</t>
  </si>
  <si>
    <t>Otras Ramas</t>
  </si>
  <si>
    <t>Sala Cuna [media jornada] Matrícula Proyectada 0</t>
  </si>
  <si>
    <t>Sala Cuna [Noche] 18 Matrícula Proyectada 18</t>
  </si>
  <si>
    <t>Jardín [Media Jornada] Matricula proyectada 90</t>
  </si>
  <si>
    <t>Jardín [ Jornada Compelta] Matricula proyectada 48</t>
  </si>
  <si>
    <t>Jardín [Jornada Completa]  Matrícula Proyectada 120</t>
  </si>
  <si>
    <t>Jardín [Media Jornada]  Matrícula Proyectada 17</t>
  </si>
  <si>
    <t>Jardín [Media Jornada]  Matrícula Proyectada 30</t>
  </si>
  <si>
    <t>Jardín [Media Jornada]  Matrícula Proyectada 2</t>
  </si>
  <si>
    <t>Jardín [Jornada Completa]  Matrícula Proyectada total 56</t>
  </si>
  <si>
    <t>Sala Cuna [Diurna] 26 Matrícula Proyectada 26</t>
  </si>
  <si>
    <t>Sala Cuna [Diurna] 88 Matrícula Proyectada 80</t>
  </si>
  <si>
    <t>Sala Cuna [media jornada] 1 Matrícula Proyectada 0</t>
  </si>
  <si>
    <r>
      <t xml:space="preserve">TARIFAS </t>
    </r>
    <r>
      <rPr>
        <b/>
        <sz val="10"/>
        <color indexed="10"/>
        <rFont val="Arial Narrow"/>
        <family val="2"/>
      </rPr>
      <t>2018</t>
    </r>
  </si>
  <si>
    <t>diferencia</t>
  </si>
  <si>
    <t xml:space="preserve">JARDÍN INFANTIL "LOBITO MARINO" </t>
  </si>
  <si>
    <t>DOTACION (23)</t>
  </si>
  <si>
    <t>APOYO DE VIDA</t>
  </si>
  <si>
    <t>Se considera 1 persona asist. Parv y 01 aux aseo</t>
  </si>
  <si>
    <t>80 camas apilables 30.000 c/u</t>
  </si>
  <si>
    <t>conf. lagendas. Costo aprox. $3.000 c/u,</t>
  </si>
  <si>
    <t>ALIM. MEDIA RACION 1600 x 21 dias y 1 PERS. + IPC</t>
  </si>
  <si>
    <t>9 fofi de 6 UTM +IPC</t>
  </si>
  <si>
    <t>FOFI 3 UTM $ 46,786x  7 FOFI + IPC</t>
  </si>
  <si>
    <t xml:space="preserve">                                   </t>
  </si>
  <si>
    <t>PROM. IER SEM. 2017 + IPC se agrega costo estufas</t>
  </si>
  <si>
    <r>
      <t xml:space="preserve">Jardín [Media Jornada] </t>
    </r>
    <r>
      <rPr>
        <sz val="10"/>
        <color indexed="10"/>
        <rFont val="Arial Narrow"/>
        <family val="2"/>
      </rPr>
      <t xml:space="preserve"> Matrícula Proyectada 32</t>
    </r>
  </si>
  <si>
    <r>
      <t xml:space="preserve">Sala Cuna [Diurna] 88 </t>
    </r>
    <r>
      <rPr>
        <sz val="10"/>
        <color indexed="10"/>
        <rFont val="Arial Narrow"/>
        <family val="2"/>
      </rPr>
      <t>Matrícula Proyectada 81</t>
    </r>
  </si>
  <si>
    <r>
      <t xml:space="preserve">Jardín [Jornada Completa] </t>
    </r>
    <r>
      <rPr>
        <sz val="10"/>
        <color indexed="10"/>
        <rFont val="Arial Narrow"/>
        <family val="2"/>
      </rPr>
      <t xml:space="preserve"> Matrícula Proyectada 144</t>
    </r>
  </si>
  <si>
    <r>
      <t xml:space="preserve">Jardín [Media Jornada]  </t>
    </r>
    <r>
      <rPr>
        <sz val="10"/>
        <color indexed="10"/>
        <rFont val="Arial Narrow"/>
        <family val="2"/>
      </rPr>
      <t>Matrícula Proyectada 20</t>
    </r>
  </si>
  <si>
    <r>
      <t xml:space="preserve">Jardín [Jornada Completa]  </t>
    </r>
    <r>
      <rPr>
        <sz val="10"/>
        <color indexed="10"/>
        <rFont val="Arial Narrow"/>
        <family val="2"/>
      </rPr>
      <t>Matrícula Proyectada total 56</t>
    </r>
  </si>
  <si>
    <r>
      <t xml:space="preserve">TABLA 2: PERSONAL CON REMUNERACIÓN </t>
    </r>
    <r>
      <rPr>
        <b/>
        <u val="single"/>
        <sz val="10"/>
        <color indexed="60"/>
        <rFont val="Arial Narrow"/>
        <family val="2"/>
      </rPr>
      <t xml:space="preserve">FONDOS PROPIOS DE LA AREA INSTITUCIONAL </t>
    </r>
    <r>
      <rPr>
        <b/>
        <sz val="10"/>
        <rFont val="Arial Narrow"/>
        <family val="2"/>
      </rPr>
      <t>DEL DEPTO./DELEG.</t>
    </r>
  </si>
  <si>
    <t>N°</t>
  </si>
  <si>
    <t>DEPTO./DELEG.</t>
  </si>
  <si>
    <t>Nombre del Trabajador (AREA INSTITUCIONAL)</t>
  </si>
  <si>
    <t>Ocupación  / Cargo</t>
  </si>
  <si>
    <t>División / Unidad</t>
  </si>
  <si>
    <t>Gasto total Mensual</t>
  </si>
  <si>
    <t>Total Gasto Mensual  reajustado</t>
  </si>
  <si>
    <t>Total Haberes Anual reajustado</t>
  </si>
  <si>
    <t>Aguinaldos anual reajustado</t>
  </si>
  <si>
    <t>Bonos anual reajustado</t>
  </si>
  <si>
    <t>Remuneración Total Anual</t>
  </si>
  <si>
    <t>% tiempo dedicado al AREA RECREATIVA</t>
  </si>
  <si>
    <t>$ dedicado al
A. RECREATIVA</t>
  </si>
  <si>
    <t>% tiempo dedicado al AREA EDUCACIONAL</t>
  </si>
  <si>
    <t>$ dedicado al AREA EDUCACIONAL</t>
  </si>
  <si>
    <t>% tiempo dedicado al AREA COMERCIAL</t>
  </si>
  <si>
    <t>$ dedicado al AREA COMERCIAL</t>
  </si>
  <si>
    <t>% tiempo dedicado al AREA INSTITUCIONAL</t>
  </si>
  <si>
    <t>$ dedicado al AREA INSTITUCIONAL (*)</t>
  </si>
  <si>
    <t>% TOTAL</t>
  </si>
  <si>
    <t>CABEZAS AGUILERA VALENTINA ABIGAIL</t>
  </si>
  <si>
    <t>APOYO ADMINISTRATIVO</t>
  </si>
  <si>
    <t>EDIFICIO CENTRAL</t>
  </si>
  <si>
    <t>SILVA GUERRERO VICTOR MANUEL</t>
  </si>
  <si>
    <t>ENC.C. ASISTENCIA Y SEC.RRHH</t>
  </si>
  <si>
    <t>SILVA CORDERO RAUL IGNACIO</t>
  </si>
  <si>
    <t>INSPECTOR TECNICO DE OBRAS</t>
  </si>
  <si>
    <t>CASTRO VIDELA SOFIA ELISA</t>
  </si>
  <si>
    <t>OPERADOR CONTABLE</t>
  </si>
  <si>
    <t>SILVA CARDENAS LUIS ARTURO</t>
  </si>
  <si>
    <t>ENC COMPRAS AREA ADQUISICIONES</t>
  </si>
  <si>
    <t>MARAMBIO KERR EDITH SORAYA</t>
  </si>
  <si>
    <t>ENCARGADA CONTROL DE FONDOS</t>
  </si>
  <si>
    <t>ESTAY CASTILLO ABEL ROSENDO</t>
  </si>
  <si>
    <t>LIMPIEZA, ASEO Y MANTENCION</t>
  </si>
  <si>
    <t>ALBAYAY LEPPE MIGUEL FERNANDO</t>
  </si>
  <si>
    <t>SERV. GENERALES Y MANTENCION</t>
  </si>
  <si>
    <t>SOTO SAEZ ISAAC ELIHAIM</t>
  </si>
  <si>
    <t>TAPIA HENRIQUEZ GERARDO ANTONIO</t>
  </si>
  <si>
    <t>ENCARGADO MANTENCION GENERAL</t>
  </si>
  <si>
    <t>VERA VALDIVIA CATALINA DE LAS MERC</t>
  </si>
  <si>
    <t>CORNEJO MAGAÑA CESAR RODRIGO</t>
  </si>
  <si>
    <t>ENCARG. DE SOPORTE INFORMATICO</t>
  </si>
  <si>
    <t>DELGADO DELGADO HECTOR RICARDO</t>
  </si>
  <si>
    <t>ENCARGADO DE REMUNERACIONES</t>
  </si>
  <si>
    <t>PIAGGIO MORLA JULIO CESAR</t>
  </si>
  <si>
    <t>JEFE DIVISION ABASTECIMIENTO</t>
  </si>
  <si>
    <t>SALVO CANTILLANA ORLANDO DANILO</t>
  </si>
  <si>
    <t>PREVENCIONISTA DE RIESGOS</t>
  </si>
  <si>
    <t>VICENCIO ASTUDILLO LUIS ARMANDO</t>
  </si>
  <si>
    <t>CONTADOR GENERAL</t>
  </si>
  <si>
    <t>ESCUDERO MEDINA ANA MARIA</t>
  </si>
  <si>
    <t>JEFE SECCION RECURSOS HUMANOS</t>
  </si>
  <si>
    <t>LABARCA DIAZ SOLANGE ANDREA</t>
  </si>
  <si>
    <t>ENCARGADO CONVENIOS</t>
  </si>
  <si>
    <t>CONVENIOS INSTITUCIONALES</t>
  </si>
  <si>
    <t>CARDENAS CABRALES BERNABE</t>
  </si>
  <si>
    <t>CONTADOR</t>
  </si>
  <si>
    <t>DISTRIBUTIVO ASISTENCIA COMERCIAL</t>
  </si>
  <si>
    <t>OVALLE SILVA FABIOLA DE LOS ANGEL</t>
  </si>
  <si>
    <t>CONVENIOS COMERCIALES</t>
  </si>
  <si>
    <t>MANRIQUEZ VILLENA ARTURO</t>
  </si>
  <si>
    <t>DIGITADOR Y ADMINISTRADOR TI</t>
  </si>
  <si>
    <t>INFORMATICA</t>
  </si>
  <si>
    <t>ANDREOTTI CUEVAS GREECE MARJORIE</t>
  </si>
  <si>
    <t>SUPERVISOR CONTABLE Y ANALISTA</t>
  </si>
  <si>
    <t>JIMENEZ PALMA MARIA VERONICA</t>
  </si>
  <si>
    <t>SUPERVISOR DE PUNTO DE VENTA</t>
  </si>
  <si>
    <t>OLMOS OLMOS MAURICIO ABRAHAM</t>
  </si>
  <si>
    <t>JEFE DEPTO. MARKETING</t>
  </si>
  <si>
    <t>CALVO ALVAREZ CECILIA</t>
  </si>
  <si>
    <t>PROGRAMADOR</t>
  </si>
  <si>
    <t>POBLETE GUERRA MARJORIE ANDREA</t>
  </si>
  <si>
    <t>Sala Cuna [Noche] Matrícula Proyectada 6</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</si>
</sst>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0_-;&quot;-$&quot;* #,##0.00_-;_-\$* \-??_-;_-@_-"/>
    <numFmt numFmtId="187" formatCode="_-\$* #,##0_-;&quot;-$&quot;* #,##0_-;_-\$* \-_-;_-@_-"/>
    <numFmt numFmtId="188" formatCode="\$#,##0;[Red]&quot;-$&quot;#,##0"/>
    <numFmt numFmtId="189" formatCode="\$#,##0_);[Red]&quot;($&quot;#,##0\)"/>
    <numFmt numFmtId="190" formatCode="_-* #,##0.00_-;\-* #,##0.00_-;_-* \-??_-;_-@_-"/>
    <numFmt numFmtId="191" formatCode="_-* #,##0.0_-;\-* #,##0.0_-;_-* \-??_-;_-@_-"/>
    <numFmt numFmtId="192" formatCode="_-* #,##0_-;\-* #,##0_-;_-* \-??_-;_-@_-"/>
    <numFmt numFmtId="193" formatCode="#,##0_ ;[Red]\-#,##0\ "/>
    <numFmt numFmtId="194" formatCode="_-[$€]* #,##0.00_-;\-[$€]* #,##0.00_-;_-[$€]* &quot;-&quot;??_-;_-@_-"/>
    <numFmt numFmtId="195" formatCode="[$-340A]dddd\,\ dd&quot; de &quot;mmmm&quot; de &quot;yyyy"/>
    <numFmt numFmtId="196" formatCode="#,##0\ _€"/>
    <numFmt numFmtId="197" formatCode="0_ ;[Red]\-0\ "/>
    <numFmt numFmtId="198" formatCode="[$$-340A]\ #,##0;[Red]\-[$$-340A]\ #,##0"/>
    <numFmt numFmtId="199" formatCode="[$$-340A]\ #,##0"/>
    <numFmt numFmtId="200" formatCode="[$$-340A]\ #,##0;\-[$$-340A]\ #,##0"/>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0.0000"/>
    <numFmt numFmtId="206" formatCode="0.000"/>
    <numFmt numFmtId="207" formatCode="0.0"/>
    <numFmt numFmtId="208" formatCode="[$$-340A]\ #,##0.00"/>
    <numFmt numFmtId="209" formatCode="[$$-340A]\ #,##0.0"/>
    <numFmt numFmtId="210" formatCode="_-* #,##0_-;\-* #,##0_-;_-* &quot;-&quot;??_-;_-@_-"/>
    <numFmt numFmtId="211" formatCode="#,##0.000"/>
    <numFmt numFmtId="212" formatCode="_-\$* #,##0_-;&quot;-$&quot;* #,##0_-;_-\$* \-??_-;_-@_-"/>
    <numFmt numFmtId="213" formatCode="_-\$* #,##0.0_-;&quot;-$&quot;* #,##0.0_-;_-\$* \-??_-;_-@_-"/>
    <numFmt numFmtId="214" formatCode="0.00000"/>
    <numFmt numFmtId="215" formatCode="_-[$€-2]\ * #,##0.00_-;\-[$€-2]\ * #,##0.00_-;_-[$€-2]\ * &quot;-&quot;??_-"/>
    <numFmt numFmtId="216" formatCode="&quot;$&quot;\ #,##0"/>
    <numFmt numFmtId="217" formatCode="_-* #,##0.000_-;\-* #,##0.000_-;_-* \-??_-;_-@_-"/>
    <numFmt numFmtId="218" formatCode="_-&quot;$&quot;\ * #,##0_-;\-&quot;$&quot;\ * #,##0_-;_-&quot;$&quot;\ * &quot;-&quot;??_-;_-@_-"/>
    <numFmt numFmtId="219" formatCode="0.00_ ;[Red]\-0.00\ "/>
    <numFmt numFmtId="220" formatCode="0.0%"/>
    <numFmt numFmtId="221" formatCode="_ &quot;$&quot;* #,##0_ ;_ &quot;$&quot;* \-#,##0_ ;_ &quot;$&quot;* &quot;-&quot;_ ;_ @_ "/>
    <numFmt numFmtId="222" formatCode="&quot;$&quot;\ #,##0.00"/>
    <numFmt numFmtId="223" formatCode="_-&quot;$&quot;\ * #,##0.0_-;\-&quot;$&quot;\ * #,##0.0_-;_-&quot;$&quot;\ * &quot;-&quot;??_-;_-@_-"/>
    <numFmt numFmtId="224" formatCode="&quot;$&quot;\ #,##0;[Red]&quot;$&quot;\ #,##0"/>
  </numFmts>
  <fonts count="120">
    <font>
      <sz val="10"/>
      <name val="Arial"/>
      <family val="2"/>
    </font>
    <font>
      <sz val="10"/>
      <name val="Arial Narrow"/>
      <family val="2"/>
    </font>
    <font>
      <b/>
      <sz val="10"/>
      <name val="Arial Narrow"/>
      <family val="2"/>
    </font>
    <font>
      <b/>
      <u val="single"/>
      <sz val="10"/>
      <name val="Arial Narrow"/>
      <family val="2"/>
    </font>
    <font>
      <b/>
      <sz val="10"/>
      <color indexed="8"/>
      <name val="Arial Narrow"/>
      <family val="2"/>
    </font>
    <font>
      <b/>
      <sz val="10"/>
      <color indexed="9"/>
      <name val="Arial Narrow"/>
      <family val="2"/>
    </font>
    <font>
      <sz val="10"/>
      <color indexed="8"/>
      <name val="Arial Narrow"/>
      <family val="2"/>
    </font>
    <font>
      <sz val="12"/>
      <name val="Arial Narrow"/>
      <family val="2"/>
    </font>
    <font>
      <b/>
      <sz val="12"/>
      <name val="Arial Narrow"/>
      <family val="2"/>
    </font>
    <font>
      <sz val="8"/>
      <color indexed="8"/>
      <name val="Arial Narrow"/>
      <family val="2"/>
    </font>
    <font>
      <i/>
      <sz val="10"/>
      <name val="Arial Narrow"/>
      <family val="2"/>
    </font>
    <font>
      <sz val="11"/>
      <color indexed="8"/>
      <name val="Calibri"/>
      <family val="2"/>
    </font>
    <font>
      <sz val="8"/>
      <name val="Arial"/>
      <family val="2"/>
    </font>
    <font>
      <u val="single"/>
      <sz val="10"/>
      <color indexed="12"/>
      <name val="Arial"/>
      <family val="2"/>
    </font>
    <font>
      <u val="single"/>
      <sz val="10"/>
      <color indexed="36"/>
      <name val="Arial"/>
      <family val="2"/>
    </font>
    <font>
      <b/>
      <sz val="10"/>
      <name val="Arial"/>
      <family val="2"/>
    </font>
    <font>
      <sz val="10"/>
      <color indexed="10"/>
      <name val="Arial Narrow"/>
      <family val="2"/>
    </font>
    <font>
      <sz val="9"/>
      <name val="Tahoma"/>
      <family val="2"/>
    </font>
    <font>
      <b/>
      <sz val="14"/>
      <name val="Arial Narrow"/>
      <family val="2"/>
    </font>
    <font>
      <sz val="14"/>
      <name val="Arial Narrow"/>
      <family val="2"/>
    </font>
    <font>
      <b/>
      <sz val="14"/>
      <color indexed="8"/>
      <name val="Arial Narrow"/>
      <family val="2"/>
    </font>
    <font>
      <sz val="14"/>
      <color indexed="8"/>
      <name val="Arial Narrow"/>
      <family val="2"/>
    </font>
    <font>
      <sz val="10"/>
      <name val="Verdana"/>
      <family val="2"/>
    </font>
    <font>
      <b/>
      <sz val="9"/>
      <name val="Tahoma"/>
      <family val="2"/>
    </font>
    <font>
      <sz val="9"/>
      <name val="Arial"/>
      <family val="2"/>
    </font>
    <font>
      <sz val="7"/>
      <name val="Arial"/>
      <family val="2"/>
    </font>
    <font>
      <b/>
      <sz val="11"/>
      <name val="Arial Narrow"/>
      <family val="2"/>
    </font>
    <font>
      <b/>
      <sz val="10"/>
      <color indexed="10"/>
      <name val="Arial Narrow"/>
      <family val="2"/>
    </font>
    <font>
      <b/>
      <sz val="12"/>
      <color indexed="10"/>
      <name val="Arial Narrow"/>
      <family val="2"/>
    </font>
    <font>
      <b/>
      <sz val="12"/>
      <name val="Arial"/>
      <family val="2"/>
    </font>
    <font>
      <sz val="12"/>
      <name val="Arial"/>
      <family val="2"/>
    </font>
    <font>
      <sz val="12"/>
      <color indexed="10"/>
      <name val="Arial Narrow"/>
      <family val="2"/>
    </font>
    <font>
      <b/>
      <sz val="18"/>
      <name val="Arial Narrow"/>
      <family val="2"/>
    </font>
    <font>
      <b/>
      <u val="single"/>
      <sz val="10"/>
      <color indexed="6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55"/>
      <name val="Calibri"/>
      <family val="2"/>
    </font>
    <font>
      <b/>
      <sz val="18"/>
      <color indexed="62"/>
      <name val="Cambria"/>
      <family val="2"/>
    </font>
    <font>
      <b/>
      <sz val="13"/>
      <color indexed="62"/>
      <name val="Calibri"/>
      <family val="2"/>
    </font>
    <font>
      <b/>
      <sz val="11"/>
      <color indexed="8"/>
      <name val="Calibri"/>
      <family val="2"/>
    </font>
    <font>
      <b/>
      <sz val="10"/>
      <color indexed="10"/>
      <name val="Arial"/>
      <family val="2"/>
    </font>
    <font>
      <b/>
      <sz val="18"/>
      <color indexed="17"/>
      <name val="Arial Narrow"/>
      <family val="2"/>
    </font>
    <font>
      <sz val="9"/>
      <color indexed="8"/>
      <name val="Arial"/>
      <family val="2"/>
    </font>
    <font>
      <sz val="10"/>
      <color indexed="9"/>
      <name val="Arial"/>
      <family val="2"/>
    </font>
    <font>
      <b/>
      <sz val="10"/>
      <color indexed="17"/>
      <name val="Arial"/>
      <family val="2"/>
    </font>
    <font>
      <sz val="10"/>
      <color indexed="10"/>
      <name val="Arial"/>
      <family val="2"/>
    </font>
    <font>
      <b/>
      <sz val="11"/>
      <color indexed="17"/>
      <name val="Arial"/>
      <family val="2"/>
    </font>
    <font>
      <sz val="9"/>
      <color indexed="10"/>
      <name val="Arial"/>
      <family val="2"/>
    </font>
    <font>
      <b/>
      <sz val="14"/>
      <color indexed="10"/>
      <name val="Arial Narrow"/>
      <family val="2"/>
    </font>
    <font>
      <b/>
      <sz val="12"/>
      <color indexed="17"/>
      <name val="Arial"/>
      <family val="2"/>
    </font>
    <font>
      <sz val="8"/>
      <color indexed="10"/>
      <name val="Arial"/>
      <family val="2"/>
    </font>
    <font>
      <b/>
      <sz val="18"/>
      <color indexed="10"/>
      <name val="Arial Narrow"/>
      <family val="2"/>
    </font>
    <font>
      <sz val="10"/>
      <color indexed="8"/>
      <name val="Arial"/>
      <family val="2"/>
    </font>
    <font>
      <sz val="7"/>
      <color indexed="55"/>
      <name val="Arial"/>
      <family val="2"/>
    </font>
    <font>
      <sz val="10"/>
      <color indexed="55"/>
      <name val="Arial"/>
      <family val="2"/>
    </font>
    <font>
      <b/>
      <sz val="10"/>
      <color indexed="9"/>
      <name val="Arial"/>
      <family val="2"/>
    </font>
    <font>
      <b/>
      <sz val="7"/>
      <color indexed="9"/>
      <name val="Arial"/>
      <family val="2"/>
    </font>
    <font>
      <sz val="10"/>
      <color indexed="53"/>
      <name val="Arial"/>
      <family val="2"/>
    </font>
    <font>
      <sz val="7"/>
      <color indexed="53"/>
      <name val="Arial"/>
      <family val="2"/>
    </font>
    <font>
      <b/>
      <sz val="10"/>
      <color indexed="49"/>
      <name val="Arial"/>
      <family val="2"/>
    </font>
    <font>
      <sz val="14"/>
      <color indexed="10"/>
      <name val="Arial Narrow"/>
      <family val="2"/>
    </font>
    <font>
      <b/>
      <sz val="12"/>
      <color indexed="9"/>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Narrow"/>
      <family val="2"/>
    </font>
    <font>
      <b/>
      <sz val="10"/>
      <color rgb="FFFF0000"/>
      <name val="Arial Narrow"/>
      <family val="2"/>
    </font>
    <font>
      <b/>
      <sz val="10"/>
      <color rgb="FFFF0000"/>
      <name val="Arial"/>
      <family val="2"/>
    </font>
    <font>
      <b/>
      <sz val="18"/>
      <color rgb="FF00B050"/>
      <name val="Arial Narrow"/>
      <family val="2"/>
    </font>
    <font>
      <sz val="9"/>
      <color theme="1"/>
      <name val="Arial"/>
      <family val="2"/>
    </font>
    <font>
      <sz val="10"/>
      <color theme="0"/>
      <name val="Arial"/>
      <family val="2"/>
    </font>
    <font>
      <b/>
      <sz val="10"/>
      <color rgb="FF00B050"/>
      <name val="Arial"/>
      <family val="2"/>
    </font>
    <font>
      <sz val="10"/>
      <color rgb="FFFF0000"/>
      <name val="Arial"/>
      <family val="2"/>
    </font>
    <font>
      <b/>
      <sz val="11"/>
      <color rgb="FF00B050"/>
      <name val="Arial"/>
      <family val="2"/>
    </font>
    <font>
      <sz val="9"/>
      <color rgb="FFFF0000"/>
      <name val="Arial"/>
      <family val="2"/>
    </font>
    <font>
      <b/>
      <sz val="12"/>
      <color rgb="FFFF0000"/>
      <name val="Arial Narrow"/>
      <family val="2"/>
    </font>
    <font>
      <b/>
      <sz val="14"/>
      <color rgb="FFFF0000"/>
      <name val="Arial Narrow"/>
      <family val="2"/>
    </font>
    <font>
      <b/>
      <sz val="12"/>
      <color rgb="FF00B050"/>
      <name val="Arial"/>
      <family val="2"/>
    </font>
    <font>
      <sz val="8"/>
      <color rgb="FFFF0000"/>
      <name val="Arial"/>
      <family val="2"/>
    </font>
    <font>
      <b/>
      <sz val="18"/>
      <color rgb="FFFF0000"/>
      <name val="Arial Narrow"/>
      <family val="2"/>
    </font>
    <font>
      <b/>
      <sz val="10"/>
      <color theme="0"/>
      <name val="Arial Narrow"/>
      <family val="2"/>
    </font>
    <font>
      <b/>
      <sz val="12"/>
      <color theme="0"/>
      <name val="Arial Narrow"/>
      <family val="2"/>
    </font>
    <font>
      <b/>
      <sz val="10"/>
      <color theme="1"/>
      <name val="Arial Narrow"/>
      <family val="2"/>
    </font>
    <font>
      <sz val="10"/>
      <color theme="1"/>
      <name val="Arial Narrow"/>
      <family val="2"/>
    </font>
    <font>
      <b/>
      <sz val="10"/>
      <color theme="3" tint="0.39998000860214233"/>
      <name val="Arial"/>
      <family val="2"/>
    </font>
    <font>
      <b/>
      <sz val="10"/>
      <color theme="0"/>
      <name val="Arial"/>
      <family val="2"/>
    </font>
    <font>
      <b/>
      <sz val="10"/>
      <color rgb="FFFCFCFC"/>
      <name val="Arial"/>
      <family val="2"/>
    </font>
    <font>
      <b/>
      <sz val="7"/>
      <color rgb="FFFCFCFC"/>
      <name val="Arial"/>
      <family val="2"/>
    </font>
    <font>
      <sz val="10"/>
      <color rgb="FF666666"/>
      <name val="Arial"/>
      <family val="2"/>
    </font>
    <font>
      <sz val="7"/>
      <color rgb="FF666666"/>
      <name val="Arial"/>
      <family val="2"/>
    </font>
    <font>
      <sz val="10"/>
      <color rgb="FFFF6000"/>
      <name val="Arial"/>
      <family val="2"/>
    </font>
    <font>
      <sz val="7"/>
      <color rgb="FFFF6000"/>
      <name val="Arial"/>
      <family val="2"/>
    </font>
    <font>
      <sz val="10"/>
      <color theme="1"/>
      <name val="Arial"/>
      <family val="2"/>
    </font>
    <font>
      <sz val="14"/>
      <color rgb="FFFF0000"/>
      <name val="Arial Narrow"/>
      <family val="2"/>
    </font>
    <font>
      <b/>
      <sz val="8"/>
      <name val="Arial"/>
      <family val="2"/>
    </font>
  </fonts>
  <fills count="9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58"/>
        <bgColor indexed="64"/>
      </patternFill>
    </fill>
    <fill>
      <patternFill patternType="solid">
        <fgColor indexed="45"/>
        <bgColor indexed="64"/>
      </patternFill>
    </fill>
    <fill>
      <patternFill patternType="solid">
        <fgColor indexed="51"/>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lightUp">
        <bgColor indexed="31"/>
      </patternFill>
    </fill>
    <fill>
      <patternFill patternType="lightUp">
        <fgColor indexed="55"/>
        <bgColor indexed="23"/>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31"/>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theme="3" tint="0.5999900102615356"/>
        <bgColor indexed="64"/>
      </patternFill>
    </fill>
    <fill>
      <patternFill patternType="solid">
        <fgColor rgb="FF00206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13"/>
        <bgColor indexed="64"/>
      </patternFill>
    </fill>
    <fill>
      <patternFill patternType="solid">
        <fgColor rgb="FFFFFFCC"/>
        <bgColor indexed="64"/>
      </patternFill>
    </fill>
    <fill>
      <patternFill patternType="gray125">
        <bgColor theme="0" tint="-0.149959996342659"/>
      </patternFill>
    </fill>
    <fill>
      <patternFill patternType="solid">
        <fgColor indexed="47"/>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bgColor indexed="64"/>
      </patternFill>
    </fill>
    <fill>
      <patternFill patternType="solid">
        <fgColor rgb="FFFFFFFF"/>
        <bgColor indexed="64"/>
      </patternFill>
    </fill>
    <fill>
      <patternFill patternType="solid">
        <fgColor theme="0" tint="-0.3499799966812134"/>
        <bgColor indexed="64"/>
      </patternFill>
    </fill>
    <fill>
      <patternFill patternType="solid">
        <fgColor theme="5" tint="-0.24997000396251678"/>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theme="0" tint="-0.4999699890613556"/>
        <bgColor indexed="64"/>
      </patternFill>
    </fill>
    <fill>
      <patternFill patternType="solid">
        <fgColor theme="8" tint="-0.24997000396251678"/>
        <bgColor indexed="64"/>
      </patternFill>
    </fill>
    <fill>
      <patternFill patternType="solid">
        <fgColor rgb="FFC00000"/>
        <bgColor indexed="64"/>
      </patternFill>
    </fill>
    <fill>
      <patternFill patternType="solid">
        <fgColor rgb="FF002060"/>
        <bgColor indexed="64"/>
      </patternFill>
    </fill>
    <fill>
      <patternFill patternType="solid">
        <fgColor theme="0" tint="-0.24997000396251678"/>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theme="3" tint="0.5999900102615356"/>
        <bgColor indexed="64"/>
      </patternFill>
    </fill>
    <fill>
      <patternFill patternType="solid">
        <fgColor theme="6" tint="-0.24997000396251678"/>
        <bgColor indexed="64"/>
      </patternFill>
    </fill>
    <fill>
      <patternFill patternType="solid">
        <fgColor indexed="47"/>
        <bgColor indexed="64"/>
      </patternFill>
    </fill>
    <fill>
      <patternFill patternType="solid">
        <fgColor theme="9" tint="-0.24997000396251678"/>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gray0625"/>
    </fill>
    <fill>
      <patternFill patternType="gray0625">
        <bgColor theme="0"/>
      </patternFill>
    </fill>
    <fill>
      <patternFill patternType="solid">
        <fgColor indexed="51"/>
        <bgColor indexed="64"/>
      </patternFill>
    </fill>
    <fill>
      <patternFill patternType="solid">
        <fgColor indexed="22"/>
        <bgColor indexed="64"/>
      </patternFill>
    </fill>
  </fills>
  <borders count="1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medium"/>
      <bottom style="thin">
        <color indexed="8"/>
      </bottom>
    </border>
    <border>
      <left style="thin"/>
      <right style="thin"/>
      <top style="thin"/>
      <bottom style="medium"/>
    </border>
    <border>
      <left style="thin"/>
      <right style="thin"/>
      <top style="thin"/>
      <bottom style="thin"/>
    </border>
    <border>
      <left style="thin"/>
      <right/>
      <top style="thin"/>
      <bottom style="thin"/>
    </border>
    <border>
      <left style="thin">
        <color indexed="8"/>
      </left>
      <right style="thin">
        <color indexed="8"/>
      </right>
      <top style="medium"/>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right style="thin"/>
      <top style="thin"/>
      <bottom style="medium">
        <color rgb="FFFF0000"/>
      </bottom>
    </border>
    <border>
      <left>
        <color indexed="63"/>
      </left>
      <right>
        <color indexed="63"/>
      </right>
      <top>
        <color indexed="63"/>
      </top>
      <bottom style="medium">
        <color rgb="FFFF0000"/>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color indexed="63"/>
      </top>
      <bottom style="thin">
        <color indexed="8"/>
      </bottom>
    </border>
    <border>
      <left style="medium"/>
      <right style="thin">
        <color indexed="8"/>
      </right>
      <top style="thin">
        <color indexed="8"/>
      </top>
      <bottom>
        <color indexed="63"/>
      </bottom>
    </border>
    <border>
      <left style="medium"/>
      <right style="thin"/>
      <top style="thin"/>
      <bottom style="medium">
        <color rgb="FFFF0000"/>
      </bottom>
    </border>
    <border>
      <left style="medium"/>
      <right style="thin"/>
      <top style="thin"/>
      <bottom style="mediu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color indexed="63"/>
      </bottom>
    </border>
    <border>
      <left style="thin"/>
      <right style="medium"/>
      <top style="thin"/>
      <bottom style="medium">
        <color rgb="FFFF0000"/>
      </bottom>
    </border>
    <border>
      <left style="medium"/>
      <right style="thin"/>
      <top style="medium"/>
      <bottom style="thin"/>
    </border>
    <border>
      <left style="medium"/>
      <right style="thin">
        <color indexed="8"/>
      </right>
      <top>
        <color indexed="63"/>
      </top>
      <bottom style="medium"/>
    </border>
    <border>
      <left style="thin">
        <color indexed="8"/>
      </left>
      <right style="thin">
        <color indexed="8"/>
      </right>
      <top style="thin">
        <color indexed="8"/>
      </top>
      <bottom style="medium"/>
    </border>
    <border>
      <left>
        <color indexed="63"/>
      </left>
      <right>
        <color indexed="63"/>
      </right>
      <top>
        <color indexed="63"/>
      </top>
      <bottom style="thin"/>
    </border>
    <border>
      <left style="medium"/>
      <right>
        <color indexed="63"/>
      </right>
      <top>
        <color indexed="63"/>
      </top>
      <bottom style="medium">
        <color rgb="FFFF0000"/>
      </bottom>
    </border>
    <border>
      <left/>
      <right style="thin"/>
      <top style="thin"/>
      <bottom style="thin"/>
    </border>
    <border>
      <left>
        <color indexed="63"/>
      </left>
      <right style="medium"/>
      <top style="medium"/>
      <bottom style="thin"/>
    </border>
    <border>
      <left/>
      <right style="medium"/>
      <top style="thin"/>
      <bottom style="thin"/>
    </border>
    <border>
      <left/>
      <right style="medium"/>
      <top style="thin"/>
      <bottom style="medium"/>
    </border>
    <border>
      <left style="thin"/>
      <right style="medium"/>
      <top style="thin"/>
      <bottom style="thin"/>
    </border>
    <border>
      <left style="thin">
        <color indexed="8"/>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style="thin"/>
      <right style="thin"/>
      <top>
        <color indexed="63"/>
      </top>
      <bottom style="thin"/>
    </border>
    <border>
      <left>
        <color indexed="63"/>
      </left>
      <right>
        <color indexed="63"/>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style="medium">
        <color indexed="8"/>
      </bottom>
    </border>
    <border>
      <left style="thin">
        <color indexed="8"/>
      </left>
      <right style="medium"/>
      <top>
        <color indexed="63"/>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medium"/>
      <top style="medium">
        <color indexed="8"/>
      </top>
      <bottom>
        <color indexed="63"/>
      </bottom>
    </border>
    <border>
      <left style="thin">
        <color indexed="8"/>
      </left>
      <right>
        <color indexed="63"/>
      </right>
      <top style="thin">
        <color indexed="8"/>
      </top>
      <bottom style="medium">
        <color indexed="8"/>
      </bottom>
    </border>
    <border>
      <left style="thin"/>
      <right style="thin"/>
      <top style="thin"/>
      <bottom style="medium">
        <color indexed="8"/>
      </bottom>
    </border>
    <border>
      <left style="medium">
        <color indexed="8"/>
      </left>
      <right style="thin">
        <color indexed="8"/>
      </right>
      <top style="medium">
        <color indexed="8"/>
      </top>
      <bottom style="medium"/>
    </border>
    <border>
      <left style="thin">
        <color indexed="8"/>
      </left>
      <right style="thin">
        <color indexed="8"/>
      </right>
      <top style="medium">
        <color indexed="8"/>
      </top>
      <bottom style="medium"/>
    </border>
    <border>
      <left>
        <color indexed="63"/>
      </left>
      <right style="thin">
        <color indexed="8"/>
      </right>
      <top style="medium">
        <color indexed="8"/>
      </top>
      <bottom style="medium">
        <color indexed="8"/>
      </bottom>
    </border>
    <border>
      <left>
        <color indexed="63"/>
      </left>
      <right style="thin">
        <color indexed="8"/>
      </right>
      <top style="medium">
        <color indexed="8"/>
      </top>
      <bottom>
        <color indexed="63"/>
      </bottom>
    </border>
    <border>
      <left>
        <color indexed="63"/>
      </left>
      <right style="thin">
        <color indexed="8"/>
      </right>
      <top style="medium">
        <color indexed="8"/>
      </top>
      <bottom style="medium"/>
    </border>
    <border>
      <left style="medium"/>
      <right style="thin">
        <color indexed="8"/>
      </right>
      <top>
        <color indexed="63"/>
      </top>
      <bottom style="medium">
        <color indexed="8"/>
      </bottom>
    </border>
    <border>
      <left style="medium"/>
      <right style="thin">
        <color indexed="8"/>
      </right>
      <top style="medium">
        <color indexed="8"/>
      </top>
      <bottom style="medium">
        <color indexed="8"/>
      </bottom>
    </border>
    <border>
      <left style="medium"/>
      <right style="thin"/>
      <top style="thin"/>
      <bottom style="medium">
        <color indexed="8"/>
      </bottom>
    </border>
    <border>
      <left style="thin"/>
      <right style="medium"/>
      <top style="thin"/>
      <bottom style="medium">
        <color indexed="8"/>
      </bottom>
    </border>
    <border>
      <left style="medium"/>
      <right style="thin">
        <color indexed="8"/>
      </right>
      <top>
        <color indexed="63"/>
      </top>
      <bottom>
        <color indexed="63"/>
      </bottom>
    </border>
    <border>
      <left style="medium"/>
      <right style="thin">
        <color indexed="8"/>
      </right>
      <top style="medium">
        <color indexed="8"/>
      </top>
      <bottom style="medium"/>
    </border>
    <border>
      <left style="thin">
        <color indexed="8"/>
      </left>
      <right>
        <color indexed="63"/>
      </right>
      <top style="medium"/>
      <bottom style="thin">
        <color indexed="8"/>
      </bottom>
    </border>
    <border>
      <left style="thin">
        <color indexed="8"/>
      </left>
      <right>
        <color indexed="63"/>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medium">
        <color indexed="8"/>
      </top>
      <bottom style="medium"/>
    </border>
    <border>
      <left style="medium"/>
      <right>
        <color indexed="63"/>
      </right>
      <top style="medium"/>
      <bottom style="medium"/>
    </border>
    <border>
      <left style="medium"/>
      <right style="medium"/>
      <top style="medium"/>
      <bottom style="medium"/>
    </border>
    <border>
      <left>
        <color indexed="63"/>
      </left>
      <right>
        <color indexed="63"/>
      </right>
      <top style="thin">
        <color rgb="FFFF0000"/>
      </top>
      <bottom>
        <color indexed="63"/>
      </bottom>
    </border>
    <border>
      <left>
        <color indexed="63"/>
      </left>
      <right style="thin">
        <color indexed="8"/>
      </right>
      <top>
        <color indexed="63"/>
      </top>
      <bottom style="medium">
        <color indexed="8"/>
      </bottom>
    </border>
    <border>
      <left style="medium"/>
      <right style="thin">
        <color indexed="8"/>
      </right>
      <top style="medium">
        <color indexed="8"/>
      </top>
      <bottom>
        <color indexed="63"/>
      </botto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color indexed="8"/>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
      <bottom>
        <color indexed="63"/>
      </bottom>
    </border>
    <border>
      <left>
        <color indexed="63"/>
      </left>
      <right/>
      <top style="thin"/>
      <bottom style="thin"/>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color indexed="63"/>
      </right>
      <top style="thin"/>
      <bottom>
        <color indexed="63"/>
      </bottom>
    </border>
    <border>
      <left>
        <color indexed="63"/>
      </left>
      <right>
        <color indexed="63"/>
      </right>
      <top style="thin"/>
      <bottom style="medium">
        <color indexed="8"/>
      </bottom>
    </border>
    <border>
      <left>
        <color indexed="63"/>
      </left>
      <right>
        <color indexed="63"/>
      </right>
      <top style="medium">
        <color indexed="8"/>
      </top>
      <bottom style="medium"/>
    </border>
    <border>
      <left>
        <color indexed="63"/>
      </left>
      <right style="thin">
        <color indexed="8"/>
      </right>
      <top style="thin">
        <color indexed="8"/>
      </top>
      <bottom>
        <color indexed="63"/>
      </bottom>
    </border>
    <border>
      <left>
        <color indexed="63"/>
      </left>
      <right style="thin">
        <color indexed="8"/>
      </right>
      <top style="medium"/>
      <bottom>
        <color indexed="63"/>
      </bottom>
    </border>
    <border>
      <left>
        <color indexed="63"/>
      </left>
      <right style="thin"/>
      <top style="medium"/>
      <bottom style="medium"/>
    </border>
    <border>
      <left style="medium">
        <color rgb="FFFF0000"/>
      </left>
      <right style="medium">
        <color rgb="FFFF0000"/>
      </right>
      <top style="medium">
        <color rgb="FFFF0000"/>
      </top>
      <bottom>
        <color indexed="63"/>
      </bottom>
    </border>
    <border>
      <left style="medium">
        <color rgb="FFFF0000"/>
      </left>
      <right style="medium">
        <color rgb="FFFF0000"/>
      </right>
      <top style="thick">
        <color rgb="FFFF0000"/>
      </top>
      <bottom>
        <color indexed="63"/>
      </bottom>
    </border>
    <border>
      <left style="medium">
        <color rgb="FFFF0000"/>
      </left>
      <right style="medium">
        <color rgb="FFFF0000"/>
      </right>
      <top>
        <color indexed="63"/>
      </top>
      <bottom style="medium"/>
    </border>
    <border>
      <left style="medium">
        <color rgb="FFFF0000"/>
      </left>
      <right style="medium">
        <color rgb="FFFF0000"/>
      </right>
      <top style="medium"/>
      <bottom style="medium"/>
    </border>
    <border>
      <left style="medium">
        <color rgb="FFFF0000"/>
      </left>
      <right style="medium">
        <color rgb="FFFF0000"/>
      </right>
      <top style="medium"/>
      <bottom>
        <color indexed="63"/>
      </bottom>
    </border>
    <border>
      <left style="medium">
        <color rgb="FFFF0000"/>
      </left>
      <right style="medium">
        <color rgb="FFFF0000"/>
      </right>
      <top style="thin"/>
      <bottom style="medium"/>
    </border>
    <border>
      <left style="medium">
        <color rgb="FFFF0000"/>
      </left>
      <right style="medium">
        <color rgb="FFFF0000"/>
      </right>
      <top>
        <color indexed="63"/>
      </top>
      <bottom>
        <color indexed="63"/>
      </bottom>
    </border>
    <border>
      <left style="medium">
        <color rgb="FFFF0000"/>
      </left>
      <right style="medium">
        <color rgb="FFFF0000"/>
      </right>
      <top style="thin"/>
      <bottom>
        <color indexed="63"/>
      </bottom>
    </border>
    <border>
      <left style="medium">
        <color rgb="FFFF0000"/>
      </left>
      <right style="medium">
        <color rgb="FFFF0000"/>
      </right>
      <top>
        <color indexed="63"/>
      </top>
      <bottom style="medium">
        <color rgb="FFFF0000"/>
      </bottom>
    </border>
    <border>
      <left style="medium"/>
      <right>
        <color indexed="63"/>
      </right>
      <top style="thin"/>
      <bottom style="thin"/>
    </border>
    <border>
      <left style="medium"/>
      <right>
        <color indexed="63"/>
      </right>
      <top style="thin">
        <color indexed="8"/>
      </top>
      <bottom style="thin">
        <color indexed="8"/>
      </bottom>
    </border>
    <border>
      <left style="medium"/>
      <right>
        <color indexed="63"/>
      </right>
      <top style="thin">
        <color indexed="8"/>
      </top>
      <bottom style="medium"/>
    </border>
    <border>
      <left style="thin">
        <color indexed="8"/>
      </left>
      <right style="medium"/>
      <top style="thin">
        <color indexed="8"/>
      </top>
      <bottom style="medium"/>
    </border>
    <border>
      <left style="medium"/>
      <right style="medium"/>
      <top style="medium"/>
      <bottom>
        <color indexed="63"/>
      </bottom>
    </border>
    <border>
      <left style="thin">
        <color indexed="8"/>
      </left>
      <right>
        <color indexed="63"/>
      </right>
      <top style="medium">
        <color indexed="8"/>
      </top>
      <bottom>
        <color indexed="63"/>
      </bottom>
    </border>
    <border>
      <left>
        <color indexed="63"/>
      </left>
      <right style="medium"/>
      <top style="thin">
        <color indexed="8"/>
      </top>
      <bottom style="thin">
        <color indexed="8"/>
      </bottom>
    </border>
    <border>
      <left/>
      <right style="medium"/>
      <top style="medium"/>
      <bottom style="medium"/>
    </border>
    <border>
      <left style="medium"/>
      <right>
        <color indexed="63"/>
      </right>
      <top>
        <color indexed="63"/>
      </top>
      <bottom>
        <color indexed="63"/>
      </bottom>
    </border>
    <border>
      <left style="thin"/>
      <right style="thin"/>
      <top style="medium">
        <color indexed="8"/>
      </top>
      <bottom style="medium"/>
    </border>
    <border>
      <left style="thin"/>
      <right style="medium"/>
      <top style="medium">
        <color indexed="8"/>
      </top>
      <bottom style="medium"/>
    </border>
    <border>
      <left style="medium"/>
      <right>
        <color indexed="63"/>
      </right>
      <top style="thin"/>
      <bottom style="thin">
        <color indexed="8"/>
      </bottom>
    </border>
    <border>
      <left>
        <color indexed="63"/>
      </left>
      <right style="thin">
        <color indexed="8"/>
      </right>
      <top style="thin"/>
      <bottom style="medium">
        <color indexed="8"/>
      </bottom>
    </border>
    <border>
      <left style="thin">
        <color indexed="8"/>
      </left>
      <right style="thin">
        <color indexed="8"/>
      </right>
      <top style="thin"/>
      <bottom style="medium">
        <color indexed="8"/>
      </bottom>
    </border>
    <border>
      <left style="thin">
        <color indexed="8"/>
      </left>
      <right style="medium"/>
      <top style="thin"/>
      <bottom style="medium">
        <color indexed="8"/>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border>
    <border>
      <left style="thin">
        <color theme="1" tint="0.49998000264167786"/>
      </left>
      <right/>
      <top style="thin">
        <color theme="1" tint="0.49998000264167786"/>
      </top>
      <bottom/>
    </border>
    <border>
      <left/>
      <right/>
      <top style="thin">
        <color theme="1" tint="0.49998000264167786"/>
      </top>
      <bottom/>
    </border>
    <border>
      <left style="thick">
        <color rgb="FFFF0000"/>
      </left>
      <right style="thick">
        <color rgb="FFFF0000"/>
      </right>
      <top style="thick">
        <color rgb="FFFF0000"/>
      </top>
      <bottom style="thick">
        <color rgb="FFFF0000"/>
      </bottom>
    </border>
    <border>
      <left style="thin">
        <color rgb="FF0070C0"/>
      </left>
      <right style="thin">
        <color rgb="FF0070C0"/>
      </right>
      <top/>
      <bottom style="thin">
        <color rgb="FF0070C0"/>
      </bottom>
    </border>
    <border>
      <left style="thin">
        <color rgb="FF0070C0"/>
      </left>
      <right style="thin">
        <color rgb="FF0070C0"/>
      </right>
      <top style="thin">
        <color rgb="FF0070C0"/>
      </top>
      <bottom style="thin">
        <color rgb="FF0070C0"/>
      </bottom>
    </border>
    <border>
      <left style="medium">
        <color indexed="8"/>
      </left>
      <right style="thin">
        <color indexed="8"/>
      </right>
      <top style="medium"/>
      <bottom style="medium">
        <color indexed="8"/>
      </bottom>
    </border>
    <border>
      <left style="thin"/>
      <right>
        <color indexed="63"/>
      </right>
      <top>
        <color indexed="63"/>
      </top>
      <bottom>
        <color indexed="63"/>
      </bottom>
    </border>
    <border>
      <left style="medium"/>
      <right style="medium">
        <color indexed="8"/>
      </right>
      <top style="medium">
        <color indexed="8"/>
      </top>
      <bottom>
        <color indexed="63"/>
      </bottom>
    </border>
    <border>
      <left style="medium"/>
      <right style="medium">
        <color indexed="8"/>
      </right>
      <top>
        <color indexed="63"/>
      </top>
      <bottom>
        <color indexed="63"/>
      </bottom>
    </border>
    <border>
      <left style="medium"/>
      <right style="medium">
        <color indexed="8"/>
      </right>
      <top>
        <color indexed="63"/>
      </top>
      <bottom style="medium">
        <color indexed="8"/>
      </bottom>
    </border>
    <border>
      <left/>
      <right/>
      <top style="medium"/>
      <bottom style="medium"/>
    </border>
    <border>
      <left style="medium"/>
      <right style="medium"/>
      <top>
        <color indexed="63"/>
      </top>
      <bottom>
        <color indexed="63"/>
      </bottom>
    </border>
    <border>
      <left style="medium"/>
      <right style="medium"/>
      <top>
        <color indexed="63"/>
      </top>
      <bottom style="medium"/>
    </border>
    <border>
      <left style="medium">
        <color indexed="8"/>
      </left>
      <right style="thin">
        <color indexed="8"/>
      </right>
      <top>
        <color indexed="63"/>
      </top>
      <bottom style="medium">
        <color indexed="8"/>
      </bottom>
    </border>
    <border>
      <left>
        <color indexed="63"/>
      </left>
      <right style="medium">
        <color indexed="8"/>
      </right>
      <top style="medium"/>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border>
    <border>
      <left style="thin">
        <color indexed="8"/>
      </left>
      <right style="thin">
        <color indexed="8"/>
      </right>
      <top style="thin">
        <color indexed="8"/>
      </top>
      <bottom style="medium">
        <color indexed="8"/>
      </bottom>
    </border>
    <border>
      <left style="medium"/>
      <right style="medium">
        <color indexed="8"/>
      </right>
      <top style="medium"/>
      <bottom>
        <color indexed="63"/>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color indexed="63"/>
      </right>
      <top>
        <color indexed="63"/>
      </top>
      <bottom style="medium"/>
    </border>
    <border>
      <left>
        <color indexed="63"/>
      </left>
      <right style="medium"/>
      <top>
        <color indexed="63"/>
      </top>
      <bottom>
        <color indexed="63"/>
      </bottom>
    </border>
    <border>
      <left style="thin"/>
      <right>
        <color indexed="63"/>
      </right>
      <top style="medium"/>
      <bottom style="thin">
        <color indexed="8"/>
      </bottom>
    </border>
    <border>
      <left>
        <color indexed="63"/>
      </left>
      <right style="thin">
        <color indexed="8"/>
      </right>
      <top style="medium"/>
      <bottom style="thin">
        <color indexed="8"/>
      </bottom>
    </border>
    <border>
      <left style="thin"/>
      <right/>
      <top style="thin"/>
      <bottom>
        <color indexed="63"/>
      </bottom>
    </border>
    <border>
      <left style="medium"/>
      <right>
        <color indexed="63"/>
      </right>
      <top style="medium"/>
      <bottom>
        <color indexed="63"/>
      </bottom>
    </border>
    <border>
      <left style="medium"/>
      <right style="thin">
        <color indexed="8"/>
      </right>
      <top style="medium"/>
      <bottom>
        <color indexed="63"/>
      </bottom>
    </border>
    <border>
      <left style="medium">
        <color rgb="FFFF0000"/>
      </left>
      <right style="medium">
        <color rgb="FFFF0000"/>
      </right>
      <top style="thin"/>
      <bottom style="thin"/>
    </border>
    <border>
      <left style="thin"/>
      <right style="thin"/>
      <top style="medium">
        <color indexed="8"/>
      </top>
      <bottom style="thin"/>
    </border>
    <border>
      <left style="medium">
        <color rgb="FFFF0000"/>
      </left>
      <right style="medium">
        <color rgb="FFFF0000"/>
      </right>
      <top style="medium"/>
      <bottom style="thin"/>
    </border>
    <border>
      <left style="medium">
        <color rgb="FFFF0000"/>
      </left>
      <right style="medium">
        <color rgb="FFFF0000"/>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color indexed="63"/>
      </bottom>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style="medium"/>
      <right/>
      <top style="thin"/>
      <bottom style="medium">
        <color rgb="FFFF0000"/>
      </bottom>
    </border>
    <border>
      <left/>
      <right style="medium"/>
      <top style="thin"/>
      <bottom style="medium">
        <color rgb="FFFF0000"/>
      </bottom>
    </border>
    <border>
      <left>
        <color indexed="63"/>
      </left>
      <right/>
      <top style="thin"/>
      <bottom style="medium">
        <color rgb="FFFF0000"/>
      </bottom>
    </border>
    <border>
      <left style="medium"/>
      <right/>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4" applyNumberFormat="0" applyFill="0" applyAlignment="0" applyProtection="0"/>
    <xf numFmtId="0" fontId="80"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1" fillId="29" borderId="1" applyNumberFormat="0" applyAlignment="0" applyProtection="0"/>
    <xf numFmtId="194" fontId="11"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82" fillId="30" borderId="0" applyNumberFormat="0" applyBorder="0" applyAlignment="0" applyProtection="0"/>
    <xf numFmtId="190" fontId="0" fillId="0" borderId="0" applyFill="0" applyBorder="0" applyAlignment="0" applyProtection="0"/>
    <xf numFmtId="41" fontId="0" fillId="0" borderId="0" applyFill="0" applyBorder="0" applyAlignment="0" applyProtection="0"/>
    <xf numFmtId="186" fontId="0" fillId="0" borderId="0" applyFill="0" applyBorder="0" applyAlignment="0" applyProtection="0"/>
    <xf numFmtId="42" fontId="0" fillId="0" borderId="0" applyFill="0" applyBorder="0" applyAlignment="0" applyProtection="0"/>
    <xf numFmtId="176" fontId="0" fillId="0" borderId="0" applyFont="0" applyFill="0" applyBorder="0" applyAlignment="0" applyProtection="0"/>
    <xf numFmtId="0" fontId="8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ill="0" applyBorder="0" applyAlignment="0" applyProtection="0"/>
    <xf numFmtId="0" fontId="84" fillId="21" borderId="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80" fillId="0" borderId="8" applyNumberFormat="0" applyFill="0" applyAlignment="0" applyProtection="0"/>
    <xf numFmtId="0" fontId="89" fillId="0" borderId="9" applyNumberFormat="0" applyFill="0" applyAlignment="0" applyProtection="0"/>
  </cellStyleXfs>
  <cellXfs count="883">
    <xf numFmtId="0" fontId="0" fillId="0" borderId="0" xfId="0" applyAlignment="1">
      <alignment/>
    </xf>
    <xf numFmtId="0" fontId="1"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1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protection/>
    </xf>
    <xf numFmtId="187" fontId="1" fillId="33" borderId="11" xfId="54" applyNumberFormat="1" applyFont="1" applyFill="1" applyBorder="1" applyAlignment="1" applyProtection="1">
      <alignment vertical="center"/>
      <protection/>
    </xf>
    <xf numFmtId="187" fontId="2" fillId="34" borderId="12" xfId="54" applyNumberFormat="1" applyFont="1" applyFill="1" applyBorder="1" applyAlignment="1" applyProtection="1">
      <alignment vertical="center"/>
      <protection/>
    </xf>
    <xf numFmtId="187" fontId="2" fillId="35" borderId="0" xfId="54" applyNumberFormat="1" applyFont="1" applyFill="1" applyBorder="1" applyAlignment="1" applyProtection="1">
      <alignment vertical="center"/>
      <protection/>
    </xf>
    <xf numFmtId="0" fontId="0" fillId="35" borderId="0" xfId="0" applyFill="1" applyAlignment="1" applyProtection="1">
      <alignment/>
      <protection/>
    </xf>
    <xf numFmtId="0" fontId="2" fillId="35" borderId="0" xfId="0" applyFont="1" applyFill="1" applyAlignment="1" applyProtection="1">
      <alignment vertical="center"/>
      <protection/>
    </xf>
    <xf numFmtId="0" fontId="1" fillId="35" borderId="0" xfId="0" applyFont="1" applyFill="1" applyAlignment="1" applyProtection="1">
      <alignment vertical="center"/>
      <protection/>
    </xf>
    <xf numFmtId="0" fontId="2" fillId="0" borderId="0" xfId="0" applyFont="1" applyFill="1" applyBorder="1" applyAlignment="1" applyProtection="1">
      <alignment vertical="center"/>
      <protection/>
    </xf>
    <xf numFmtId="186" fontId="2" fillId="0" borderId="0" xfId="54" applyFont="1" applyFill="1" applyBorder="1" applyAlignment="1" applyProtection="1">
      <alignment vertical="center"/>
      <protection/>
    </xf>
    <xf numFmtId="0" fontId="2" fillId="0" borderId="0" xfId="0" applyFont="1" applyFill="1" applyAlignment="1" applyProtection="1">
      <alignment vertical="center"/>
      <protection/>
    </xf>
    <xf numFmtId="0" fontId="1" fillId="0" borderId="0" xfId="0" applyFont="1" applyBorder="1" applyAlignment="1" applyProtection="1">
      <alignment vertical="center"/>
      <protection/>
    </xf>
    <xf numFmtId="0" fontId="1" fillId="0" borderId="0" xfId="0" applyFont="1" applyFill="1" applyAlignment="1" applyProtection="1">
      <alignment vertical="center"/>
      <protection/>
    </xf>
    <xf numFmtId="191" fontId="1" fillId="0" borderId="0" xfId="52" applyNumberFormat="1" applyFont="1" applyFill="1" applyBorder="1" applyAlignment="1" applyProtection="1">
      <alignment vertical="center"/>
      <protection/>
    </xf>
    <xf numFmtId="0" fontId="2" fillId="0" borderId="0" xfId="0" applyFont="1" applyAlignment="1" applyProtection="1">
      <alignment horizontal="left" vertical="center"/>
      <protection/>
    </xf>
    <xf numFmtId="0" fontId="2" fillId="36" borderId="11" xfId="0" applyFont="1" applyFill="1" applyBorder="1" applyAlignment="1" applyProtection="1">
      <alignment horizontal="left" vertical="center"/>
      <protection/>
    </xf>
    <xf numFmtId="0" fontId="4" fillId="36" borderId="11" xfId="0" applyFont="1" applyFill="1" applyBorder="1" applyAlignment="1" applyProtection="1">
      <alignment vertical="center"/>
      <protection/>
    </xf>
    <xf numFmtId="0" fontId="5" fillId="37" borderId="13" xfId="0" applyFont="1" applyFill="1" applyBorder="1" applyAlignment="1" applyProtection="1">
      <alignment vertical="center"/>
      <protection/>
    </xf>
    <xf numFmtId="187" fontId="4" fillId="38" borderId="12" xfId="54" applyNumberFormat="1" applyFont="1" applyFill="1" applyBorder="1" applyAlignment="1" applyProtection="1">
      <alignment vertical="center"/>
      <protection/>
    </xf>
    <xf numFmtId="187" fontId="4" fillId="39" borderId="11" xfId="54" applyNumberFormat="1" applyFont="1" applyFill="1" applyBorder="1" applyAlignment="1" applyProtection="1">
      <alignment vertical="center"/>
      <protection/>
    </xf>
    <xf numFmtId="187" fontId="4" fillId="40" borderId="11" xfId="54" applyNumberFormat="1" applyFont="1" applyFill="1" applyBorder="1" applyAlignment="1" applyProtection="1">
      <alignment vertical="center"/>
      <protection/>
    </xf>
    <xf numFmtId="190" fontId="6" fillId="0" borderId="11" xfId="52" applyFont="1" applyFill="1" applyBorder="1" applyAlignment="1" applyProtection="1">
      <alignment vertical="center"/>
      <protection/>
    </xf>
    <xf numFmtId="190" fontId="4" fillId="0" borderId="11" xfId="52" applyFont="1" applyFill="1" applyBorder="1" applyAlignment="1" applyProtection="1">
      <alignment vertical="center"/>
      <protection/>
    </xf>
    <xf numFmtId="186" fontId="1" fillId="0" borderId="0" xfId="54" applyFont="1" applyFill="1" applyBorder="1" applyAlignment="1" applyProtection="1">
      <alignment vertical="center"/>
      <protection/>
    </xf>
    <xf numFmtId="0" fontId="2" fillId="35" borderId="0" xfId="0" applyFont="1" applyFill="1" applyBorder="1" applyAlignment="1" applyProtection="1">
      <alignment horizontal="left" vertical="center"/>
      <protection/>
    </xf>
    <xf numFmtId="0" fontId="4" fillId="35" borderId="0" xfId="0" applyFont="1" applyFill="1" applyBorder="1" applyAlignment="1" applyProtection="1">
      <alignment vertical="center"/>
      <protection/>
    </xf>
    <xf numFmtId="0" fontId="5" fillId="37" borderId="11" xfId="0" applyFont="1" applyFill="1" applyBorder="1" applyAlignment="1" applyProtection="1">
      <alignment vertical="center" wrapText="1"/>
      <protection/>
    </xf>
    <xf numFmtId="0" fontId="2" fillId="36" borderId="11" xfId="0" applyFont="1" applyFill="1" applyBorder="1" applyAlignment="1" applyProtection="1">
      <alignment vertical="center"/>
      <protection/>
    </xf>
    <xf numFmtId="187" fontId="1" fillId="36" borderId="11" xfId="54" applyNumberFormat="1" applyFont="1" applyFill="1" applyBorder="1" applyAlignment="1" applyProtection="1">
      <alignment vertical="center"/>
      <protection/>
    </xf>
    <xf numFmtId="0" fontId="2" fillId="36" borderId="14"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41" borderId="0" xfId="0" applyFont="1" applyFill="1" applyAlignment="1" applyProtection="1">
      <alignment horizontal="left" vertical="center"/>
      <protection/>
    </xf>
    <xf numFmtId="0" fontId="1" fillId="41" borderId="0" xfId="0" applyFont="1" applyFill="1" applyAlignment="1" applyProtection="1">
      <alignment vertical="center"/>
      <protection/>
    </xf>
    <xf numFmtId="0" fontId="2" fillId="41" borderId="15" xfId="0" applyFont="1" applyFill="1" applyBorder="1" applyAlignment="1" applyProtection="1">
      <alignment vertical="center"/>
      <protection/>
    </xf>
    <xf numFmtId="0" fontId="2" fillId="41" borderId="14" xfId="0" applyFont="1" applyFill="1" applyBorder="1" applyAlignment="1" applyProtection="1">
      <alignment vertical="center"/>
      <protection/>
    </xf>
    <xf numFmtId="192" fontId="2" fillId="35" borderId="11" xfId="52" applyNumberFormat="1" applyFont="1" applyFill="1" applyBorder="1" applyAlignment="1" applyProtection="1">
      <alignment horizontal="center" vertical="center"/>
      <protection locked="0"/>
    </xf>
    <xf numFmtId="0" fontId="2" fillId="41" borderId="0" xfId="0" applyFont="1" applyFill="1" applyBorder="1" applyAlignment="1" applyProtection="1">
      <alignment vertical="center"/>
      <protection/>
    </xf>
    <xf numFmtId="192" fontId="2" fillId="41" borderId="0" xfId="52" applyNumberFormat="1" applyFont="1" applyFill="1" applyBorder="1" applyAlignment="1" applyProtection="1">
      <alignment horizontal="center" vertical="center"/>
      <protection/>
    </xf>
    <xf numFmtId="0" fontId="1" fillId="36" borderId="15" xfId="0" applyFont="1" applyFill="1" applyBorder="1" applyAlignment="1" applyProtection="1">
      <alignment horizontal="center" vertical="center" wrapText="1"/>
      <protection/>
    </xf>
    <xf numFmtId="0" fontId="1" fillId="40" borderId="15" xfId="0" applyFont="1" applyFill="1" applyBorder="1" applyAlignment="1" applyProtection="1">
      <alignment horizontal="center" vertical="center" wrapText="1"/>
      <protection/>
    </xf>
    <xf numFmtId="187" fontId="1" fillId="0" borderId="11" xfId="54" applyNumberFormat="1" applyFont="1" applyFill="1" applyBorder="1" applyAlignment="1" applyProtection="1">
      <alignment vertical="center"/>
      <protection locked="0"/>
    </xf>
    <xf numFmtId="0" fontId="1" fillId="34" borderId="13"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1" fillId="34" borderId="11" xfId="0" applyFont="1" applyFill="1" applyBorder="1" applyAlignment="1" applyProtection="1">
      <alignment horizontal="center" vertical="center" wrapText="1"/>
      <protection/>
    </xf>
    <xf numFmtId="187" fontId="4" fillId="39" borderId="13" xfId="54" applyNumberFormat="1" applyFont="1" applyFill="1" applyBorder="1" applyAlignment="1" applyProtection="1">
      <alignment vertical="center"/>
      <protection/>
    </xf>
    <xf numFmtId="187" fontId="4" fillId="40" borderId="13" xfId="54" applyNumberFormat="1" applyFont="1" applyFill="1" applyBorder="1" applyAlignment="1" applyProtection="1">
      <alignment vertical="center"/>
      <protection/>
    </xf>
    <xf numFmtId="190" fontId="6" fillId="0" borderId="13" xfId="52" applyFont="1" applyFill="1" applyBorder="1" applyAlignment="1" applyProtection="1">
      <alignment vertical="center"/>
      <protection/>
    </xf>
    <xf numFmtId="0" fontId="4" fillId="34" borderId="13" xfId="0" applyFont="1" applyFill="1" applyBorder="1" applyAlignment="1" applyProtection="1">
      <alignment vertical="center"/>
      <protection/>
    </xf>
    <xf numFmtId="187" fontId="4" fillId="38" borderId="16" xfId="54" applyNumberFormat="1" applyFont="1" applyFill="1" applyBorder="1" applyAlignment="1" applyProtection="1">
      <alignment vertical="center"/>
      <protection/>
    </xf>
    <xf numFmtId="187" fontId="1" fillId="42" borderId="17" xfId="0" applyNumberFormat="1" applyFont="1" applyFill="1" applyBorder="1" applyAlignment="1" applyProtection="1">
      <alignment vertical="center"/>
      <protection/>
    </xf>
    <xf numFmtId="187" fontId="2" fillId="42" borderId="17" xfId="0" applyNumberFormat="1" applyFont="1" applyFill="1" applyBorder="1" applyAlignment="1" applyProtection="1">
      <alignment vertical="center"/>
      <protection/>
    </xf>
    <xf numFmtId="191" fontId="1" fillId="43" borderId="17" xfId="52" applyNumberFormat="1" applyFont="1" applyFill="1" applyBorder="1" applyAlignment="1" applyProtection="1">
      <alignment vertical="center"/>
      <protection/>
    </xf>
    <xf numFmtId="191" fontId="4" fillId="44" borderId="12" xfId="52" applyNumberFormat="1" applyFont="1" applyFill="1" applyBorder="1" applyAlignment="1" applyProtection="1">
      <alignment vertical="center"/>
      <protection/>
    </xf>
    <xf numFmtId="191" fontId="4" fillId="44" borderId="16" xfId="52" applyNumberFormat="1" applyFont="1" applyFill="1" applyBorder="1" applyAlignment="1" applyProtection="1">
      <alignment vertical="center"/>
      <protection/>
    </xf>
    <xf numFmtId="0" fontId="2" fillId="45" borderId="0" xfId="0" applyFont="1" applyFill="1" applyBorder="1" applyAlignment="1" applyProtection="1">
      <alignment vertical="center"/>
      <protection/>
    </xf>
    <xf numFmtId="0" fontId="7" fillId="0" borderId="0" xfId="0" applyFont="1" applyAlignment="1" applyProtection="1">
      <alignment vertical="center"/>
      <protection/>
    </xf>
    <xf numFmtId="0" fontId="8" fillId="0" borderId="0" xfId="0" applyFont="1" applyAlignment="1" applyProtection="1">
      <alignment horizontal="right" vertical="center"/>
      <protection/>
    </xf>
    <xf numFmtId="0" fontId="8" fillId="0" borderId="10" xfId="0" applyFont="1" applyBorder="1" applyAlignment="1" applyProtection="1">
      <alignment horizontal="right" vertical="center"/>
      <protection/>
    </xf>
    <xf numFmtId="0" fontId="2" fillId="46" borderId="18" xfId="0" applyFont="1" applyFill="1" applyBorder="1" applyAlignment="1" applyProtection="1">
      <alignment vertical="center"/>
      <protection/>
    </xf>
    <xf numFmtId="179" fontId="4" fillId="46" borderId="18" xfId="54" applyNumberFormat="1"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4" fillId="46" borderId="19" xfId="0" applyFont="1" applyFill="1" applyBorder="1" applyAlignment="1" applyProtection="1">
      <alignment horizontal="left" vertical="center"/>
      <protection/>
    </xf>
    <xf numFmtId="0" fontId="1" fillId="47" borderId="18" xfId="0" applyFont="1" applyFill="1" applyBorder="1" applyAlignment="1" applyProtection="1">
      <alignment vertical="center"/>
      <protection/>
    </xf>
    <xf numFmtId="0" fontId="6" fillId="35" borderId="0" xfId="0" applyFont="1" applyFill="1" applyBorder="1" applyAlignment="1" applyProtection="1">
      <alignment vertical="center"/>
      <protection/>
    </xf>
    <xf numFmtId="0" fontId="1" fillId="45" borderId="0" xfId="0" applyFont="1" applyFill="1" applyBorder="1" applyAlignment="1" applyProtection="1">
      <alignment vertical="center"/>
      <protection/>
    </xf>
    <xf numFmtId="0" fontId="2" fillId="36" borderId="11" xfId="0" applyFont="1" applyFill="1" applyBorder="1" applyAlignment="1" applyProtection="1">
      <alignment horizontal="center" vertical="center" wrapText="1"/>
      <protection/>
    </xf>
    <xf numFmtId="0" fontId="1" fillId="41" borderId="15" xfId="0" applyFont="1" applyFill="1" applyBorder="1" applyAlignment="1" applyProtection="1">
      <alignment vertical="center" wrapText="1"/>
      <protection/>
    </xf>
    <xf numFmtId="3" fontId="1" fillId="48" borderId="18" xfId="54" applyNumberFormat="1" applyFont="1" applyFill="1" applyBorder="1" applyAlignment="1" applyProtection="1">
      <alignment vertical="center"/>
      <protection/>
    </xf>
    <xf numFmtId="189" fontId="1" fillId="48" borderId="18" xfId="54" applyNumberFormat="1" applyFont="1" applyFill="1" applyBorder="1" applyAlignment="1" applyProtection="1">
      <alignment vertical="center"/>
      <protection/>
    </xf>
    <xf numFmtId="189" fontId="1" fillId="48" borderId="20" xfId="54" applyNumberFormat="1" applyFont="1" applyFill="1" applyBorder="1" applyAlignment="1" applyProtection="1">
      <alignment vertical="center"/>
      <protection/>
    </xf>
    <xf numFmtId="187" fontId="1" fillId="33" borderId="11" xfId="54" applyNumberFormat="1" applyFont="1" applyFill="1" applyBorder="1" applyAlignment="1" applyProtection="1">
      <alignment horizontal="right" vertical="center"/>
      <protection/>
    </xf>
    <xf numFmtId="0" fontId="1" fillId="36" borderId="11" xfId="0" applyFont="1" applyFill="1" applyBorder="1" applyAlignment="1" applyProtection="1">
      <alignment horizontal="right" vertical="center" wrapText="1"/>
      <protection/>
    </xf>
    <xf numFmtId="0" fontId="0" fillId="40" borderId="11" xfId="0" applyFont="1" applyFill="1" applyBorder="1" applyAlignment="1" applyProtection="1">
      <alignment horizontal="center"/>
      <protection/>
    </xf>
    <xf numFmtId="0" fontId="1" fillId="36" borderId="10" xfId="0" applyFont="1" applyFill="1" applyBorder="1" applyAlignment="1" applyProtection="1">
      <alignment vertical="center" wrapText="1"/>
      <protection/>
    </xf>
    <xf numFmtId="0" fontId="2" fillId="36" borderId="21" xfId="0" applyFont="1" applyFill="1" applyBorder="1" applyAlignment="1" applyProtection="1">
      <alignment vertical="center" wrapText="1"/>
      <protection/>
    </xf>
    <xf numFmtId="0" fontId="1" fillId="36" borderId="22" xfId="0" applyFont="1" applyFill="1" applyBorder="1" applyAlignment="1" applyProtection="1">
      <alignment vertical="center" wrapText="1"/>
      <protection/>
    </xf>
    <xf numFmtId="187" fontId="1" fillId="36" borderId="22" xfId="54" applyNumberFormat="1" applyFont="1" applyFill="1" applyBorder="1" applyAlignment="1" applyProtection="1">
      <alignment vertical="center"/>
      <protection/>
    </xf>
    <xf numFmtId="187" fontId="1" fillId="36" borderId="23" xfId="54" applyNumberFormat="1" applyFont="1" applyFill="1" applyBorder="1" applyAlignment="1" applyProtection="1">
      <alignment vertical="center"/>
      <protection/>
    </xf>
    <xf numFmtId="0" fontId="2" fillId="36" borderId="24" xfId="0" applyFont="1" applyFill="1" applyBorder="1" applyAlignment="1" applyProtection="1">
      <alignment vertical="center" wrapText="1"/>
      <protection/>
    </xf>
    <xf numFmtId="0" fontId="1" fillId="35" borderId="22" xfId="0" applyFont="1" applyFill="1" applyBorder="1" applyAlignment="1" applyProtection="1">
      <alignment vertical="center" wrapText="1"/>
      <protection/>
    </xf>
    <xf numFmtId="187" fontId="1" fillId="35" borderId="25" xfId="54" applyNumberFormat="1" applyFont="1" applyFill="1" applyBorder="1" applyAlignment="1" applyProtection="1">
      <alignment vertical="center"/>
      <protection/>
    </xf>
    <xf numFmtId="187" fontId="1" fillId="35" borderId="12" xfId="54" applyNumberFormat="1" applyFont="1" applyFill="1" applyBorder="1" applyAlignment="1" applyProtection="1">
      <alignment vertical="center"/>
      <protection/>
    </xf>
    <xf numFmtId="187" fontId="1" fillId="36" borderId="13" xfId="54" applyNumberFormat="1" applyFont="1" applyFill="1" applyBorder="1" applyAlignment="1" applyProtection="1">
      <alignment vertical="center"/>
      <protection/>
    </xf>
    <xf numFmtId="0" fontId="1" fillId="35" borderId="18" xfId="0" applyFont="1" applyFill="1" applyBorder="1" applyAlignment="1" applyProtection="1">
      <alignment vertical="center" wrapText="1"/>
      <protection/>
    </xf>
    <xf numFmtId="187" fontId="1" fillId="35" borderId="18" xfId="54" applyNumberFormat="1" applyFont="1" applyFill="1" applyBorder="1" applyAlignment="1" applyProtection="1">
      <alignment vertical="center"/>
      <protection/>
    </xf>
    <xf numFmtId="0" fontId="10" fillId="35" borderId="18" xfId="0" applyFont="1" applyFill="1" applyBorder="1" applyAlignment="1" applyProtection="1">
      <alignment vertical="center" wrapText="1"/>
      <protection/>
    </xf>
    <xf numFmtId="0" fontId="1" fillId="36" borderId="18" xfId="0" applyFont="1" applyFill="1" applyBorder="1" applyAlignment="1" applyProtection="1">
      <alignment vertical="center" wrapText="1"/>
      <protection/>
    </xf>
    <xf numFmtId="187" fontId="1" fillId="0" borderId="14" xfId="54" applyNumberFormat="1" applyFont="1" applyFill="1" applyBorder="1" applyAlignment="1" applyProtection="1">
      <alignment vertical="center"/>
      <protection locked="0"/>
    </xf>
    <xf numFmtId="0" fontId="10" fillId="35" borderId="18" xfId="0" applyFont="1" applyFill="1" applyBorder="1" applyAlignment="1" applyProtection="1">
      <alignment horizontal="left" vertical="center" wrapText="1"/>
      <protection/>
    </xf>
    <xf numFmtId="0" fontId="1" fillId="0" borderId="18" xfId="0" applyFont="1" applyFill="1" applyBorder="1" applyAlignment="1" applyProtection="1">
      <alignment vertical="center"/>
      <protection locked="0"/>
    </xf>
    <xf numFmtId="187" fontId="1" fillId="49" borderId="11" xfId="54" applyNumberFormat="1" applyFont="1" applyFill="1" applyBorder="1" applyAlignment="1" applyProtection="1">
      <alignment vertical="center"/>
      <protection/>
    </xf>
    <xf numFmtId="187" fontId="2" fillId="35" borderId="11" xfId="54" applyNumberFormat="1" applyFont="1" applyFill="1" applyBorder="1" applyAlignment="1" applyProtection="1">
      <alignment horizontal="center" vertical="center"/>
      <protection/>
    </xf>
    <xf numFmtId="186" fontId="2" fillId="0" borderId="11" xfId="54" applyFont="1" applyFill="1" applyBorder="1" applyAlignment="1" applyProtection="1">
      <alignment vertical="center"/>
      <protection/>
    </xf>
    <xf numFmtId="0" fontId="90" fillId="0" borderId="0" xfId="0" applyFont="1" applyAlignment="1" applyProtection="1">
      <alignment vertical="center"/>
      <protection/>
    </xf>
    <xf numFmtId="0" fontId="91" fillId="0" borderId="0" xfId="0" applyFont="1" applyAlignment="1" applyProtection="1">
      <alignment vertical="center"/>
      <protection/>
    </xf>
    <xf numFmtId="0" fontId="91" fillId="50" borderId="18" xfId="0" applyFont="1" applyFill="1" applyBorder="1" applyAlignment="1" applyProtection="1">
      <alignment horizontal="center" vertical="center"/>
      <protection/>
    </xf>
    <xf numFmtId="3" fontId="90" fillId="0" borderId="0" xfId="0" applyNumberFormat="1" applyFont="1" applyAlignment="1" applyProtection="1">
      <alignment vertical="center"/>
      <protection/>
    </xf>
    <xf numFmtId="3" fontId="1" fillId="0" borderId="0" xfId="0" applyNumberFormat="1" applyFont="1" applyAlignment="1" applyProtection="1">
      <alignment vertical="center"/>
      <protection/>
    </xf>
    <xf numFmtId="187" fontId="1" fillId="42" borderId="26" xfId="0" applyNumberFormat="1" applyFont="1" applyFill="1" applyBorder="1" applyAlignment="1" applyProtection="1">
      <alignment vertical="center"/>
      <protection/>
    </xf>
    <xf numFmtId="191" fontId="1" fillId="43" borderId="26" xfId="52" applyNumberFormat="1" applyFont="1" applyFill="1" applyBorder="1" applyAlignment="1" applyProtection="1">
      <alignment vertical="center"/>
      <protection/>
    </xf>
    <xf numFmtId="187" fontId="2" fillId="42" borderId="26" xfId="0" applyNumberFormat="1" applyFont="1" applyFill="1" applyBorder="1" applyAlignment="1" applyProtection="1">
      <alignment vertical="center"/>
      <protection/>
    </xf>
    <xf numFmtId="0" fontId="1" fillId="0" borderId="27" xfId="0" applyFont="1" applyBorder="1" applyAlignment="1" applyProtection="1">
      <alignment vertical="center"/>
      <protection/>
    </xf>
    <xf numFmtId="187" fontId="1" fillId="0" borderId="0" xfId="0" applyNumberFormat="1" applyFont="1" applyFill="1" applyAlignment="1" applyProtection="1">
      <alignment vertical="center"/>
      <protection/>
    </xf>
    <xf numFmtId="187" fontId="90" fillId="0" borderId="0" xfId="0" applyNumberFormat="1" applyFont="1" applyAlignment="1" applyProtection="1">
      <alignment vertical="center"/>
      <protection/>
    </xf>
    <xf numFmtId="187" fontId="2" fillId="40" borderId="11" xfId="54" applyNumberFormat="1" applyFont="1" applyFill="1" applyBorder="1" applyAlignment="1" applyProtection="1">
      <alignment vertical="center"/>
      <protection/>
    </xf>
    <xf numFmtId="190" fontId="1" fillId="0" borderId="11" xfId="52" applyFont="1" applyFill="1" applyBorder="1" applyAlignment="1" applyProtection="1">
      <alignment vertical="center"/>
      <protection/>
    </xf>
    <xf numFmtId="187" fontId="2" fillId="39" borderId="11" xfId="54" applyNumberFormat="1" applyFont="1" applyFill="1" applyBorder="1" applyAlignment="1" applyProtection="1">
      <alignment vertical="center"/>
      <protection/>
    </xf>
    <xf numFmtId="187" fontId="1" fillId="0" borderId="0" xfId="0" applyNumberFormat="1" applyFont="1" applyAlignment="1" applyProtection="1">
      <alignment vertical="center"/>
      <protection/>
    </xf>
    <xf numFmtId="199" fontId="1" fillId="0" borderId="0" xfId="0" applyNumberFormat="1" applyFont="1" applyAlignment="1" applyProtection="1">
      <alignment vertical="center"/>
      <protection/>
    </xf>
    <xf numFmtId="0" fontId="0" fillId="0" borderId="0" xfId="0" applyFont="1" applyAlignment="1" applyProtection="1">
      <alignment/>
      <protection/>
    </xf>
    <xf numFmtId="212" fontId="0" fillId="0" borderId="0" xfId="54" applyNumberFormat="1" applyAlignment="1" applyProtection="1">
      <alignment vertical="center"/>
      <protection/>
    </xf>
    <xf numFmtId="212" fontId="0" fillId="38" borderId="28" xfId="54" applyNumberFormat="1" applyFill="1" applyBorder="1" applyAlignment="1" applyProtection="1">
      <alignment vertical="center"/>
      <protection/>
    </xf>
    <xf numFmtId="212" fontId="0" fillId="39" borderId="29" xfId="54" applyNumberFormat="1" applyFill="1" applyBorder="1" applyAlignment="1" applyProtection="1">
      <alignment horizontal="right" vertical="center"/>
      <protection/>
    </xf>
    <xf numFmtId="212" fontId="0" fillId="39" borderId="29" xfId="54" applyNumberFormat="1" applyFill="1" applyBorder="1" applyAlignment="1" applyProtection="1">
      <alignment vertical="center"/>
      <protection/>
    </xf>
    <xf numFmtId="212" fontId="0" fillId="38" borderId="30" xfId="54" applyNumberFormat="1" applyFill="1" applyBorder="1" applyAlignment="1" applyProtection="1">
      <alignment vertical="center"/>
      <protection/>
    </xf>
    <xf numFmtId="212" fontId="0" fillId="39" borderId="31" xfId="54" applyNumberFormat="1" applyFill="1" applyBorder="1" applyAlignment="1" applyProtection="1">
      <alignment vertical="center"/>
      <protection/>
    </xf>
    <xf numFmtId="212" fontId="0" fillId="42" borderId="32" xfId="54" applyNumberFormat="1" applyFill="1" applyBorder="1" applyAlignment="1" applyProtection="1">
      <alignment vertical="center"/>
      <protection/>
    </xf>
    <xf numFmtId="212" fontId="0" fillId="42" borderId="33" xfId="54" applyNumberFormat="1" applyFill="1" applyBorder="1" applyAlignment="1" applyProtection="1">
      <alignment vertical="center"/>
      <protection/>
    </xf>
    <xf numFmtId="212" fontId="0" fillId="0" borderId="0" xfId="54" applyNumberFormat="1" applyAlignment="1" applyProtection="1">
      <alignment/>
      <protection/>
    </xf>
    <xf numFmtId="212" fontId="0" fillId="38" borderId="34" xfId="54" applyNumberFormat="1" applyFill="1" applyBorder="1" applyAlignment="1" applyProtection="1">
      <alignment vertical="center"/>
      <protection/>
    </xf>
    <xf numFmtId="212" fontId="0" fillId="40" borderId="35" xfId="54" applyNumberFormat="1" applyFill="1" applyBorder="1" applyAlignment="1" applyProtection="1">
      <alignment vertical="center"/>
      <protection/>
    </xf>
    <xf numFmtId="212" fontId="0" fillId="38" borderId="36" xfId="54" applyNumberFormat="1" applyFill="1" applyBorder="1" applyAlignment="1" applyProtection="1">
      <alignment vertical="center"/>
      <protection/>
    </xf>
    <xf numFmtId="212" fontId="0" fillId="40" borderId="37" xfId="54" applyNumberFormat="1" applyFill="1" applyBorder="1" applyAlignment="1" applyProtection="1">
      <alignment vertical="center"/>
      <protection/>
    </xf>
    <xf numFmtId="212" fontId="0" fillId="42" borderId="38" xfId="54" applyNumberFormat="1" applyFill="1" applyBorder="1" applyAlignment="1" applyProtection="1">
      <alignment vertical="center"/>
      <protection/>
    </xf>
    <xf numFmtId="212" fontId="15" fillId="36" borderId="39" xfId="54" applyNumberFormat="1" applyFont="1" applyFill="1" applyBorder="1" applyAlignment="1" applyProtection="1">
      <alignment horizontal="center" vertical="center"/>
      <protection/>
    </xf>
    <xf numFmtId="0" fontId="4" fillId="39" borderId="16" xfId="0" applyFont="1" applyFill="1" applyBorder="1" applyAlignment="1" applyProtection="1">
      <alignment horizontal="center" vertical="center"/>
      <protection/>
    </xf>
    <xf numFmtId="212" fontId="15" fillId="36" borderId="40" xfId="54" applyNumberFormat="1" applyFont="1" applyFill="1" applyBorder="1" applyAlignment="1" applyProtection="1">
      <alignment horizontal="center" vertical="center"/>
      <protection/>
    </xf>
    <xf numFmtId="0" fontId="2" fillId="39" borderId="41" xfId="0" applyFont="1" applyFill="1" applyBorder="1" applyAlignment="1" applyProtection="1">
      <alignment horizontal="center" vertical="center" wrapText="1"/>
      <protection/>
    </xf>
    <xf numFmtId="0" fontId="2" fillId="39" borderId="41" xfId="0" applyFont="1" applyFill="1" applyBorder="1" applyAlignment="1" applyProtection="1">
      <alignment horizontal="center" vertical="center"/>
      <protection/>
    </xf>
    <xf numFmtId="0" fontId="1" fillId="51" borderId="0" xfId="0" applyFont="1" applyFill="1" applyAlignment="1" applyProtection="1">
      <alignment vertical="center"/>
      <protection/>
    </xf>
    <xf numFmtId="1" fontId="1" fillId="0" borderId="0" xfId="0" applyNumberFormat="1" applyFont="1" applyAlignment="1" applyProtection="1">
      <alignment vertical="center"/>
      <protection/>
    </xf>
    <xf numFmtId="0" fontId="1" fillId="0" borderId="42" xfId="0" applyFont="1" applyBorder="1" applyAlignment="1" applyProtection="1">
      <alignment vertical="center"/>
      <protection/>
    </xf>
    <xf numFmtId="0" fontId="1" fillId="0" borderId="43" xfId="0" applyFont="1" applyBorder="1" applyAlignment="1" applyProtection="1">
      <alignment vertical="center"/>
      <protection/>
    </xf>
    <xf numFmtId="212" fontId="0" fillId="39" borderId="29" xfId="54" applyNumberFormat="1" applyFont="1" applyFill="1" applyBorder="1" applyAlignment="1" applyProtection="1">
      <alignment vertical="center"/>
      <protection/>
    </xf>
    <xf numFmtId="187" fontId="2" fillId="40" borderId="13" xfId="54" applyNumberFormat="1" applyFont="1" applyFill="1" applyBorder="1" applyAlignment="1" applyProtection="1">
      <alignment vertical="center"/>
      <protection/>
    </xf>
    <xf numFmtId="190" fontId="1" fillId="0" borderId="13" xfId="52" applyFont="1" applyFill="1" applyBorder="1" applyAlignment="1" applyProtection="1">
      <alignment vertical="center"/>
      <protection/>
    </xf>
    <xf numFmtId="0" fontId="90" fillId="51" borderId="0" xfId="0" applyFont="1" applyFill="1" applyAlignment="1" applyProtection="1">
      <alignment vertical="center"/>
      <protection/>
    </xf>
    <xf numFmtId="0" fontId="91" fillId="50" borderId="44" xfId="0" applyFont="1" applyFill="1" applyBorder="1" applyAlignment="1" applyProtection="1">
      <alignment horizontal="center" vertical="center"/>
      <protection/>
    </xf>
    <xf numFmtId="0" fontId="91" fillId="50" borderId="45" xfId="0" applyFont="1" applyFill="1" applyBorder="1" applyAlignment="1" applyProtection="1">
      <alignment horizontal="center" vertical="center"/>
      <protection/>
    </xf>
    <xf numFmtId="9" fontId="92" fillId="50" borderId="46" xfId="63" applyFont="1" applyFill="1" applyBorder="1" applyAlignment="1" applyProtection="1">
      <alignment horizontal="center" vertical="center"/>
      <protection/>
    </xf>
    <xf numFmtId="0" fontId="91" fillId="50" borderId="46" xfId="0" applyFont="1" applyFill="1" applyBorder="1" applyAlignment="1" applyProtection="1">
      <alignment horizontal="center" vertical="center"/>
      <protection/>
    </xf>
    <xf numFmtId="0" fontId="91" fillId="50" borderId="47" xfId="0" applyFont="1" applyFill="1" applyBorder="1" applyAlignment="1" applyProtection="1">
      <alignment horizontal="center" vertical="center"/>
      <protection/>
    </xf>
    <xf numFmtId="3" fontId="1" fillId="48" borderId="48" xfId="54" applyNumberFormat="1" applyFont="1" applyFill="1" applyBorder="1" applyAlignment="1" applyProtection="1">
      <alignment vertical="center"/>
      <protection/>
    </xf>
    <xf numFmtId="189" fontId="1" fillId="48" borderId="48" xfId="54" applyNumberFormat="1" applyFont="1" applyFill="1" applyBorder="1" applyAlignment="1" applyProtection="1">
      <alignment vertical="center"/>
      <protection/>
    </xf>
    <xf numFmtId="9" fontId="92" fillId="50" borderId="44" xfId="63" applyFont="1" applyFill="1" applyBorder="1" applyAlignment="1" applyProtection="1">
      <alignment horizontal="center" vertical="center"/>
      <protection/>
    </xf>
    <xf numFmtId="189" fontId="1" fillId="48" borderId="49" xfId="54" applyNumberFormat="1" applyFont="1" applyFill="1" applyBorder="1" applyAlignment="1" applyProtection="1">
      <alignment vertical="center"/>
      <protection/>
    </xf>
    <xf numFmtId="0" fontId="91" fillId="50" borderId="50" xfId="0" applyFont="1" applyFill="1" applyBorder="1" applyAlignment="1" applyProtection="1">
      <alignment horizontal="center" vertical="center"/>
      <protection/>
    </xf>
    <xf numFmtId="0" fontId="91" fillId="50" borderId="51" xfId="0" applyFont="1" applyFill="1" applyBorder="1" applyAlignment="1" applyProtection="1">
      <alignment horizontal="center" vertical="center"/>
      <protection/>
    </xf>
    <xf numFmtId="0" fontId="1" fillId="40" borderId="13" xfId="0" applyFont="1" applyFill="1" applyBorder="1" applyAlignment="1" applyProtection="1">
      <alignment horizontal="center" vertical="center" wrapText="1"/>
      <protection/>
    </xf>
    <xf numFmtId="0" fontId="1" fillId="41" borderId="52" xfId="0" applyFont="1" applyFill="1" applyBorder="1" applyAlignment="1" applyProtection="1">
      <alignment vertical="center" wrapText="1"/>
      <protection/>
    </xf>
    <xf numFmtId="189" fontId="1" fillId="41" borderId="53" xfId="54" applyNumberFormat="1" applyFont="1" applyFill="1" applyBorder="1" applyAlignment="1" applyProtection="1">
      <alignment vertical="center"/>
      <protection/>
    </xf>
    <xf numFmtId="189" fontId="1" fillId="41" borderId="54" xfId="54" applyNumberFormat="1" applyFont="1" applyFill="1" applyBorder="1" applyAlignment="1" applyProtection="1">
      <alignment vertical="center"/>
      <protection/>
    </xf>
    <xf numFmtId="189" fontId="1" fillId="48" borderId="55" xfId="54" applyNumberFormat="1" applyFont="1" applyFill="1" applyBorder="1" applyAlignment="1" applyProtection="1">
      <alignment vertical="center"/>
      <protection/>
    </xf>
    <xf numFmtId="212" fontId="0" fillId="52" borderId="29" xfId="54" applyNumberFormat="1" applyFill="1" applyBorder="1" applyAlignment="1" applyProtection="1">
      <alignment vertical="center"/>
      <protection/>
    </xf>
    <xf numFmtId="212" fontId="1" fillId="0" borderId="0" xfId="0" applyNumberFormat="1" applyFont="1" applyAlignment="1" applyProtection="1">
      <alignment vertical="center"/>
      <protection/>
    </xf>
    <xf numFmtId="212" fontId="0" fillId="52" borderId="31" xfId="54" applyNumberFormat="1" applyFill="1" applyBorder="1" applyAlignment="1" applyProtection="1">
      <alignment vertical="center"/>
      <protection/>
    </xf>
    <xf numFmtId="3" fontId="1" fillId="51" borderId="0" xfId="0" applyNumberFormat="1" applyFont="1" applyFill="1" applyAlignment="1" applyProtection="1">
      <alignment vertical="center"/>
      <protection/>
    </xf>
    <xf numFmtId="0" fontId="1" fillId="51"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199" fontId="1" fillId="0" borderId="0" xfId="0" applyNumberFormat="1" applyFont="1" applyFill="1" applyBorder="1" applyAlignment="1" applyProtection="1">
      <alignment vertical="center"/>
      <protection/>
    </xf>
    <xf numFmtId="3" fontId="1" fillId="0" borderId="0" xfId="0" applyNumberFormat="1" applyFont="1" applyFill="1" applyBorder="1" applyAlignment="1" applyProtection="1">
      <alignment horizontal="center" vertical="center"/>
      <protection/>
    </xf>
    <xf numFmtId="0" fontId="90" fillId="0" borderId="0" xfId="0" applyFont="1" applyFill="1" applyBorder="1" applyAlignment="1" applyProtection="1">
      <alignment vertical="center"/>
      <protection/>
    </xf>
    <xf numFmtId="3" fontId="90" fillId="0" borderId="0" xfId="0" applyNumberFormat="1" applyFont="1" applyFill="1" applyBorder="1" applyAlignment="1" applyProtection="1">
      <alignment vertical="center"/>
      <protection/>
    </xf>
    <xf numFmtId="199" fontId="2" fillId="0" borderId="0" xfId="0" applyNumberFormat="1" applyFont="1" applyFill="1" applyBorder="1" applyAlignment="1" applyProtection="1">
      <alignment vertical="center"/>
      <protection/>
    </xf>
    <xf numFmtId="212" fontId="1" fillId="0" borderId="0" xfId="54" applyNumberFormat="1"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212" fontId="0" fillId="53" borderId="29" xfId="54" applyNumberFormat="1" applyFont="1" applyFill="1" applyBorder="1" applyAlignment="1" applyProtection="1">
      <alignment vertical="center"/>
      <protection/>
    </xf>
    <xf numFmtId="212" fontId="0" fillId="40" borderId="15" xfId="54" applyNumberFormat="1" applyFill="1" applyBorder="1" applyAlignment="1" applyProtection="1">
      <alignment vertical="center"/>
      <protection/>
    </xf>
    <xf numFmtId="187" fontId="2" fillId="34" borderId="11" xfId="54" applyNumberFormat="1" applyFont="1" applyFill="1" applyBorder="1" applyAlignment="1" applyProtection="1">
      <alignment vertical="center"/>
      <protection/>
    </xf>
    <xf numFmtId="187" fontId="2" fillId="35" borderId="11" xfId="54" applyNumberFormat="1" applyFont="1" applyFill="1" applyBorder="1" applyAlignment="1" applyProtection="1">
      <alignment vertical="center"/>
      <protection/>
    </xf>
    <xf numFmtId="0" fontId="3" fillId="0" borderId="56" xfId="0" applyFont="1" applyBorder="1" applyAlignment="1" applyProtection="1">
      <alignment vertical="center"/>
      <protection/>
    </xf>
    <xf numFmtId="0" fontId="1" fillId="0" borderId="0" xfId="0" applyFont="1" applyFill="1" applyBorder="1" applyAlignment="1" applyProtection="1">
      <alignment horizontal="center" vertical="center" wrapText="1"/>
      <protection/>
    </xf>
    <xf numFmtId="0" fontId="1" fillId="41" borderId="13" xfId="0" applyFont="1" applyFill="1" applyBorder="1" applyAlignment="1" applyProtection="1">
      <alignment horizontal="center" vertical="center" wrapText="1"/>
      <protection/>
    </xf>
    <xf numFmtId="0" fontId="1" fillId="36" borderId="57" xfId="0" applyFont="1" applyFill="1" applyBorder="1" applyAlignment="1" applyProtection="1">
      <alignment vertical="center" wrapText="1"/>
      <protection/>
    </xf>
    <xf numFmtId="189" fontId="1" fillId="41" borderId="58" xfId="54" applyNumberFormat="1" applyFont="1" applyFill="1" applyBorder="1" applyAlignment="1" applyProtection="1">
      <alignment vertical="center"/>
      <protection/>
    </xf>
    <xf numFmtId="189" fontId="1" fillId="41" borderId="59" xfId="54" applyNumberFormat="1" applyFont="1" applyFill="1" applyBorder="1" applyAlignment="1" applyProtection="1">
      <alignment vertical="center"/>
      <protection/>
    </xf>
    <xf numFmtId="189" fontId="1" fillId="36" borderId="60" xfId="54" applyNumberFormat="1" applyFont="1" applyFill="1" applyBorder="1" applyAlignment="1" applyProtection="1">
      <alignment vertical="center" wrapText="1"/>
      <protection/>
    </xf>
    <xf numFmtId="189" fontId="1" fillId="36" borderId="61" xfId="54" applyNumberFormat="1" applyFont="1" applyFill="1" applyBorder="1" applyAlignment="1" applyProtection="1">
      <alignment vertical="center" wrapText="1"/>
      <protection/>
    </xf>
    <xf numFmtId="3" fontId="1" fillId="48" borderId="62" xfId="54" applyNumberFormat="1" applyFont="1" applyFill="1" applyBorder="1" applyAlignment="1" applyProtection="1">
      <alignment vertical="center"/>
      <protection/>
    </xf>
    <xf numFmtId="3" fontId="1" fillId="48" borderId="63" xfId="54" applyNumberFormat="1" applyFont="1" applyFill="1" applyBorder="1" applyAlignment="1" applyProtection="1">
      <alignment vertical="center"/>
      <protection/>
    </xf>
    <xf numFmtId="189" fontId="1" fillId="48" borderId="62" xfId="54" applyNumberFormat="1" applyFont="1" applyFill="1" applyBorder="1" applyAlignment="1" applyProtection="1">
      <alignment vertical="center"/>
      <protection/>
    </xf>
    <xf numFmtId="189" fontId="1" fillId="48" borderId="63" xfId="54" applyNumberFormat="1" applyFont="1" applyFill="1" applyBorder="1" applyAlignment="1" applyProtection="1">
      <alignment vertical="center"/>
      <protection/>
    </xf>
    <xf numFmtId="0" fontId="1" fillId="41" borderId="64" xfId="0" applyFont="1" applyFill="1" applyBorder="1" applyAlignment="1" applyProtection="1">
      <alignment vertical="center" wrapText="1"/>
      <protection/>
    </xf>
    <xf numFmtId="189" fontId="1" fillId="41" borderId="65" xfId="54" applyNumberFormat="1" applyFont="1" applyFill="1" applyBorder="1" applyAlignment="1" applyProtection="1">
      <alignment vertical="center"/>
      <protection/>
    </xf>
    <xf numFmtId="0" fontId="1" fillId="36" borderId="66" xfId="0" applyFont="1" applyFill="1" applyBorder="1" applyAlignment="1" applyProtection="1">
      <alignment vertical="center" wrapText="1"/>
      <protection/>
    </xf>
    <xf numFmtId="189" fontId="1" fillId="36" borderId="67" xfId="54" applyNumberFormat="1" applyFont="1" applyFill="1" applyBorder="1" applyAlignment="1" applyProtection="1">
      <alignment vertical="center" wrapText="1"/>
      <protection/>
    </xf>
    <xf numFmtId="3" fontId="1" fillId="48" borderId="44" xfId="54" applyNumberFormat="1" applyFont="1" applyFill="1" applyBorder="1" applyAlignment="1" applyProtection="1">
      <alignment vertical="center"/>
      <protection/>
    </xf>
    <xf numFmtId="189" fontId="1" fillId="36" borderId="68" xfId="54" applyNumberFormat="1" applyFont="1" applyFill="1" applyBorder="1" applyAlignment="1" applyProtection="1">
      <alignment vertical="center" wrapText="1"/>
      <protection/>
    </xf>
    <xf numFmtId="3" fontId="1" fillId="48" borderId="69" xfId="54" applyNumberFormat="1" applyFont="1" applyFill="1" applyBorder="1" applyAlignment="1" applyProtection="1">
      <alignment vertical="center"/>
      <protection/>
    </xf>
    <xf numFmtId="189" fontId="1" fillId="36" borderId="70" xfId="54" applyNumberFormat="1" applyFont="1" applyFill="1" applyBorder="1" applyAlignment="1" applyProtection="1">
      <alignment vertical="center" wrapText="1"/>
      <protection/>
    </xf>
    <xf numFmtId="0" fontId="3" fillId="0" borderId="0" xfId="0" applyFont="1" applyBorder="1" applyAlignment="1" applyProtection="1">
      <alignment vertical="center"/>
      <protection/>
    </xf>
    <xf numFmtId="0" fontId="1" fillId="34" borderId="31" xfId="0" applyFont="1" applyFill="1" applyBorder="1" applyAlignment="1" applyProtection="1">
      <alignment vertical="center" wrapText="1"/>
      <protection/>
    </xf>
    <xf numFmtId="0" fontId="1" fillId="34" borderId="37" xfId="0" applyFont="1" applyFill="1" applyBorder="1" applyAlignment="1" applyProtection="1">
      <alignment horizontal="center" vertical="center" wrapText="1"/>
      <protection/>
    </xf>
    <xf numFmtId="189" fontId="1" fillId="41" borderId="71" xfId="54" applyNumberFormat="1" applyFont="1" applyFill="1" applyBorder="1" applyAlignment="1" applyProtection="1">
      <alignment vertical="center"/>
      <protection/>
    </xf>
    <xf numFmtId="189" fontId="1" fillId="41" borderId="59" xfId="0" applyNumberFormat="1" applyFont="1" applyFill="1" applyBorder="1" applyAlignment="1" applyProtection="1">
      <alignment vertical="center"/>
      <protection/>
    </xf>
    <xf numFmtId="189" fontId="1" fillId="36" borderId="72" xfId="54" applyNumberFormat="1" applyFont="1" applyFill="1" applyBorder="1" applyAlignment="1" applyProtection="1">
      <alignment vertical="center" wrapText="1"/>
      <protection/>
    </xf>
    <xf numFmtId="189" fontId="1" fillId="41" borderId="73" xfId="54" applyNumberFormat="1" applyFont="1" applyFill="1" applyBorder="1" applyAlignment="1" applyProtection="1">
      <alignment vertical="center"/>
      <protection/>
    </xf>
    <xf numFmtId="189" fontId="1" fillId="41" borderId="74" xfId="0" applyNumberFormat="1" applyFont="1" applyFill="1" applyBorder="1" applyAlignment="1" applyProtection="1">
      <alignment vertical="center"/>
      <protection/>
    </xf>
    <xf numFmtId="189" fontId="1" fillId="41" borderId="75" xfId="54" applyNumberFormat="1" applyFont="1" applyFill="1" applyBorder="1" applyAlignment="1" applyProtection="1">
      <alignment vertical="center"/>
      <protection/>
    </xf>
    <xf numFmtId="189" fontId="1" fillId="41" borderId="54" xfId="0" applyNumberFormat="1" applyFont="1" applyFill="1" applyBorder="1" applyAlignment="1" applyProtection="1">
      <alignment vertical="center"/>
      <protection/>
    </xf>
    <xf numFmtId="189" fontId="1" fillId="36" borderId="76" xfId="54" applyNumberFormat="1" applyFont="1" applyFill="1" applyBorder="1" applyAlignment="1" applyProtection="1">
      <alignment vertical="center" wrapText="1"/>
      <protection/>
    </xf>
    <xf numFmtId="0" fontId="1" fillId="41" borderId="77" xfId="0" applyFont="1" applyFill="1" applyBorder="1" applyAlignment="1" applyProtection="1">
      <alignment vertical="center" wrapText="1"/>
      <protection/>
    </xf>
    <xf numFmtId="0" fontId="2" fillId="36" borderId="78" xfId="0" applyFont="1" applyFill="1" applyBorder="1" applyAlignment="1" applyProtection="1">
      <alignment vertical="center" wrapText="1"/>
      <protection/>
    </xf>
    <xf numFmtId="0" fontId="1" fillId="41" borderId="79" xfId="0" applyFont="1" applyFill="1" applyBorder="1" applyAlignment="1" applyProtection="1">
      <alignment vertical="center" wrapText="1"/>
      <protection/>
    </xf>
    <xf numFmtId="0" fontId="1" fillId="41" borderId="80" xfId="0" applyFont="1" applyFill="1" applyBorder="1" applyAlignment="1" applyProtection="1">
      <alignment vertical="center" wrapText="1"/>
      <protection/>
    </xf>
    <xf numFmtId="0" fontId="2" fillId="36" borderId="81" xfId="0" applyFont="1" applyFill="1" applyBorder="1" applyAlignment="1" applyProtection="1">
      <alignment vertical="center" wrapText="1"/>
      <protection/>
    </xf>
    <xf numFmtId="0" fontId="93" fillId="0" borderId="82" xfId="0" applyFont="1" applyBorder="1" applyAlignment="1" applyProtection="1">
      <alignment horizontal="right" vertical="center"/>
      <protection/>
    </xf>
    <xf numFmtId="0" fontId="93" fillId="0" borderId="83" xfId="0" applyFont="1" applyBorder="1" applyAlignment="1" applyProtection="1">
      <alignment horizontal="right" vertical="center"/>
      <protection/>
    </xf>
    <xf numFmtId="0" fontId="2" fillId="54" borderId="18" xfId="0" applyFont="1" applyFill="1" applyBorder="1" applyAlignment="1" applyProtection="1">
      <alignment vertical="center"/>
      <protection/>
    </xf>
    <xf numFmtId="199" fontId="1" fillId="0" borderId="18" xfId="0" applyNumberFormat="1" applyFont="1" applyBorder="1" applyAlignment="1" applyProtection="1">
      <alignment vertical="center"/>
      <protection/>
    </xf>
    <xf numFmtId="0" fontId="1" fillId="0" borderId="18" xfId="0" applyFont="1" applyBorder="1" applyAlignment="1" applyProtection="1">
      <alignment vertical="center"/>
      <protection/>
    </xf>
    <xf numFmtId="3" fontId="1" fillId="0" borderId="18" xfId="0" applyNumberFormat="1" applyFont="1" applyBorder="1" applyAlignment="1" applyProtection="1">
      <alignment horizontal="center" vertical="center"/>
      <protection/>
    </xf>
    <xf numFmtId="3" fontId="1" fillId="0" borderId="18" xfId="0" applyNumberFormat="1" applyFont="1" applyBorder="1" applyAlignment="1" applyProtection="1">
      <alignment vertical="center"/>
      <protection/>
    </xf>
    <xf numFmtId="3" fontId="2" fillId="0" borderId="18" xfId="0" applyNumberFormat="1" applyFont="1" applyBorder="1" applyAlignment="1" applyProtection="1">
      <alignment vertical="center"/>
      <protection/>
    </xf>
    <xf numFmtId="199" fontId="2" fillId="0" borderId="18" xfId="0" applyNumberFormat="1" applyFont="1" applyBorder="1" applyAlignment="1" applyProtection="1">
      <alignment vertical="center"/>
      <protection/>
    </xf>
    <xf numFmtId="211" fontId="1" fillId="0" borderId="18" xfId="0" applyNumberFormat="1" applyFont="1" applyBorder="1" applyAlignment="1" applyProtection="1">
      <alignment horizontal="right" vertical="center"/>
      <protection/>
    </xf>
    <xf numFmtId="212" fontId="0" fillId="0" borderId="0" xfId="54" applyNumberFormat="1" applyAlignment="1">
      <alignment/>
    </xf>
    <xf numFmtId="49" fontId="24" fillId="0" borderId="18" xfId="61" applyNumberFormat="1" applyFont="1" applyBorder="1">
      <alignment/>
      <protection/>
    </xf>
    <xf numFmtId="0" fontId="94" fillId="0" borderId="18" xfId="0" applyFont="1" applyBorder="1" applyAlignment="1">
      <alignment vertical="center"/>
    </xf>
    <xf numFmtId="0" fontId="95" fillId="55" borderId="18" xfId="0" applyFont="1" applyFill="1" applyBorder="1" applyAlignment="1">
      <alignment horizontal="center"/>
    </xf>
    <xf numFmtId="212" fontId="0" fillId="0" borderId="18" xfId="54" applyNumberFormat="1" applyBorder="1" applyAlignment="1">
      <alignment/>
    </xf>
    <xf numFmtId="0" fontId="0" fillId="0" borderId="18" xfId="0" applyBorder="1" applyAlignment="1">
      <alignment/>
    </xf>
    <xf numFmtId="49" fontId="24" fillId="56" borderId="18" xfId="61" applyNumberFormat="1" applyFont="1" applyFill="1" applyBorder="1">
      <alignment/>
      <protection/>
    </xf>
    <xf numFmtId="0" fontId="94" fillId="56" borderId="18" xfId="0" applyFont="1" applyFill="1" applyBorder="1" applyAlignment="1">
      <alignment vertical="center"/>
    </xf>
    <xf numFmtId="49" fontId="25" fillId="56" borderId="18" xfId="61" applyNumberFormat="1" applyFont="1" applyFill="1" applyBorder="1">
      <alignment/>
      <protection/>
    </xf>
    <xf numFmtId="0" fontId="15" fillId="16" borderId="18" xfId="0" applyFont="1" applyFill="1" applyBorder="1" applyAlignment="1">
      <alignment horizontal="center" vertical="center" wrapText="1"/>
    </xf>
    <xf numFmtId="183" fontId="6" fillId="51" borderId="18" xfId="0" applyNumberFormat="1" applyFont="1" applyFill="1" applyBorder="1" applyAlignment="1">
      <alignment/>
    </xf>
    <xf numFmtId="183" fontId="0" fillId="50" borderId="18" xfId="0" applyNumberFormat="1" applyFill="1" applyBorder="1" applyAlignment="1">
      <alignment/>
    </xf>
    <xf numFmtId="192" fontId="0" fillId="50" borderId="18" xfId="52" applyNumberFormat="1" applyFill="1" applyBorder="1" applyAlignment="1">
      <alignment/>
    </xf>
    <xf numFmtId="183" fontId="6" fillId="51" borderId="0" xfId="0" applyNumberFormat="1" applyFont="1" applyFill="1" applyBorder="1" applyAlignment="1">
      <alignment/>
    </xf>
    <xf numFmtId="0" fontId="96" fillId="0" borderId="0" xfId="0" applyFont="1" applyAlignment="1">
      <alignment/>
    </xf>
    <xf numFmtId="0" fontId="15" fillId="16" borderId="44" xfId="0" applyFont="1" applyFill="1" applyBorder="1" applyAlignment="1">
      <alignment horizontal="center" vertical="center"/>
    </xf>
    <xf numFmtId="183" fontId="6" fillId="51" borderId="44" xfId="0" applyNumberFormat="1" applyFont="1" applyFill="1" applyBorder="1" applyAlignment="1">
      <alignment/>
    </xf>
    <xf numFmtId="0" fontId="0" fillId="50" borderId="44" xfId="0" applyFill="1" applyBorder="1" applyAlignment="1">
      <alignment/>
    </xf>
    <xf numFmtId="6" fontId="0" fillId="0" borderId="0" xfId="0" applyNumberFormat="1" applyAlignment="1">
      <alignment/>
    </xf>
    <xf numFmtId="212" fontId="97" fillId="0" borderId="0" xfId="54" applyNumberFormat="1" applyFont="1" applyAlignment="1" applyProtection="1">
      <alignment vertical="center"/>
      <protection/>
    </xf>
    <xf numFmtId="0" fontId="26" fillId="0" borderId="0" xfId="0" applyFont="1" applyAlignment="1" applyProtection="1">
      <alignment vertical="center"/>
      <protection/>
    </xf>
    <xf numFmtId="212" fontId="0" fillId="38" borderId="52" xfId="54" applyNumberFormat="1" applyFill="1" applyBorder="1" applyAlignment="1" applyProtection="1">
      <alignment vertical="center"/>
      <protection/>
    </xf>
    <xf numFmtId="0" fontId="1" fillId="0" borderId="84" xfId="0" applyFont="1" applyBorder="1" applyAlignment="1" applyProtection="1">
      <alignment vertical="center"/>
      <protection/>
    </xf>
    <xf numFmtId="0" fontId="1" fillId="0" borderId="84" xfId="0" applyFont="1" applyFill="1" applyBorder="1" applyAlignment="1" applyProtection="1">
      <alignment vertical="center"/>
      <protection/>
    </xf>
    <xf numFmtId="0" fontId="2" fillId="0" borderId="84" xfId="0" applyFont="1" applyBorder="1" applyAlignment="1" applyProtection="1">
      <alignment vertical="center"/>
      <protection/>
    </xf>
    <xf numFmtId="0" fontId="96" fillId="0" borderId="0" xfId="0" applyFont="1" applyAlignment="1" applyProtection="1">
      <alignment/>
      <protection/>
    </xf>
    <xf numFmtId="0" fontId="98" fillId="0" borderId="0" xfId="0" applyFont="1" applyAlignment="1" applyProtection="1">
      <alignment/>
      <protection/>
    </xf>
    <xf numFmtId="0" fontId="93" fillId="0" borderId="83" xfId="0" applyFont="1" applyBorder="1" applyAlignment="1" applyProtection="1">
      <alignment horizontal="center" vertical="center"/>
      <protection/>
    </xf>
    <xf numFmtId="49" fontId="99" fillId="0" borderId="18" xfId="61" applyNumberFormat="1" applyFont="1" applyBorder="1">
      <alignment/>
      <protection/>
    </xf>
    <xf numFmtId="0" fontId="99" fillId="0" borderId="18" xfId="0" applyFont="1" applyBorder="1" applyAlignment="1">
      <alignment vertical="center"/>
    </xf>
    <xf numFmtId="49" fontId="24" fillId="0" borderId="18" xfId="61" applyNumberFormat="1" applyFont="1" applyFill="1" applyBorder="1">
      <alignment/>
      <protection/>
    </xf>
    <xf numFmtId="0" fontId="94" fillId="0" borderId="18" xfId="0" applyFont="1" applyFill="1" applyBorder="1" applyAlignment="1">
      <alignment vertical="center"/>
    </xf>
    <xf numFmtId="212" fontId="90" fillId="0" borderId="0" xfId="54" applyNumberFormat="1" applyFont="1" applyFill="1" applyBorder="1" applyAlignment="1" applyProtection="1">
      <alignment vertical="center"/>
      <protection/>
    </xf>
    <xf numFmtId="3" fontId="91" fillId="0" borderId="0" xfId="0" applyNumberFormat="1" applyFont="1" applyFill="1" applyBorder="1" applyAlignment="1" applyProtection="1">
      <alignment horizontal="center" vertical="center"/>
      <protection/>
    </xf>
    <xf numFmtId="0" fontId="100" fillId="0" borderId="0" xfId="0" applyFont="1" applyAlignment="1" applyProtection="1">
      <alignment vertical="center"/>
      <protection/>
    </xf>
    <xf numFmtId="0" fontId="101" fillId="0" borderId="0" xfId="0" applyFont="1" applyAlignment="1" applyProtection="1">
      <alignment horizontal="right" vertical="center"/>
      <protection/>
    </xf>
    <xf numFmtId="212" fontId="0" fillId="0" borderId="0" xfId="54" applyNumberFormat="1" applyFont="1" applyAlignment="1" applyProtection="1">
      <alignment vertical="center"/>
      <protection/>
    </xf>
    <xf numFmtId="212" fontId="0" fillId="0" borderId="0" xfId="54" applyNumberFormat="1" applyFont="1" applyFill="1" applyAlignment="1" applyProtection="1">
      <alignment vertical="center"/>
      <protection/>
    </xf>
    <xf numFmtId="212" fontId="0" fillId="39" borderId="29" xfId="54" applyNumberFormat="1" applyFont="1" applyFill="1" applyBorder="1" applyAlignment="1" applyProtection="1">
      <alignment vertical="center"/>
      <protection/>
    </xf>
    <xf numFmtId="212" fontId="0" fillId="0" borderId="0" xfId="54" applyNumberFormat="1" applyFont="1" applyAlignment="1" applyProtection="1">
      <alignment vertical="center"/>
      <protection/>
    </xf>
    <xf numFmtId="187" fontId="1" fillId="51" borderId="0" xfId="0" applyNumberFormat="1" applyFont="1" applyFill="1" applyAlignment="1" applyProtection="1">
      <alignment vertical="center"/>
      <protection/>
    </xf>
    <xf numFmtId="212" fontId="0" fillId="0" borderId="18" xfId="54" applyNumberFormat="1" applyBorder="1" applyAlignment="1" applyProtection="1">
      <alignment vertical="center"/>
      <protection/>
    </xf>
    <xf numFmtId="0" fontId="2" fillId="0" borderId="18" xfId="0" applyFont="1" applyBorder="1" applyAlignment="1" applyProtection="1">
      <alignment horizontal="center" vertical="center"/>
      <protection/>
    </xf>
    <xf numFmtId="189" fontId="1" fillId="41" borderId="85" xfId="54" applyNumberFormat="1" applyFont="1" applyFill="1" applyBorder="1" applyAlignment="1" applyProtection="1">
      <alignment vertical="center"/>
      <protection/>
    </xf>
    <xf numFmtId="189" fontId="1" fillId="36" borderId="86" xfId="54" applyNumberFormat="1" applyFont="1" applyFill="1" applyBorder="1" applyAlignment="1" applyProtection="1">
      <alignment vertical="center" wrapText="1"/>
      <protection/>
    </xf>
    <xf numFmtId="189" fontId="1" fillId="36" borderId="62" xfId="54" applyNumberFormat="1" applyFont="1" applyFill="1" applyBorder="1" applyAlignment="1" applyProtection="1">
      <alignment vertical="center" wrapText="1"/>
      <protection/>
    </xf>
    <xf numFmtId="189" fontId="1" fillId="36" borderId="63" xfId="54" applyNumberFormat="1" applyFont="1" applyFill="1" applyBorder="1" applyAlignment="1" applyProtection="1">
      <alignment vertical="center" wrapText="1"/>
      <protection/>
    </xf>
    <xf numFmtId="189" fontId="1" fillId="41" borderId="18" xfId="54" applyNumberFormat="1" applyFont="1" applyFill="1" applyBorder="1" applyAlignment="1" applyProtection="1">
      <alignment vertical="center"/>
      <protection/>
    </xf>
    <xf numFmtId="189" fontId="1" fillId="41" borderId="87" xfId="54" applyNumberFormat="1" applyFont="1" applyFill="1" applyBorder="1" applyAlignment="1" applyProtection="1">
      <alignment vertical="center"/>
      <protection/>
    </xf>
    <xf numFmtId="189" fontId="1" fillId="41" borderId="48" xfId="0" applyNumberFormat="1" applyFont="1" applyFill="1" applyBorder="1" applyAlignment="1" applyProtection="1">
      <alignment vertical="center"/>
      <protection/>
    </xf>
    <xf numFmtId="189" fontId="1" fillId="41" borderId="88" xfId="54" applyNumberFormat="1" applyFont="1" applyFill="1" applyBorder="1" applyAlignment="1" applyProtection="1">
      <alignment vertical="center"/>
      <protection/>
    </xf>
    <xf numFmtId="189" fontId="1" fillId="41" borderId="89" xfId="54" applyNumberFormat="1" applyFont="1" applyFill="1" applyBorder="1" applyAlignment="1" applyProtection="1">
      <alignment vertical="center"/>
      <protection/>
    </xf>
    <xf numFmtId="189" fontId="1" fillId="41" borderId="90" xfId="0" applyNumberFormat="1" applyFont="1" applyFill="1" applyBorder="1" applyAlignment="1" applyProtection="1">
      <alignment vertical="center"/>
      <protection/>
    </xf>
    <xf numFmtId="189" fontId="1" fillId="41" borderId="50" xfId="54" applyNumberFormat="1" applyFont="1" applyFill="1" applyBorder="1" applyAlignment="1" applyProtection="1">
      <alignment vertical="center"/>
      <protection/>
    </xf>
    <xf numFmtId="0" fontId="1" fillId="36" borderId="91" xfId="0" applyFont="1" applyFill="1" applyBorder="1" applyAlignment="1" applyProtection="1">
      <alignment vertical="center" wrapText="1"/>
      <protection/>
    </xf>
    <xf numFmtId="189" fontId="1" fillId="48" borderId="53" xfId="54" applyNumberFormat="1" applyFont="1" applyFill="1" applyBorder="1" applyAlignment="1" applyProtection="1">
      <alignment vertical="center"/>
      <protection/>
    </xf>
    <xf numFmtId="189" fontId="1" fillId="48" borderId="54" xfId="54" applyNumberFormat="1" applyFont="1" applyFill="1" applyBorder="1" applyAlignment="1" applyProtection="1">
      <alignment vertical="center"/>
      <protection/>
    </xf>
    <xf numFmtId="189" fontId="1" fillId="36" borderId="81" xfId="54" applyNumberFormat="1" applyFont="1" applyFill="1" applyBorder="1" applyAlignment="1" applyProtection="1">
      <alignment vertical="center" wrapText="1"/>
      <protection/>
    </xf>
    <xf numFmtId="189" fontId="1" fillId="36" borderId="92" xfId="54" applyNumberFormat="1" applyFont="1" applyFill="1" applyBorder="1" applyAlignment="1" applyProtection="1">
      <alignment vertical="center" wrapText="1"/>
      <protection/>
    </xf>
    <xf numFmtId="189" fontId="1" fillId="36" borderId="93" xfId="54" applyNumberFormat="1" applyFont="1" applyFill="1" applyBorder="1" applyAlignment="1" applyProtection="1">
      <alignment vertical="center" wrapText="1"/>
      <protection/>
    </xf>
    <xf numFmtId="189" fontId="1" fillId="36" borderId="94" xfId="54" applyNumberFormat="1" applyFont="1" applyFill="1" applyBorder="1" applyAlignment="1" applyProtection="1">
      <alignment vertical="center" wrapText="1"/>
      <protection/>
    </xf>
    <xf numFmtId="187" fontId="0" fillId="0" borderId="0" xfId="0" applyNumberFormat="1" applyAlignment="1" applyProtection="1">
      <alignment/>
      <protection/>
    </xf>
    <xf numFmtId="187" fontId="1" fillId="33" borderId="12" xfId="54" applyNumberFormat="1" applyFont="1" applyFill="1" applyBorder="1" applyAlignment="1" applyProtection="1">
      <alignment vertical="center"/>
      <protection/>
    </xf>
    <xf numFmtId="187" fontId="1" fillId="33" borderId="12" xfId="54" applyNumberFormat="1" applyFont="1" applyFill="1" applyBorder="1" applyAlignment="1" applyProtection="1">
      <alignment horizontal="right" vertical="center"/>
      <protection/>
    </xf>
    <xf numFmtId="0" fontId="2" fillId="34" borderId="11" xfId="0" applyFont="1" applyFill="1" applyBorder="1" applyAlignment="1" applyProtection="1">
      <alignment horizontal="center" vertical="center" wrapText="1"/>
      <protection/>
    </xf>
    <xf numFmtId="43" fontId="1" fillId="0" borderId="0" xfId="0" applyNumberFormat="1" applyFont="1" applyFill="1" applyAlignment="1" applyProtection="1">
      <alignment vertical="center"/>
      <protection/>
    </xf>
    <xf numFmtId="187" fontId="2" fillId="0" borderId="0" xfId="0" applyNumberFormat="1" applyFont="1" applyFill="1" applyAlignment="1" applyProtection="1">
      <alignment vertical="center"/>
      <protection/>
    </xf>
    <xf numFmtId="0" fontId="2" fillId="34" borderId="12" xfId="0" applyFont="1" applyFill="1" applyBorder="1" applyAlignment="1" applyProtection="1">
      <alignment horizontal="center" vertical="center"/>
      <protection/>
    </xf>
    <xf numFmtId="0" fontId="0" fillId="33" borderId="52" xfId="0" applyFont="1" applyFill="1" applyBorder="1" applyAlignment="1" applyProtection="1">
      <alignment horizontal="left" vertical="center"/>
      <protection/>
    </xf>
    <xf numFmtId="0" fontId="0" fillId="33" borderId="56" xfId="0" applyFont="1" applyFill="1" applyBorder="1" applyAlignment="1" applyProtection="1">
      <alignment horizontal="left" vertical="center"/>
      <protection/>
    </xf>
    <xf numFmtId="187" fontId="1" fillId="33" borderId="52" xfId="54" applyNumberFormat="1" applyFont="1" applyFill="1" applyBorder="1" applyAlignment="1" applyProtection="1">
      <alignment vertical="center"/>
      <protection/>
    </xf>
    <xf numFmtId="0" fontId="89" fillId="0" borderId="0" xfId="0" applyFont="1" applyAlignment="1">
      <alignment horizontal="center" vertical="center" wrapText="1"/>
    </xf>
    <xf numFmtId="218" fontId="89" fillId="0" borderId="0" xfId="54" applyNumberFormat="1" applyFont="1" applyAlignment="1">
      <alignment horizontal="center" vertical="center" wrapText="1"/>
    </xf>
    <xf numFmtId="218" fontId="0" fillId="0" borderId="0" xfId="54" applyNumberFormat="1" applyFont="1" applyAlignment="1">
      <alignment/>
    </xf>
    <xf numFmtId="218" fontId="89" fillId="0" borderId="83" xfId="0" applyNumberFormat="1" applyFont="1" applyBorder="1" applyAlignment="1">
      <alignment/>
    </xf>
    <xf numFmtId="218" fontId="0" fillId="0" borderId="0" xfId="0" applyNumberFormat="1" applyAlignment="1">
      <alignment/>
    </xf>
    <xf numFmtId="9" fontId="0" fillId="0" borderId="0" xfId="0" applyNumberFormat="1" applyAlignment="1">
      <alignment/>
    </xf>
    <xf numFmtId="0" fontId="15" fillId="0" borderId="0" xfId="0" applyFont="1" applyAlignment="1">
      <alignment/>
    </xf>
    <xf numFmtId="218" fontId="15" fillId="0" borderId="0" xfId="0" applyNumberFormat="1" applyFont="1" applyAlignment="1">
      <alignment/>
    </xf>
    <xf numFmtId="9" fontId="15" fillId="0" borderId="0" xfId="0" applyNumberFormat="1" applyFont="1" applyAlignment="1">
      <alignment/>
    </xf>
    <xf numFmtId="212" fontId="15" fillId="0" borderId="0" xfId="54" applyNumberFormat="1" applyFont="1" applyAlignment="1">
      <alignment/>
    </xf>
    <xf numFmtId="187" fontId="2" fillId="34" borderId="56" xfId="0" applyNumberFormat="1" applyFont="1" applyFill="1" applyBorder="1" applyAlignment="1" applyProtection="1">
      <alignment vertical="center"/>
      <protection/>
    </xf>
    <xf numFmtId="0" fontId="0" fillId="33" borderId="95"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2" fillId="57" borderId="87" xfId="0" applyFont="1" applyFill="1" applyBorder="1" applyAlignment="1" applyProtection="1">
      <alignment horizontal="center" vertical="center"/>
      <protection/>
    </xf>
    <xf numFmtId="0" fontId="2" fillId="57" borderId="48" xfId="0" applyFont="1" applyFill="1" applyBorder="1" applyAlignment="1" applyProtection="1">
      <alignment horizontal="center" vertical="center"/>
      <protection/>
    </xf>
    <xf numFmtId="0" fontId="2" fillId="50" borderId="33" xfId="0" applyFont="1" applyFill="1" applyBorder="1" applyAlignment="1" applyProtection="1">
      <alignment horizontal="center" vertical="center"/>
      <protection/>
    </xf>
    <xf numFmtId="0" fontId="2" fillId="50" borderId="96" xfId="0" applyFont="1" applyFill="1" applyBorder="1" applyAlignment="1" applyProtection="1">
      <alignment horizontal="center" vertical="center"/>
      <protection/>
    </xf>
    <xf numFmtId="0" fontId="4" fillId="58" borderId="19" xfId="0" applyFont="1" applyFill="1" applyBorder="1" applyAlignment="1" applyProtection="1">
      <alignment horizontal="center" vertical="center"/>
      <protection/>
    </xf>
    <xf numFmtId="218" fontId="1" fillId="0" borderId="0" xfId="0" applyNumberFormat="1" applyFont="1" applyAlignment="1" applyProtection="1">
      <alignment vertical="center"/>
      <protection/>
    </xf>
    <xf numFmtId="187" fontId="1" fillId="59" borderId="11" xfId="54" applyNumberFormat="1" applyFont="1" applyFill="1" applyBorder="1" applyAlignment="1" applyProtection="1">
      <alignment vertical="center"/>
      <protection/>
    </xf>
    <xf numFmtId="6" fontId="1" fillId="59" borderId="15" xfId="54" applyNumberFormat="1" applyFont="1" applyFill="1" applyBorder="1" applyAlignment="1" applyProtection="1">
      <alignment vertical="center"/>
      <protection/>
    </xf>
    <xf numFmtId="6" fontId="16" fillId="59" borderId="15" xfId="54" applyNumberFormat="1" applyFont="1" applyFill="1" applyBorder="1" applyAlignment="1" applyProtection="1">
      <alignment vertical="center"/>
      <protection/>
    </xf>
    <xf numFmtId="187" fontId="1" fillId="59" borderId="12" xfId="54" applyNumberFormat="1" applyFont="1" applyFill="1" applyBorder="1" applyAlignment="1" applyProtection="1">
      <alignment vertical="center"/>
      <protection/>
    </xf>
    <xf numFmtId="6" fontId="2" fillId="35" borderId="0" xfId="0" applyNumberFormat="1" applyFont="1" applyFill="1" applyAlignment="1" applyProtection="1">
      <alignment vertical="center"/>
      <protection/>
    </xf>
    <xf numFmtId="212" fontId="0" fillId="35" borderId="0" xfId="54" applyNumberFormat="1" applyFill="1" applyBorder="1" applyAlignment="1" applyProtection="1">
      <alignment vertical="center"/>
      <protection/>
    </xf>
    <xf numFmtId="212" fontId="0" fillId="35" borderId="0" xfId="54" applyNumberFormat="1" applyFill="1" applyAlignment="1" applyProtection="1">
      <alignment vertical="center"/>
      <protection/>
    </xf>
    <xf numFmtId="212" fontId="0" fillId="0" borderId="0" xfId="54" applyNumberFormat="1" applyFill="1" applyBorder="1" applyAlignment="1" applyProtection="1">
      <alignment vertical="center"/>
      <protection/>
    </xf>
    <xf numFmtId="212" fontId="0" fillId="0" borderId="0" xfId="54" applyNumberFormat="1" applyFill="1" applyAlignment="1" applyProtection="1">
      <alignment vertical="center"/>
      <protection/>
    </xf>
    <xf numFmtId="6" fontId="16" fillId="33" borderId="15" xfId="54" applyNumberFormat="1" applyFont="1" applyFill="1" applyBorder="1" applyAlignment="1" applyProtection="1">
      <alignment vertical="center"/>
      <protection/>
    </xf>
    <xf numFmtId="6" fontId="1" fillId="33" borderId="15" xfId="54" applyNumberFormat="1" applyFont="1" applyFill="1" applyBorder="1" applyAlignment="1" applyProtection="1">
      <alignment vertical="center"/>
      <protection/>
    </xf>
    <xf numFmtId="6" fontId="15" fillId="0" borderId="11" xfId="54" applyNumberFormat="1" applyFont="1" applyFill="1" applyBorder="1" applyAlignment="1" applyProtection="1">
      <alignment vertical="center"/>
      <protection/>
    </xf>
    <xf numFmtId="0" fontId="15" fillId="0" borderId="0" xfId="0" applyFont="1" applyAlignment="1" applyProtection="1">
      <alignment horizontal="center"/>
      <protection/>
    </xf>
    <xf numFmtId="212" fontId="0" fillId="56" borderId="18" xfId="54" applyNumberFormat="1" applyFill="1" applyBorder="1" applyAlignment="1" applyProtection="1">
      <alignment vertical="center"/>
      <protection/>
    </xf>
    <xf numFmtId="212" fontId="0" fillId="56" borderId="97" xfId="54" applyNumberFormat="1" applyFill="1" applyBorder="1" applyAlignment="1" applyProtection="1">
      <alignment vertical="center"/>
      <protection/>
    </xf>
    <xf numFmtId="212" fontId="0" fillId="56" borderId="98" xfId="54" applyNumberFormat="1" applyFill="1" applyBorder="1" applyAlignment="1" applyProtection="1">
      <alignment vertical="center"/>
      <protection/>
    </xf>
    <xf numFmtId="212" fontId="0" fillId="56" borderId="48" xfId="54" applyNumberFormat="1" applyFill="1" applyBorder="1" applyAlignment="1" applyProtection="1">
      <alignment vertical="center"/>
      <protection/>
    </xf>
    <xf numFmtId="212" fontId="0" fillId="56" borderId="17" xfId="54" applyNumberFormat="1" applyFill="1" applyBorder="1" applyAlignment="1" applyProtection="1">
      <alignment vertical="center"/>
      <protection/>
    </xf>
    <xf numFmtId="212" fontId="0" fillId="56" borderId="96" xfId="54" applyNumberFormat="1" applyFill="1" applyBorder="1" applyAlignment="1" applyProtection="1">
      <alignment vertical="center"/>
      <protection/>
    </xf>
    <xf numFmtId="212" fontId="0" fillId="56" borderId="97" xfId="54" applyNumberFormat="1" applyFont="1" applyFill="1" applyBorder="1" applyAlignment="1" applyProtection="1">
      <alignment vertical="center"/>
      <protection/>
    </xf>
    <xf numFmtId="212" fontId="0" fillId="56" borderId="98" xfId="54" applyNumberFormat="1" applyFont="1" applyFill="1" applyBorder="1" applyAlignment="1" applyProtection="1">
      <alignment vertical="center"/>
      <protection/>
    </xf>
    <xf numFmtId="212" fontId="0" fillId="0" borderId="97" xfId="54" applyNumberFormat="1" applyBorder="1" applyAlignment="1" applyProtection="1">
      <alignment vertical="center"/>
      <protection/>
    </xf>
    <xf numFmtId="212" fontId="0" fillId="0" borderId="98" xfId="54" applyNumberFormat="1" applyBorder="1" applyAlignment="1" applyProtection="1">
      <alignment vertical="center"/>
      <protection/>
    </xf>
    <xf numFmtId="212" fontId="0" fillId="56" borderId="39" xfId="54" applyNumberFormat="1" applyFill="1" applyBorder="1" applyAlignment="1" applyProtection="1">
      <alignment vertical="center"/>
      <protection/>
    </xf>
    <xf numFmtId="212" fontId="0" fillId="56" borderId="87" xfId="54" applyNumberFormat="1" applyFill="1" applyBorder="1" applyAlignment="1" applyProtection="1">
      <alignment vertical="center"/>
      <protection/>
    </xf>
    <xf numFmtId="212" fontId="0" fillId="56" borderId="33" xfId="54" applyNumberFormat="1" applyFill="1" applyBorder="1" applyAlignment="1" applyProtection="1">
      <alignment vertical="center"/>
      <protection/>
    </xf>
    <xf numFmtId="212" fontId="0" fillId="0" borderId="39" xfId="54" applyNumberFormat="1" applyBorder="1" applyAlignment="1" applyProtection="1">
      <alignment vertical="center"/>
      <protection/>
    </xf>
    <xf numFmtId="212" fontId="0" fillId="0" borderId="87" xfId="54" applyNumberFormat="1" applyBorder="1" applyAlignment="1" applyProtection="1">
      <alignment vertical="center"/>
      <protection/>
    </xf>
    <xf numFmtId="212" fontId="0" fillId="0" borderId="33" xfId="54" applyNumberFormat="1" applyBorder="1" applyAlignment="1" applyProtection="1">
      <alignment vertical="center"/>
      <protection/>
    </xf>
    <xf numFmtId="212" fontId="0" fillId="56" borderId="39" xfId="54" applyNumberFormat="1" applyFont="1" applyFill="1" applyBorder="1" applyAlignment="1" applyProtection="1">
      <alignment vertical="center"/>
      <protection/>
    </xf>
    <xf numFmtId="0" fontId="1" fillId="1" borderId="18" xfId="0" applyFont="1" applyFill="1" applyBorder="1" applyAlignment="1" applyProtection="1">
      <alignment vertical="center"/>
      <protection/>
    </xf>
    <xf numFmtId="0" fontId="1" fillId="1" borderId="48" xfId="0" applyFont="1" applyFill="1" applyBorder="1" applyAlignment="1" applyProtection="1">
      <alignment vertical="center"/>
      <protection/>
    </xf>
    <xf numFmtId="0" fontId="1" fillId="1" borderId="17" xfId="0" applyFont="1" applyFill="1" applyBorder="1" applyAlignment="1" applyProtection="1">
      <alignment vertical="center"/>
      <protection/>
    </xf>
    <xf numFmtId="0" fontId="1" fillId="1" borderId="96" xfId="0" applyFont="1" applyFill="1" applyBorder="1" applyAlignment="1" applyProtection="1">
      <alignment vertical="center"/>
      <protection/>
    </xf>
    <xf numFmtId="0" fontId="1" fillId="60" borderId="18" xfId="0" applyFont="1" applyFill="1" applyBorder="1" applyAlignment="1" applyProtection="1">
      <alignment vertical="center"/>
      <protection/>
    </xf>
    <xf numFmtId="0" fontId="1" fillId="60" borderId="48" xfId="0" applyFont="1" applyFill="1" applyBorder="1" applyAlignment="1" applyProtection="1">
      <alignment vertical="center"/>
      <protection/>
    </xf>
    <xf numFmtId="0" fontId="1" fillId="60" borderId="17" xfId="0" applyFont="1" applyFill="1" applyBorder="1" applyAlignment="1" applyProtection="1">
      <alignment vertical="center"/>
      <protection/>
    </xf>
    <xf numFmtId="0" fontId="1" fillId="60" borderId="96" xfId="0" applyFont="1" applyFill="1" applyBorder="1" applyAlignment="1" applyProtection="1">
      <alignment vertical="center"/>
      <protection/>
    </xf>
    <xf numFmtId="0" fontId="1" fillId="40" borderId="99" xfId="0" applyFont="1" applyFill="1" applyBorder="1" applyAlignment="1" applyProtection="1">
      <alignment horizontal="center" vertical="center" wrapText="1"/>
      <protection/>
    </xf>
    <xf numFmtId="0" fontId="1" fillId="40" borderId="100" xfId="0" applyFont="1" applyFill="1" applyBorder="1" applyAlignment="1" applyProtection="1">
      <alignment horizontal="center" vertical="center" wrapText="1"/>
      <protection/>
    </xf>
    <xf numFmtId="3" fontId="1" fillId="48" borderId="101" xfId="54" applyNumberFormat="1" applyFont="1" applyFill="1" applyBorder="1" applyAlignment="1" applyProtection="1">
      <alignment vertical="center"/>
      <protection/>
    </xf>
    <xf numFmtId="3" fontId="1" fillId="48" borderId="102" xfId="54" applyNumberFormat="1" applyFont="1" applyFill="1" applyBorder="1" applyAlignment="1" applyProtection="1">
      <alignment vertical="center"/>
      <protection/>
    </xf>
    <xf numFmtId="3" fontId="1" fillId="48" borderId="56" xfId="54" applyNumberFormat="1" applyFont="1" applyFill="1" applyBorder="1" applyAlignment="1" applyProtection="1">
      <alignment vertical="center"/>
      <protection/>
    </xf>
    <xf numFmtId="189" fontId="1" fillId="36" borderId="103" xfId="54" applyNumberFormat="1" applyFont="1" applyFill="1" applyBorder="1" applyAlignment="1" applyProtection="1">
      <alignment vertical="center" wrapText="1"/>
      <protection/>
    </xf>
    <xf numFmtId="3" fontId="1" fillId="48" borderId="104" xfId="54" applyNumberFormat="1" applyFont="1" applyFill="1" applyBorder="1" applyAlignment="1" applyProtection="1">
      <alignment vertical="center"/>
      <protection/>
    </xf>
    <xf numFmtId="3" fontId="1" fillId="48" borderId="105" xfId="54" applyNumberFormat="1" applyFont="1" applyFill="1" applyBorder="1" applyAlignment="1" applyProtection="1">
      <alignment vertical="center"/>
      <protection/>
    </xf>
    <xf numFmtId="3" fontId="1" fillId="48" borderId="0" xfId="54" applyNumberFormat="1" applyFont="1" applyFill="1" applyBorder="1" applyAlignment="1" applyProtection="1">
      <alignment vertical="center"/>
      <protection/>
    </xf>
    <xf numFmtId="3" fontId="1" fillId="48" borderId="106" xfId="54" applyNumberFormat="1" applyFont="1" applyFill="1" applyBorder="1" applyAlignment="1" applyProtection="1">
      <alignment vertical="center"/>
      <protection/>
    </xf>
    <xf numFmtId="189" fontId="1" fillId="36" borderId="107" xfId="54" applyNumberFormat="1" applyFont="1" applyFill="1" applyBorder="1" applyAlignment="1" applyProtection="1">
      <alignment vertical="center" wrapText="1"/>
      <protection/>
    </xf>
    <xf numFmtId="3" fontId="1" fillId="48" borderId="42" xfId="54" applyNumberFormat="1" applyFont="1" applyFill="1" applyBorder="1" applyAlignment="1" applyProtection="1">
      <alignment vertical="center"/>
      <protection/>
    </xf>
    <xf numFmtId="0" fontId="1" fillId="36" borderId="108" xfId="0" applyFont="1" applyFill="1" applyBorder="1" applyAlignment="1" applyProtection="1">
      <alignment horizontal="center" vertical="center" wrapText="1"/>
      <protection/>
    </xf>
    <xf numFmtId="189" fontId="1" fillId="48" borderId="109" xfId="54" applyNumberFormat="1" applyFont="1" applyFill="1" applyBorder="1" applyAlignment="1" applyProtection="1">
      <alignment vertical="center"/>
      <protection/>
    </xf>
    <xf numFmtId="189" fontId="1" fillId="48" borderId="44" xfId="54" applyNumberFormat="1" applyFont="1" applyFill="1" applyBorder="1" applyAlignment="1" applyProtection="1">
      <alignment vertical="center"/>
      <protection/>
    </xf>
    <xf numFmtId="189" fontId="1" fillId="48" borderId="69" xfId="54" applyNumberFormat="1" applyFont="1" applyFill="1" applyBorder="1" applyAlignment="1" applyProtection="1">
      <alignment vertical="center"/>
      <protection/>
    </xf>
    <xf numFmtId="189" fontId="1" fillId="48" borderId="10" xfId="54" applyNumberFormat="1" applyFont="1" applyFill="1" applyBorder="1" applyAlignment="1" applyProtection="1">
      <alignment vertical="center"/>
      <protection/>
    </xf>
    <xf numFmtId="189" fontId="1" fillId="41" borderId="10" xfId="54" applyNumberFormat="1" applyFont="1" applyFill="1" applyBorder="1" applyAlignment="1" applyProtection="1">
      <alignment vertical="center"/>
      <protection/>
    </xf>
    <xf numFmtId="189" fontId="1" fillId="36" borderId="110" xfId="54" applyNumberFormat="1" applyFont="1" applyFill="1" applyBorder="1" applyAlignment="1" applyProtection="1">
      <alignment vertical="center" wrapText="1"/>
      <protection/>
    </xf>
    <xf numFmtId="189" fontId="1" fillId="48" borderId="51" xfId="54" applyNumberFormat="1" applyFont="1" applyFill="1" applyBorder="1" applyAlignment="1" applyProtection="1">
      <alignment vertical="center"/>
      <protection/>
    </xf>
    <xf numFmtId="0" fontId="2" fillId="40" borderId="111" xfId="0" applyFont="1" applyFill="1" applyBorder="1" applyAlignment="1" applyProtection="1">
      <alignment horizontal="center" vertical="center" wrapText="1"/>
      <protection/>
    </xf>
    <xf numFmtId="0" fontId="1" fillId="34" borderId="112" xfId="0" applyFont="1" applyFill="1" applyBorder="1" applyAlignment="1" applyProtection="1">
      <alignment horizontal="center" vertical="center" wrapText="1"/>
      <protection/>
    </xf>
    <xf numFmtId="189" fontId="1" fillId="41" borderId="113" xfId="0" applyNumberFormat="1" applyFont="1" applyFill="1" applyBorder="1" applyAlignment="1" applyProtection="1">
      <alignment vertical="center"/>
      <protection/>
    </xf>
    <xf numFmtId="189" fontId="1" fillId="36" borderId="114" xfId="54" applyNumberFormat="1" applyFont="1" applyFill="1" applyBorder="1" applyAlignment="1" applyProtection="1">
      <alignment vertical="center" wrapText="1"/>
      <protection/>
    </xf>
    <xf numFmtId="189" fontId="1" fillId="36" borderId="115" xfId="54" applyNumberFormat="1" applyFont="1" applyFill="1" applyBorder="1" applyAlignment="1" applyProtection="1">
      <alignment vertical="center" wrapText="1"/>
      <protection/>
    </xf>
    <xf numFmtId="189" fontId="1" fillId="41" borderId="116" xfId="0" applyNumberFormat="1" applyFont="1" applyFill="1" applyBorder="1" applyAlignment="1" applyProtection="1">
      <alignment vertical="center"/>
      <protection/>
    </xf>
    <xf numFmtId="189" fontId="1" fillId="36" borderId="113" xfId="54" applyNumberFormat="1" applyFont="1" applyFill="1" applyBorder="1" applyAlignment="1" applyProtection="1">
      <alignment vertical="center" wrapText="1"/>
      <protection/>
    </xf>
    <xf numFmtId="189" fontId="1" fillId="36" borderId="117" xfId="54" applyNumberFormat="1" applyFont="1" applyFill="1" applyBorder="1" applyAlignment="1" applyProtection="1">
      <alignment vertical="center" wrapText="1"/>
      <protection/>
    </xf>
    <xf numFmtId="189" fontId="1" fillId="41" borderId="117" xfId="0" applyNumberFormat="1" applyFont="1" applyFill="1" applyBorder="1" applyAlignment="1" applyProtection="1">
      <alignment vertical="center"/>
      <protection/>
    </xf>
    <xf numFmtId="189" fontId="1" fillId="41" borderId="118" xfId="0" applyNumberFormat="1" applyFont="1" applyFill="1" applyBorder="1" applyAlignment="1" applyProtection="1">
      <alignment vertical="center"/>
      <protection/>
    </xf>
    <xf numFmtId="189" fontId="1" fillId="36" borderId="119" xfId="54" applyNumberFormat="1" applyFont="1" applyFill="1" applyBorder="1" applyAlignment="1" applyProtection="1">
      <alignment vertical="center" wrapText="1"/>
      <protection/>
    </xf>
    <xf numFmtId="212" fontId="0" fillId="0" borderId="18" xfId="54" applyNumberFormat="1" applyFont="1" applyBorder="1" applyAlignment="1" applyProtection="1">
      <alignment vertical="center"/>
      <protection/>
    </xf>
    <xf numFmtId="212" fontId="24" fillId="0" borderId="0" xfId="54" applyNumberFormat="1" applyFont="1" applyAlignment="1" applyProtection="1">
      <alignment vertical="center"/>
      <protection/>
    </xf>
    <xf numFmtId="0" fontId="1" fillId="0" borderId="0" xfId="0" applyFont="1" applyAlignment="1" applyProtection="1">
      <alignment vertical="center" wrapText="1"/>
      <protection/>
    </xf>
    <xf numFmtId="187" fontId="4" fillId="61" borderId="99" xfId="54" applyNumberFormat="1" applyFont="1" applyFill="1" applyBorder="1" applyAlignment="1" applyProtection="1">
      <alignment horizontal="center" vertical="center"/>
      <protection/>
    </xf>
    <xf numFmtId="0" fontId="20" fillId="62" borderId="120" xfId="0" applyFont="1" applyFill="1" applyBorder="1" applyAlignment="1" applyProtection="1">
      <alignment horizontal="left" vertical="center"/>
      <protection/>
    </xf>
    <xf numFmtId="0" fontId="20" fillId="62" borderId="46" xfId="0" applyFont="1" applyFill="1" applyBorder="1" applyAlignment="1" applyProtection="1">
      <alignment horizontal="left" vertical="center"/>
      <protection/>
    </xf>
    <xf numFmtId="0" fontId="90" fillId="0" borderId="0" xfId="0" applyFont="1" applyBorder="1" applyAlignment="1" applyProtection="1">
      <alignment vertical="center"/>
      <protection/>
    </xf>
    <xf numFmtId="187" fontId="4" fillId="61" borderId="0" xfId="54" applyNumberFormat="1" applyFont="1" applyFill="1" applyBorder="1" applyAlignment="1" applyProtection="1">
      <alignment horizontal="center" vertical="center"/>
      <protection/>
    </xf>
    <xf numFmtId="0" fontId="93" fillId="0" borderId="0" xfId="0" applyFont="1" applyBorder="1" applyAlignment="1" applyProtection="1">
      <alignment horizontal="right" vertical="center"/>
      <protection/>
    </xf>
    <xf numFmtId="0" fontId="93" fillId="0" borderId="0" xfId="0" applyFont="1" applyBorder="1" applyAlignment="1" applyProtection="1">
      <alignment horizontal="center" vertical="center"/>
      <protection/>
    </xf>
    <xf numFmtId="187" fontId="1" fillId="0" borderId="0" xfId="0" applyNumberFormat="1" applyFont="1" applyFill="1" applyBorder="1" applyAlignment="1" applyProtection="1">
      <alignment vertical="center"/>
      <protection/>
    </xf>
    <xf numFmtId="0" fontId="0" fillId="33" borderId="15" xfId="0" applyFont="1" applyFill="1" applyBorder="1" applyAlignment="1" applyProtection="1">
      <alignment horizontal="left" vertical="center"/>
      <protection/>
    </xf>
    <xf numFmtId="0" fontId="0" fillId="33" borderId="99" xfId="0" applyFont="1" applyFill="1" applyBorder="1" applyAlignment="1" applyProtection="1">
      <alignment horizontal="left" vertical="center"/>
      <protection/>
    </xf>
    <xf numFmtId="0" fontId="0" fillId="33" borderId="14" xfId="0" applyFont="1" applyFill="1" applyBorder="1" applyAlignment="1" applyProtection="1">
      <alignment horizontal="left" vertical="center"/>
      <protection/>
    </xf>
    <xf numFmtId="0" fontId="0" fillId="33" borderId="15" xfId="0" applyFont="1" applyFill="1" applyBorder="1" applyAlignment="1" applyProtection="1">
      <alignment vertical="center"/>
      <protection/>
    </xf>
    <xf numFmtId="0" fontId="0" fillId="33" borderId="99"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8" fillId="0" borderId="0" xfId="0" applyFont="1" applyBorder="1" applyAlignment="1" applyProtection="1">
      <alignment vertical="center"/>
      <protection/>
    </xf>
    <xf numFmtId="187" fontId="8" fillId="34" borderId="12" xfId="54" applyNumberFormat="1" applyFont="1" applyFill="1" applyBorder="1" applyAlignment="1" applyProtection="1">
      <alignment vertical="center"/>
      <protection/>
    </xf>
    <xf numFmtId="0" fontId="8" fillId="34" borderId="11" xfId="0" applyFont="1" applyFill="1" applyBorder="1" applyAlignment="1" applyProtection="1">
      <alignment horizontal="center" vertical="center"/>
      <protection/>
    </xf>
    <xf numFmtId="0" fontId="30" fillId="33" borderId="11" xfId="0" applyFont="1" applyFill="1" applyBorder="1" applyAlignment="1" applyProtection="1">
      <alignment vertical="center"/>
      <protection/>
    </xf>
    <xf numFmtId="187" fontId="7" fillId="33" borderId="11" xfId="54" applyNumberFormat="1" applyFont="1" applyFill="1" applyBorder="1" applyAlignment="1" applyProtection="1">
      <alignment vertical="center"/>
      <protection/>
    </xf>
    <xf numFmtId="6" fontId="31" fillId="33" borderId="15" xfId="54" applyNumberFormat="1" applyFont="1" applyFill="1" applyBorder="1" applyAlignment="1" applyProtection="1">
      <alignment vertical="center"/>
      <protection/>
    </xf>
    <xf numFmtId="0" fontId="102" fillId="0" borderId="0" xfId="0" applyFont="1" applyAlignment="1" applyProtection="1">
      <alignment/>
      <protection/>
    </xf>
    <xf numFmtId="212" fontId="30" fillId="0" borderId="0" xfId="54" applyNumberFormat="1" applyFont="1" applyAlignment="1" applyProtection="1">
      <alignment vertical="center"/>
      <protection/>
    </xf>
    <xf numFmtId="0" fontId="30" fillId="33" borderId="15" xfId="0" applyFont="1" applyFill="1" applyBorder="1" applyAlignment="1" applyProtection="1">
      <alignment horizontal="left" vertical="center"/>
      <protection/>
    </xf>
    <xf numFmtId="6" fontId="7" fillId="33" borderId="15" xfId="54" applyNumberFormat="1" applyFont="1" applyFill="1" applyBorder="1" applyAlignment="1" applyProtection="1">
      <alignment vertical="center"/>
      <protection/>
    </xf>
    <xf numFmtId="0" fontId="8" fillId="34" borderId="18" xfId="0" applyFont="1" applyFill="1" applyBorder="1" applyAlignment="1" applyProtection="1">
      <alignment vertical="center"/>
      <protection/>
    </xf>
    <xf numFmtId="187" fontId="8" fillId="34" borderId="11" xfId="54" applyNumberFormat="1" applyFont="1" applyFill="1" applyBorder="1" applyAlignment="1" applyProtection="1">
      <alignment vertical="center"/>
      <protection/>
    </xf>
    <xf numFmtId="187" fontId="8" fillId="35" borderId="0" xfId="54" applyNumberFormat="1" applyFont="1" applyFill="1" applyBorder="1" applyAlignment="1" applyProtection="1">
      <alignment vertical="center"/>
      <protection/>
    </xf>
    <xf numFmtId="187" fontId="8" fillId="35" borderId="15" xfId="54" applyNumberFormat="1" applyFont="1" applyFill="1" applyBorder="1" applyAlignment="1" applyProtection="1">
      <alignment horizontal="center" vertical="center"/>
      <protection/>
    </xf>
    <xf numFmtId="0" fontId="29" fillId="0" borderId="0" xfId="0" applyFont="1" applyAlignment="1" applyProtection="1">
      <alignment horizontal="left"/>
      <protection/>
    </xf>
    <xf numFmtId="6" fontId="28" fillId="34" borderId="80" xfId="54" applyNumberFormat="1" applyFont="1" applyFill="1" applyBorder="1" applyAlignment="1" applyProtection="1">
      <alignment vertical="center"/>
      <protection/>
    </xf>
    <xf numFmtId="6" fontId="8" fillId="63" borderId="19" xfId="54" applyNumberFormat="1" applyFont="1" applyFill="1" applyBorder="1" applyAlignment="1" applyProtection="1">
      <alignment vertical="center"/>
      <protection/>
    </xf>
    <xf numFmtId="0" fontId="8" fillId="34" borderId="15" xfId="0" applyFont="1" applyFill="1" applyBorder="1" applyAlignment="1" applyProtection="1">
      <alignment horizontal="center" vertical="center"/>
      <protection/>
    </xf>
    <xf numFmtId="187" fontId="7" fillId="33" borderId="12" xfId="54" applyNumberFormat="1" applyFont="1" applyFill="1" applyBorder="1" applyAlignment="1" applyProtection="1">
      <alignment vertical="center"/>
      <protection/>
    </xf>
    <xf numFmtId="6" fontId="31" fillId="33" borderId="52" xfId="54" applyNumberFormat="1" applyFont="1" applyFill="1" applyBorder="1" applyAlignment="1" applyProtection="1">
      <alignment vertical="center"/>
      <protection/>
    </xf>
    <xf numFmtId="0" fontId="8" fillId="34" borderId="18" xfId="0" applyFont="1" applyFill="1" applyBorder="1" applyAlignment="1" applyProtection="1">
      <alignment horizontal="center" vertical="center"/>
      <protection/>
    </xf>
    <xf numFmtId="0" fontId="91" fillId="54" borderId="18" xfId="0" applyFont="1" applyFill="1" applyBorder="1" applyAlignment="1" applyProtection="1">
      <alignment vertical="center"/>
      <protection/>
    </xf>
    <xf numFmtId="199" fontId="90" fillId="0" borderId="18" xfId="0" applyNumberFormat="1" applyFont="1" applyBorder="1" applyAlignment="1" applyProtection="1">
      <alignment vertical="center"/>
      <protection/>
    </xf>
    <xf numFmtId="3" fontId="90" fillId="0" borderId="18" xfId="0" applyNumberFormat="1" applyFont="1" applyBorder="1" applyAlignment="1" applyProtection="1">
      <alignment vertical="center"/>
      <protection/>
    </xf>
    <xf numFmtId="3" fontId="91" fillId="0" borderId="18" xfId="0" applyNumberFormat="1" applyFont="1" applyBorder="1" applyAlignment="1" applyProtection="1">
      <alignment vertical="center"/>
      <protection/>
    </xf>
    <xf numFmtId="199" fontId="91" fillId="0" borderId="18" xfId="0" applyNumberFormat="1" applyFont="1" applyBorder="1" applyAlignment="1" applyProtection="1">
      <alignment vertical="center"/>
      <protection/>
    </xf>
    <xf numFmtId="187" fontId="91" fillId="40" borderId="11" xfId="54" applyNumberFormat="1" applyFont="1" applyFill="1" applyBorder="1" applyAlignment="1" applyProtection="1">
      <alignment vertical="center"/>
      <protection/>
    </xf>
    <xf numFmtId="0" fontId="90" fillId="0" borderId="0" xfId="0" applyFont="1" applyFill="1" applyAlignment="1" applyProtection="1">
      <alignment vertical="center"/>
      <protection/>
    </xf>
    <xf numFmtId="190" fontId="90" fillId="0" borderId="11" xfId="52" applyFont="1" applyFill="1" applyBorder="1" applyAlignment="1" applyProtection="1">
      <alignment vertical="center"/>
      <protection/>
    </xf>
    <xf numFmtId="187" fontId="91" fillId="39" borderId="11" xfId="54" applyNumberFormat="1" applyFont="1" applyFill="1" applyBorder="1" applyAlignment="1" applyProtection="1">
      <alignment vertical="center"/>
      <protection/>
    </xf>
    <xf numFmtId="212" fontId="97" fillId="0" borderId="18" xfId="54" applyNumberFormat="1" applyFont="1" applyBorder="1" applyAlignment="1" applyProtection="1">
      <alignment vertical="center"/>
      <protection/>
    </xf>
    <xf numFmtId="0" fontId="90" fillId="0" borderId="0" xfId="0" applyFont="1" applyAlignment="1" applyProtection="1">
      <alignment vertical="center" wrapText="1"/>
      <protection/>
    </xf>
    <xf numFmtId="0" fontId="32" fillId="0" borderId="82" xfId="0" applyFont="1" applyBorder="1" applyAlignment="1" applyProtection="1">
      <alignment horizontal="right" vertical="center"/>
      <protection/>
    </xf>
    <xf numFmtId="0" fontId="32" fillId="0" borderId="83" xfId="0" applyFont="1" applyBorder="1" applyAlignment="1" applyProtection="1">
      <alignment horizontal="right" vertical="center"/>
      <protection/>
    </xf>
    <xf numFmtId="212" fontId="103" fillId="51" borderId="0" xfId="54" applyNumberFormat="1" applyFont="1" applyFill="1" applyAlignment="1" applyProtection="1">
      <alignment vertical="center"/>
      <protection/>
    </xf>
    <xf numFmtId="0" fontId="104" fillId="0" borderId="83" xfId="0" applyFont="1" applyBorder="1" applyAlignment="1" applyProtection="1">
      <alignment horizontal="center" vertical="center"/>
      <protection/>
    </xf>
    <xf numFmtId="0" fontId="91" fillId="0" borderId="18" xfId="0" applyFont="1" applyBorder="1" applyAlignment="1" applyProtection="1">
      <alignment horizontal="center" vertical="center"/>
      <protection/>
    </xf>
    <xf numFmtId="199" fontId="1" fillId="0" borderId="18" xfId="58" applyNumberFormat="1" applyFont="1" applyBorder="1" applyAlignment="1" applyProtection="1">
      <alignment vertical="center"/>
      <protection/>
    </xf>
    <xf numFmtId="199" fontId="1" fillId="0" borderId="0" xfId="0" applyNumberFormat="1" applyFont="1" applyFill="1" applyBorder="1" applyAlignment="1" applyProtection="1">
      <alignment horizontal="center" vertical="center"/>
      <protection/>
    </xf>
    <xf numFmtId="0" fontId="8" fillId="34" borderId="28" xfId="0" applyFont="1" applyFill="1" applyBorder="1" applyAlignment="1" applyProtection="1">
      <alignment horizontal="center" vertical="center"/>
      <protection/>
    </xf>
    <xf numFmtId="0" fontId="8" fillId="34" borderId="77" xfId="0" applyFont="1" applyFill="1" applyBorder="1" applyAlignment="1" applyProtection="1">
      <alignment horizontal="center" vertical="center"/>
      <protection/>
    </xf>
    <xf numFmtId="0" fontId="8" fillId="34" borderId="98" xfId="0" applyFont="1" applyFill="1" applyBorder="1" applyAlignment="1" applyProtection="1">
      <alignment horizontal="center" vertical="center"/>
      <protection/>
    </xf>
    <xf numFmtId="0" fontId="30" fillId="33" borderId="121" xfId="0" applyFont="1" applyFill="1" applyBorder="1" applyAlignment="1" applyProtection="1">
      <alignment horizontal="left" vertical="center"/>
      <protection/>
    </xf>
    <xf numFmtId="0" fontId="30" fillId="33" borderId="29" xfId="0" applyFont="1" applyFill="1" applyBorder="1" applyAlignment="1" applyProtection="1">
      <alignment vertical="center"/>
      <protection/>
    </xf>
    <xf numFmtId="0" fontId="30" fillId="33" borderId="122" xfId="0" applyFont="1" applyFill="1" applyBorder="1" applyAlignment="1" applyProtection="1">
      <alignment horizontal="left" vertical="center"/>
      <protection/>
    </xf>
    <xf numFmtId="187" fontId="7" fillId="33" borderId="41" xfId="54" applyNumberFormat="1" applyFont="1" applyFill="1" applyBorder="1" applyAlignment="1" applyProtection="1">
      <alignment vertical="center"/>
      <protection/>
    </xf>
    <xf numFmtId="187" fontId="8" fillId="34" borderId="18" xfId="54" applyNumberFormat="1" applyFont="1" applyFill="1" applyBorder="1" applyAlignment="1" applyProtection="1">
      <alignment horizontal="center" vertical="center"/>
      <protection/>
    </xf>
    <xf numFmtId="187" fontId="7" fillId="33" borderId="35" xfId="54" applyNumberFormat="1" applyFont="1" applyFill="1" applyBorder="1" applyAlignment="1" applyProtection="1">
      <alignment vertical="center"/>
      <protection/>
    </xf>
    <xf numFmtId="187" fontId="7" fillId="33" borderId="123" xfId="54" applyNumberFormat="1" applyFont="1" applyFill="1" applyBorder="1" applyAlignment="1" applyProtection="1">
      <alignment vertical="center"/>
      <protection/>
    </xf>
    <xf numFmtId="0" fontId="8" fillId="34" borderId="97" xfId="0" applyFont="1" applyFill="1" applyBorder="1" applyAlignment="1" applyProtection="1">
      <alignment horizontal="center" vertical="center" wrapText="1"/>
      <protection/>
    </xf>
    <xf numFmtId="0" fontId="8" fillId="34" borderId="124" xfId="0" applyFont="1" applyFill="1" applyBorder="1" applyAlignment="1" applyProtection="1">
      <alignment horizontal="center" vertical="center"/>
      <protection/>
    </xf>
    <xf numFmtId="0" fontId="8" fillId="34" borderId="124" xfId="0" applyFont="1" applyFill="1" applyBorder="1" applyAlignment="1" applyProtection="1">
      <alignment horizontal="center" vertical="center" wrapText="1"/>
      <protection/>
    </xf>
    <xf numFmtId="187" fontId="7" fillId="33" borderId="18" xfId="54" applyNumberFormat="1" applyFont="1" applyFill="1" applyBorder="1" applyAlignment="1" applyProtection="1">
      <alignment vertical="center"/>
      <protection/>
    </xf>
    <xf numFmtId="0" fontId="30" fillId="33" borderId="39" xfId="0" applyFont="1" applyFill="1" applyBorder="1" applyAlignment="1" applyProtection="1">
      <alignment horizontal="left" vertical="center"/>
      <protection/>
    </xf>
    <xf numFmtId="187" fontId="7" fillId="33" borderId="97" xfId="54" applyNumberFormat="1" applyFont="1" applyFill="1" applyBorder="1" applyAlignment="1" applyProtection="1">
      <alignment vertical="center"/>
      <protection/>
    </xf>
    <xf numFmtId="0" fontId="30" fillId="33" borderId="87" xfId="0" applyFont="1" applyFill="1" applyBorder="1" applyAlignment="1" applyProtection="1">
      <alignment horizontal="left" vertical="center"/>
      <protection/>
    </xf>
    <xf numFmtId="0" fontId="30" fillId="33" borderId="87" xfId="0" applyFont="1" applyFill="1" applyBorder="1" applyAlignment="1" applyProtection="1">
      <alignment vertical="center"/>
      <protection/>
    </xf>
    <xf numFmtId="0" fontId="30" fillId="33" borderId="33" xfId="0" applyFont="1" applyFill="1" applyBorder="1" applyAlignment="1" applyProtection="1">
      <alignment horizontal="left" vertical="center"/>
      <protection/>
    </xf>
    <xf numFmtId="187" fontId="7" fillId="33" borderId="17" xfId="54" applyNumberFormat="1" applyFont="1" applyFill="1" applyBorder="1" applyAlignment="1" applyProtection="1">
      <alignment vertical="center"/>
      <protection/>
    </xf>
    <xf numFmtId="220" fontId="2" fillId="0" borderId="0" xfId="54" applyNumberFormat="1" applyFont="1" applyFill="1" applyBorder="1" applyAlignment="1" applyProtection="1">
      <alignment vertical="center"/>
      <protection/>
    </xf>
    <xf numFmtId="0" fontId="2" fillId="36" borderId="125" xfId="0" applyFont="1" applyFill="1" applyBorder="1" applyAlignment="1" applyProtection="1">
      <alignment vertical="center" wrapText="1"/>
      <protection/>
    </xf>
    <xf numFmtId="189" fontId="1" fillId="36" borderId="104" xfId="54" applyNumberFormat="1" applyFont="1" applyFill="1" applyBorder="1" applyAlignment="1" applyProtection="1">
      <alignment vertical="center" wrapText="1"/>
      <protection/>
    </xf>
    <xf numFmtId="189" fontId="1" fillId="36" borderId="69" xfId="54" applyNumberFormat="1" applyFont="1" applyFill="1" applyBorder="1" applyAlignment="1" applyProtection="1">
      <alignment vertical="center" wrapText="1"/>
      <protection/>
    </xf>
    <xf numFmtId="212" fontId="92" fillId="39" borderId="29" xfId="54" applyNumberFormat="1" applyFont="1" applyFill="1" applyBorder="1" applyAlignment="1" applyProtection="1">
      <alignment vertical="center"/>
      <protection/>
    </xf>
    <xf numFmtId="187" fontId="91" fillId="0" borderId="0" xfId="0" applyNumberFormat="1" applyFont="1" applyFill="1" applyAlignment="1" applyProtection="1">
      <alignment vertical="center"/>
      <protection/>
    </xf>
    <xf numFmtId="0" fontId="91" fillId="0" borderId="0" xfId="0" applyFont="1" applyFill="1" applyAlignment="1" applyProtection="1">
      <alignment vertical="center"/>
      <protection/>
    </xf>
    <xf numFmtId="190" fontId="91" fillId="0" borderId="11" xfId="52" applyFont="1" applyFill="1" applyBorder="1" applyAlignment="1" applyProtection="1">
      <alignment vertical="center"/>
      <protection/>
    </xf>
    <xf numFmtId="212" fontId="92" fillId="0" borderId="0" xfId="54" applyNumberFormat="1" applyFont="1" applyAlignment="1" applyProtection="1">
      <alignment vertical="center"/>
      <protection/>
    </xf>
    <xf numFmtId="6" fontId="2" fillId="0" borderId="0" xfId="0" applyNumberFormat="1" applyFont="1" applyFill="1" applyAlignment="1" applyProtection="1">
      <alignment vertical="center"/>
      <protection/>
    </xf>
    <xf numFmtId="187" fontId="6" fillId="40" borderId="11" xfId="54" applyNumberFormat="1" applyFont="1" applyFill="1" applyBorder="1" applyAlignment="1" applyProtection="1">
      <alignment vertical="center"/>
      <protection/>
    </xf>
    <xf numFmtId="187" fontId="6" fillId="39" borderId="11" xfId="54" applyNumberFormat="1" applyFont="1" applyFill="1" applyBorder="1" applyAlignment="1" applyProtection="1">
      <alignment vertical="center"/>
      <protection/>
    </xf>
    <xf numFmtId="3" fontId="1" fillId="51" borderId="18" xfId="0" applyNumberFormat="1" applyFont="1" applyFill="1" applyBorder="1" applyAlignment="1" applyProtection="1">
      <alignment horizontal="center" vertical="center"/>
      <protection/>
    </xf>
    <xf numFmtId="199" fontId="1" fillId="51" borderId="18" xfId="0" applyNumberFormat="1" applyFont="1" applyFill="1" applyBorder="1" applyAlignment="1" applyProtection="1">
      <alignment vertical="center"/>
      <protection/>
    </xf>
    <xf numFmtId="199" fontId="2" fillId="0" borderId="0" xfId="0" applyNumberFormat="1" applyFont="1" applyFill="1" applyBorder="1" applyAlignment="1" applyProtection="1">
      <alignment horizontal="center" vertical="center"/>
      <protection/>
    </xf>
    <xf numFmtId="187" fontId="4" fillId="34" borderId="13" xfId="54" applyNumberFormat="1" applyFont="1" applyFill="1" applyBorder="1" applyAlignment="1" applyProtection="1">
      <alignment vertical="center"/>
      <protection/>
    </xf>
    <xf numFmtId="0" fontId="91" fillId="0" borderId="0" xfId="0" applyFont="1" applyAlignment="1" applyProtection="1">
      <alignment vertical="center" wrapText="1"/>
      <protection/>
    </xf>
    <xf numFmtId="212" fontId="97" fillId="39" borderId="29" xfId="54" applyNumberFormat="1" applyFont="1" applyFill="1" applyBorder="1" applyAlignment="1" applyProtection="1">
      <alignment vertical="center"/>
      <protection/>
    </xf>
    <xf numFmtId="212" fontId="91" fillId="0" borderId="0" xfId="0" applyNumberFormat="1" applyFont="1" applyAlignment="1" applyProtection="1">
      <alignment vertical="center"/>
      <protection/>
    </xf>
    <xf numFmtId="212" fontId="90" fillId="0" borderId="0" xfId="0" applyNumberFormat="1" applyFont="1" applyAlignment="1" applyProtection="1">
      <alignment vertical="center"/>
      <protection/>
    </xf>
    <xf numFmtId="42" fontId="91" fillId="0" borderId="18" xfId="0" applyNumberFormat="1" applyFont="1" applyBorder="1" applyAlignment="1" applyProtection="1">
      <alignment horizontal="center" vertical="center"/>
      <protection/>
    </xf>
    <xf numFmtId="42" fontId="0" fillId="0" borderId="18" xfId="54" applyNumberFormat="1" applyBorder="1" applyAlignment="1" applyProtection="1">
      <alignment vertical="center"/>
      <protection/>
    </xf>
    <xf numFmtId="42" fontId="1" fillId="0" borderId="18" xfId="0" applyNumberFormat="1" applyFont="1" applyBorder="1" applyAlignment="1" applyProtection="1">
      <alignment vertical="center"/>
      <protection/>
    </xf>
    <xf numFmtId="42" fontId="97" fillId="39" borderId="18" xfId="54" applyNumberFormat="1" applyFont="1" applyFill="1" applyBorder="1" applyAlignment="1" applyProtection="1">
      <alignment vertical="center"/>
      <protection/>
    </xf>
    <xf numFmtId="42" fontId="0" fillId="39" borderId="29" xfId="54" applyNumberFormat="1" applyFill="1" applyBorder="1" applyAlignment="1" applyProtection="1">
      <alignment vertical="center"/>
      <protection/>
    </xf>
    <xf numFmtId="212" fontId="0" fillId="64" borderId="35" xfId="54" applyNumberFormat="1" applyFill="1" applyBorder="1" applyAlignment="1" applyProtection="1">
      <alignment vertical="center"/>
      <protection/>
    </xf>
    <xf numFmtId="212" fontId="0" fillId="40" borderId="34" xfId="54" applyNumberFormat="1" applyFill="1" applyBorder="1" applyAlignment="1" applyProtection="1">
      <alignment horizontal="center" vertical="center"/>
      <protection/>
    </xf>
    <xf numFmtId="212" fontId="0" fillId="40" borderId="123" xfId="54" applyNumberFormat="1" applyFill="1" applyBorder="1" applyAlignment="1" applyProtection="1">
      <alignment horizontal="center" vertical="center"/>
      <protection/>
    </xf>
    <xf numFmtId="212" fontId="0" fillId="61" borderId="126" xfId="54" applyNumberFormat="1" applyFill="1" applyBorder="1" applyAlignment="1" applyProtection="1">
      <alignment horizontal="center" vertical="center"/>
      <protection/>
    </xf>
    <xf numFmtId="212" fontId="0" fillId="42" borderId="96" xfId="54" applyNumberFormat="1" applyFill="1" applyBorder="1" applyAlignment="1" applyProtection="1">
      <alignment vertical="center"/>
      <protection/>
    </xf>
    <xf numFmtId="42" fontId="0" fillId="50" borderId="18" xfId="54" applyNumberFormat="1" applyFill="1" applyBorder="1" applyAlignment="1" applyProtection="1">
      <alignment vertical="center"/>
      <protection/>
    </xf>
    <xf numFmtId="42" fontId="1" fillId="50" borderId="18" xfId="0" applyNumberFormat="1" applyFont="1" applyFill="1" applyBorder="1" applyAlignment="1" applyProtection="1">
      <alignment vertical="center"/>
      <protection/>
    </xf>
    <xf numFmtId="44" fontId="1" fillId="50" borderId="18" xfId="0" applyNumberFormat="1" applyFont="1" applyFill="1" applyBorder="1" applyAlignment="1" applyProtection="1">
      <alignment vertical="center"/>
      <protection/>
    </xf>
    <xf numFmtId="44" fontId="97" fillId="50" borderId="18" xfId="54" applyNumberFormat="1" applyFont="1" applyFill="1" applyBorder="1" applyAlignment="1" applyProtection="1">
      <alignment vertical="center"/>
      <protection/>
    </xf>
    <xf numFmtId="0" fontId="1" fillId="50" borderId="18" xfId="0" applyFont="1" applyFill="1" applyBorder="1" applyAlignment="1" applyProtection="1">
      <alignment vertical="center"/>
      <protection/>
    </xf>
    <xf numFmtId="186" fontId="0" fillId="0" borderId="18" xfId="54" applyBorder="1" applyAlignment="1" applyProtection="1">
      <alignment vertical="center"/>
      <protection/>
    </xf>
    <xf numFmtId="0" fontId="1" fillId="50" borderId="0" xfId="0" applyFont="1" applyFill="1" applyAlignment="1" applyProtection="1">
      <alignment vertical="center"/>
      <protection/>
    </xf>
    <xf numFmtId="212" fontId="0" fillId="0" borderId="0" xfId="54" applyNumberFormat="1" applyBorder="1" applyAlignment="1" applyProtection="1">
      <alignment vertical="center"/>
      <protection/>
    </xf>
    <xf numFmtId="212" fontId="0" fillId="0" borderId="0" xfId="54" applyNumberFormat="1" applyFont="1" applyBorder="1" applyAlignment="1" applyProtection="1">
      <alignment vertical="center"/>
      <protection/>
    </xf>
    <xf numFmtId="212" fontId="1" fillId="0" borderId="0" xfId="0" applyNumberFormat="1" applyFont="1" applyBorder="1" applyAlignment="1" applyProtection="1">
      <alignment vertical="center"/>
      <protection/>
    </xf>
    <xf numFmtId="186" fontId="0" fillId="0" borderId="18" xfId="54" applyBorder="1" applyAlignment="1" applyProtection="1">
      <alignment horizontal="center" vertical="center"/>
      <protection/>
    </xf>
    <xf numFmtId="186" fontId="0" fillId="50" borderId="18" xfId="54" applyFill="1" applyBorder="1" applyAlignment="1" applyProtection="1">
      <alignment vertical="center"/>
      <protection/>
    </xf>
    <xf numFmtId="212" fontId="1" fillId="50" borderId="18" xfId="0" applyNumberFormat="1" applyFont="1" applyFill="1" applyBorder="1" applyAlignment="1" applyProtection="1">
      <alignment vertical="center"/>
      <protection/>
    </xf>
    <xf numFmtId="212" fontId="0" fillId="50" borderId="18" xfId="54" applyNumberFormat="1" applyFill="1" applyBorder="1" applyAlignment="1" applyProtection="1">
      <alignment vertical="center"/>
      <protection/>
    </xf>
    <xf numFmtId="212" fontId="0" fillId="0" borderId="18" xfId="54" applyNumberFormat="1" applyBorder="1" applyAlignment="1" applyProtection="1">
      <alignment horizontal="center" vertical="center"/>
      <protection/>
    </xf>
    <xf numFmtId="212" fontId="15" fillId="0" borderId="18" xfId="54" applyNumberFormat="1" applyFont="1" applyBorder="1" applyAlignment="1" applyProtection="1">
      <alignment vertical="center"/>
      <protection/>
    </xf>
    <xf numFmtId="212" fontId="15" fillId="50" borderId="18" xfId="54" applyNumberFormat="1" applyFont="1" applyFill="1" applyBorder="1" applyAlignment="1" applyProtection="1">
      <alignment vertical="center"/>
      <protection/>
    </xf>
    <xf numFmtId="0" fontId="1" fillId="50" borderId="0" xfId="0" applyFont="1" applyFill="1" applyBorder="1" applyAlignment="1" applyProtection="1">
      <alignment vertical="center"/>
      <protection/>
    </xf>
    <xf numFmtId="212" fontId="0" fillId="50" borderId="18" xfId="54" applyNumberFormat="1" applyFill="1" applyBorder="1" applyAlignment="1" applyProtection="1">
      <alignment horizontal="center" vertical="center"/>
      <protection/>
    </xf>
    <xf numFmtId="9" fontId="0" fillId="0" borderId="18" xfId="63" applyBorder="1" applyAlignment="1" applyProtection="1">
      <alignment vertical="center"/>
      <protection/>
    </xf>
    <xf numFmtId="9" fontId="1" fillId="0" borderId="18" xfId="0" applyNumberFormat="1" applyFont="1" applyBorder="1" applyAlignment="1" applyProtection="1">
      <alignment vertical="center"/>
      <protection/>
    </xf>
    <xf numFmtId="186" fontId="0" fillId="0" borderId="0" xfId="54" applyFont="1" applyAlignment="1" applyProtection="1">
      <alignment vertical="center"/>
      <protection/>
    </xf>
    <xf numFmtId="42" fontId="2" fillId="0" borderId="0" xfId="0" applyNumberFormat="1" applyFont="1" applyAlignment="1" applyProtection="1">
      <alignment vertical="center"/>
      <protection/>
    </xf>
    <xf numFmtId="218" fontId="1" fillId="0" borderId="18" xfId="0" applyNumberFormat="1" applyFont="1" applyBorder="1" applyAlignment="1" applyProtection="1">
      <alignment vertical="center"/>
      <protection/>
    </xf>
    <xf numFmtId="186" fontId="1" fillId="0" borderId="0" xfId="0" applyNumberFormat="1" applyFont="1" applyAlignment="1" applyProtection="1">
      <alignment vertical="center"/>
      <protection/>
    </xf>
    <xf numFmtId="6" fontId="2" fillId="34" borderId="11" xfId="54" applyNumberFormat="1" applyFont="1" applyFill="1" applyBorder="1" applyAlignment="1" applyProtection="1">
      <alignment vertical="center"/>
      <protection/>
    </xf>
    <xf numFmtId="189" fontId="1" fillId="36" borderId="82" xfId="54" applyNumberFormat="1" applyFont="1" applyFill="1" applyBorder="1" applyAlignment="1" applyProtection="1">
      <alignment vertical="center" wrapText="1"/>
      <protection/>
    </xf>
    <xf numFmtId="189" fontId="1" fillId="36" borderId="127" xfId="54" applyNumberFormat="1" applyFont="1" applyFill="1" applyBorder="1" applyAlignment="1" applyProtection="1">
      <alignment vertical="center" wrapText="1"/>
      <protection/>
    </xf>
    <xf numFmtId="0" fontId="1" fillId="36" borderId="11" xfId="0" applyFont="1" applyFill="1" applyBorder="1" applyAlignment="1" applyProtection="1">
      <alignment horizontal="left" vertical="center" wrapText="1"/>
      <protection/>
    </xf>
    <xf numFmtId="0" fontId="2" fillId="0" borderId="0" xfId="54" applyNumberFormat="1" applyFont="1" applyFill="1" applyBorder="1" applyAlignment="1" applyProtection="1">
      <alignment vertical="center"/>
      <protection/>
    </xf>
    <xf numFmtId="187" fontId="1" fillId="65" borderId="11" xfId="54" applyNumberFormat="1" applyFont="1" applyFill="1" applyBorder="1" applyAlignment="1" applyProtection="1">
      <alignment vertical="center"/>
      <protection/>
    </xf>
    <xf numFmtId="187" fontId="1" fillId="66" borderId="11" xfId="54" applyNumberFormat="1" applyFont="1" applyFill="1" applyBorder="1" applyAlignment="1" applyProtection="1">
      <alignment vertical="center"/>
      <protection/>
    </xf>
    <xf numFmtId="187" fontId="2" fillId="67" borderId="0" xfId="54" applyNumberFormat="1" applyFont="1" applyFill="1" applyBorder="1" applyAlignment="1" applyProtection="1">
      <alignment vertical="center"/>
      <protection/>
    </xf>
    <xf numFmtId="38" fontId="15" fillId="51" borderId="0" xfId="54" applyNumberFormat="1" applyFont="1" applyFill="1" applyBorder="1" applyAlignment="1" applyProtection="1">
      <alignment vertical="center"/>
      <protection/>
    </xf>
    <xf numFmtId="187" fontId="2" fillId="67" borderId="52" xfId="54" applyNumberFormat="1" applyFont="1" applyFill="1" applyBorder="1" applyAlignment="1" applyProtection="1">
      <alignment vertical="center"/>
      <protection/>
    </xf>
    <xf numFmtId="212" fontId="0" fillId="0" borderId="18" xfId="54" applyNumberFormat="1" applyFont="1" applyBorder="1" applyAlignment="1" applyProtection="1">
      <alignment vertical="center"/>
      <protection/>
    </xf>
    <xf numFmtId="187" fontId="1" fillId="59" borderId="15" xfId="54" applyNumberFormat="1" applyFont="1" applyFill="1" applyBorder="1" applyAlignment="1" applyProtection="1">
      <alignment vertical="center"/>
      <protection/>
    </xf>
    <xf numFmtId="1" fontId="90" fillId="0" borderId="0" xfId="0" applyNumberFormat="1" applyFont="1" applyAlignment="1" applyProtection="1">
      <alignment vertical="center"/>
      <protection/>
    </xf>
    <xf numFmtId="0" fontId="0" fillId="59" borderId="15" xfId="0" applyFont="1" applyFill="1" applyBorder="1" applyAlignment="1" applyProtection="1">
      <alignment horizontal="left" vertical="center"/>
      <protection/>
    </xf>
    <xf numFmtId="0" fontId="0" fillId="59" borderId="99" xfId="0" applyFont="1" applyFill="1" applyBorder="1" applyAlignment="1" applyProtection="1">
      <alignment horizontal="left" vertical="center"/>
      <protection/>
    </xf>
    <xf numFmtId="0" fontId="0" fillId="59" borderId="14" xfId="0" applyFont="1" applyFill="1" applyBorder="1" applyAlignment="1" applyProtection="1">
      <alignment horizontal="left" vertical="center"/>
      <protection/>
    </xf>
    <xf numFmtId="0" fontId="2" fillId="50" borderId="18" xfId="0" applyFont="1" applyFill="1" applyBorder="1" applyAlignment="1" applyProtection="1">
      <alignment horizontal="center" vertical="center"/>
      <protection/>
    </xf>
    <xf numFmtId="0" fontId="91" fillId="54" borderId="18" xfId="0" applyFont="1" applyFill="1" applyBorder="1" applyAlignment="1" applyProtection="1">
      <alignment horizontal="center" vertical="center"/>
      <protection/>
    </xf>
    <xf numFmtId="189" fontId="1" fillId="36" borderId="128" xfId="54" applyNumberFormat="1" applyFont="1" applyFill="1" applyBorder="1" applyAlignment="1" applyProtection="1">
      <alignment vertical="center" wrapText="1"/>
      <protection/>
    </xf>
    <xf numFmtId="189" fontId="1" fillId="36" borderId="10" xfId="54" applyNumberFormat="1" applyFont="1" applyFill="1" applyBorder="1" applyAlignment="1" applyProtection="1">
      <alignment vertical="center" wrapText="1"/>
      <protection/>
    </xf>
    <xf numFmtId="189" fontId="1" fillId="36" borderId="129" xfId="54" applyNumberFormat="1" applyFont="1" applyFill="1" applyBorder="1" applyAlignment="1" applyProtection="1">
      <alignment vertical="center" wrapText="1"/>
      <protection/>
    </xf>
    <xf numFmtId="189" fontId="1" fillId="36" borderId="130" xfId="54" applyNumberFormat="1" applyFont="1" applyFill="1" applyBorder="1" applyAlignment="1" applyProtection="1">
      <alignment vertical="center" wrapText="1"/>
      <protection/>
    </xf>
    <xf numFmtId="3" fontId="1" fillId="48" borderId="131" xfId="54" applyNumberFormat="1" applyFont="1" applyFill="1" applyBorder="1" applyAlignment="1" applyProtection="1">
      <alignment vertical="center"/>
      <protection/>
    </xf>
    <xf numFmtId="189" fontId="1" fillId="41" borderId="132" xfId="54" applyNumberFormat="1" applyFont="1" applyFill="1" applyBorder="1" applyAlignment="1" applyProtection="1">
      <alignment vertical="center"/>
      <protection/>
    </xf>
    <xf numFmtId="189" fontId="1" fillId="41" borderId="133" xfId="54" applyNumberFormat="1" applyFont="1" applyFill="1" applyBorder="1" applyAlignment="1" applyProtection="1">
      <alignment vertical="center"/>
      <protection/>
    </xf>
    <xf numFmtId="189" fontId="1" fillId="41" borderId="134" xfId="54" applyNumberFormat="1" applyFont="1" applyFill="1" applyBorder="1" applyAlignment="1" applyProtection="1">
      <alignment vertical="center"/>
      <protection/>
    </xf>
    <xf numFmtId="0" fontId="1" fillId="68" borderId="0" xfId="0" applyFont="1" applyFill="1" applyAlignment="1" applyProtection="1">
      <alignment horizontal="center" vertical="center"/>
      <protection/>
    </xf>
    <xf numFmtId="0" fontId="2" fillId="68" borderId="0" xfId="0" applyFont="1" applyFill="1" applyAlignment="1" applyProtection="1">
      <alignment horizontal="left" vertical="center"/>
      <protection/>
    </xf>
    <xf numFmtId="216" fontId="1" fillId="68" borderId="18" xfId="0" applyNumberFormat="1" applyFont="1" applyFill="1" applyBorder="1" applyAlignment="1" applyProtection="1">
      <alignment horizontal="center" vertical="center"/>
      <protection/>
    </xf>
    <xf numFmtId="0" fontId="105" fillId="55" borderId="135" xfId="0" applyFont="1" applyFill="1" applyBorder="1" applyAlignment="1" applyProtection="1">
      <alignment horizontal="center" vertical="center"/>
      <protection/>
    </xf>
    <xf numFmtId="0" fontId="105" fillId="55" borderId="136" xfId="0" applyFont="1" applyFill="1" applyBorder="1" applyAlignment="1" applyProtection="1">
      <alignment horizontal="center" vertical="center" wrapText="1"/>
      <protection/>
    </xf>
    <xf numFmtId="0" fontId="105" fillId="55" borderId="135" xfId="0" applyFont="1" applyFill="1" applyBorder="1" applyAlignment="1" applyProtection="1">
      <alignment horizontal="center" vertical="center" wrapText="1"/>
      <protection/>
    </xf>
    <xf numFmtId="17" fontId="2" fillId="69" borderId="136" xfId="0" applyNumberFormat="1" applyFont="1" applyFill="1" applyBorder="1" applyAlignment="1" applyProtection="1">
      <alignment horizontal="center" vertical="center" wrapText="1"/>
      <protection/>
    </xf>
    <xf numFmtId="17" fontId="2" fillId="69" borderId="135" xfId="0" applyNumberFormat="1" applyFont="1" applyFill="1" applyBorder="1" applyAlignment="1" applyProtection="1">
      <alignment horizontal="center" vertical="center" wrapText="1"/>
      <protection/>
    </xf>
    <xf numFmtId="17" fontId="105" fillId="70" borderId="135" xfId="0" applyNumberFormat="1" applyFont="1" applyFill="1" applyBorder="1" applyAlignment="1" applyProtection="1">
      <alignment horizontal="center" vertical="center" wrapText="1"/>
      <protection/>
    </xf>
    <xf numFmtId="0" fontId="5" fillId="71" borderId="135" xfId="0" applyFont="1" applyFill="1" applyBorder="1" applyAlignment="1" applyProtection="1">
      <alignment horizontal="center" vertical="center" wrapText="1"/>
      <protection/>
    </xf>
    <xf numFmtId="0" fontId="5" fillId="72" borderId="135" xfId="0" applyFont="1" applyFill="1" applyBorder="1" applyAlignment="1" applyProtection="1">
      <alignment horizontal="center" vertical="center" wrapText="1"/>
      <protection/>
    </xf>
    <xf numFmtId="0" fontId="5" fillId="73" borderId="135" xfId="0" applyFont="1" applyFill="1" applyBorder="1" applyAlignment="1" applyProtection="1">
      <alignment horizontal="center" vertical="center" wrapText="1"/>
      <protection/>
    </xf>
    <xf numFmtId="0" fontId="5" fillId="74" borderId="135" xfId="0" applyFont="1" applyFill="1" applyBorder="1" applyAlignment="1" applyProtection="1">
      <alignment horizontal="center" vertical="center" wrapText="1"/>
      <protection/>
    </xf>
    <xf numFmtId="0" fontId="2" fillId="0" borderId="135" xfId="0" applyFont="1" applyFill="1" applyBorder="1" applyAlignment="1" applyProtection="1">
      <alignment horizontal="center" vertical="center" wrapText="1"/>
      <protection/>
    </xf>
    <xf numFmtId="0" fontId="1" fillId="68" borderId="135" xfId="0" applyFont="1" applyFill="1" applyBorder="1" applyAlignment="1" applyProtection="1">
      <alignment horizontal="center" vertical="center"/>
      <protection/>
    </xf>
    <xf numFmtId="0" fontId="1" fillId="68" borderId="135" xfId="0" applyFont="1" applyFill="1" applyBorder="1" applyAlignment="1" applyProtection="1">
      <alignment horizontal="left" vertical="center"/>
      <protection/>
    </xf>
    <xf numFmtId="0" fontId="1" fillId="68" borderId="136" xfId="0" applyFont="1" applyFill="1" applyBorder="1" applyAlignment="1" applyProtection="1">
      <alignment horizontal="left" vertical="center"/>
      <protection/>
    </xf>
    <xf numFmtId="168" fontId="1" fillId="68" borderId="135" xfId="0" applyNumberFormat="1" applyFont="1" applyFill="1" applyBorder="1" applyAlignment="1" applyProtection="1">
      <alignment horizontal="right" vertical="center"/>
      <protection/>
    </xf>
    <xf numFmtId="216" fontId="1" fillId="68" borderId="135" xfId="0" applyNumberFormat="1" applyFont="1" applyFill="1" applyBorder="1" applyAlignment="1" applyProtection="1">
      <alignment horizontal="right" vertical="center"/>
      <protection/>
    </xf>
    <xf numFmtId="9" fontId="1" fillId="68" borderId="135" xfId="0" applyNumberFormat="1" applyFont="1" applyFill="1" applyBorder="1" applyAlignment="1" applyProtection="1">
      <alignment horizontal="center" vertical="center"/>
      <protection/>
    </xf>
    <xf numFmtId="210" fontId="1" fillId="68" borderId="135" xfId="52" applyNumberFormat="1" applyFont="1" applyFill="1" applyBorder="1" applyAlignment="1" applyProtection="1">
      <alignment horizontal="center" vertical="center"/>
      <protection/>
    </xf>
    <xf numFmtId="9" fontId="1" fillId="68" borderId="135" xfId="63" applyFont="1" applyFill="1" applyBorder="1" applyAlignment="1" applyProtection="1">
      <alignment horizontal="center" vertical="center"/>
      <protection/>
    </xf>
    <xf numFmtId="220" fontId="1" fillId="68" borderId="135" xfId="0" applyNumberFormat="1" applyFont="1" applyFill="1" applyBorder="1" applyAlignment="1" applyProtection="1">
      <alignment horizontal="center" vertical="center"/>
      <protection/>
    </xf>
    <xf numFmtId="216" fontId="1" fillId="68" borderId="137" xfId="0" applyNumberFormat="1" applyFont="1" applyFill="1" applyBorder="1" applyAlignment="1" applyProtection="1">
      <alignment horizontal="right" vertical="center"/>
      <protection/>
    </xf>
    <xf numFmtId="0" fontId="1" fillId="68" borderId="138" xfId="0" applyFont="1" applyFill="1" applyBorder="1" applyAlignment="1" applyProtection="1">
      <alignment horizontal="center" vertical="center"/>
      <protection/>
    </xf>
    <xf numFmtId="0" fontId="1" fillId="68" borderId="139" xfId="0" applyFont="1" applyFill="1" applyBorder="1" applyAlignment="1" applyProtection="1">
      <alignment horizontal="left" vertical="center"/>
      <protection/>
    </xf>
    <xf numFmtId="9" fontId="1" fillId="68" borderId="139" xfId="0" applyNumberFormat="1" applyFont="1" applyFill="1" applyBorder="1" applyAlignment="1" applyProtection="1">
      <alignment horizontal="center" vertical="center"/>
      <protection/>
    </xf>
    <xf numFmtId="224" fontId="106" fillId="75" borderId="0" xfId="0" applyNumberFormat="1" applyFont="1" applyFill="1" applyBorder="1" applyAlignment="1" applyProtection="1">
      <alignment horizontal="center" vertical="center"/>
      <protection/>
    </xf>
    <xf numFmtId="224" fontId="100" fillId="0" borderId="14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9" fontId="107" fillId="0" borderId="141" xfId="63" applyFont="1" applyFill="1" applyBorder="1" applyAlignment="1" applyProtection="1">
      <alignment horizontal="center" vertical="center"/>
      <protection/>
    </xf>
    <xf numFmtId="9" fontId="108" fillId="0" borderId="142" xfId="63" applyFont="1" applyFill="1" applyBorder="1" applyAlignment="1" applyProtection="1">
      <alignment horizontal="center" vertical="center"/>
      <protection/>
    </xf>
    <xf numFmtId="9" fontId="108" fillId="0" borderId="141" xfId="63" applyFont="1" applyFill="1" applyBorder="1" applyAlignment="1" applyProtection="1">
      <alignment horizontal="center" vertical="center"/>
      <protection/>
    </xf>
    <xf numFmtId="0" fontId="1" fillId="68" borderId="0" xfId="0" applyFont="1" applyFill="1" applyAlignment="1" applyProtection="1">
      <alignment vertical="center"/>
      <protection/>
    </xf>
    <xf numFmtId="0" fontId="0" fillId="0" borderId="0" xfId="0" applyAlignment="1">
      <alignment vertical="center"/>
    </xf>
    <xf numFmtId="216" fontId="1" fillId="0" borderId="0" xfId="0" applyNumberFormat="1" applyFont="1" applyFill="1" applyBorder="1" applyAlignment="1" applyProtection="1">
      <alignment vertical="center"/>
      <protection/>
    </xf>
    <xf numFmtId="0" fontId="1" fillId="68" borderId="135" xfId="0" applyFont="1" applyFill="1" applyBorder="1" applyAlignment="1" applyProtection="1">
      <alignment vertical="center" wrapText="1"/>
      <protection/>
    </xf>
    <xf numFmtId="0" fontId="1" fillId="68" borderId="135" xfId="0" applyFont="1" applyFill="1" applyBorder="1" applyAlignment="1" applyProtection="1">
      <alignment vertical="center"/>
      <protection/>
    </xf>
    <xf numFmtId="168" fontId="1" fillId="68" borderId="135" xfId="0" applyNumberFormat="1" applyFont="1" applyFill="1" applyBorder="1" applyAlignment="1" applyProtection="1">
      <alignment vertical="center"/>
      <protection/>
    </xf>
    <xf numFmtId="0" fontId="1" fillId="68" borderId="139" xfId="0" applyFont="1" applyFill="1" applyBorder="1" applyAlignment="1" applyProtection="1">
      <alignment vertical="center"/>
      <protection/>
    </xf>
    <xf numFmtId="216" fontId="1" fillId="68" borderId="139" xfId="0" applyNumberFormat="1" applyFont="1" applyFill="1" applyBorder="1" applyAlignment="1" applyProtection="1">
      <alignment vertical="center"/>
      <protection/>
    </xf>
    <xf numFmtId="216" fontId="2" fillId="68" borderId="18" xfId="0" applyNumberFormat="1" applyFont="1" applyFill="1" applyBorder="1" applyAlignment="1" applyProtection="1">
      <alignment horizontal="right" vertical="center"/>
      <protection/>
    </xf>
    <xf numFmtId="216" fontId="2" fillId="0" borderId="19" xfId="0" applyNumberFormat="1" applyFont="1" applyFill="1" applyBorder="1" applyAlignment="1" applyProtection="1">
      <alignment vertical="center"/>
      <protection/>
    </xf>
    <xf numFmtId="216" fontId="8" fillId="0" borderId="0" xfId="0" applyNumberFormat="1" applyFont="1" applyFill="1" applyBorder="1" applyAlignment="1" applyProtection="1">
      <alignment vertical="center"/>
      <protection/>
    </xf>
    <xf numFmtId="0" fontId="2" fillId="50" borderId="11" xfId="0" applyFont="1" applyFill="1" applyBorder="1" applyAlignment="1" applyProtection="1">
      <alignment horizontal="center" vertical="center"/>
      <protection/>
    </xf>
    <xf numFmtId="220" fontId="0" fillId="68" borderId="18" xfId="63" applyNumberFormat="1" applyFill="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1" fillId="36" borderId="57" xfId="0" applyFont="1" applyFill="1" applyBorder="1" applyAlignment="1" applyProtection="1">
      <alignment vertical="center" wrapText="1"/>
      <protection/>
    </xf>
    <xf numFmtId="0" fontId="2" fillId="50" borderId="18" xfId="0" applyFont="1" applyFill="1" applyBorder="1" applyAlignment="1" applyProtection="1">
      <alignment horizontal="center" vertical="center"/>
      <protection/>
    </xf>
    <xf numFmtId="0" fontId="2" fillId="40" borderId="28" xfId="0" applyFont="1" applyFill="1" applyBorder="1" applyAlignment="1" applyProtection="1">
      <alignment horizontal="center" vertical="center" wrapText="1"/>
      <protection/>
    </xf>
    <xf numFmtId="0" fontId="2" fillId="40" borderId="16" xfId="0" applyFont="1" applyFill="1" applyBorder="1" applyAlignment="1" applyProtection="1">
      <alignment horizontal="center" vertical="center" wrapText="1"/>
      <protection/>
    </xf>
    <xf numFmtId="0" fontId="2" fillId="40" borderId="34" xfId="0" applyFont="1" applyFill="1" applyBorder="1" applyAlignment="1" applyProtection="1">
      <alignment horizontal="center" vertical="center" wrapText="1"/>
      <protection/>
    </xf>
    <xf numFmtId="0" fontId="1" fillId="36" borderId="68" xfId="0" applyFont="1" applyFill="1" applyBorder="1" applyAlignment="1" applyProtection="1">
      <alignment vertical="center" wrapText="1"/>
      <protection/>
    </xf>
    <xf numFmtId="187" fontId="105" fillId="76" borderId="39" xfId="54" applyNumberFormat="1" applyFont="1" applyFill="1" applyBorder="1" applyAlignment="1" applyProtection="1">
      <alignment horizontal="center" vertical="center"/>
      <protection/>
    </xf>
    <xf numFmtId="187" fontId="105" fillId="76" borderId="98" xfId="54" applyNumberFormat="1"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0" fillId="59" borderId="15" xfId="0" applyFont="1" applyFill="1" applyBorder="1" applyAlignment="1" applyProtection="1">
      <alignment horizontal="left" vertical="center"/>
      <protection/>
    </xf>
    <xf numFmtId="0" fontId="0" fillId="59" borderId="99" xfId="0" applyFont="1" applyFill="1" applyBorder="1" applyAlignment="1" applyProtection="1">
      <alignment horizontal="left" vertical="center"/>
      <protection/>
    </xf>
    <xf numFmtId="0" fontId="0" fillId="59" borderId="14" xfId="0" applyFont="1" applyFill="1" applyBorder="1" applyAlignment="1" applyProtection="1">
      <alignment horizontal="left" vertical="center"/>
      <protection/>
    </xf>
    <xf numFmtId="0" fontId="2" fillId="34" borderId="64" xfId="0" applyFont="1" applyFill="1" applyBorder="1" applyAlignment="1" applyProtection="1">
      <alignment vertical="center" wrapText="1"/>
      <protection/>
    </xf>
    <xf numFmtId="0" fontId="2" fillId="34" borderId="80" xfId="0" applyFont="1" applyFill="1" applyBorder="1" applyAlignment="1" applyProtection="1">
      <alignment vertical="center" wrapText="1"/>
      <protection/>
    </xf>
    <xf numFmtId="0" fontId="1" fillId="36" borderId="143" xfId="0" applyFont="1" applyFill="1" applyBorder="1" applyAlignment="1" applyProtection="1">
      <alignment vertical="center" wrapText="1"/>
      <protection/>
    </xf>
    <xf numFmtId="0" fontId="2" fillId="77" borderId="19" xfId="0" applyFont="1" applyFill="1" applyBorder="1" applyAlignment="1" applyProtection="1">
      <alignment horizontal="center" vertical="center"/>
      <protection/>
    </xf>
    <xf numFmtId="0" fontId="2" fillId="36" borderId="28" xfId="0" applyFont="1" applyFill="1" applyBorder="1" applyAlignment="1" applyProtection="1">
      <alignment horizontal="center" vertical="center" wrapText="1"/>
      <protection/>
    </xf>
    <xf numFmtId="0" fontId="2" fillId="36" borderId="16" xfId="0" applyFont="1" applyFill="1" applyBorder="1" applyAlignment="1" applyProtection="1">
      <alignment horizontal="center" vertical="center" wrapText="1"/>
      <protection/>
    </xf>
    <xf numFmtId="0" fontId="2" fillId="36" borderId="34" xfId="0" applyFont="1" applyFill="1" applyBorder="1" applyAlignment="1" applyProtection="1">
      <alignment horizontal="center" vertical="center" wrapText="1"/>
      <protection/>
    </xf>
    <xf numFmtId="0" fontId="15" fillId="0" borderId="144" xfId="0" applyFont="1" applyBorder="1" applyAlignment="1" applyProtection="1">
      <alignment horizontal="left"/>
      <protection/>
    </xf>
    <xf numFmtId="0" fontId="15" fillId="0" borderId="0" xfId="0" applyFont="1" applyAlignment="1" applyProtection="1">
      <alignment horizontal="left"/>
      <protection/>
    </xf>
    <xf numFmtId="0" fontId="2" fillId="41" borderId="145" xfId="0" applyFont="1" applyFill="1" applyBorder="1" applyAlignment="1" applyProtection="1">
      <alignment horizontal="center" vertical="center" wrapText="1"/>
      <protection/>
    </xf>
    <xf numFmtId="0" fontId="2" fillId="41" borderId="146" xfId="0" applyFont="1" applyFill="1" applyBorder="1" applyAlignment="1" applyProtection="1">
      <alignment horizontal="center" vertical="center" wrapText="1"/>
      <protection/>
    </xf>
    <xf numFmtId="0" fontId="2" fillId="41" borderId="147" xfId="0" applyFont="1" applyFill="1" applyBorder="1" applyAlignment="1" applyProtection="1">
      <alignment horizontal="center" vertical="center" wrapText="1"/>
      <protection/>
    </xf>
    <xf numFmtId="0" fontId="2" fillId="78" borderId="145" xfId="0" applyFont="1" applyFill="1" applyBorder="1" applyAlignment="1" applyProtection="1">
      <alignment horizontal="center" vertical="center" wrapText="1"/>
      <protection/>
    </xf>
    <xf numFmtId="0" fontId="2" fillId="78" borderId="146" xfId="0" applyFont="1" applyFill="1" applyBorder="1" applyAlignment="1" applyProtection="1">
      <alignment horizontal="center" vertical="center" wrapText="1"/>
      <protection/>
    </xf>
    <xf numFmtId="0" fontId="2" fillId="78" borderId="147" xfId="0" applyFont="1" applyFill="1" applyBorder="1" applyAlignment="1" applyProtection="1">
      <alignment horizontal="center" vertical="center" wrapText="1"/>
      <protection/>
    </xf>
    <xf numFmtId="187" fontId="92" fillId="0" borderId="18" xfId="0" applyNumberFormat="1" applyFont="1" applyBorder="1" applyAlignment="1" applyProtection="1">
      <alignment horizontal="center" vertical="center"/>
      <protection/>
    </xf>
    <xf numFmtId="187" fontId="97" fillId="0" borderId="18" xfId="0" applyNumberFormat="1" applyFont="1" applyBorder="1" applyAlignment="1" applyProtection="1">
      <alignment horizontal="center" vertical="center"/>
      <protection/>
    </xf>
    <xf numFmtId="212" fontId="109" fillId="0" borderId="18" xfId="54" applyNumberFormat="1" applyFont="1" applyBorder="1" applyAlignment="1" applyProtection="1">
      <alignment horizontal="center" vertical="center"/>
      <protection/>
    </xf>
    <xf numFmtId="0" fontId="2" fillId="79" borderId="145" xfId="0" applyFont="1" applyFill="1" applyBorder="1" applyAlignment="1" applyProtection="1">
      <alignment horizontal="center" vertical="center" wrapText="1"/>
      <protection/>
    </xf>
    <xf numFmtId="0" fontId="2" fillId="79" borderId="146" xfId="0" applyFont="1" applyFill="1" applyBorder="1" applyAlignment="1" applyProtection="1">
      <alignment horizontal="center" vertical="center" wrapText="1"/>
      <protection/>
    </xf>
    <xf numFmtId="0" fontId="2" fillId="79" borderId="147" xfId="0" applyFont="1" applyFill="1" applyBorder="1" applyAlignment="1" applyProtection="1">
      <alignment horizontal="center" vertical="center" wrapText="1"/>
      <protection/>
    </xf>
    <xf numFmtId="0" fontId="2" fillId="51" borderId="82" xfId="0" applyFont="1" applyFill="1" applyBorder="1" applyAlignment="1" applyProtection="1">
      <alignment horizontal="center" vertical="center"/>
      <protection/>
    </xf>
    <xf numFmtId="0" fontId="2" fillId="51" borderId="148" xfId="0" applyFont="1" applyFill="1" applyBorder="1" applyAlignment="1" applyProtection="1">
      <alignment horizontal="center" vertical="center"/>
      <protection/>
    </xf>
    <xf numFmtId="0" fontId="2" fillId="51" borderId="127" xfId="0" applyFont="1" applyFill="1" applyBorder="1" applyAlignment="1" applyProtection="1">
      <alignment horizontal="center" vertical="center"/>
      <protection/>
    </xf>
    <xf numFmtId="0" fontId="1" fillId="36" borderId="69" xfId="0" applyFont="1" applyFill="1" applyBorder="1" applyAlignment="1" applyProtection="1">
      <alignment vertical="center" wrapText="1"/>
      <protection/>
    </xf>
    <xf numFmtId="0" fontId="2" fillId="41" borderId="124" xfId="0" applyFont="1" applyFill="1" applyBorder="1" applyAlignment="1" applyProtection="1">
      <alignment horizontal="center" vertical="center" wrapText="1"/>
      <protection/>
    </xf>
    <xf numFmtId="0" fontId="2" fillId="41" borderId="149" xfId="0" applyFont="1" applyFill="1" applyBorder="1" applyAlignment="1" applyProtection="1">
      <alignment horizontal="center" vertical="center" wrapText="1"/>
      <protection/>
    </xf>
    <xf numFmtId="0" fontId="2" fillId="41" borderId="150" xfId="0" applyFont="1" applyFill="1" applyBorder="1" applyAlignment="1" applyProtection="1">
      <alignment horizontal="center" vertical="center" wrapText="1"/>
      <protection/>
    </xf>
    <xf numFmtId="0" fontId="1" fillId="36" borderId="151" xfId="0" applyFont="1" applyFill="1" applyBorder="1" applyAlignment="1" applyProtection="1">
      <alignment vertical="center" wrapText="1"/>
      <protection/>
    </xf>
    <xf numFmtId="0" fontId="2" fillId="41" borderId="152" xfId="0" applyFont="1" applyFill="1" applyBorder="1" applyAlignment="1" applyProtection="1">
      <alignment horizontal="center" vertical="center" wrapText="1"/>
      <protection/>
    </xf>
    <xf numFmtId="0" fontId="2" fillId="41" borderId="153" xfId="0" applyFont="1" applyFill="1" applyBorder="1" applyAlignment="1" applyProtection="1">
      <alignment horizontal="center" vertical="center" wrapText="1"/>
      <protection/>
    </xf>
    <xf numFmtId="0" fontId="2" fillId="41" borderId="154" xfId="0" applyFont="1" applyFill="1" applyBorder="1" applyAlignment="1" applyProtection="1">
      <alignment horizontal="center" vertical="center" wrapText="1"/>
      <protection/>
    </xf>
    <xf numFmtId="0" fontId="2" fillId="34" borderId="155" xfId="0" applyFont="1" applyFill="1" applyBorder="1" applyAlignment="1" applyProtection="1">
      <alignment vertical="center" wrapText="1"/>
      <protection/>
    </xf>
    <xf numFmtId="0" fontId="2" fillId="34" borderId="13" xfId="0" applyFont="1" applyFill="1" applyBorder="1" applyAlignment="1" applyProtection="1">
      <alignment vertical="center" wrapText="1"/>
      <protection/>
    </xf>
    <xf numFmtId="0" fontId="2" fillId="79" borderId="124" xfId="0" applyFont="1" applyFill="1" applyBorder="1" applyAlignment="1" applyProtection="1">
      <alignment horizontal="center" vertical="center" wrapText="1"/>
      <protection/>
    </xf>
    <xf numFmtId="0" fontId="2" fillId="79" borderId="149" xfId="0" applyFont="1" applyFill="1" applyBorder="1" applyAlignment="1" applyProtection="1">
      <alignment horizontal="center" vertical="center" wrapText="1"/>
      <protection/>
    </xf>
    <xf numFmtId="0" fontId="2" fillId="79" borderId="150" xfId="0" applyFont="1" applyFill="1" applyBorder="1" applyAlignment="1" applyProtection="1">
      <alignment horizontal="center" vertical="center" wrapText="1"/>
      <protection/>
    </xf>
    <xf numFmtId="0" fontId="2" fillId="79" borderId="156" xfId="0" applyFont="1" applyFill="1" applyBorder="1" applyAlignment="1" applyProtection="1">
      <alignment horizontal="center" vertical="center" wrapText="1"/>
      <protection/>
    </xf>
    <xf numFmtId="0" fontId="2" fillId="80" borderId="145" xfId="0" applyFont="1" applyFill="1" applyBorder="1" applyAlignment="1" applyProtection="1">
      <alignment horizontal="center" vertical="center" wrapText="1"/>
      <protection/>
    </xf>
    <xf numFmtId="0" fontId="2" fillId="80" borderId="146" xfId="0" applyFont="1" applyFill="1" applyBorder="1" applyAlignment="1" applyProtection="1">
      <alignment horizontal="center" vertical="center" wrapText="1"/>
      <protection/>
    </xf>
    <xf numFmtId="0" fontId="2" fillId="80" borderId="156" xfId="0" applyFont="1" applyFill="1" applyBorder="1" applyAlignment="1" applyProtection="1">
      <alignment horizontal="center" vertical="center" wrapText="1"/>
      <protection/>
    </xf>
    <xf numFmtId="0" fontId="15" fillId="0" borderId="18" xfId="0" applyFont="1" applyBorder="1" applyAlignment="1" applyProtection="1">
      <alignment horizontal="center"/>
      <protection/>
    </xf>
    <xf numFmtId="0" fontId="2" fillId="34" borderId="18" xfId="0" applyFont="1" applyFill="1" applyBorder="1" applyAlignment="1" applyProtection="1">
      <alignment vertical="center"/>
      <protection/>
    </xf>
    <xf numFmtId="187" fontId="105" fillId="81" borderId="39" xfId="54" applyNumberFormat="1" applyFont="1" applyFill="1" applyBorder="1" applyAlignment="1" applyProtection="1">
      <alignment horizontal="center" vertical="center"/>
      <protection/>
    </xf>
    <xf numFmtId="187" fontId="105" fillId="81" borderId="98" xfId="54" applyNumberFormat="1" applyFont="1" applyFill="1" applyBorder="1" applyAlignment="1" applyProtection="1">
      <alignment horizontal="center" vertical="center"/>
      <protection/>
    </xf>
    <xf numFmtId="0" fontId="2" fillId="54" borderId="18" xfId="0" applyFont="1" applyFill="1" applyBorder="1" applyAlignment="1" applyProtection="1">
      <alignment horizontal="center" vertical="center"/>
      <protection/>
    </xf>
    <xf numFmtId="0" fontId="2" fillId="51" borderId="18" xfId="0" applyFont="1" applyFill="1" applyBorder="1" applyAlignment="1" applyProtection="1">
      <alignment horizontal="center" vertical="center"/>
      <protection/>
    </xf>
    <xf numFmtId="0" fontId="105" fillId="55" borderId="18" xfId="0" applyFont="1" applyFill="1" applyBorder="1" applyAlignment="1" applyProtection="1">
      <alignment horizontal="center" vertical="center"/>
      <protection/>
    </xf>
    <xf numFmtId="0" fontId="91" fillId="54" borderId="18" xfId="0" applyFont="1" applyFill="1" applyBorder="1" applyAlignment="1" applyProtection="1">
      <alignment horizontal="center" vertical="center"/>
      <protection/>
    </xf>
    <xf numFmtId="0" fontId="1" fillId="51" borderId="18" xfId="0" applyFont="1" applyFill="1" applyBorder="1" applyAlignment="1" applyProtection="1">
      <alignment horizontal="right" vertical="center"/>
      <protection/>
    </xf>
    <xf numFmtId="187" fontId="4" fillId="61" borderId="121" xfId="54" applyNumberFormat="1" applyFont="1" applyFill="1" applyBorder="1" applyAlignment="1" applyProtection="1">
      <alignment horizontal="center" vertical="center"/>
      <protection/>
    </xf>
    <xf numFmtId="187" fontId="4" fillId="61" borderId="99" xfId="54" applyNumberFormat="1" applyFont="1" applyFill="1" applyBorder="1" applyAlignment="1" applyProtection="1">
      <alignment horizontal="center" vertical="center"/>
      <protection/>
    </xf>
    <xf numFmtId="187" fontId="4" fillId="61" borderId="126" xfId="54" applyNumberFormat="1" applyFont="1" applyFill="1" applyBorder="1" applyAlignment="1" applyProtection="1">
      <alignment horizontal="center" vertical="center"/>
      <protection/>
    </xf>
    <xf numFmtId="0" fontId="20" fillId="62" borderId="120" xfId="0" applyFont="1" applyFill="1" applyBorder="1" applyAlignment="1" applyProtection="1">
      <alignment horizontal="left" vertical="center"/>
      <protection/>
    </xf>
    <xf numFmtId="0" fontId="20" fillId="62" borderId="46"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xf>
    <xf numFmtId="0" fontId="2" fillId="82" borderId="124" xfId="0" applyFont="1" applyFill="1" applyBorder="1" applyAlignment="1" applyProtection="1">
      <alignment horizontal="center" vertical="center" wrapText="1"/>
      <protection/>
    </xf>
    <xf numFmtId="0" fontId="2" fillId="82" borderId="149" xfId="0" applyFont="1" applyFill="1" applyBorder="1" applyAlignment="1" applyProtection="1">
      <alignment horizontal="center" vertical="center" wrapText="1"/>
      <protection/>
    </xf>
    <xf numFmtId="0" fontId="2" fillId="82" borderId="150" xfId="0" applyFont="1" applyFill="1" applyBorder="1" applyAlignment="1" applyProtection="1">
      <alignment horizontal="center" vertical="center" wrapText="1"/>
      <protection/>
    </xf>
    <xf numFmtId="0" fontId="1" fillId="62" borderId="120" xfId="0" applyFont="1" applyFill="1" applyBorder="1" applyAlignment="1" applyProtection="1">
      <alignment horizontal="center" vertical="center"/>
      <protection/>
    </xf>
    <xf numFmtId="0" fontId="1" fillId="62" borderId="102" xfId="0" applyFont="1" applyFill="1" applyBorder="1" applyAlignment="1" applyProtection="1">
      <alignment horizontal="center" vertical="center"/>
      <protection/>
    </xf>
    <xf numFmtId="0" fontId="1" fillId="62" borderId="46" xfId="0" applyFont="1" applyFill="1" applyBorder="1" applyAlignment="1" applyProtection="1">
      <alignment horizontal="center" vertical="center"/>
      <protection/>
    </xf>
    <xf numFmtId="187" fontId="4" fillId="83" borderId="157" xfId="54" applyNumberFormat="1" applyFont="1" applyFill="1" applyBorder="1" applyAlignment="1" applyProtection="1">
      <alignment horizontal="center" vertical="center"/>
      <protection/>
    </xf>
    <xf numFmtId="187" fontId="4" fillId="83" borderId="56" xfId="54" applyNumberFormat="1" applyFont="1" applyFill="1" applyBorder="1" applyAlignment="1" applyProtection="1">
      <alignment horizontal="center" vertical="center"/>
      <protection/>
    </xf>
    <xf numFmtId="187" fontId="4" fillId="83" borderId="158" xfId="54" applyNumberFormat="1" applyFont="1" applyFill="1" applyBorder="1" applyAlignment="1" applyProtection="1">
      <alignment horizontal="center" vertical="center"/>
      <protection/>
    </xf>
    <xf numFmtId="0" fontId="20" fillId="38" borderId="30" xfId="0" applyFont="1" applyFill="1" applyBorder="1" applyAlignment="1" applyProtection="1">
      <alignment vertical="center"/>
      <protection/>
    </xf>
    <xf numFmtId="0" fontId="20" fillId="38" borderId="36" xfId="0" applyFont="1" applyFill="1" applyBorder="1" applyAlignment="1" applyProtection="1">
      <alignment vertical="center"/>
      <protection/>
    </xf>
    <xf numFmtId="0" fontId="91" fillId="0" borderId="0" xfId="0" applyFont="1" applyFill="1" applyBorder="1" applyAlignment="1" applyProtection="1">
      <alignment horizontal="center" vertical="center"/>
      <protection/>
    </xf>
    <xf numFmtId="0" fontId="20" fillId="46" borderId="120" xfId="0" applyFont="1" applyFill="1" applyBorder="1" applyAlignment="1" applyProtection="1">
      <alignment horizontal="left" vertical="center"/>
      <protection/>
    </xf>
    <xf numFmtId="0" fontId="20" fillId="46" borderId="46" xfId="0" applyFont="1" applyFill="1" applyBorder="1" applyAlignment="1" applyProtection="1">
      <alignment horizontal="left" vertical="center"/>
      <protection/>
    </xf>
    <xf numFmtId="0" fontId="2" fillId="84" borderId="124" xfId="0" applyFont="1" applyFill="1" applyBorder="1" applyAlignment="1" applyProtection="1">
      <alignment horizontal="center" vertical="center" wrapText="1"/>
      <protection/>
    </xf>
    <xf numFmtId="0" fontId="2" fillId="84" borderId="149" xfId="0" applyFont="1" applyFill="1" applyBorder="1" applyAlignment="1" applyProtection="1">
      <alignment horizontal="center" vertical="center" wrapText="1"/>
      <protection/>
    </xf>
    <xf numFmtId="0" fontId="2" fillId="84" borderId="150" xfId="0" applyFont="1" applyFill="1" applyBorder="1" applyAlignment="1" applyProtection="1">
      <alignment horizontal="center" vertical="center" wrapText="1"/>
      <protection/>
    </xf>
    <xf numFmtId="0" fontId="2" fillId="41" borderId="128" xfId="0" applyFont="1" applyFill="1" applyBorder="1" applyAlignment="1" applyProtection="1">
      <alignment horizontal="center" vertical="center" wrapText="1"/>
      <protection/>
    </xf>
    <xf numFmtId="0" fontId="2" fillId="41" borderId="159" xfId="0" applyFont="1" applyFill="1" applyBorder="1" applyAlignment="1" applyProtection="1">
      <alignment horizontal="center" vertical="center" wrapText="1"/>
      <protection/>
    </xf>
    <xf numFmtId="187" fontId="4" fillId="61" borderId="128" xfId="54" applyNumberFormat="1" applyFont="1" applyFill="1" applyBorder="1" applyAlignment="1" applyProtection="1">
      <alignment horizontal="center" vertical="center"/>
      <protection/>
    </xf>
    <xf numFmtId="187" fontId="4" fillId="61" borderId="0" xfId="54" applyNumberFormat="1" applyFont="1" applyFill="1" applyBorder="1" applyAlignment="1" applyProtection="1">
      <alignment horizontal="center" vertical="center"/>
      <protection/>
    </xf>
    <xf numFmtId="187" fontId="4" fillId="61" borderId="160" xfId="54" applyNumberFormat="1" applyFont="1" applyFill="1" applyBorder="1" applyAlignment="1" applyProtection="1">
      <alignment horizontal="center" vertical="center"/>
      <protection/>
    </xf>
    <xf numFmtId="0" fontId="2" fillId="80" borderId="124" xfId="0" applyFont="1" applyFill="1" applyBorder="1" applyAlignment="1" applyProtection="1">
      <alignment horizontal="center" vertical="center" wrapText="1"/>
      <protection/>
    </xf>
    <xf numFmtId="0" fontId="2" fillId="80" borderId="149" xfId="0" applyFont="1" applyFill="1" applyBorder="1" applyAlignment="1" applyProtection="1">
      <alignment horizontal="center" vertical="center" wrapText="1"/>
      <protection/>
    </xf>
    <xf numFmtId="0" fontId="2" fillId="80" borderId="150" xfId="0" applyFont="1" applyFill="1" applyBorder="1" applyAlignment="1" applyProtection="1">
      <alignment horizontal="center" vertical="center" wrapText="1"/>
      <protection/>
    </xf>
    <xf numFmtId="0" fontId="2" fillId="78" borderId="124" xfId="0" applyFont="1" applyFill="1" applyBorder="1" applyAlignment="1" applyProtection="1">
      <alignment horizontal="center" vertical="center" wrapText="1"/>
      <protection/>
    </xf>
    <xf numFmtId="0" fontId="2" fillId="78" borderId="149" xfId="0" applyFont="1" applyFill="1" applyBorder="1" applyAlignment="1" applyProtection="1">
      <alignment horizontal="center" vertical="center" wrapText="1"/>
      <protection/>
    </xf>
    <xf numFmtId="0" fontId="2" fillId="78" borderId="150" xfId="0" applyFont="1" applyFill="1" applyBorder="1" applyAlignment="1" applyProtection="1">
      <alignment horizontal="center" vertical="center" wrapText="1"/>
      <protection/>
    </xf>
    <xf numFmtId="0" fontId="4" fillId="85" borderId="0" xfId="0" applyFont="1" applyFill="1" applyBorder="1" applyAlignment="1" applyProtection="1">
      <alignment vertical="center"/>
      <protection/>
    </xf>
    <xf numFmtId="187" fontId="2" fillId="61" borderId="121" xfId="54" applyNumberFormat="1" applyFont="1" applyFill="1" applyBorder="1" applyAlignment="1" applyProtection="1">
      <alignment horizontal="center" vertical="center"/>
      <protection/>
    </xf>
    <xf numFmtId="187" fontId="2" fillId="61" borderId="99" xfId="54" applyNumberFormat="1" applyFont="1" applyFill="1" applyBorder="1" applyAlignment="1" applyProtection="1">
      <alignment horizontal="center" vertical="center"/>
      <protection/>
    </xf>
    <xf numFmtId="187" fontId="2" fillId="61" borderId="126" xfId="54" applyNumberFormat="1" applyFont="1" applyFill="1" applyBorder="1" applyAlignment="1" applyProtection="1">
      <alignment horizontal="center" vertical="center"/>
      <protection/>
    </xf>
    <xf numFmtId="0" fontId="20" fillId="38" borderId="28" xfId="0" applyFont="1" applyFill="1" applyBorder="1" applyAlignment="1" applyProtection="1">
      <alignment vertical="center"/>
      <protection/>
    </xf>
    <xf numFmtId="0" fontId="20" fillId="38" borderId="34" xfId="0" applyFont="1" applyFill="1" applyBorder="1" applyAlignment="1" applyProtection="1">
      <alignment vertical="center"/>
      <protection/>
    </xf>
    <xf numFmtId="0" fontId="0" fillId="0" borderId="0"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2" fillId="36" borderId="19" xfId="0" applyFont="1" applyFill="1" applyBorder="1" applyAlignment="1" applyProtection="1">
      <alignment horizontal="center" vertical="center"/>
      <protection/>
    </xf>
    <xf numFmtId="0" fontId="2" fillId="36" borderId="44" xfId="0" applyFont="1" applyFill="1" applyBorder="1" applyAlignment="1" applyProtection="1">
      <alignment horizontal="center" vertical="center"/>
      <protection/>
    </xf>
    <xf numFmtId="0" fontId="4" fillId="39" borderId="161" xfId="0" applyFont="1" applyFill="1" applyBorder="1" applyAlignment="1" applyProtection="1">
      <alignment horizontal="center" vertical="center"/>
      <protection/>
    </xf>
    <xf numFmtId="0" fontId="4" fillId="39" borderId="162" xfId="0" applyFont="1" applyFill="1" applyBorder="1" applyAlignment="1" applyProtection="1">
      <alignment horizontal="center" vertical="center"/>
      <protection/>
    </xf>
    <xf numFmtId="0" fontId="20" fillId="34" borderId="13" xfId="0" applyFont="1" applyFill="1" applyBorder="1" applyAlignment="1" applyProtection="1">
      <alignment vertical="center"/>
      <protection/>
    </xf>
    <xf numFmtId="0" fontId="20" fillId="34" borderId="80" xfId="0" applyFont="1" applyFill="1" applyBorder="1" applyAlignment="1" applyProtection="1">
      <alignment vertical="center"/>
      <protection/>
    </xf>
    <xf numFmtId="0" fontId="105" fillId="55" borderId="163" xfId="0" applyFont="1" applyFill="1" applyBorder="1" applyAlignment="1" applyProtection="1">
      <alignment horizontal="center" vertical="center"/>
      <protection/>
    </xf>
    <xf numFmtId="0" fontId="105" fillId="55" borderId="50" xfId="0" applyFont="1" applyFill="1" applyBorder="1" applyAlignment="1" applyProtection="1">
      <alignment horizontal="center" vertical="center"/>
      <protection/>
    </xf>
    <xf numFmtId="42" fontId="105" fillId="55" borderId="18" xfId="0" applyNumberFormat="1" applyFont="1" applyFill="1" applyBorder="1" applyAlignment="1" applyProtection="1">
      <alignment horizontal="center" vertical="center"/>
      <protection/>
    </xf>
    <xf numFmtId="0" fontId="105" fillId="51" borderId="0" xfId="0" applyFont="1" applyFill="1" applyBorder="1" applyAlignment="1" applyProtection="1">
      <alignment horizontal="center" vertical="center"/>
      <protection/>
    </xf>
    <xf numFmtId="0" fontId="105" fillId="55" borderId="19" xfId="0" applyFont="1" applyFill="1" applyBorder="1" applyAlignment="1" applyProtection="1">
      <alignment horizontal="center" vertical="center"/>
      <protection/>
    </xf>
    <xf numFmtId="0" fontId="105" fillId="55" borderId="44" xfId="0" applyFont="1" applyFill="1" applyBorder="1" applyAlignment="1" applyProtection="1">
      <alignment horizontal="center" vertical="center"/>
      <protection/>
    </xf>
    <xf numFmtId="0" fontId="2" fillId="62" borderId="102" xfId="0" applyFont="1" applyFill="1" applyBorder="1" applyAlignment="1" applyProtection="1">
      <alignment horizontal="left" vertical="center"/>
      <protection/>
    </xf>
    <xf numFmtId="0" fontId="2" fillId="62" borderId="44" xfId="0" applyFont="1" applyFill="1" applyBorder="1" applyAlignment="1" applyProtection="1">
      <alignment horizontal="left" vertical="center"/>
      <protection/>
    </xf>
    <xf numFmtId="0" fontId="2" fillId="34" borderId="13"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 fillId="40" borderId="11" xfId="0" applyFont="1" applyFill="1" applyBorder="1" applyAlignment="1" applyProtection="1">
      <alignment horizontal="center" vertical="center" wrapText="1"/>
      <protection/>
    </xf>
    <xf numFmtId="0" fontId="2" fillId="36" borderId="11" xfId="0" applyFont="1" applyFill="1" applyBorder="1" applyAlignment="1" applyProtection="1">
      <alignment horizontal="center" vertical="center" wrapText="1"/>
      <protection/>
    </xf>
    <xf numFmtId="0" fontId="2" fillId="36" borderId="13" xfId="0" applyFont="1" applyFill="1" applyBorder="1" applyAlignment="1" applyProtection="1">
      <alignment horizontal="center" vertical="center" wrapText="1"/>
      <protection/>
    </xf>
    <xf numFmtId="0" fontId="2" fillId="36" borderId="53" xfId="0" applyFont="1" applyFill="1" applyBorder="1" applyAlignment="1" applyProtection="1">
      <alignment horizontal="center" vertical="center" wrapText="1"/>
      <protection/>
    </xf>
    <xf numFmtId="0" fontId="2" fillId="36" borderId="12"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2" fillId="86" borderId="11" xfId="0" applyFont="1" applyFill="1" applyBorder="1" applyAlignment="1" applyProtection="1">
      <alignment horizontal="center" vertical="center" wrapText="1"/>
      <protection/>
    </xf>
    <xf numFmtId="0" fontId="2" fillId="87" borderId="11" xfId="0" applyFont="1" applyFill="1" applyBorder="1" applyAlignment="1" applyProtection="1">
      <alignment horizontal="center" vertical="center" wrapText="1"/>
      <protection/>
    </xf>
    <xf numFmtId="6" fontId="30" fillId="0" borderId="18" xfId="0" applyNumberFormat="1" applyFont="1" applyBorder="1" applyAlignment="1" applyProtection="1">
      <alignment horizontal="center" vertical="center"/>
      <protection/>
    </xf>
    <xf numFmtId="6" fontId="0" fillId="0" borderId="18" xfId="0" applyNumberFormat="1" applyFont="1" applyBorder="1" applyAlignment="1">
      <alignment/>
    </xf>
    <xf numFmtId="0" fontId="2" fillId="36" borderId="11" xfId="0" applyFont="1" applyFill="1" applyBorder="1" applyAlignment="1" applyProtection="1">
      <alignment horizontal="center" vertical="center"/>
      <protection/>
    </xf>
    <xf numFmtId="0" fontId="2" fillId="34" borderId="11" xfId="0" applyFont="1" applyFill="1" applyBorder="1" applyAlignment="1" applyProtection="1">
      <alignment vertical="center" wrapText="1"/>
      <protection/>
    </xf>
    <xf numFmtId="0" fontId="2" fillId="0" borderId="10" xfId="0" applyFont="1" applyBorder="1" applyAlignment="1" applyProtection="1">
      <alignment horizontal="right" vertical="center"/>
      <protection/>
    </xf>
    <xf numFmtId="0" fontId="110" fillId="55" borderId="19" xfId="0" applyFont="1" applyFill="1" applyBorder="1" applyAlignment="1">
      <alignment horizontal="center"/>
    </xf>
    <xf numFmtId="0" fontId="110" fillId="55" borderId="44" xfId="0" applyFont="1" applyFill="1" applyBorder="1" applyAlignment="1">
      <alignment horizontal="center"/>
    </xf>
    <xf numFmtId="0" fontId="0" fillId="0" borderId="124" xfId="0" applyBorder="1" applyAlignment="1">
      <alignment horizontal="center" vertical="center" wrapText="1"/>
    </xf>
    <xf numFmtId="0" fontId="0" fillId="0" borderId="149" xfId="0" applyBorder="1" applyAlignment="1">
      <alignment horizontal="center" vertical="center" wrapText="1"/>
    </xf>
    <xf numFmtId="0" fontId="0" fillId="0" borderId="150" xfId="0" applyBorder="1" applyAlignment="1">
      <alignment horizontal="center" vertical="center" wrapText="1"/>
    </xf>
    <xf numFmtId="218" fontId="89" fillId="0" borderId="82" xfId="54" applyNumberFormat="1" applyFont="1" applyBorder="1" applyAlignment="1">
      <alignment horizontal="center"/>
    </xf>
    <xf numFmtId="218" fontId="89" fillId="0" borderId="148" xfId="54" applyNumberFormat="1" applyFont="1" applyBorder="1" applyAlignment="1">
      <alignment horizontal="center"/>
    </xf>
    <xf numFmtId="218" fontId="89" fillId="0" borderId="127" xfId="54" applyNumberFormat="1" applyFont="1" applyBorder="1" applyAlignment="1">
      <alignment horizontal="center"/>
    </xf>
    <xf numFmtId="218" fontId="89" fillId="0" borderId="82" xfId="54" applyNumberFormat="1" applyFont="1" applyBorder="1" applyAlignment="1">
      <alignment horizontal="center" vertical="center"/>
    </xf>
    <xf numFmtId="218" fontId="89" fillId="0" borderId="127" xfId="54" applyNumberFormat="1" applyFont="1" applyBorder="1" applyAlignment="1">
      <alignment horizontal="center" vertical="center"/>
    </xf>
    <xf numFmtId="188" fontId="1" fillId="0" borderId="164" xfId="54" applyNumberFormat="1" applyFont="1" applyFill="1" applyBorder="1" applyAlignment="1" applyProtection="1">
      <alignment vertical="center"/>
      <protection/>
    </xf>
    <xf numFmtId="188" fontId="1" fillId="0" borderId="97" xfId="54" applyNumberFormat="1" applyFont="1" applyFill="1" applyBorder="1" applyAlignment="1" applyProtection="1">
      <alignment vertical="center"/>
      <protection/>
    </xf>
    <xf numFmtId="188" fontId="1" fillId="0" borderId="109" xfId="54" applyNumberFormat="1" applyFont="1" applyFill="1" applyBorder="1" applyAlignment="1" applyProtection="1">
      <alignment vertical="center"/>
      <protection/>
    </xf>
    <xf numFmtId="188" fontId="1" fillId="0" borderId="165" xfId="54" applyNumberFormat="1" applyFont="1" applyFill="1" applyBorder="1" applyAlignment="1" applyProtection="1">
      <alignment vertical="center"/>
      <protection/>
    </xf>
    <xf numFmtId="188" fontId="1" fillId="0" borderId="20" xfId="54" applyNumberFormat="1" applyFont="1" applyFill="1" applyBorder="1" applyAlignment="1" applyProtection="1">
      <alignment vertical="center"/>
      <protection/>
    </xf>
    <xf numFmtId="188" fontId="1" fillId="0" borderId="49" xfId="54" applyNumberFormat="1" applyFont="1" applyFill="1" applyBorder="1" applyAlignment="1" applyProtection="1">
      <alignment vertical="center"/>
      <protection/>
    </xf>
    <xf numFmtId="188" fontId="1" fillId="88" borderId="115" xfId="54" applyNumberFormat="1" applyFont="1" applyFill="1" applyBorder="1" applyAlignment="1" applyProtection="1">
      <alignment vertical="center"/>
      <protection/>
    </xf>
    <xf numFmtId="1" fontId="1" fillId="0" borderId="87" xfId="54" applyNumberFormat="1" applyFont="1" applyFill="1" applyBorder="1" applyAlignment="1" applyProtection="1">
      <alignment vertical="center"/>
      <protection/>
    </xf>
    <xf numFmtId="1" fontId="1" fillId="0" borderId="18" xfId="54" applyNumberFormat="1" applyFont="1" applyFill="1" applyBorder="1" applyAlignment="1" applyProtection="1">
      <alignment vertical="center"/>
      <protection/>
    </xf>
    <xf numFmtId="1" fontId="1" fillId="0" borderId="48" xfId="54" applyNumberFormat="1" applyFont="1" applyFill="1" applyBorder="1" applyAlignment="1" applyProtection="1">
      <alignment vertical="center"/>
      <protection/>
    </xf>
    <xf numFmtId="1" fontId="1" fillId="88" borderId="166" xfId="54" applyNumberFormat="1" applyFont="1" applyFill="1" applyBorder="1" applyAlignment="1" applyProtection="1">
      <alignment vertical="center"/>
      <protection/>
    </xf>
    <xf numFmtId="0" fontId="0" fillId="0" borderId="146" xfId="0" applyBorder="1" applyAlignment="1" applyProtection="1">
      <alignment horizontal="center" vertical="center" wrapText="1"/>
      <protection/>
    </xf>
    <xf numFmtId="188" fontId="1" fillId="0" borderId="167" xfId="54" applyNumberFormat="1" applyFont="1" applyFill="1" applyBorder="1" applyAlignment="1" applyProtection="1">
      <alignment vertical="center"/>
      <protection/>
    </xf>
    <xf numFmtId="0" fontId="0" fillId="0" borderId="147" xfId="0" applyBorder="1" applyAlignment="1" applyProtection="1">
      <alignment horizontal="center" vertical="center" wrapText="1"/>
      <protection/>
    </xf>
    <xf numFmtId="188" fontId="1" fillId="0" borderId="168" xfId="54" applyNumberFormat="1" applyFont="1" applyFill="1" applyBorder="1" applyAlignment="1" applyProtection="1">
      <alignment vertical="center"/>
      <protection/>
    </xf>
    <xf numFmtId="1" fontId="1" fillId="0" borderId="166" xfId="54" applyNumberFormat="1" applyFont="1" applyFill="1" applyBorder="1" applyAlignment="1" applyProtection="1">
      <alignment vertical="center"/>
      <protection/>
    </xf>
    <xf numFmtId="188" fontId="1" fillId="88" borderId="168" xfId="54" applyNumberFormat="1" applyFont="1" applyFill="1" applyBorder="1" applyAlignment="1" applyProtection="1">
      <alignment vertical="center"/>
      <protection/>
    </xf>
    <xf numFmtId="188" fontId="1" fillId="88" borderId="166" xfId="54" applyNumberFormat="1" applyFont="1" applyFill="1" applyBorder="1" applyAlignment="1" applyProtection="1">
      <alignment vertical="center"/>
      <protection/>
    </xf>
    <xf numFmtId="188" fontId="1" fillId="51" borderId="86" xfId="54" applyNumberFormat="1" applyFont="1" applyFill="1" applyBorder="1" applyAlignment="1" applyProtection="1">
      <alignment vertical="center"/>
      <protection/>
    </xf>
    <xf numFmtId="188" fontId="1" fillId="51" borderId="62" xfId="54" applyNumberFormat="1" applyFont="1" applyFill="1" applyBorder="1" applyAlignment="1" applyProtection="1">
      <alignment vertical="center"/>
      <protection/>
    </xf>
    <xf numFmtId="188" fontId="1" fillId="51" borderId="63" xfId="54" applyNumberFormat="1" applyFont="1" applyFill="1" applyBorder="1" applyAlignment="1" applyProtection="1">
      <alignment vertical="center"/>
      <protection/>
    </xf>
    <xf numFmtId="188" fontId="1" fillId="0" borderId="86" xfId="54" applyNumberFormat="1" applyFont="1" applyFill="1" applyBorder="1" applyAlignment="1" applyProtection="1">
      <alignment vertical="center"/>
      <protection/>
    </xf>
    <xf numFmtId="188" fontId="1" fillId="0" borderId="62" xfId="54" applyNumberFormat="1" applyFont="1" applyFill="1" applyBorder="1" applyAlignment="1" applyProtection="1">
      <alignment vertical="center"/>
      <protection/>
    </xf>
    <xf numFmtId="188" fontId="1" fillId="0" borderId="63" xfId="54" applyNumberFormat="1" applyFont="1" applyFill="1" applyBorder="1" applyAlignment="1" applyProtection="1">
      <alignment vertical="center"/>
      <protection/>
    </xf>
    <xf numFmtId="1" fontId="90" fillId="0" borderId="18" xfId="54" applyNumberFormat="1" applyFont="1" applyFill="1" applyBorder="1" applyAlignment="1" applyProtection="1">
      <alignment vertical="center"/>
      <protection/>
    </xf>
    <xf numFmtId="1" fontId="90" fillId="0" borderId="48" xfId="54" applyNumberFormat="1" applyFont="1" applyFill="1" applyBorder="1" applyAlignment="1" applyProtection="1">
      <alignment vertical="center"/>
      <protection/>
    </xf>
    <xf numFmtId="188" fontId="1" fillId="0" borderId="115" xfId="54" applyNumberFormat="1" applyFont="1" applyFill="1" applyBorder="1" applyAlignment="1" applyProtection="1">
      <alignment vertical="center"/>
      <protection/>
    </xf>
    <xf numFmtId="188" fontId="1" fillId="0" borderId="39" xfId="54" applyNumberFormat="1" applyFont="1" applyFill="1" applyBorder="1" applyAlignment="1" applyProtection="1">
      <alignment vertical="center"/>
      <protection/>
    </xf>
    <xf numFmtId="188" fontId="1" fillId="0" borderId="98" xfId="54" applyNumberFormat="1" applyFont="1" applyFill="1" applyBorder="1" applyAlignment="1" applyProtection="1">
      <alignment vertical="center"/>
      <protection/>
    </xf>
    <xf numFmtId="188" fontId="1" fillId="0" borderId="69" xfId="54" applyNumberFormat="1" applyFont="1" applyFill="1" applyBorder="1" applyAlignment="1" applyProtection="1">
      <alignment vertical="center"/>
      <protection/>
    </xf>
    <xf numFmtId="1" fontId="1" fillId="0" borderId="44" xfId="54" applyNumberFormat="1" applyFont="1" applyFill="1" applyBorder="1" applyAlignment="1" applyProtection="1">
      <alignment vertical="center"/>
      <protection/>
    </xf>
    <xf numFmtId="188" fontId="1" fillId="0" borderId="87" xfId="54" applyNumberFormat="1" applyFont="1" applyFill="1" applyBorder="1" applyAlignment="1" applyProtection="1">
      <alignment vertical="center"/>
      <protection/>
    </xf>
    <xf numFmtId="188" fontId="1" fillId="0" borderId="18" xfId="54" applyNumberFormat="1" applyFont="1" applyFill="1" applyBorder="1" applyAlignment="1" applyProtection="1">
      <alignment vertical="center"/>
      <protection/>
    </xf>
    <xf numFmtId="188" fontId="1" fillId="0" borderId="48" xfId="54" applyNumberFormat="1" applyFont="1" applyFill="1" applyBorder="1" applyAlignment="1" applyProtection="1">
      <alignment vertical="center"/>
      <protection/>
    </xf>
    <xf numFmtId="188" fontId="1" fillId="0" borderId="75" xfId="54" applyNumberFormat="1" applyFont="1" applyFill="1" applyBorder="1" applyAlignment="1" applyProtection="1">
      <alignment vertical="center"/>
      <protection/>
    </xf>
    <xf numFmtId="188" fontId="1" fillId="0" borderId="53" xfId="54" applyNumberFormat="1" applyFont="1" applyFill="1" applyBorder="1" applyAlignment="1" applyProtection="1">
      <alignment vertical="center"/>
      <protection/>
    </xf>
    <xf numFmtId="188" fontId="1" fillId="0" borderId="54" xfId="54" applyNumberFormat="1" applyFont="1" applyFill="1" applyBorder="1" applyAlignment="1" applyProtection="1">
      <alignment vertical="center"/>
      <protection/>
    </xf>
    <xf numFmtId="188" fontId="1" fillId="88" borderId="169" xfId="54" applyNumberFormat="1" applyFont="1" applyFill="1" applyBorder="1" applyAlignment="1" applyProtection="1">
      <alignment vertical="center"/>
      <protection/>
    </xf>
    <xf numFmtId="188" fontId="1" fillId="0" borderId="170" xfId="54" applyNumberFormat="1" applyFont="1" applyFill="1" applyBorder="1" applyAlignment="1" applyProtection="1">
      <alignment vertical="center"/>
      <protection/>
    </xf>
    <xf numFmtId="188" fontId="1" fillId="0" borderId="55" xfId="54" applyNumberFormat="1" applyFont="1" applyFill="1" applyBorder="1" applyAlignment="1" applyProtection="1">
      <alignment vertical="center"/>
      <protection/>
    </xf>
    <xf numFmtId="188" fontId="1" fillId="0" borderId="171" xfId="54" applyNumberFormat="1" applyFont="1" applyFill="1" applyBorder="1" applyAlignment="1" applyProtection="1">
      <alignment vertical="center"/>
      <protection/>
    </xf>
    <xf numFmtId="0" fontId="89" fillId="56" borderId="39" xfId="0" applyFont="1" applyFill="1" applyBorder="1" applyAlignment="1" applyProtection="1">
      <alignment horizontal="center" vertical="center" wrapText="1"/>
      <protection/>
    </xf>
    <xf numFmtId="0" fontId="0" fillId="56" borderId="97" xfId="0" applyFill="1" applyBorder="1" applyAlignment="1" applyProtection="1">
      <alignment vertical="center"/>
      <protection/>
    </xf>
    <xf numFmtId="218" fontId="0" fillId="56" borderId="97" xfId="54" applyNumberFormat="1" applyFont="1" applyFill="1" applyBorder="1" applyAlignment="1" applyProtection="1">
      <alignment vertical="center"/>
      <protection/>
    </xf>
    <xf numFmtId="218" fontId="0" fillId="56" borderId="98" xfId="54" applyNumberFormat="1" applyFont="1" applyFill="1" applyBorder="1" applyAlignment="1" applyProtection="1">
      <alignment vertical="center"/>
      <protection/>
    </xf>
    <xf numFmtId="0" fontId="89" fillId="56" borderId="87" xfId="0" applyFont="1" applyFill="1" applyBorder="1" applyAlignment="1" applyProtection="1">
      <alignment horizontal="center" vertical="center" wrapText="1"/>
      <protection/>
    </xf>
    <xf numFmtId="0" fontId="0" fillId="56" borderId="18" xfId="0" applyFill="1" applyBorder="1" applyAlignment="1" applyProtection="1">
      <alignment vertical="center"/>
      <protection/>
    </xf>
    <xf numFmtId="218" fontId="0" fillId="56" borderId="18" xfId="54" applyNumberFormat="1" applyFont="1" applyFill="1" applyBorder="1" applyAlignment="1" applyProtection="1">
      <alignment vertical="center"/>
      <protection/>
    </xf>
    <xf numFmtId="218" fontId="0" fillId="56" borderId="48" xfId="54" applyNumberFormat="1" applyFont="1" applyFill="1" applyBorder="1" applyAlignment="1" applyProtection="1">
      <alignment vertical="center"/>
      <protection/>
    </xf>
    <xf numFmtId="0" fontId="89" fillId="51" borderId="87" xfId="0" applyFont="1" applyFill="1" applyBorder="1" applyAlignment="1" applyProtection="1">
      <alignment horizontal="center" vertical="center" wrapText="1"/>
      <protection/>
    </xf>
    <xf numFmtId="0" fontId="0" fillId="51" borderId="18" xfId="0" applyFill="1" applyBorder="1" applyAlignment="1" applyProtection="1">
      <alignment vertical="center"/>
      <protection/>
    </xf>
    <xf numFmtId="218" fontId="0" fillId="51" borderId="18" xfId="54" applyNumberFormat="1" applyFont="1" applyFill="1" applyBorder="1" applyAlignment="1" applyProtection="1">
      <alignment vertical="center"/>
      <protection/>
    </xf>
    <xf numFmtId="218" fontId="0" fillId="51" borderId="48" xfId="54" applyNumberFormat="1" applyFont="1" applyFill="1" applyBorder="1" applyAlignment="1" applyProtection="1">
      <alignment vertical="center"/>
      <protection/>
    </xf>
    <xf numFmtId="0" fontId="0" fillId="89" borderId="18" xfId="0" applyFill="1" applyBorder="1" applyAlignment="1" applyProtection="1">
      <alignment/>
      <protection/>
    </xf>
    <xf numFmtId="0" fontId="0" fillId="89" borderId="48" xfId="0" applyFill="1" applyBorder="1" applyAlignment="1" applyProtection="1">
      <alignment/>
      <protection/>
    </xf>
    <xf numFmtId="0" fontId="89" fillId="51" borderId="88" xfId="0" applyFont="1" applyFill="1" applyBorder="1" applyAlignment="1" applyProtection="1">
      <alignment horizontal="center" vertical="center" wrapText="1"/>
      <protection/>
    </xf>
    <xf numFmtId="0" fontId="0" fillId="51" borderId="89" xfId="0" applyFill="1" applyBorder="1" applyAlignment="1" applyProtection="1">
      <alignment vertical="center"/>
      <protection/>
    </xf>
    <xf numFmtId="218" fontId="0" fillId="51" borderId="89" xfId="54" applyNumberFormat="1" applyFont="1" applyFill="1" applyBorder="1" applyAlignment="1" applyProtection="1">
      <alignment vertical="center"/>
      <protection/>
    </xf>
    <xf numFmtId="0" fontId="0" fillId="89" borderId="89" xfId="0" applyFill="1" applyBorder="1" applyAlignment="1" applyProtection="1">
      <alignment/>
      <protection/>
    </xf>
    <xf numFmtId="0" fontId="0" fillId="89" borderId="90" xfId="0" applyFill="1" applyBorder="1" applyAlignment="1" applyProtection="1">
      <alignment/>
      <protection/>
    </xf>
    <xf numFmtId="0" fontId="111" fillId="51" borderId="0" xfId="0" applyFont="1" applyFill="1" applyAlignment="1" applyProtection="1">
      <alignment horizontal="center" vertical="center" wrapText="1"/>
      <protection/>
    </xf>
    <xf numFmtId="0" fontId="112" fillId="51" borderId="0" xfId="0" applyFont="1" applyFill="1" applyAlignment="1" applyProtection="1">
      <alignment horizontal="center" vertical="center" wrapText="1"/>
      <protection/>
    </xf>
    <xf numFmtId="0" fontId="89" fillId="51" borderId="87" xfId="0" applyFont="1" applyFill="1" applyBorder="1" applyAlignment="1" applyProtection="1">
      <alignment horizontal="center" vertical="center" wrapText="1"/>
      <protection/>
    </xf>
    <xf numFmtId="0" fontId="113" fillId="68" borderId="0" xfId="0" applyFont="1" applyFill="1" applyAlignment="1" applyProtection="1">
      <alignment horizontal="center" vertical="center" wrapText="1"/>
      <protection/>
    </xf>
    <xf numFmtId="6" fontId="113" fillId="68" borderId="0" xfId="0" applyNumberFormat="1" applyFont="1" applyFill="1" applyAlignment="1" applyProtection="1">
      <alignment horizontal="center" vertical="center" wrapText="1"/>
      <protection/>
    </xf>
    <xf numFmtId="0" fontId="114" fillId="68" borderId="0" xfId="0" applyFont="1" applyFill="1" applyAlignment="1" applyProtection="1">
      <alignment horizontal="center" vertical="center" wrapText="1"/>
      <protection/>
    </xf>
    <xf numFmtId="6" fontId="114" fillId="68" borderId="0" xfId="0" applyNumberFormat="1" applyFont="1" applyFill="1" applyAlignment="1" applyProtection="1">
      <alignment horizontal="center" vertical="center" wrapText="1"/>
      <protection/>
    </xf>
    <xf numFmtId="0" fontId="89" fillId="51" borderId="33" xfId="0" applyFont="1" applyFill="1" applyBorder="1" applyAlignment="1" applyProtection="1">
      <alignment horizontal="center" vertical="center" wrapText="1"/>
      <protection/>
    </xf>
    <xf numFmtId="0" fontId="0" fillId="51" borderId="17" xfId="0" applyFill="1" applyBorder="1" applyAlignment="1" applyProtection="1">
      <alignment vertical="center"/>
      <protection/>
    </xf>
    <xf numFmtId="218" fontId="0" fillId="51" borderId="17" xfId="54" applyNumberFormat="1" applyFont="1" applyFill="1" applyBorder="1" applyAlignment="1" applyProtection="1">
      <alignment vertical="center"/>
      <protection/>
    </xf>
    <xf numFmtId="0" fontId="0" fillId="89" borderId="17" xfId="0" applyFill="1" applyBorder="1" applyAlignment="1" applyProtection="1">
      <alignment/>
      <protection/>
    </xf>
    <xf numFmtId="0" fontId="0" fillId="89" borderId="96" xfId="0" applyFill="1" applyBorder="1" applyAlignment="1" applyProtection="1">
      <alignment/>
      <protection/>
    </xf>
    <xf numFmtId="0" fontId="89"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218" fontId="0" fillId="0" borderId="0" xfId="54" applyNumberFormat="1" applyFont="1" applyFill="1" applyBorder="1" applyAlignment="1" applyProtection="1">
      <alignment vertical="center"/>
      <protection/>
    </xf>
    <xf numFmtId="0" fontId="0" fillId="0" borderId="0" xfId="0" applyFill="1" applyBorder="1" applyAlignment="1" applyProtection="1">
      <alignment/>
      <protection/>
    </xf>
    <xf numFmtId="0" fontId="89" fillId="56" borderId="172" xfId="0" applyFont="1" applyFill="1" applyBorder="1" applyAlignment="1" applyProtection="1">
      <alignment horizontal="center" vertical="center" wrapText="1"/>
      <protection/>
    </xf>
    <xf numFmtId="0" fontId="0" fillId="56" borderId="173" xfId="0" applyFill="1" applyBorder="1" applyAlignment="1" applyProtection="1">
      <alignment horizontal="center" vertical="center" wrapText="1"/>
      <protection/>
    </xf>
    <xf numFmtId="0" fontId="113" fillId="51" borderId="0" xfId="0" applyFont="1" applyFill="1" applyAlignment="1" applyProtection="1">
      <alignment horizontal="center" vertical="center" wrapText="1"/>
      <protection/>
    </xf>
    <xf numFmtId="6" fontId="113" fillId="51" borderId="0" xfId="0" applyNumberFormat="1" applyFont="1" applyFill="1" applyAlignment="1" applyProtection="1">
      <alignment horizontal="center" vertical="center" wrapText="1"/>
      <protection/>
    </xf>
    <xf numFmtId="0" fontId="89" fillId="56" borderId="174" xfId="0" applyFont="1" applyFill="1" applyBorder="1" applyAlignment="1" applyProtection="1">
      <alignment horizontal="center" vertical="center" wrapText="1"/>
      <protection/>
    </xf>
    <xf numFmtId="0" fontId="0" fillId="56" borderId="19" xfId="0" applyFill="1" applyBorder="1" applyAlignment="1" applyProtection="1">
      <alignment horizontal="center" vertical="center" wrapText="1"/>
      <protection/>
    </xf>
    <xf numFmtId="0" fontId="89" fillId="56" borderId="175" xfId="0" applyFont="1" applyFill="1" applyBorder="1" applyAlignment="1" applyProtection="1">
      <alignment horizontal="center" vertical="center" wrapText="1"/>
      <protection/>
    </xf>
    <xf numFmtId="0" fontId="0" fillId="56" borderId="176" xfId="0" applyFill="1" applyBorder="1" applyAlignment="1" applyProtection="1">
      <alignment horizontal="center" vertical="center" wrapText="1"/>
      <protection/>
    </xf>
    <xf numFmtId="0" fontId="89" fillId="51" borderId="172" xfId="0" applyFont="1" applyFill="1" applyBorder="1" applyAlignment="1" applyProtection="1">
      <alignment horizontal="center" vertical="center" wrapText="1"/>
      <protection/>
    </xf>
    <xf numFmtId="0" fontId="0" fillId="51" borderId="173" xfId="0" applyFill="1" applyBorder="1" applyAlignment="1" applyProtection="1">
      <alignment horizontal="center" vertical="center" wrapText="1"/>
      <protection/>
    </xf>
    <xf numFmtId="0" fontId="89" fillId="51" borderId="174" xfId="0" applyFont="1" applyFill="1" applyBorder="1" applyAlignment="1" applyProtection="1">
      <alignment horizontal="center" vertical="center" wrapText="1"/>
      <protection/>
    </xf>
    <xf numFmtId="0" fontId="0" fillId="51" borderId="19" xfId="0" applyFill="1" applyBorder="1" applyAlignment="1" applyProtection="1">
      <alignment horizontal="center" vertical="center" wrapText="1"/>
      <protection/>
    </xf>
    <xf numFmtId="0" fontId="89" fillId="51" borderId="175" xfId="0" applyFont="1" applyFill="1" applyBorder="1" applyAlignment="1" applyProtection="1">
      <alignment horizontal="center" vertical="center" wrapText="1"/>
      <protection/>
    </xf>
    <xf numFmtId="0" fontId="0" fillId="51" borderId="176" xfId="0" applyFill="1" applyBorder="1" applyAlignment="1" applyProtection="1">
      <alignment horizontal="center" vertical="center" wrapText="1"/>
      <protection/>
    </xf>
    <xf numFmtId="0" fontId="113" fillId="51" borderId="0" xfId="0" applyFont="1" applyFill="1" applyAlignment="1" applyProtection="1">
      <alignment horizontal="justify" vertical="center" wrapText="1"/>
      <protection/>
    </xf>
    <xf numFmtId="0" fontId="0" fillId="51" borderId="0" xfId="0" applyFont="1" applyFill="1" applyAlignment="1" applyProtection="1">
      <alignment/>
      <protection/>
    </xf>
    <xf numFmtId="0" fontId="115" fillId="51" borderId="0" xfId="0" applyFont="1" applyFill="1" applyAlignment="1" applyProtection="1">
      <alignment horizontal="justify" vertical="center" wrapText="1"/>
      <protection/>
    </xf>
    <xf numFmtId="0" fontId="116" fillId="51" borderId="0" xfId="0" applyFont="1" applyFill="1" applyAlignment="1" applyProtection="1">
      <alignment horizontal="justify" vertical="center" wrapText="1"/>
      <protection/>
    </xf>
    <xf numFmtId="0" fontId="0" fillId="51" borderId="0" xfId="0" applyFill="1" applyAlignment="1" applyProtection="1">
      <alignment/>
      <protection/>
    </xf>
    <xf numFmtId="0" fontId="114" fillId="51" borderId="0" xfId="0" applyFont="1" applyFill="1" applyAlignment="1" applyProtection="1">
      <alignment horizontal="center" vertical="center" wrapText="1"/>
      <protection/>
    </xf>
    <xf numFmtId="6" fontId="114" fillId="51" borderId="0" xfId="0" applyNumberFormat="1" applyFont="1" applyFill="1" applyAlignment="1" applyProtection="1">
      <alignment horizontal="center" vertical="center" wrapText="1"/>
      <protection/>
    </xf>
    <xf numFmtId="0" fontId="114" fillId="51" borderId="0" xfId="0" applyFont="1" applyFill="1" applyAlignment="1" applyProtection="1">
      <alignment horizontal="justify" vertical="center" wrapText="1"/>
      <protection/>
    </xf>
    <xf numFmtId="168" fontId="117" fillId="0" borderId="18" xfId="0" applyNumberFormat="1" applyFont="1" applyBorder="1" applyAlignment="1" applyProtection="1">
      <alignment/>
      <protection/>
    </xf>
    <xf numFmtId="183" fontId="21" fillId="58" borderId="120" xfId="0" applyNumberFormat="1" applyFont="1" applyFill="1" applyBorder="1" applyAlignment="1" applyProtection="1">
      <alignment horizontal="left"/>
      <protection/>
    </xf>
    <xf numFmtId="183" fontId="21" fillId="58" borderId="46" xfId="0" applyNumberFormat="1" applyFont="1" applyFill="1" applyBorder="1" applyAlignment="1" applyProtection="1">
      <alignment horizontal="left"/>
      <protection/>
    </xf>
    <xf numFmtId="212" fontId="0" fillId="90" borderId="18" xfId="54" applyNumberFormat="1" applyFill="1" applyBorder="1" applyAlignment="1" applyProtection="1">
      <alignment horizontal="right"/>
      <protection/>
    </xf>
    <xf numFmtId="183" fontId="19" fillId="58" borderId="120" xfId="0" applyNumberFormat="1" applyFont="1" applyFill="1" applyBorder="1" applyAlignment="1" applyProtection="1">
      <alignment horizontal="left"/>
      <protection/>
    </xf>
    <xf numFmtId="183" fontId="19" fillId="58" borderId="46" xfId="0" applyNumberFormat="1" applyFont="1" applyFill="1" applyBorder="1" applyAlignment="1" applyProtection="1">
      <alignment horizontal="left"/>
      <protection/>
    </xf>
    <xf numFmtId="183" fontId="6" fillId="58" borderId="120" xfId="0" applyNumberFormat="1" applyFont="1" applyFill="1" applyBorder="1" applyAlignment="1" applyProtection="1">
      <alignment/>
      <protection/>
    </xf>
    <xf numFmtId="183" fontId="6" fillId="58" borderId="46" xfId="0" applyNumberFormat="1" applyFont="1" applyFill="1" applyBorder="1" applyAlignment="1" applyProtection="1">
      <alignment/>
      <protection/>
    </xf>
    <xf numFmtId="183" fontId="1" fillId="58" borderId="120" xfId="0" applyNumberFormat="1" applyFont="1" applyFill="1" applyBorder="1" applyAlignment="1" applyProtection="1">
      <alignment/>
      <protection/>
    </xf>
    <xf numFmtId="183" fontId="18" fillId="62" borderId="120" xfId="0" applyNumberFormat="1" applyFont="1" applyFill="1" applyBorder="1" applyAlignment="1" applyProtection="1">
      <alignment horizontal="left"/>
      <protection/>
    </xf>
    <xf numFmtId="183" fontId="18" fillId="62" borderId="46" xfId="0" applyNumberFormat="1" applyFont="1" applyFill="1" applyBorder="1" applyAlignment="1" applyProtection="1">
      <alignment horizontal="left"/>
      <protection/>
    </xf>
    <xf numFmtId="212" fontId="92" fillId="90" borderId="19" xfId="54" applyNumberFormat="1" applyFont="1" applyFill="1" applyBorder="1" applyAlignment="1" applyProtection="1">
      <alignment/>
      <protection/>
    </xf>
    <xf numFmtId="212" fontId="0" fillId="53" borderId="19" xfId="54" applyNumberFormat="1" applyFill="1" applyBorder="1" applyAlignment="1" applyProtection="1">
      <alignment/>
      <protection/>
    </xf>
    <xf numFmtId="212" fontId="92" fillId="53" borderId="19" xfId="54" applyNumberFormat="1" applyFont="1" applyFill="1" applyBorder="1" applyAlignment="1" applyProtection="1">
      <alignment/>
      <protection/>
    </xf>
    <xf numFmtId="183" fontId="1" fillId="58" borderId="120" xfId="0" applyNumberFormat="1" applyFont="1" applyFill="1" applyBorder="1" applyAlignment="1" applyProtection="1">
      <alignment horizontal="left"/>
      <protection/>
    </xf>
    <xf numFmtId="183" fontId="1" fillId="58" borderId="46" xfId="0" applyNumberFormat="1" applyFont="1" applyFill="1" applyBorder="1" applyAlignment="1" applyProtection="1">
      <alignment horizontal="left"/>
      <protection/>
    </xf>
    <xf numFmtId="212" fontId="0" fillId="90" borderId="19" xfId="54" applyNumberFormat="1" applyFill="1" applyBorder="1" applyAlignment="1" applyProtection="1">
      <alignment/>
      <protection/>
    </xf>
    <xf numFmtId="212" fontId="97" fillId="90" borderId="19" xfId="54" applyNumberFormat="1" applyFont="1" applyFill="1" applyBorder="1" applyAlignment="1" applyProtection="1">
      <alignment/>
      <protection/>
    </xf>
    <xf numFmtId="183" fontId="6" fillId="58" borderId="120" xfId="0" applyNumberFormat="1" applyFont="1" applyFill="1" applyBorder="1" applyAlignment="1" applyProtection="1">
      <alignment horizontal="left"/>
      <protection/>
    </xf>
    <xf numFmtId="183" fontId="6" fillId="58" borderId="46" xfId="0" applyNumberFormat="1" applyFont="1" applyFill="1" applyBorder="1" applyAlignment="1" applyProtection="1">
      <alignment horizontal="left"/>
      <protection/>
    </xf>
    <xf numFmtId="183" fontId="18" fillId="46" borderId="120" xfId="0" applyNumberFormat="1" applyFont="1" applyFill="1" applyBorder="1" applyAlignment="1" applyProtection="1">
      <alignment horizontal="left"/>
      <protection/>
    </xf>
    <xf numFmtId="183" fontId="18" fillId="46" borderId="46" xfId="0" applyNumberFormat="1" applyFont="1" applyFill="1" applyBorder="1" applyAlignment="1" applyProtection="1">
      <alignment horizontal="left"/>
      <protection/>
    </xf>
    <xf numFmtId="0" fontId="19" fillId="58" borderId="120" xfId="0" applyFont="1" applyFill="1" applyBorder="1" applyAlignment="1" applyProtection="1">
      <alignment horizontal="left"/>
      <protection/>
    </xf>
    <xf numFmtId="0" fontId="19" fillId="58" borderId="46" xfId="0" applyFont="1" applyFill="1" applyBorder="1" applyAlignment="1" applyProtection="1">
      <alignment horizontal="left"/>
      <protection/>
    </xf>
    <xf numFmtId="0" fontId="20" fillId="91" borderId="177" xfId="0" applyFont="1" applyFill="1" applyBorder="1" applyAlignment="1" applyProtection="1">
      <alignment vertical="center"/>
      <protection/>
    </xf>
    <xf numFmtId="0" fontId="20" fillId="91" borderId="178" xfId="0" applyFont="1" applyFill="1" applyBorder="1" applyAlignment="1" applyProtection="1">
      <alignment vertical="center"/>
      <protection/>
    </xf>
    <xf numFmtId="212" fontId="0" fillId="90" borderId="18" xfId="54" applyNumberFormat="1" applyFill="1" applyBorder="1" applyAlignment="1" applyProtection="1">
      <alignment/>
      <protection/>
    </xf>
    <xf numFmtId="6" fontId="97" fillId="0" borderId="0" xfId="0" applyNumberFormat="1" applyFont="1" applyAlignment="1" applyProtection="1">
      <alignment/>
      <protection/>
    </xf>
    <xf numFmtId="183" fontId="1" fillId="58" borderId="46" xfId="0" applyNumberFormat="1" applyFont="1" applyFill="1" applyBorder="1" applyAlignment="1" applyProtection="1">
      <alignment/>
      <protection/>
    </xf>
    <xf numFmtId="212" fontId="0" fillId="90" borderId="19" xfId="54" applyNumberFormat="1" applyFont="1" applyFill="1" applyBorder="1" applyAlignment="1" applyProtection="1">
      <alignment/>
      <protection/>
    </xf>
    <xf numFmtId="212" fontId="0" fillId="53" borderId="19" xfId="54" applyNumberFormat="1" applyFont="1" applyFill="1" applyBorder="1" applyAlignment="1" applyProtection="1">
      <alignment/>
      <protection/>
    </xf>
    <xf numFmtId="183" fontId="101" fillId="58" borderId="120" xfId="0" applyNumberFormat="1" applyFont="1" applyFill="1" applyBorder="1" applyAlignment="1" applyProtection="1">
      <alignment horizontal="left"/>
      <protection/>
    </xf>
    <xf numFmtId="183" fontId="101" fillId="58" borderId="46" xfId="0" applyNumberFormat="1" applyFont="1" applyFill="1" applyBorder="1" applyAlignment="1" applyProtection="1">
      <alignment horizontal="left"/>
      <protection/>
    </xf>
    <xf numFmtId="183" fontId="118" fillId="58" borderId="120" xfId="0" applyNumberFormat="1" applyFont="1" applyFill="1" applyBorder="1" applyAlignment="1" applyProtection="1">
      <alignment horizontal="left"/>
      <protection/>
    </xf>
    <xf numFmtId="183" fontId="118" fillId="58" borderId="46" xfId="0" applyNumberFormat="1" applyFont="1" applyFill="1" applyBorder="1" applyAlignment="1" applyProtection="1">
      <alignment horizontal="left"/>
      <protection/>
    </xf>
    <xf numFmtId="42" fontId="0" fillId="90" borderId="19" xfId="54" applyNumberFormat="1" applyFill="1" applyBorder="1" applyAlignment="1" applyProtection="1">
      <alignment/>
      <protection/>
    </xf>
    <xf numFmtId="212" fontId="0" fillId="90" borderId="163" xfId="54" applyNumberFormat="1" applyFill="1" applyBorder="1" applyAlignment="1" applyProtection="1">
      <alignment/>
      <protection/>
    </xf>
    <xf numFmtId="212" fontId="0" fillId="53" borderId="18" xfId="54" applyNumberFormat="1" applyFill="1" applyBorder="1" applyAlignment="1" applyProtection="1">
      <alignment/>
      <protection/>
    </xf>
    <xf numFmtId="218" fontId="0" fillId="0" borderId="0" xfId="54" applyNumberFormat="1" applyFont="1" applyAlignment="1" applyProtection="1">
      <alignment/>
      <protection/>
    </xf>
    <xf numFmtId="0" fontId="19" fillId="58" borderId="102" xfId="0" applyFont="1" applyFill="1" applyBorder="1" applyAlignment="1" applyProtection="1">
      <alignment horizontal="left"/>
      <protection/>
    </xf>
    <xf numFmtId="0" fontId="20" fillId="91" borderId="179" xfId="0" applyFont="1" applyFill="1" applyBorder="1" applyAlignment="1" applyProtection="1">
      <alignment vertical="center"/>
      <protection/>
    </xf>
    <xf numFmtId="0" fontId="20" fillId="91" borderId="180" xfId="0" applyFont="1" applyFill="1" applyBorder="1" applyAlignment="1" applyProtection="1">
      <alignment vertical="center"/>
      <protection/>
    </xf>
    <xf numFmtId="0" fontId="20" fillId="91" borderId="47" xfId="0" applyFont="1" applyFill="1" applyBorder="1" applyAlignment="1" applyProtection="1">
      <alignment vertical="center"/>
      <protection/>
    </xf>
    <xf numFmtId="179" fontId="6" fillId="0" borderId="18" xfId="54" applyNumberFormat="1" applyFont="1" applyFill="1" applyBorder="1" applyAlignment="1" applyProtection="1">
      <alignment vertical="center"/>
      <protection/>
    </xf>
    <xf numFmtId="183" fontId="6" fillId="47" borderId="18" xfId="0" applyNumberFormat="1" applyFont="1" applyFill="1" applyBorder="1" applyAlignment="1" applyProtection="1">
      <alignment/>
      <protection/>
    </xf>
    <xf numFmtId="183" fontId="2" fillId="62" borderId="19" xfId="0" applyNumberFormat="1" applyFont="1" applyFill="1" applyBorder="1" applyAlignment="1" applyProtection="1">
      <alignment horizontal="left"/>
      <protection/>
    </xf>
    <xf numFmtId="183" fontId="2" fillId="62" borderId="44" xfId="0" applyNumberFormat="1" applyFont="1" applyFill="1" applyBorder="1" applyAlignment="1" applyProtection="1">
      <alignment horizontal="left"/>
      <protection/>
    </xf>
    <xf numFmtId="179" fontId="1" fillId="0" borderId="18" xfId="54" applyNumberFormat="1" applyFont="1" applyFill="1" applyBorder="1" applyAlignment="1" applyProtection="1">
      <alignment vertical="center"/>
      <protection/>
    </xf>
    <xf numFmtId="183" fontId="1" fillId="47" borderId="19" xfId="0" applyNumberFormat="1" applyFont="1" applyFill="1" applyBorder="1" applyAlignment="1" applyProtection="1">
      <alignment horizontal="left"/>
      <protection/>
    </xf>
    <xf numFmtId="187" fontId="6" fillId="35" borderId="0" xfId="54" applyNumberFormat="1" applyFont="1" applyFill="1" applyBorder="1" applyAlignment="1" applyProtection="1">
      <alignment vertic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3" xfId="48"/>
    <cellStyle name="Hyperlink" xfId="49"/>
    <cellStyle name="Followed Hyperlink" xfId="50"/>
    <cellStyle name="Incorrecto" xfId="51"/>
    <cellStyle name="Comma" xfId="52"/>
    <cellStyle name="Comma [0]" xfId="53"/>
    <cellStyle name="Currency" xfId="54"/>
    <cellStyle name="Currency [0]" xfId="55"/>
    <cellStyle name="Moneda 2" xfId="56"/>
    <cellStyle name="Neutral" xfId="57"/>
    <cellStyle name="Normal 2" xfId="58"/>
    <cellStyle name="Normal 3" xfId="59"/>
    <cellStyle name="Normal 4" xfId="60"/>
    <cellStyle name="Normal_Hoja1"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BF7299"/>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90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432</xdr:row>
      <xdr:rowOff>0</xdr:rowOff>
    </xdr:from>
    <xdr:to>
      <xdr:col>1</xdr:col>
      <xdr:colOff>200025</xdr:colOff>
      <xdr:row>432</xdr:row>
      <xdr:rowOff>142875</xdr:rowOff>
    </xdr:to>
    <xdr:pic>
      <xdr:nvPicPr>
        <xdr:cNvPr id="1" name="Picture 3" hidden="1"/>
        <xdr:cNvPicPr preferRelativeResize="1">
          <a:picLocks noChangeAspect="1"/>
        </xdr:cNvPicPr>
      </xdr:nvPicPr>
      <xdr:blipFill>
        <a:blip r:embed="rId1"/>
        <a:stretch>
          <a:fillRect/>
        </a:stretch>
      </xdr:blipFill>
      <xdr:spPr>
        <a:xfrm>
          <a:off x="1504950" y="84629625"/>
          <a:ext cx="200025" cy="142875"/>
        </a:xfrm>
        <a:prstGeom prst="rect">
          <a:avLst/>
        </a:prstGeom>
        <a:noFill/>
        <a:ln w="9525" cmpd="sng">
          <a:noFill/>
        </a:ln>
      </xdr:spPr>
    </xdr:pic>
    <xdr:clientData/>
  </xdr:twoCellAnchor>
  <xdr:twoCellAnchor editAs="oneCell">
    <xdr:from>
      <xdr:col>1</xdr:col>
      <xdr:colOff>0</xdr:colOff>
      <xdr:row>433</xdr:row>
      <xdr:rowOff>0</xdr:rowOff>
    </xdr:from>
    <xdr:to>
      <xdr:col>3</xdr:col>
      <xdr:colOff>466725</xdr:colOff>
      <xdr:row>456</xdr:row>
      <xdr:rowOff>85725</xdr:rowOff>
    </xdr:to>
    <xdr:pic>
      <xdr:nvPicPr>
        <xdr:cNvPr id="2" name="popUpCargando" descr="https://190.98.236.28/SISBIEN/imagenes/general/CARGADO.gif"/>
        <xdr:cNvPicPr preferRelativeResize="1">
          <a:picLocks noChangeAspect="1"/>
        </xdr:cNvPicPr>
      </xdr:nvPicPr>
      <xdr:blipFill>
        <a:blip r:embed="rId2"/>
        <a:stretch>
          <a:fillRect/>
        </a:stretch>
      </xdr:blipFill>
      <xdr:spPr>
        <a:xfrm>
          <a:off x="1504950" y="84791550"/>
          <a:ext cx="2867025" cy="3810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232</xdr:row>
      <xdr:rowOff>0</xdr:rowOff>
    </xdr:from>
    <xdr:to>
      <xdr:col>3</xdr:col>
      <xdr:colOff>209550</xdr:colOff>
      <xdr:row>250</xdr:row>
      <xdr:rowOff>95250</xdr:rowOff>
    </xdr:to>
    <xdr:pic>
      <xdr:nvPicPr>
        <xdr:cNvPr id="1" name="popUpCargando" descr="https://190.98.236.28/SISBIEN/imagenes/general/CARGADO.gif"/>
        <xdr:cNvPicPr preferRelativeResize="1">
          <a:picLocks noChangeAspect="1"/>
        </xdr:cNvPicPr>
      </xdr:nvPicPr>
      <xdr:blipFill>
        <a:blip r:embed="rId1"/>
        <a:stretch>
          <a:fillRect/>
        </a:stretch>
      </xdr:blipFill>
      <xdr:spPr>
        <a:xfrm>
          <a:off x="3457575" y="38109525"/>
          <a:ext cx="2857500" cy="3657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114300</xdr:rowOff>
    </xdr:from>
    <xdr:to>
      <xdr:col>4</xdr:col>
      <xdr:colOff>762000</xdr:colOff>
      <xdr:row>12</xdr:row>
      <xdr:rowOff>85725</xdr:rowOff>
    </xdr:to>
    <xdr:sp fLocksText="0">
      <xdr:nvSpPr>
        <xdr:cNvPr id="1" name="Text 1"/>
        <xdr:cNvSpPr txBox="1">
          <a:spLocks noChangeArrowheads="1"/>
        </xdr:cNvSpPr>
      </xdr:nvSpPr>
      <xdr:spPr>
        <a:xfrm>
          <a:off x="38100" y="1152525"/>
          <a:ext cx="8096250" cy="885825"/>
        </a:xfrm>
        <a:prstGeom prst="rect">
          <a:avLst/>
        </a:prstGeom>
        <a:no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Con el objeto de medir comparativamente el bienestar otorgado al personal de la Armada por la Prestación Educacional, es necesario recabar antecedentes comparativos que permitan cuantificar las alternativas que ofrece el mercado en cada Zona Naval.
</a:t>
          </a:r>
          <a:r>
            <a:rPr lang="en-US" cap="none" sz="1000" b="0" i="0" u="none" baseline="0">
              <a:solidFill>
                <a:srgbClr val="000000"/>
              </a:solidFill>
              <a:latin typeface="Arial"/>
              <a:ea typeface="Arial"/>
              <a:cs typeface="Arial"/>
            </a:rPr>
            <a:t>Este cuadro comparativo debe ser completado con a lo menos dos instalaciones privadas o de otras instituciones a las que tenga acceso el  personal de la Armada y que otorguen prestaciones de calidad similar a las otorgadas por las instalaciones educacionales del SBA a comparar.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ulina\AppData\Local\Temp\Rar$DI00.504\_6_Remuneraciones%20V%203%200%20-%20DESPACHO%20DIREBIEN%20(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mondaca.DIREBIEN\Desktop\404%20EDUCACIONAL\JI%20Y%20SC\TARIFAS%20-%20EDUCACIONAL\TARIFAS%202016\VALPO\JARDINES%20Y%20SALAS%20CUN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MUNERACIONES"/>
      <sheetName val="TODO BV"/>
      <sheetName val="EDUCACIONAL"/>
      <sheetName val="RECREATIVA"/>
      <sheetName val="Reajuste, Aguinaldos y Bonos"/>
      <sheetName val="RESUMEN"/>
    </sheetNames>
    <sheetDataSet>
      <sheetData sheetId="2">
        <row r="26">
          <cell r="BL26">
            <v>4249508.793724081</v>
          </cell>
        </row>
        <row r="33">
          <cell r="BF33">
            <v>742455.8280000001</v>
          </cell>
          <cell r="BG33">
            <v>668435.682</v>
          </cell>
          <cell r="BH33">
            <v>746640</v>
          </cell>
          <cell r="BL33">
            <v>37127110.43520408</v>
          </cell>
        </row>
        <row r="35">
          <cell r="BL35">
            <v>700798.392</v>
          </cell>
        </row>
        <row r="36">
          <cell r="BL36">
            <v>7433672.258048626</v>
          </cell>
        </row>
        <row r="49">
          <cell r="BL49">
            <v>74867705.86064461</v>
          </cell>
        </row>
        <row r="54">
          <cell r="BF54">
            <v>1835316.259785843</v>
          </cell>
          <cell r="BG54">
            <v>1782495.1519999998</v>
          </cell>
          <cell r="BH54">
            <v>1991040</v>
          </cell>
          <cell r="BL54">
            <v>24475529.432123996</v>
          </cell>
        </row>
        <row r="56">
          <cell r="BF56">
            <v>120516.34615752066</v>
          </cell>
          <cell r="BG56">
            <v>111405.947</v>
          </cell>
          <cell r="BH56">
            <v>124440</v>
          </cell>
          <cell r="BL56">
            <v>4512649.20001737</v>
          </cell>
        </row>
        <row r="58">
          <cell r="BL58">
            <v>7677559.839504001</v>
          </cell>
        </row>
        <row r="62">
          <cell r="BL62">
            <v>8305209.782039999</v>
          </cell>
        </row>
        <row r="67">
          <cell r="BL67">
            <v>15851761.850045642</v>
          </cell>
        </row>
        <row r="80">
          <cell r="BF80">
            <v>1968857.6450000003</v>
          </cell>
          <cell r="BG80">
            <v>1782495.1519999998</v>
          </cell>
          <cell r="BH80">
            <v>1991040</v>
          </cell>
          <cell r="BL80">
            <v>75185748.14400001</v>
          </cell>
        </row>
        <row r="82">
          <cell r="BL82">
            <v>1978846.589034</v>
          </cell>
        </row>
        <row r="83">
          <cell r="BL83">
            <v>6289373.495999999</v>
          </cell>
        </row>
        <row r="84">
          <cell r="BF84">
            <v>242922.98802266901</v>
          </cell>
          <cell r="BG84">
            <v>222811.894</v>
          </cell>
          <cell r="BH84">
            <v>248880</v>
          </cell>
        </row>
        <row r="86">
          <cell r="BL86">
            <v>3975622.0853210296</v>
          </cell>
        </row>
        <row r="90">
          <cell r="BL90">
            <v>11085641.39102592</v>
          </cell>
        </row>
        <row r="95">
          <cell r="BL95">
            <v>27450180.910574734</v>
          </cell>
        </row>
        <row r="98">
          <cell r="BF98">
            <v>1101264.5381243618</v>
          </cell>
          <cell r="BG98">
            <v>1002653.5230000002</v>
          </cell>
          <cell r="BH98">
            <v>1037000</v>
          </cell>
          <cell r="BL98">
            <v>16118940.235008001</v>
          </cell>
        </row>
        <row r="102">
          <cell r="BL102">
            <v>15147165.531090438</v>
          </cell>
        </row>
        <row r="103">
          <cell r="BL103">
            <v>7677564</v>
          </cell>
        </row>
        <row r="104">
          <cell r="BF104">
            <v>362625.32701497024</v>
          </cell>
          <cell r="BG104">
            <v>334217.841</v>
          </cell>
          <cell r="BH104">
            <v>290360</v>
          </cell>
        </row>
        <row r="106">
          <cell r="BL106">
            <v>3897348</v>
          </cell>
        </row>
        <row r="111">
          <cell r="BL111">
            <v>19423271.97156792</v>
          </cell>
        </row>
        <row r="125">
          <cell r="BL125">
            <v>83037288.58200002</v>
          </cell>
        </row>
        <row r="132">
          <cell r="BF132">
            <v>2820381.813300001</v>
          </cell>
          <cell r="BG132">
            <v>2562336.7810000004</v>
          </cell>
          <cell r="BH132">
            <v>2447320</v>
          </cell>
          <cell r="BL132">
            <v>48993084.03534</v>
          </cell>
        </row>
        <row r="138">
          <cell r="BL138">
            <v>30341750.403172895</v>
          </cell>
        </row>
        <row r="141">
          <cell r="BF141">
            <v>734599.1309084971</v>
          </cell>
          <cell r="BG141">
            <v>668435.682</v>
          </cell>
          <cell r="BH141">
            <v>580720</v>
          </cell>
          <cell r="BL141">
            <v>16384874.622072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 2 Ingresos C. Benef."/>
      <sheetName val="Ap. 3 Costos Directos"/>
      <sheetName val="Ap. 4 Costos Indirectos"/>
      <sheetName val="Ap. 5 Tarifado "/>
      <sheetName val="Ap. 1 Est. Precios "/>
    </sheetNames>
    <sheetDataSet>
      <sheetData sheetId="0">
        <row r="20">
          <cell r="H20" t="str">
            <v>Mensualidad</v>
          </cell>
        </row>
        <row r="21">
          <cell r="H21" t="str">
            <v>Personal Servicio Activo</v>
          </cell>
          <cell r="I21" t="str">
            <v>Otras Ramas</v>
          </cell>
          <cell r="J21" t="str">
            <v>Personal en Retiro</v>
          </cell>
          <cell r="K21" t="str">
            <v>Casos Especiales</v>
          </cell>
        </row>
        <row r="22">
          <cell r="A22" t="str">
            <v>JARDÍN INFANTIL "LOBITO MARINO"</v>
          </cell>
          <cell r="B22" t="str">
            <v>Jardín [Media Jornada] 91 Matrícula proyectada 91</v>
          </cell>
        </row>
        <row r="26">
          <cell r="A26" t="str">
            <v>JARDIN INFANTIL "LOS DELFINES"</v>
          </cell>
        </row>
        <row r="30">
          <cell r="A30" t="str">
            <v>JARDIN INFANTIL "LORD COCHRANE"</v>
          </cell>
        </row>
        <row r="34">
          <cell r="A34" t="str">
            <v>JARDIN INFANTIL "PECECITOS DE COLORES"</v>
          </cell>
        </row>
        <row r="38">
          <cell r="A38" t="str">
            <v>JARDIN INFANTIL "CARACOLITO DE MAR"</v>
          </cell>
        </row>
        <row r="45">
          <cell r="A45" t="str">
            <v>SALA CUNA "CARACOLITO DE MAR"</v>
          </cell>
        </row>
        <row r="55">
          <cell r="A55" t="str">
            <v>SALA CUNA "MAR AZUL"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2">
    <pageSetUpPr fitToPage="1"/>
  </sheetPr>
  <dimension ref="A1:IV114"/>
  <sheetViews>
    <sheetView showGridLines="0" tabSelected="1" zoomScale="70" zoomScaleNormal="70" zoomScalePageLayoutView="0" workbookViewId="0" topLeftCell="A1">
      <selection activeCell="I5" sqref="I5:J5"/>
    </sheetView>
  </sheetViews>
  <sheetFormatPr defaultColWidth="11.421875" defaultRowHeight="12.75"/>
  <cols>
    <col min="1" max="1" width="22.57421875" style="1" customWidth="1"/>
    <col min="2" max="2" width="22.00390625" style="1" customWidth="1"/>
    <col min="3" max="3" width="14.00390625" style="1" customWidth="1"/>
    <col min="4" max="7" width="17.8515625" style="1" customWidth="1"/>
    <col min="8" max="8" width="19.28125" style="1" customWidth="1"/>
    <col min="9" max="10" width="21.8515625" style="1" customWidth="1"/>
    <col min="11" max="11" width="19.00390625" style="1" customWidth="1"/>
    <col min="12" max="12" width="20.28125" style="1" customWidth="1"/>
    <col min="13" max="13" width="14.421875" style="1" bestFit="1" customWidth="1"/>
    <col min="14" max="14" width="15.8515625" style="1" bestFit="1" customWidth="1"/>
    <col min="15" max="16" width="13.8515625" style="1" bestFit="1" customWidth="1"/>
    <col min="17" max="17" width="12.7109375" style="1" customWidth="1"/>
    <col min="18" max="18" width="11.140625" style="1" customWidth="1"/>
    <col min="19" max="19" width="11.421875" style="1" customWidth="1"/>
    <col min="20" max="20" width="19.57421875" style="1" bestFit="1" customWidth="1"/>
    <col min="21" max="16384" width="11.421875" style="1" customWidth="1"/>
  </cols>
  <sheetData>
    <row r="1" spans="1:18" s="4" customFormat="1" ht="13.5">
      <c r="A1" s="600" t="s">
        <v>0</v>
      </c>
      <c r="B1" s="600"/>
      <c r="C1" s="600"/>
      <c r="D1" s="600"/>
      <c r="E1" s="2"/>
      <c r="F1" s="2"/>
      <c r="G1" s="2"/>
      <c r="H1" s="2"/>
      <c r="I1" s="2"/>
      <c r="J1" s="2"/>
      <c r="K1" s="2"/>
      <c r="L1" s="2"/>
      <c r="M1" s="2"/>
      <c r="N1" s="2"/>
      <c r="O1" s="2"/>
      <c r="P1" s="3"/>
      <c r="Q1" s="3"/>
      <c r="R1" s="3"/>
    </row>
    <row r="2" spans="1:18" s="4" customFormat="1" ht="13.5">
      <c r="A2" s="600" t="s">
        <v>1</v>
      </c>
      <c r="B2" s="600"/>
      <c r="C2" s="600"/>
      <c r="D2" s="600"/>
      <c r="E2" s="2"/>
      <c r="F2" s="2"/>
      <c r="G2" s="2"/>
      <c r="H2" s="2"/>
      <c r="I2" s="2"/>
      <c r="J2" s="2"/>
      <c r="K2" s="2"/>
      <c r="L2" s="2"/>
      <c r="M2" s="2"/>
      <c r="N2" s="2"/>
      <c r="O2" s="2"/>
      <c r="P2" s="3"/>
      <c r="Q2" s="3"/>
      <c r="R2" s="3"/>
    </row>
    <row r="3" spans="1:18" s="4" customFormat="1" ht="13.5">
      <c r="A3" s="600" t="s">
        <v>2</v>
      </c>
      <c r="B3" s="600"/>
      <c r="C3" s="600"/>
      <c r="D3" s="600"/>
      <c r="E3" s="2"/>
      <c r="F3" s="2"/>
      <c r="G3" s="2"/>
      <c r="H3" s="2"/>
      <c r="I3" s="2"/>
      <c r="J3" s="2"/>
      <c r="K3" s="2"/>
      <c r="L3" s="2"/>
      <c r="M3" s="2"/>
      <c r="N3" s="2"/>
      <c r="O3" s="2"/>
      <c r="P3" s="3"/>
      <c r="Q3" s="3"/>
      <c r="R3" s="3"/>
    </row>
    <row r="4" spans="1:2" s="4" customFormat="1" ht="11.25" customHeight="1">
      <c r="A4" s="1"/>
      <c r="B4" s="1"/>
    </row>
    <row r="5" spans="1:256" s="4" customFormat="1" ht="12" customHeight="1">
      <c r="A5" s="1"/>
      <c r="B5" s="1"/>
      <c r="C5" s="1"/>
      <c r="D5" s="1"/>
      <c r="E5" s="1"/>
      <c r="F5" s="1"/>
      <c r="G5" s="65" t="s">
        <v>3</v>
      </c>
      <c r="H5" s="66"/>
      <c r="I5" s="590" t="s">
        <v>165</v>
      </c>
      <c r="J5" s="591"/>
      <c r="IV5" s="1"/>
    </row>
    <row r="6" spans="1:11" s="4" customFormat="1" ht="12" customHeight="1">
      <c r="A6" s="1"/>
      <c r="B6" s="1"/>
      <c r="C6" s="1"/>
      <c r="D6" s="1"/>
      <c r="E6" s="1"/>
      <c r="F6" s="1"/>
      <c r="G6" s="5"/>
      <c r="H6" s="7"/>
      <c r="I6" s="7"/>
      <c r="J6" s="8"/>
      <c r="K6" s="8"/>
    </row>
    <row r="7" spans="1:18" ht="18" customHeight="1">
      <c r="A7" s="9" t="s">
        <v>4</v>
      </c>
      <c r="I7" s="593" t="s">
        <v>389</v>
      </c>
      <c r="J7" s="593"/>
      <c r="K7" s="534">
        <v>1</v>
      </c>
      <c r="M7" s="525"/>
      <c r="N7" s="525"/>
      <c r="Q7" s="219">
        <v>138</v>
      </c>
      <c r="R7" s="512">
        <f>Q7/Q14</f>
        <v>0.2827868852459016</v>
      </c>
    </row>
    <row r="8" spans="1:18" ht="27">
      <c r="A8" s="395" t="str">
        <f>$A$27</f>
        <v>Centro Beneficio</v>
      </c>
      <c r="B8" s="395"/>
      <c r="C8" s="395"/>
      <c r="D8" s="289" t="s">
        <v>384</v>
      </c>
      <c r="E8" s="51" t="s">
        <v>5</v>
      </c>
      <c r="F8" s="51" t="s">
        <v>6</v>
      </c>
      <c r="G8" s="51" t="s">
        <v>7</v>
      </c>
      <c r="H8" s="51" t="s">
        <v>8</v>
      </c>
      <c r="I8" s="292" t="s">
        <v>9</v>
      </c>
      <c r="J8" s="292" t="s">
        <v>10</v>
      </c>
      <c r="K8" s="292" t="s">
        <v>11</v>
      </c>
      <c r="L8" s="527"/>
      <c r="M8" s="526"/>
      <c r="N8" s="645" t="s">
        <v>655</v>
      </c>
      <c r="O8" s="645"/>
      <c r="Q8" s="219">
        <v>138</v>
      </c>
      <c r="R8" s="512">
        <f>Q8/Q14</f>
        <v>0.2827868852459016</v>
      </c>
    </row>
    <row r="9" spans="1:20" ht="13.5">
      <c r="A9" s="398" t="str">
        <f>$A$29</f>
        <v>JARDÍN INFANTIL "LOBITO MARINO" </v>
      </c>
      <c r="B9" s="399"/>
      <c r="C9" s="400"/>
      <c r="D9" s="11">
        <v>0</v>
      </c>
      <c r="E9" s="11">
        <f>N37</f>
        <v>11286600</v>
      </c>
      <c r="F9" s="11">
        <f>O37</f>
        <v>112866000</v>
      </c>
      <c r="G9" s="11">
        <f>P37</f>
        <v>124152600</v>
      </c>
      <c r="H9" s="11">
        <f>+'Ap. 3 Costos Directos'!H92</f>
        <v>143022635.41403124</v>
      </c>
      <c r="I9" s="79">
        <f aca="true" t="shared" si="0" ref="I9:I14">R7*$I$20</f>
        <v>9417717.416864557</v>
      </c>
      <c r="J9" s="11">
        <f>SUM(H9:I9)</f>
        <v>152440352.83089578</v>
      </c>
      <c r="K9" s="324">
        <f>G9-J9</f>
        <v>-28287752.83089578</v>
      </c>
      <c r="L9" s="620">
        <f>SUM(K9:K13)</f>
        <v>-46729480.944266595</v>
      </c>
      <c r="N9" s="251"/>
      <c r="Q9" s="219">
        <v>17</v>
      </c>
      <c r="R9" s="512">
        <f>Q9/Q14</f>
        <v>0.03483606557377049</v>
      </c>
      <c r="T9" s="119"/>
    </row>
    <row r="10" spans="1:20" ht="13.5">
      <c r="A10" s="395" t="str">
        <f>$A$38</f>
        <v>JARDIN INFANTIL "LOS DELFINES"</v>
      </c>
      <c r="B10" s="396"/>
      <c r="C10" s="397"/>
      <c r="D10" s="11">
        <f>+M41</f>
        <v>3024000</v>
      </c>
      <c r="E10" s="11">
        <f>+N41</f>
        <v>15537600</v>
      </c>
      <c r="F10" s="11">
        <f>+O41</f>
        <v>155376000</v>
      </c>
      <c r="G10" s="11">
        <f>P41</f>
        <v>173937600</v>
      </c>
      <c r="H10" s="11">
        <f>+'Ap. 3 Costos Directos'!H175</f>
        <v>177344137.20874554</v>
      </c>
      <c r="I10" s="79">
        <f t="shared" si="0"/>
        <v>9417717.416864557</v>
      </c>
      <c r="J10" s="11">
        <f aca="true" t="shared" si="1" ref="J10:J17">SUM(H10:I10)</f>
        <v>186761854.62561008</v>
      </c>
      <c r="K10" s="325">
        <f aca="true" t="shared" si="2" ref="K10:K17">G10-J10</f>
        <v>-12824254.625610083</v>
      </c>
      <c r="L10" s="620"/>
      <c r="N10" s="250"/>
      <c r="Q10" s="219">
        <v>32</v>
      </c>
      <c r="R10" s="512">
        <f>Q10/Q14</f>
        <v>0.06557377049180328</v>
      </c>
      <c r="T10" s="119"/>
    </row>
    <row r="11" spans="1:20" ht="13.5">
      <c r="A11" s="395" t="str">
        <f>$A$42</f>
        <v>JARDIN INFANTIL "LORD COCHRANE"</v>
      </c>
      <c r="B11" s="396"/>
      <c r="C11" s="397"/>
      <c r="D11" s="11">
        <v>0</v>
      </c>
      <c r="E11" s="11">
        <f>N45</f>
        <v>1320000</v>
      </c>
      <c r="F11" s="11">
        <f>O45</f>
        <v>13200000</v>
      </c>
      <c r="G11" s="11">
        <f>P45</f>
        <v>14520000</v>
      </c>
      <c r="H11" s="11">
        <f>+'Ap. 3 Costos Directos'!H258</f>
        <v>9477301.193174891</v>
      </c>
      <c r="I11" s="79">
        <f t="shared" si="0"/>
        <v>1160153.5948311412</v>
      </c>
      <c r="J11" s="11">
        <f t="shared" si="1"/>
        <v>10637454.788006032</v>
      </c>
      <c r="K11" s="325">
        <f t="shared" si="2"/>
        <v>3882545.211993968</v>
      </c>
      <c r="L11" s="620"/>
      <c r="M11" s="611" t="s">
        <v>421</v>
      </c>
      <c r="N11" s="612"/>
      <c r="O11" s="116">
        <v>34000000</v>
      </c>
      <c r="Q11" s="219">
        <v>56</v>
      </c>
      <c r="R11" s="512">
        <f>Q11/Q14</f>
        <v>0.11475409836065574</v>
      </c>
      <c r="T11" s="119"/>
    </row>
    <row r="12" spans="1:20" ht="13.5">
      <c r="A12" s="395" t="str">
        <f>$A$46</f>
        <v>JARDIN INFANTIL "PECECITOS DE COLORES"</v>
      </c>
      <c r="B12" s="396"/>
      <c r="C12" s="397"/>
      <c r="D12" s="11">
        <v>0</v>
      </c>
      <c r="E12" s="11">
        <f>N49</f>
        <v>850600</v>
      </c>
      <c r="F12" s="11">
        <f>O49</f>
        <v>8506000</v>
      </c>
      <c r="G12" s="11">
        <f>P49</f>
        <v>9356600</v>
      </c>
      <c r="H12" s="11">
        <f>+'Ap. 3 Costos Directos'!H341</f>
        <v>18758508.36790701</v>
      </c>
      <c r="I12" s="79">
        <f t="shared" si="0"/>
        <v>2183818.531446854</v>
      </c>
      <c r="J12" s="11">
        <f t="shared" si="1"/>
        <v>20942326.899353866</v>
      </c>
      <c r="K12" s="324">
        <f t="shared" si="2"/>
        <v>-11585726.899353866</v>
      </c>
      <c r="L12" s="620"/>
      <c r="M12" s="327"/>
      <c r="N12" s="4"/>
      <c r="O12" s="116"/>
      <c r="Q12" s="219">
        <v>26</v>
      </c>
      <c r="R12" s="512">
        <f>Q12/Q14</f>
        <v>0.05327868852459016</v>
      </c>
      <c r="T12" s="119"/>
    </row>
    <row r="13" spans="1:20" ht="13.5">
      <c r="A13" s="395" t="str">
        <f>A$50</f>
        <v>JARDIN INFANTIL "CARACOLITO DE MAR"</v>
      </c>
      <c r="B13" s="396"/>
      <c r="C13" s="397"/>
      <c r="D13" s="11">
        <f>+M56</f>
        <v>1008000</v>
      </c>
      <c r="E13" s="11">
        <f>+N56</f>
        <v>6174400</v>
      </c>
      <c r="F13" s="11">
        <f>+O56</f>
        <v>61744000</v>
      </c>
      <c r="G13" s="11">
        <f>P56</f>
        <v>68926400</v>
      </c>
      <c r="H13" s="11">
        <f>+'Ap. 3 Costos Directos'!H424</f>
        <v>63019009.37036884</v>
      </c>
      <c r="I13" s="79">
        <f t="shared" si="0"/>
        <v>3821682.430031995</v>
      </c>
      <c r="J13" s="11">
        <f t="shared" si="1"/>
        <v>66840691.80040083</v>
      </c>
      <c r="K13" s="325">
        <f t="shared" si="2"/>
        <v>2085708.1995991692</v>
      </c>
      <c r="L13" s="620"/>
      <c r="M13" s="327"/>
      <c r="N13" s="4"/>
      <c r="Q13" s="219">
        <v>81</v>
      </c>
      <c r="R13" s="512">
        <f>Q13/Q14</f>
        <v>0.16598360655737704</v>
      </c>
      <c r="T13" s="119"/>
    </row>
    <row r="14" spans="1:20" ht="13.5">
      <c r="A14" s="601" t="s">
        <v>376</v>
      </c>
      <c r="B14" s="602"/>
      <c r="C14" s="603"/>
      <c r="D14" s="315">
        <v>0</v>
      </c>
      <c r="E14" s="315">
        <f>N67</f>
        <v>0</v>
      </c>
      <c r="F14" s="315">
        <f>+O63</f>
        <v>92476800</v>
      </c>
      <c r="G14" s="315">
        <f>+P63</f>
        <v>92476800</v>
      </c>
      <c r="H14" s="315">
        <f>'Ap. 3 Costos Directos'!H507</f>
        <v>85507343.16807334</v>
      </c>
      <c r="I14" s="79">
        <f t="shared" si="0"/>
        <v>1774352.556800569</v>
      </c>
      <c r="J14" s="315">
        <f t="shared" si="1"/>
        <v>87281695.72487392</v>
      </c>
      <c r="K14" s="316">
        <f t="shared" si="2"/>
        <v>5195104.275126085</v>
      </c>
      <c r="L14" s="621">
        <f>+K14+K15+K16+K17</f>
        <v>46934875.43678204</v>
      </c>
      <c r="M14" s="327"/>
      <c r="N14" s="4"/>
      <c r="Q14" s="219">
        <f>SUM(Q7:Q13)</f>
        <v>488</v>
      </c>
      <c r="R14" s="219"/>
      <c r="T14" s="119"/>
    </row>
    <row r="15" spans="1:20" ht="13.5">
      <c r="A15" s="601" t="s">
        <v>377</v>
      </c>
      <c r="B15" s="602"/>
      <c r="C15" s="603"/>
      <c r="D15" s="315">
        <v>0</v>
      </c>
      <c r="E15" s="315"/>
      <c r="F15" s="315">
        <f>+O67</f>
        <v>17395200</v>
      </c>
      <c r="G15" s="315">
        <f>+P67</f>
        <v>17395200</v>
      </c>
      <c r="H15" s="315">
        <f>+'Ap. 3 Costos Directos'!H590</f>
        <v>26242561.964116313</v>
      </c>
      <c r="I15" s="79"/>
      <c r="J15" s="315">
        <f t="shared" si="1"/>
        <v>26242561.964116313</v>
      </c>
      <c r="K15" s="317">
        <f t="shared" si="2"/>
        <v>-8847361.964116313</v>
      </c>
      <c r="L15" s="621"/>
      <c r="M15" s="611" t="s">
        <v>420</v>
      </c>
      <c r="N15" s="612"/>
      <c r="Q15" s="219"/>
      <c r="R15" s="513"/>
      <c r="T15" s="119"/>
    </row>
    <row r="16" spans="1:20" ht="13.5">
      <c r="A16" s="531" t="s">
        <v>382</v>
      </c>
      <c r="B16" s="532"/>
      <c r="C16" s="533"/>
      <c r="D16" s="315">
        <v>0</v>
      </c>
      <c r="E16" s="315">
        <f>N78</f>
        <v>0</v>
      </c>
      <c r="F16" s="315">
        <f>+O74</f>
        <v>278857200</v>
      </c>
      <c r="G16" s="315">
        <f>+P74</f>
        <v>278857200</v>
      </c>
      <c r="H16" s="315">
        <f>+'Ap. 3 Costos Directos'!H673</f>
        <v>213664260.10909703</v>
      </c>
      <c r="I16" s="79">
        <f>R13*I20</f>
        <v>5527790.657724849</v>
      </c>
      <c r="J16" s="315">
        <f t="shared" si="1"/>
        <v>219192050.7668219</v>
      </c>
      <c r="K16" s="529">
        <f>G16-J16</f>
        <v>59665149.23317811</v>
      </c>
      <c r="L16" s="621"/>
      <c r="Q16" s="219"/>
      <c r="R16" s="219"/>
      <c r="T16" s="119"/>
    </row>
    <row r="17" spans="1:20" ht="13.5">
      <c r="A17" s="601" t="s">
        <v>383</v>
      </c>
      <c r="B17" s="602"/>
      <c r="C17" s="603"/>
      <c r="D17" s="315">
        <v>0</v>
      </c>
      <c r="E17" s="318"/>
      <c r="F17" s="318">
        <f>+O78</f>
        <v>50349600</v>
      </c>
      <c r="G17" s="318">
        <f>+P78</f>
        <v>50349600</v>
      </c>
      <c r="H17" s="318">
        <f>+'Ap. 3 Costos Directos'!H756</f>
        <v>59427616.10740584</v>
      </c>
      <c r="I17" s="79">
        <f>R1*$I$20</f>
        <v>0</v>
      </c>
      <c r="J17" s="315">
        <f t="shared" si="1"/>
        <v>59427616.10740584</v>
      </c>
      <c r="K17" s="317">
        <f t="shared" si="2"/>
        <v>-9078016.107405841</v>
      </c>
      <c r="L17" s="621"/>
      <c r="M17" s="10"/>
      <c r="N17" s="119"/>
      <c r="T17" s="119"/>
    </row>
    <row r="18" spans="1:20" ht="13.5">
      <c r="A18" s="293" t="s">
        <v>419</v>
      </c>
      <c r="B18" s="294"/>
      <c r="C18" s="294"/>
      <c r="D18" s="295"/>
      <c r="E18" s="287"/>
      <c r="F18" s="287"/>
      <c r="G18" s="287"/>
      <c r="H18" s="287"/>
      <c r="I18" s="288"/>
      <c r="J18" s="11">
        <v>0</v>
      </c>
      <c r="K18" s="324">
        <f>-J18</f>
        <v>0</v>
      </c>
      <c r="L18" s="619" t="s">
        <v>662</v>
      </c>
      <c r="M18" s="10"/>
      <c r="N18" s="119"/>
      <c r="T18" s="119"/>
    </row>
    <row r="19" spans="1:20" ht="13.5">
      <c r="A19" s="307" t="s">
        <v>417</v>
      </c>
      <c r="B19" s="308"/>
      <c r="C19" s="308"/>
      <c r="D19" s="295"/>
      <c r="E19" s="287"/>
      <c r="F19" s="287"/>
      <c r="G19" s="287"/>
      <c r="H19" s="287"/>
      <c r="I19" s="288"/>
      <c r="J19" s="11">
        <v>0</v>
      </c>
      <c r="K19" s="324">
        <f>-J19</f>
        <v>0</v>
      </c>
      <c r="L19" s="619"/>
      <c r="M19" s="10"/>
      <c r="N19" s="119"/>
      <c r="T19" s="119"/>
    </row>
    <row r="20" spans="1:256" s="4" customFormat="1" ht="16.5" customHeight="1">
      <c r="A20" s="646" t="s">
        <v>166</v>
      </c>
      <c r="B20" s="646"/>
      <c r="C20" s="646"/>
      <c r="D20" s="306">
        <f>SUM(D9:D17)</f>
        <v>4032000</v>
      </c>
      <c r="E20" s="12">
        <f>SUM(E9:E16)</f>
        <v>35169200</v>
      </c>
      <c r="F20" s="12">
        <f>SUM(F9:F17)</f>
        <v>790770800</v>
      </c>
      <c r="G20" s="12">
        <f>SUM(G9:G17)</f>
        <v>829972000</v>
      </c>
      <c r="H20" s="12">
        <f>SUM(H9:H17)</f>
        <v>796463372.90292</v>
      </c>
      <c r="I20" s="12">
        <f>'Ap. 4 Costos Indirectos'!B9</f>
        <v>33303232.604564525</v>
      </c>
      <c r="J20" s="177">
        <f>SUM(J9:J19)</f>
        <v>829766605.5074844</v>
      </c>
      <c r="K20" s="518">
        <f>SUM(K9:K19)</f>
        <v>205394.49251544476</v>
      </c>
      <c r="L20" s="286"/>
      <c r="M20" s="10"/>
      <c r="T20" s="119"/>
      <c r="IS20" s="1"/>
      <c r="IT20" s="1"/>
      <c r="IU20" s="1"/>
      <c r="IV20" s="1"/>
    </row>
    <row r="21" spans="1:256" s="4" customFormat="1" ht="16.5" customHeight="1" thickBot="1">
      <c r="A21" s="13"/>
      <c r="B21" s="13"/>
      <c r="C21" s="13"/>
      <c r="D21" s="13"/>
      <c r="E21" s="13"/>
      <c r="F21" s="13"/>
      <c r="G21" s="13"/>
      <c r="H21" s="13"/>
      <c r="I21" s="13"/>
      <c r="J21" s="100"/>
      <c r="K21" s="178"/>
      <c r="L21" s="13"/>
      <c r="M21" s="10"/>
      <c r="T21" s="119"/>
      <c r="IS21" s="1"/>
      <c r="IT21" s="1"/>
      <c r="IU21" s="1"/>
      <c r="IV21" s="1"/>
    </row>
    <row r="22" spans="1:256" s="4" customFormat="1" ht="16.5" customHeight="1">
      <c r="A22" s="607" t="s">
        <v>357</v>
      </c>
      <c r="B22" s="598" t="s">
        <v>413</v>
      </c>
      <c r="C22" s="599"/>
      <c r="D22" s="647" t="s">
        <v>412</v>
      </c>
      <c r="E22" s="648"/>
      <c r="F22" s="13"/>
      <c r="G22" s="13"/>
      <c r="H22" s="13"/>
      <c r="I22" s="13"/>
      <c r="J22" s="101"/>
      <c r="K22" s="326"/>
      <c r="L22" s="286"/>
      <c r="M22" s="10"/>
      <c r="T22" s="119"/>
      <c r="IS22" s="1"/>
      <c r="IT22" s="1"/>
      <c r="IU22" s="1"/>
      <c r="IV22" s="1"/>
    </row>
    <row r="23" spans="1:256" s="15" customFormat="1" ht="16.5" customHeight="1">
      <c r="A23" s="607"/>
      <c r="B23" s="309" t="s">
        <v>374</v>
      </c>
      <c r="C23" s="310" t="s">
        <v>359</v>
      </c>
      <c r="D23" s="309" t="s">
        <v>374</v>
      </c>
      <c r="E23" s="310" t="s">
        <v>359</v>
      </c>
      <c r="F23" s="13"/>
      <c r="G23" s="320"/>
      <c r="H23" s="320"/>
      <c r="I23" s="321"/>
      <c r="J23" s="321"/>
      <c r="K23" s="319"/>
      <c r="L23" s="13"/>
      <c r="M23" s="14"/>
      <c r="N23" s="14"/>
      <c r="IT23" s="16"/>
      <c r="IU23" s="16"/>
      <c r="IV23" s="16"/>
    </row>
    <row r="24" spans="1:12" s="19" customFormat="1" ht="16.5" customHeight="1" thickBot="1">
      <c r="A24" s="313">
        <v>1.07</v>
      </c>
      <c r="B24" s="311">
        <v>1.03</v>
      </c>
      <c r="C24" s="312">
        <v>1.04</v>
      </c>
      <c r="D24" s="311">
        <v>1.02</v>
      </c>
      <c r="E24" s="312">
        <v>1.02</v>
      </c>
      <c r="F24" s="463"/>
      <c r="G24" s="322"/>
      <c r="H24" s="322"/>
      <c r="I24" s="323"/>
      <c r="J24" s="323"/>
      <c r="K24" s="472"/>
      <c r="L24" s="291"/>
    </row>
    <row r="25" spans="1:12" s="19" customFormat="1" ht="16.5" customHeight="1">
      <c r="A25" s="18"/>
      <c r="B25" s="18"/>
      <c r="C25" s="18"/>
      <c r="D25" s="18"/>
      <c r="E25" s="18"/>
      <c r="F25" s="18"/>
      <c r="G25" s="322"/>
      <c r="H25" s="322"/>
      <c r="I25" s="323"/>
      <c r="J25" s="323"/>
      <c r="L25" s="291"/>
    </row>
    <row r="26" spans="1:11" s="19" customFormat="1" ht="16.5" customHeight="1" thickBot="1">
      <c r="A26" s="179" t="s">
        <v>12</v>
      </c>
      <c r="B26" s="179"/>
      <c r="C26" s="179"/>
      <c r="D26" s="199"/>
      <c r="E26" s="199"/>
      <c r="F26" s="199"/>
      <c r="G26" s="199"/>
      <c r="H26" s="199"/>
      <c r="I26" s="199"/>
      <c r="J26" s="18"/>
      <c r="K26" s="18"/>
    </row>
    <row r="27" spans="1:17" ht="12.75" customHeight="1" thickBot="1">
      <c r="A27" s="636" t="s">
        <v>13</v>
      </c>
      <c r="B27" s="636" t="s">
        <v>14</v>
      </c>
      <c r="C27" s="604" t="s">
        <v>223</v>
      </c>
      <c r="D27" s="608" t="s">
        <v>15</v>
      </c>
      <c r="E27" s="609"/>
      <c r="F27" s="609"/>
      <c r="G27" s="610"/>
      <c r="H27" s="594" t="s">
        <v>16</v>
      </c>
      <c r="I27" s="595"/>
      <c r="J27" s="595"/>
      <c r="K27" s="596"/>
      <c r="L27" s="353"/>
      <c r="M27" s="373" t="s">
        <v>191</v>
      </c>
      <c r="N27" s="180"/>
      <c r="O27" s="180"/>
      <c r="P27" s="180"/>
      <c r="Q27" s="20"/>
    </row>
    <row r="28" spans="1:17" ht="48" customHeight="1" thickBot="1" thickTop="1">
      <c r="A28" s="637"/>
      <c r="B28" s="637"/>
      <c r="C28" s="605"/>
      <c r="D28" s="200" t="s">
        <v>387</v>
      </c>
      <c r="E28" s="50" t="s">
        <v>388</v>
      </c>
      <c r="F28" s="50" t="s">
        <v>55</v>
      </c>
      <c r="G28" s="201" t="s">
        <v>17</v>
      </c>
      <c r="H28" s="200" t="s">
        <v>387</v>
      </c>
      <c r="I28" s="50" t="s">
        <v>388</v>
      </c>
      <c r="J28" s="50" t="s">
        <v>55</v>
      </c>
      <c r="K28" s="201" t="s">
        <v>17</v>
      </c>
      <c r="L28" s="354" t="s">
        <v>18</v>
      </c>
      <c r="M28" s="374"/>
      <c r="N28" s="365" t="s">
        <v>19</v>
      </c>
      <c r="O28" s="157" t="s">
        <v>20</v>
      </c>
      <c r="P28" s="181" t="s">
        <v>21</v>
      </c>
      <c r="Q28" s="146" t="s">
        <v>178</v>
      </c>
    </row>
    <row r="29" spans="1:17" ht="24" customHeight="1" thickBot="1">
      <c r="A29" s="644" t="s">
        <v>653</v>
      </c>
      <c r="B29" s="606" t="s">
        <v>586</v>
      </c>
      <c r="C29" s="210" t="s">
        <v>22</v>
      </c>
      <c r="D29" s="735">
        <v>66000</v>
      </c>
      <c r="E29" s="736">
        <v>79200</v>
      </c>
      <c r="F29" s="736">
        <v>88500</v>
      </c>
      <c r="G29" s="737">
        <v>130200</v>
      </c>
      <c r="H29" s="738">
        <f aca="true" t="shared" si="3" ref="H29:K30">D29</f>
        <v>66000</v>
      </c>
      <c r="I29" s="739">
        <f t="shared" si="3"/>
        <v>79200</v>
      </c>
      <c r="J29" s="739">
        <f t="shared" si="3"/>
        <v>88500</v>
      </c>
      <c r="K29" s="740">
        <f t="shared" si="3"/>
        <v>130200</v>
      </c>
      <c r="L29" s="355"/>
      <c r="M29" s="741"/>
      <c r="N29" s="366"/>
      <c r="O29" s="78"/>
      <c r="P29" s="154"/>
      <c r="Q29" s="153">
        <f>138/157</f>
        <v>0.8789808917197452</v>
      </c>
    </row>
    <row r="30" spans="1:17" ht="25.5" customHeight="1" thickBot="1">
      <c r="A30" s="643"/>
      <c r="B30" s="592"/>
      <c r="C30" s="75" t="s">
        <v>23</v>
      </c>
      <c r="D30" s="742">
        <v>84</v>
      </c>
      <c r="E30" s="743">
        <v>1</v>
      </c>
      <c r="F30" s="743">
        <v>4</v>
      </c>
      <c r="G30" s="744">
        <v>1</v>
      </c>
      <c r="H30" s="742">
        <f t="shared" si="3"/>
        <v>84</v>
      </c>
      <c r="I30" s="743">
        <f t="shared" si="3"/>
        <v>1</v>
      </c>
      <c r="J30" s="743">
        <f t="shared" si="3"/>
        <v>4</v>
      </c>
      <c r="K30" s="744">
        <f t="shared" si="3"/>
        <v>1</v>
      </c>
      <c r="L30" s="356"/>
      <c r="M30" s="745"/>
      <c r="N30" s="367"/>
      <c r="O30" s="77"/>
      <c r="P30" s="152"/>
      <c r="Q30" s="146"/>
    </row>
    <row r="31" spans="1:17" ht="26.25" customHeight="1" thickBot="1">
      <c r="A31" s="643"/>
      <c r="B31" s="592"/>
      <c r="C31" s="191" t="s">
        <v>24</v>
      </c>
      <c r="D31" s="202">
        <f>D30*D29</f>
        <v>5544000</v>
      </c>
      <c r="E31" s="183">
        <f>E30*E29</f>
        <v>79200</v>
      </c>
      <c r="F31" s="183">
        <f>F30*F29</f>
        <v>354000</v>
      </c>
      <c r="G31" s="203">
        <f>G30*G29</f>
        <v>130200</v>
      </c>
      <c r="H31" s="202">
        <f>H30*H29*10</f>
        <v>55440000</v>
      </c>
      <c r="I31" s="183">
        <f>I30*I29*10</f>
        <v>792000</v>
      </c>
      <c r="J31" s="183">
        <f>J30*J29*10</f>
        <v>3540000</v>
      </c>
      <c r="K31" s="203">
        <f>K30*K29*10</f>
        <v>1302000</v>
      </c>
      <c r="L31" s="357"/>
      <c r="M31" s="375">
        <f>M30*M29</f>
        <v>0</v>
      </c>
      <c r="N31" s="268">
        <f>SUM(D31:G31)</f>
        <v>6107400</v>
      </c>
      <c r="O31" s="183">
        <f>SUM(H31:K31)</f>
        <v>61074000</v>
      </c>
      <c r="P31" s="184">
        <f>N31+O31</f>
        <v>67181400</v>
      </c>
      <c r="Q31" s="146"/>
    </row>
    <row r="32" spans="1:17" s="21" customFormat="1" ht="29.25" customHeight="1" thickBot="1">
      <c r="A32" s="643"/>
      <c r="B32" s="182" t="s">
        <v>25</v>
      </c>
      <c r="C32" s="211" t="s">
        <v>26</v>
      </c>
      <c r="D32" s="204">
        <f aca="true" t="shared" si="4" ref="D32:K32">D31</f>
        <v>5544000</v>
      </c>
      <c r="E32" s="185">
        <f t="shared" si="4"/>
        <v>79200</v>
      </c>
      <c r="F32" s="185">
        <f t="shared" si="4"/>
        <v>354000</v>
      </c>
      <c r="G32" s="185">
        <f t="shared" si="4"/>
        <v>130200</v>
      </c>
      <c r="H32" s="204">
        <f t="shared" si="4"/>
        <v>55440000</v>
      </c>
      <c r="I32" s="185">
        <f t="shared" si="4"/>
        <v>792000</v>
      </c>
      <c r="J32" s="185">
        <f t="shared" si="4"/>
        <v>3540000</v>
      </c>
      <c r="K32" s="186">
        <f t="shared" si="4"/>
        <v>1302000</v>
      </c>
      <c r="L32" s="358">
        <v>0</v>
      </c>
      <c r="M32" s="376"/>
      <c r="N32" s="196">
        <f>N31</f>
        <v>6107400</v>
      </c>
      <c r="O32" s="185">
        <f>O31</f>
        <v>61074000</v>
      </c>
      <c r="P32" s="186">
        <f>P31</f>
        <v>67181400</v>
      </c>
      <c r="Q32" s="146"/>
    </row>
    <row r="33" spans="1:17" s="21" customFormat="1" ht="29.25" customHeight="1" thickBot="1">
      <c r="A33" s="746"/>
      <c r="B33" s="606" t="s">
        <v>587</v>
      </c>
      <c r="C33" s="210" t="s">
        <v>22</v>
      </c>
      <c r="D33" s="735">
        <v>107900</v>
      </c>
      <c r="E33" s="747">
        <v>124600</v>
      </c>
      <c r="F33" s="737">
        <v>177100</v>
      </c>
      <c r="G33" s="740">
        <v>271700</v>
      </c>
      <c r="H33" s="738">
        <f aca="true" t="shared" si="5" ref="H33:K34">D33</f>
        <v>107900</v>
      </c>
      <c r="I33" s="739">
        <f t="shared" si="5"/>
        <v>124600</v>
      </c>
      <c r="J33" s="739">
        <f t="shared" si="5"/>
        <v>177100</v>
      </c>
      <c r="K33" s="740">
        <f t="shared" si="5"/>
        <v>271700</v>
      </c>
      <c r="L33" s="465"/>
      <c r="M33" s="376"/>
      <c r="N33" s="466"/>
      <c r="O33" s="270"/>
      <c r="P33" s="271"/>
      <c r="Q33" s="146"/>
    </row>
    <row r="34" spans="1:17" s="21" customFormat="1" ht="29.25" customHeight="1" thickBot="1">
      <c r="A34" s="746"/>
      <c r="B34" s="592"/>
      <c r="C34" s="75" t="s">
        <v>23</v>
      </c>
      <c r="D34" s="742">
        <v>48</v>
      </c>
      <c r="E34" s="743">
        <v>0</v>
      </c>
      <c r="F34" s="743">
        <v>0</v>
      </c>
      <c r="G34" s="744">
        <v>0</v>
      </c>
      <c r="H34" s="742">
        <f t="shared" si="5"/>
        <v>48</v>
      </c>
      <c r="I34" s="743">
        <f t="shared" si="5"/>
        <v>0</v>
      </c>
      <c r="J34" s="743">
        <f t="shared" si="5"/>
        <v>0</v>
      </c>
      <c r="K34" s="744">
        <f t="shared" si="5"/>
        <v>0</v>
      </c>
      <c r="L34" s="465"/>
      <c r="M34" s="380"/>
      <c r="N34" s="466"/>
      <c r="O34" s="270"/>
      <c r="P34" s="271"/>
      <c r="Q34" s="146"/>
    </row>
    <row r="35" spans="1:17" s="21" customFormat="1" ht="29.25" customHeight="1" thickBot="1">
      <c r="A35" s="746"/>
      <c r="B35" s="592"/>
      <c r="C35" s="191" t="s">
        <v>24</v>
      </c>
      <c r="D35" s="202">
        <f>D34*D33</f>
        <v>5179200</v>
      </c>
      <c r="E35" s="183">
        <f>E34*E33</f>
        <v>0</v>
      </c>
      <c r="F35" s="183">
        <f>F34*F33</f>
        <v>0</v>
      </c>
      <c r="G35" s="203">
        <f>G34*G33</f>
        <v>0</v>
      </c>
      <c r="H35" s="202">
        <f>H34*H33*10</f>
        <v>51792000</v>
      </c>
      <c r="I35" s="183">
        <f>I34*I33*10</f>
        <v>0</v>
      </c>
      <c r="J35" s="183">
        <f>J34*J33*10</f>
        <v>0</v>
      </c>
      <c r="K35" s="203">
        <f>K34*K33*10</f>
        <v>0</v>
      </c>
      <c r="L35" s="540"/>
      <c r="M35" s="378">
        <f>M34*M33</f>
        <v>0</v>
      </c>
      <c r="N35" s="541">
        <f>SUM(D35:G35)</f>
        <v>5179200</v>
      </c>
      <c r="O35" s="542">
        <f>SUM(H35:K35)</f>
        <v>51792000</v>
      </c>
      <c r="P35" s="543">
        <f>N35+O35</f>
        <v>56971200</v>
      </c>
      <c r="Q35" s="146"/>
    </row>
    <row r="36" spans="1:17" s="21" customFormat="1" ht="29.25" customHeight="1" thickBot="1">
      <c r="A36" s="746"/>
      <c r="B36" s="182" t="s">
        <v>25</v>
      </c>
      <c r="C36" s="211" t="s">
        <v>26</v>
      </c>
      <c r="D36" s="204">
        <f aca="true" t="shared" si="6" ref="D36:K36">D35</f>
        <v>5179200</v>
      </c>
      <c r="E36" s="185">
        <f t="shared" si="6"/>
        <v>0</v>
      </c>
      <c r="F36" s="185">
        <f t="shared" si="6"/>
        <v>0</v>
      </c>
      <c r="G36" s="186">
        <f t="shared" si="6"/>
        <v>0</v>
      </c>
      <c r="H36" s="204">
        <f t="shared" si="6"/>
        <v>51792000</v>
      </c>
      <c r="I36" s="185">
        <f t="shared" si="6"/>
        <v>0</v>
      </c>
      <c r="J36" s="185">
        <f t="shared" si="6"/>
        <v>0</v>
      </c>
      <c r="K36" s="186">
        <f t="shared" si="6"/>
        <v>0</v>
      </c>
      <c r="L36" s="358">
        <v>0</v>
      </c>
      <c r="M36" s="376"/>
      <c r="N36" s="196">
        <f>N35</f>
        <v>5179200</v>
      </c>
      <c r="O36" s="185">
        <f>O35</f>
        <v>51792000</v>
      </c>
      <c r="P36" s="186">
        <f>P35</f>
        <v>56971200</v>
      </c>
      <c r="Q36" s="146"/>
    </row>
    <row r="37" spans="1:17" s="21" customFormat="1" ht="29.25" customHeight="1" thickBot="1">
      <c r="A37" s="748"/>
      <c r="B37" s="182" t="s">
        <v>25</v>
      </c>
      <c r="C37" s="464"/>
      <c r="D37" s="536">
        <f>SUM(D36+D32)</f>
        <v>10723200</v>
      </c>
      <c r="E37" s="538">
        <f aca="true" t="shared" si="7" ref="E37:J37">SUM(E36+E32)</f>
        <v>79200</v>
      </c>
      <c r="F37" s="538">
        <f t="shared" si="7"/>
        <v>354000</v>
      </c>
      <c r="G37" s="537">
        <f t="shared" si="7"/>
        <v>130200</v>
      </c>
      <c r="H37" s="536">
        <f t="shared" si="7"/>
        <v>107232000</v>
      </c>
      <c r="I37" s="538">
        <f t="shared" si="7"/>
        <v>792000</v>
      </c>
      <c r="J37" s="538">
        <f t="shared" si="7"/>
        <v>3540000</v>
      </c>
      <c r="K37" s="539">
        <f>SUM(K36+K32)</f>
        <v>1302000</v>
      </c>
      <c r="L37" s="465"/>
      <c r="M37" s="380"/>
      <c r="N37" s="466">
        <f>SUM(D37:G37)</f>
        <v>11286600</v>
      </c>
      <c r="O37" s="466">
        <f>SUM(H37:K37)</f>
        <v>112866000</v>
      </c>
      <c r="P37" s="466">
        <f>SUM(P36+P32)</f>
        <v>124152600</v>
      </c>
      <c r="Q37" s="146"/>
    </row>
    <row r="38" spans="1:17" ht="23.25" customHeight="1" thickBot="1">
      <c r="A38" s="622" t="s">
        <v>167</v>
      </c>
      <c r="B38" s="592" t="s">
        <v>666</v>
      </c>
      <c r="C38" s="212" t="s">
        <v>22</v>
      </c>
      <c r="D38" s="738">
        <v>107900</v>
      </c>
      <c r="E38" s="739">
        <v>124600</v>
      </c>
      <c r="F38" s="739">
        <v>177100</v>
      </c>
      <c r="G38" s="740">
        <v>271700</v>
      </c>
      <c r="H38" s="738">
        <f aca="true" t="shared" si="8" ref="H38:K39">D38</f>
        <v>107900</v>
      </c>
      <c r="I38" s="739">
        <f t="shared" si="8"/>
        <v>124600</v>
      </c>
      <c r="J38" s="739">
        <f t="shared" si="8"/>
        <v>177100</v>
      </c>
      <c r="K38" s="740">
        <f t="shared" si="8"/>
        <v>271700</v>
      </c>
      <c r="L38" s="359"/>
      <c r="M38" s="749">
        <v>100800</v>
      </c>
      <c r="N38" s="197"/>
      <c r="O38" s="187"/>
      <c r="P38" s="188"/>
      <c r="Q38" s="146"/>
    </row>
    <row r="39" spans="1:17" ht="26.25" customHeight="1" thickBot="1">
      <c r="A39" s="623"/>
      <c r="B39" s="592"/>
      <c r="C39" s="75" t="s">
        <v>23</v>
      </c>
      <c r="D39" s="742">
        <v>144</v>
      </c>
      <c r="E39" s="743">
        <v>0</v>
      </c>
      <c r="F39" s="743">
        <v>0</v>
      </c>
      <c r="G39" s="744">
        <f>0</f>
        <v>0</v>
      </c>
      <c r="H39" s="742">
        <f t="shared" si="8"/>
        <v>144</v>
      </c>
      <c r="I39" s="743">
        <f t="shared" si="8"/>
        <v>0</v>
      </c>
      <c r="J39" s="743">
        <f t="shared" si="8"/>
        <v>0</v>
      </c>
      <c r="K39" s="744">
        <f t="shared" si="8"/>
        <v>0</v>
      </c>
      <c r="L39" s="356"/>
      <c r="M39" s="750">
        <v>30</v>
      </c>
      <c r="N39" s="195"/>
      <c r="O39" s="76"/>
      <c r="P39" s="151"/>
      <c r="Q39" s="153">
        <f>138/148</f>
        <v>0.9324324324324325</v>
      </c>
    </row>
    <row r="40" spans="1:17" ht="26.25" customHeight="1" thickBot="1">
      <c r="A40" s="623"/>
      <c r="B40" s="592"/>
      <c r="C40" s="191" t="s">
        <v>24</v>
      </c>
      <c r="D40" s="202">
        <f>D38*D39</f>
        <v>15537600</v>
      </c>
      <c r="E40" s="183">
        <f>E38*E39</f>
        <v>0</v>
      </c>
      <c r="F40" s="183">
        <f>F38*F39</f>
        <v>0</v>
      </c>
      <c r="G40" s="203">
        <f>G38*G39</f>
        <v>0</v>
      </c>
      <c r="H40" s="202">
        <f>H39*H38*10</f>
        <v>155376000</v>
      </c>
      <c r="I40" s="183">
        <f>I39*I38*10</f>
        <v>0</v>
      </c>
      <c r="J40" s="183">
        <f>J39*J38*10</f>
        <v>0</v>
      </c>
      <c r="K40" s="203">
        <f>K39*K38*10</f>
        <v>0</v>
      </c>
      <c r="L40" s="357"/>
      <c r="M40" s="375">
        <f>M39*M38</f>
        <v>3024000</v>
      </c>
      <c r="N40" s="268">
        <f>SUM(D40:G40)</f>
        <v>15537600</v>
      </c>
      <c r="O40" s="183">
        <f>SUM(H40:K40)</f>
        <v>155376000</v>
      </c>
      <c r="P40" s="184">
        <f>N40+O40+M40</f>
        <v>173937600</v>
      </c>
      <c r="Q40" s="146"/>
    </row>
    <row r="41" spans="1:17" s="21" customFormat="1" ht="29.25" customHeight="1" thickBot="1">
      <c r="A41" s="624"/>
      <c r="B41" s="182" t="s">
        <v>25</v>
      </c>
      <c r="C41" s="211" t="s">
        <v>26</v>
      </c>
      <c r="D41" s="204">
        <f aca="true" t="shared" si="9" ref="D41:K41">D40</f>
        <v>15537600</v>
      </c>
      <c r="E41" s="185">
        <f t="shared" si="9"/>
        <v>0</v>
      </c>
      <c r="F41" s="185">
        <f t="shared" si="9"/>
        <v>0</v>
      </c>
      <c r="G41" s="186">
        <f t="shared" si="9"/>
        <v>0</v>
      </c>
      <c r="H41" s="204">
        <f>H40</f>
        <v>155376000</v>
      </c>
      <c r="I41" s="185">
        <f>I40</f>
        <v>0</v>
      </c>
      <c r="J41" s="185">
        <f>J40</f>
        <v>0</v>
      </c>
      <c r="K41" s="186">
        <f t="shared" si="9"/>
        <v>0</v>
      </c>
      <c r="L41" s="358">
        <v>0</v>
      </c>
      <c r="M41" s="377">
        <f>+M40</f>
        <v>3024000</v>
      </c>
      <c r="N41" s="196">
        <f>N40</f>
        <v>15537600</v>
      </c>
      <c r="O41" s="185">
        <f>O40</f>
        <v>155376000</v>
      </c>
      <c r="P41" s="186">
        <f>P40</f>
        <v>173937600</v>
      </c>
      <c r="Q41" s="155"/>
    </row>
    <row r="42" spans="1:17" ht="23.25" customHeight="1" thickBot="1">
      <c r="A42" s="613" t="s">
        <v>168</v>
      </c>
      <c r="B42" s="592" t="s">
        <v>667</v>
      </c>
      <c r="C42" s="212" t="s">
        <v>22</v>
      </c>
      <c r="D42" s="738">
        <v>66000</v>
      </c>
      <c r="E42" s="739">
        <v>79200</v>
      </c>
      <c r="F42" s="739">
        <v>88500</v>
      </c>
      <c r="G42" s="740">
        <v>130200</v>
      </c>
      <c r="H42" s="738">
        <f aca="true" t="shared" si="10" ref="H42:K43">D42</f>
        <v>66000</v>
      </c>
      <c r="I42" s="739">
        <f t="shared" si="10"/>
        <v>79200</v>
      </c>
      <c r="J42" s="739">
        <f t="shared" si="10"/>
        <v>88500</v>
      </c>
      <c r="K42" s="740">
        <f t="shared" si="10"/>
        <v>130200</v>
      </c>
      <c r="L42" s="359"/>
      <c r="M42" s="751"/>
      <c r="N42" s="197"/>
      <c r="O42" s="187"/>
      <c r="P42" s="188"/>
      <c r="Q42" s="147"/>
    </row>
    <row r="43" spans="1:17" ht="26.25" customHeight="1" thickBot="1">
      <c r="A43" s="614"/>
      <c r="B43" s="592"/>
      <c r="C43" s="75" t="s">
        <v>23</v>
      </c>
      <c r="D43" s="742">
        <v>20</v>
      </c>
      <c r="E43" s="743">
        <v>0</v>
      </c>
      <c r="F43" s="743">
        <v>0</v>
      </c>
      <c r="G43" s="744">
        <v>0</v>
      </c>
      <c r="H43" s="742">
        <f t="shared" si="10"/>
        <v>20</v>
      </c>
      <c r="I43" s="743">
        <f t="shared" si="10"/>
        <v>0</v>
      </c>
      <c r="J43" s="743">
        <f t="shared" si="10"/>
        <v>0</v>
      </c>
      <c r="K43" s="744">
        <f t="shared" si="10"/>
        <v>0</v>
      </c>
      <c r="L43" s="356"/>
      <c r="M43" s="752"/>
      <c r="N43" s="195"/>
      <c r="O43" s="76"/>
      <c r="P43" s="151"/>
      <c r="Q43" s="148">
        <f>17/45</f>
        <v>0.37777777777777777</v>
      </c>
    </row>
    <row r="44" spans="1:17" ht="26.25" customHeight="1" thickBot="1">
      <c r="A44" s="614"/>
      <c r="B44" s="592"/>
      <c r="C44" s="191" t="s">
        <v>24</v>
      </c>
      <c r="D44" s="202">
        <f>D42*D43</f>
        <v>1320000</v>
      </c>
      <c r="E44" s="183">
        <f>E42*E43</f>
        <v>0</v>
      </c>
      <c r="F44" s="183">
        <f>F42*F43</f>
        <v>0</v>
      </c>
      <c r="G44" s="203">
        <f>G42*G43</f>
        <v>0</v>
      </c>
      <c r="H44" s="202">
        <f>H43*H42*10</f>
        <v>13200000</v>
      </c>
      <c r="I44" s="183">
        <f>I43*I42*10</f>
        <v>0</v>
      </c>
      <c r="J44" s="183">
        <f>J43*J42*10</f>
        <v>0</v>
      </c>
      <c r="K44" s="203">
        <f>K43*K42*10</f>
        <v>0</v>
      </c>
      <c r="L44" s="357"/>
      <c r="M44" s="378"/>
      <c r="N44" s="268">
        <f>SUM(D44:G44)</f>
        <v>1320000</v>
      </c>
      <c r="O44" s="183">
        <f>SUM(H44:K44)</f>
        <v>13200000</v>
      </c>
      <c r="P44" s="184">
        <f>N44+O44</f>
        <v>14520000</v>
      </c>
      <c r="Q44" s="149"/>
    </row>
    <row r="45" spans="1:17" s="21" customFormat="1" ht="29.25" customHeight="1" thickBot="1">
      <c r="A45" s="615"/>
      <c r="B45" s="182" t="s">
        <v>25</v>
      </c>
      <c r="C45" s="211" t="s">
        <v>26</v>
      </c>
      <c r="D45" s="204">
        <f aca="true" t="shared" si="11" ref="D45:K45">D44</f>
        <v>1320000</v>
      </c>
      <c r="E45" s="185">
        <f t="shared" si="11"/>
        <v>0</v>
      </c>
      <c r="F45" s="185">
        <f t="shared" si="11"/>
        <v>0</v>
      </c>
      <c r="G45" s="186">
        <f t="shared" si="11"/>
        <v>0</v>
      </c>
      <c r="H45" s="204">
        <f t="shared" si="11"/>
        <v>13200000</v>
      </c>
      <c r="I45" s="185">
        <f t="shared" si="11"/>
        <v>0</v>
      </c>
      <c r="J45" s="185">
        <f t="shared" si="11"/>
        <v>0</v>
      </c>
      <c r="K45" s="186">
        <f t="shared" si="11"/>
        <v>0</v>
      </c>
      <c r="L45" s="358">
        <v>0</v>
      </c>
      <c r="M45" s="379"/>
      <c r="N45" s="196">
        <f>N44</f>
        <v>1320000</v>
      </c>
      <c r="O45" s="185">
        <f>O44</f>
        <v>13200000</v>
      </c>
      <c r="P45" s="186">
        <f>P44</f>
        <v>14520000</v>
      </c>
      <c r="Q45" s="150"/>
    </row>
    <row r="46" spans="1:17" ht="23.25" customHeight="1" thickBot="1">
      <c r="A46" s="616" t="s">
        <v>173</v>
      </c>
      <c r="B46" s="592" t="s">
        <v>664</v>
      </c>
      <c r="C46" s="212" t="s">
        <v>22</v>
      </c>
      <c r="D46" s="753">
        <v>25800</v>
      </c>
      <c r="E46" s="754">
        <v>31000</v>
      </c>
      <c r="F46" s="754">
        <v>32400</v>
      </c>
      <c r="G46" s="755">
        <v>38700</v>
      </c>
      <c r="H46" s="756">
        <f>+D46</f>
        <v>25800</v>
      </c>
      <c r="I46" s="757">
        <f>+E46</f>
        <v>31000</v>
      </c>
      <c r="J46" s="757">
        <f>+F46</f>
        <v>32400</v>
      </c>
      <c r="K46" s="758">
        <f>+G46</f>
        <v>38700</v>
      </c>
      <c r="L46" s="359"/>
      <c r="M46" s="751"/>
      <c r="N46" s="197"/>
      <c r="O46" s="187"/>
      <c r="P46" s="188"/>
      <c r="Q46" s="156"/>
    </row>
    <row r="47" spans="1:17" ht="26.25" customHeight="1" thickBot="1">
      <c r="A47" s="617"/>
      <c r="B47" s="592"/>
      <c r="C47" s="75" t="s">
        <v>23</v>
      </c>
      <c r="D47" s="742">
        <v>28</v>
      </c>
      <c r="E47" s="743">
        <v>1</v>
      </c>
      <c r="F47" s="743">
        <v>3</v>
      </c>
      <c r="G47" s="744">
        <v>0</v>
      </c>
      <c r="H47" s="742">
        <f>D47</f>
        <v>28</v>
      </c>
      <c r="I47" s="759">
        <f>E47</f>
        <v>1</v>
      </c>
      <c r="J47" s="759">
        <f>F47</f>
        <v>3</v>
      </c>
      <c r="K47" s="760">
        <f>G47</f>
        <v>0</v>
      </c>
      <c r="L47" s="356"/>
      <c r="M47" s="752"/>
      <c r="N47" s="195"/>
      <c r="O47" s="76"/>
      <c r="P47" s="151"/>
      <c r="Q47" s="153">
        <f>32/40</f>
        <v>0.8</v>
      </c>
    </row>
    <row r="48" spans="1:17" ht="26.25" customHeight="1" thickBot="1">
      <c r="A48" s="617"/>
      <c r="B48" s="592"/>
      <c r="C48" s="191" t="s">
        <v>24</v>
      </c>
      <c r="D48" s="202">
        <f>D46*D47</f>
        <v>722400</v>
      </c>
      <c r="E48" s="183">
        <f>E46*E47</f>
        <v>31000</v>
      </c>
      <c r="F48" s="183">
        <f>F46*F47</f>
        <v>97200</v>
      </c>
      <c r="G48" s="203">
        <f>G46*G47</f>
        <v>0</v>
      </c>
      <c r="H48" s="202">
        <f>H47*H46*10</f>
        <v>7224000</v>
      </c>
      <c r="I48" s="183">
        <f>I47*I46*10</f>
        <v>310000</v>
      </c>
      <c r="J48" s="183">
        <f>J47*J46*10</f>
        <v>972000</v>
      </c>
      <c r="K48" s="203">
        <f>K47*K46*10</f>
        <v>0</v>
      </c>
      <c r="L48" s="357"/>
      <c r="M48" s="375"/>
      <c r="N48" s="268">
        <f>SUM(D48:G48)</f>
        <v>850600</v>
      </c>
      <c r="O48" s="183">
        <f>SUM(H48:K48)</f>
        <v>8506000</v>
      </c>
      <c r="P48" s="184">
        <f>N48+O48</f>
        <v>9356600</v>
      </c>
      <c r="Q48" s="146"/>
    </row>
    <row r="49" spans="1:17" s="21" customFormat="1" ht="29.25" customHeight="1" thickBot="1">
      <c r="A49" s="618"/>
      <c r="B49" s="182" t="s">
        <v>25</v>
      </c>
      <c r="C49" s="211" t="s">
        <v>26</v>
      </c>
      <c r="D49" s="204">
        <f aca="true" t="shared" si="12" ref="D49:K49">D48</f>
        <v>722400</v>
      </c>
      <c r="E49" s="185">
        <f t="shared" si="12"/>
        <v>31000</v>
      </c>
      <c r="F49" s="185">
        <f t="shared" si="12"/>
        <v>97200</v>
      </c>
      <c r="G49" s="186">
        <f t="shared" si="12"/>
        <v>0</v>
      </c>
      <c r="H49" s="204">
        <f>H48</f>
        <v>7224000</v>
      </c>
      <c r="I49" s="185">
        <f>I48</f>
        <v>310000</v>
      </c>
      <c r="J49" s="185">
        <f>J48</f>
        <v>972000</v>
      </c>
      <c r="K49" s="186">
        <f t="shared" si="12"/>
        <v>0</v>
      </c>
      <c r="L49" s="358">
        <v>0</v>
      </c>
      <c r="M49" s="380"/>
      <c r="N49" s="196">
        <f>N48</f>
        <v>850600</v>
      </c>
      <c r="O49" s="185">
        <f>O48</f>
        <v>8506000</v>
      </c>
      <c r="P49" s="186">
        <f>P48</f>
        <v>9356600</v>
      </c>
      <c r="Q49" s="104"/>
    </row>
    <row r="50" spans="1:17" ht="23.25" customHeight="1" thickBot="1">
      <c r="A50" s="642" t="s">
        <v>169</v>
      </c>
      <c r="B50" s="592" t="s">
        <v>538</v>
      </c>
      <c r="C50" s="212" t="s">
        <v>22</v>
      </c>
      <c r="D50" s="738">
        <v>66000</v>
      </c>
      <c r="E50" s="739">
        <v>79200</v>
      </c>
      <c r="F50" s="739">
        <v>88500</v>
      </c>
      <c r="G50" s="740">
        <v>130200</v>
      </c>
      <c r="H50" s="738">
        <f aca="true" t="shared" si="13" ref="H50:K51">D50</f>
        <v>66000</v>
      </c>
      <c r="I50" s="739">
        <f t="shared" si="13"/>
        <v>79200</v>
      </c>
      <c r="J50" s="739">
        <f t="shared" si="13"/>
        <v>88500</v>
      </c>
      <c r="K50" s="740">
        <f t="shared" si="13"/>
        <v>130200</v>
      </c>
      <c r="L50" s="359"/>
      <c r="M50" s="751"/>
      <c r="N50" s="197"/>
      <c r="O50" s="187"/>
      <c r="P50" s="188"/>
      <c r="Q50" s="146"/>
    </row>
    <row r="51" spans="1:17" ht="26.25" customHeight="1" thickBot="1">
      <c r="A51" s="643"/>
      <c r="B51" s="592"/>
      <c r="C51" s="75" t="s">
        <v>23</v>
      </c>
      <c r="D51" s="742">
        <v>2</v>
      </c>
      <c r="E51" s="743">
        <f>0</f>
        <v>0</v>
      </c>
      <c r="F51" s="743">
        <f>0</f>
        <v>0</v>
      </c>
      <c r="G51" s="744">
        <f>0</f>
        <v>0</v>
      </c>
      <c r="H51" s="742">
        <f t="shared" si="13"/>
        <v>2</v>
      </c>
      <c r="I51" s="743">
        <f t="shared" si="13"/>
        <v>0</v>
      </c>
      <c r="J51" s="743">
        <f t="shared" si="13"/>
        <v>0</v>
      </c>
      <c r="K51" s="744">
        <f t="shared" si="13"/>
        <v>0</v>
      </c>
      <c r="L51" s="356"/>
      <c r="M51" s="752"/>
      <c r="N51" s="195"/>
      <c r="O51" s="76"/>
      <c r="P51" s="151"/>
      <c r="Q51" s="146"/>
    </row>
    <row r="52" spans="1:17" ht="26.25" customHeight="1" thickBot="1">
      <c r="A52" s="643"/>
      <c r="B52" s="592"/>
      <c r="C52" s="191" t="s">
        <v>24</v>
      </c>
      <c r="D52" s="202">
        <f>D50*D51</f>
        <v>132000</v>
      </c>
      <c r="E52" s="183">
        <f>E50*E51</f>
        <v>0</v>
      </c>
      <c r="F52" s="183">
        <f>F50*F51</f>
        <v>0</v>
      </c>
      <c r="G52" s="203">
        <f>G50*G51</f>
        <v>0</v>
      </c>
      <c r="H52" s="202">
        <f>H51*H50*10</f>
        <v>1320000</v>
      </c>
      <c r="I52" s="183">
        <f>I51*I50*10</f>
        <v>0</v>
      </c>
      <c r="J52" s="183">
        <f>J51*J50*10</f>
        <v>0</v>
      </c>
      <c r="K52" s="203">
        <f>K51*K50*10</f>
        <v>0</v>
      </c>
      <c r="L52" s="357"/>
      <c r="M52" s="378"/>
      <c r="N52" s="268">
        <f>SUM(D52:G52)</f>
        <v>132000</v>
      </c>
      <c r="O52" s="183">
        <f>SUM(H52:K52)</f>
        <v>1320000</v>
      </c>
      <c r="P52" s="184">
        <f>N52+O52</f>
        <v>1452000</v>
      </c>
      <c r="Q52" s="146"/>
    </row>
    <row r="53" spans="1:17" ht="24" customHeight="1" thickBot="1">
      <c r="A53" s="643"/>
      <c r="B53" s="592" t="s">
        <v>668</v>
      </c>
      <c r="C53" s="212" t="s">
        <v>22</v>
      </c>
      <c r="D53" s="738">
        <v>107900</v>
      </c>
      <c r="E53" s="739">
        <v>124600</v>
      </c>
      <c r="F53" s="739">
        <v>177100</v>
      </c>
      <c r="G53" s="740">
        <v>271700</v>
      </c>
      <c r="H53" s="738">
        <f aca="true" t="shared" si="14" ref="H53:K54">D53</f>
        <v>107900</v>
      </c>
      <c r="I53" s="739">
        <f t="shared" si="14"/>
        <v>124600</v>
      </c>
      <c r="J53" s="739">
        <f t="shared" si="14"/>
        <v>177100</v>
      </c>
      <c r="K53" s="740">
        <f t="shared" si="14"/>
        <v>271700</v>
      </c>
      <c r="L53" s="359"/>
      <c r="M53" s="761">
        <v>100800</v>
      </c>
      <c r="N53" s="368"/>
      <c r="O53" s="189"/>
      <c r="P53" s="190"/>
      <c r="Q53" s="146"/>
    </row>
    <row r="54" spans="1:17" ht="25.5" customHeight="1" thickBot="1">
      <c r="A54" s="643"/>
      <c r="B54" s="592"/>
      <c r="C54" s="75" t="s">
        <v>23</v>
      </c>
      <c r="D54" s="742">
        <v>56</v>
      </c>
      <c r="E54" s="743"/>
      <c r="F54" s="743">
        <f>0</f>
        <v>0</v>
      </c>
      <c r="G54" s="744">
        <f>0</f>
        <v>0</v>
      </c>
      <c r="H54" s="742">
        <f t="shared" si="14"/>
        <v>56</v>
      </c>
      <c r="I54" s="743">
        <f t="shared" si="14"/>
        <v>0</v>
      </c>
      <c r="J54" s="743">
        <f t="shared" si="14"/>
        <v>0</v>
      </c>
      <c r="K54" s="744">
        <f t="shared" si="14"/>
        <v>0</v>
      </c>
      <c r="L54" s="356"/>
      <c r="M54" s="750">
        <v>10</v>
      </c>
      <c r="N54" s="367"/>
      <c r="O54" s="77"/>
      <c r="P54" s="152"/>
      <c r="Q54" s="153">
        <f>56/58</f>
        <v>0.9655172413793104</v>
      </c>
    </row>
    <row r="55" spans="1:17" ht="26.25" customHeight="1" thickBot="1">
      <c r="A55" s="643"/>
      <c r="B55" s="592"/>
      <c r="C55" s="191" t="s">
        <v>24</v>
      </c>
      <c r="D55" s="202">
        <f>D54*D53</f>
        <v>6042400</v>
      </c>
      <c r="E55" s="183">
        <f>E54*E53</f>
        <v>0</v>
      </c>
      <c r="F55" s="183">
        <f>F54*F53</f>
        <v>0</v>
      </c>
      <c r="G55" s="203">
        <f>G54*G53</f>
        <v>0</v>
      </c>
      <c r="H55" s="202">
        <f>H54*H53*10</f>
        <v>60424000</v>
      </c>
      <c r="I55" s="183">
        <f>I54*I53*10</f>
        <v>0</v>
      </c>
      <c r="J55" s="183">
        <f>J54*J53*10</f>
        <v>0</v>
      </c>
      <c r="K55" s="203">
        <f>K54*K53*10</f>
        <v>0</v>
      </c>
      <c r="L55" s="357"/>
      <c r="M55" s="375">
        <f>M54*M53</f>
        <v>1008000</v>
      </c>
      <c r="N55" s="268">
        <f>SUM(D55:G55)</f>
        <v>6042400</v>
      </c>
      <c r="O55" s="183">
        <f>SUM(H55:K55)</f>
        <v>60424000</v>
      </c>
      <c r="P55" s="184">
        <f>N55+O55+M55</f>
        <v>67474400</v>
      </c>
      <c r="Q55" s="146"/>
    </row>
    <row r="56" spans="1:17" s="21" customFormat="1" ht="29.25" customHeight="1" thickBot="1">
      <c r="A56" s="643"/>
      <c r="B56" s="182" t="s">
        <v>25</v>
      </c>
      <c r="C56" s="211" t="s">
        <v>26</v>
      </c>
      <c r="D56" s="269">
        <f>D52+D55</f>
        <v>6174400</v>
      </c>
      <c r="E56" s="270">
        <f aca="true" t="shared" si="15" ref="E56:K56">E52+E55</f>
        <v>0</v>
      </c>
      <c r="F56" s="270">
        <f t="shared" si="15"/>
        <v>0</v>
      </c>
      <c r="G56" s="271">
        <f t="shared" si="15"/>
        <v>0</v>
      </c>
      <c r="H56" s="204">
        <f t="shared" si="15"/>
        <v>61744000</v>
      </c>
      <c r="I56" s="185">
        <f t="shared" si="15"/>
        <v>0</v>
      </c>
      <c r="J56" s="185">
        <f t="shared" si="15"/>
        <v>0</v>
      </c>
      <c r="K56" s="186">
        <f t="shared" si="15"/>
        <v>0</v>
      </c>
      <c r="L56" s="358">
        <v>0</v>
      </c>
      <c r="M56" s="379">
        <f>+M55</f>
        <v>1008000</v>
      </c>
      <c r="N56" s="196">
        <f>N52+N55</f>
        <v>6174400</v>
      </c>
      <c r="O56" s="185">
        <f>O52+O55</f>
        <v>61744000</v>
      </c>
      <c r="P56" s="186">
        <f>P52+P55</f>
        <v>68926400</v>
      </c>
      <c r="Q56" s="146"/>
    </row>
    <row r="57" spans="1:17" ht="23.25" customHeight="1" thickBot="1">
      <c r="A57" s="638" t="s">
        <v>378</v>
      </c>
      <c r="B57" s="597" t="s">
        <v>479</v>
      </c>
      <c r="C57" s="212" t="s">
        <v>22</v>
      </c>
      <c r="D57" s="762">
        <v>0</v>
      </c>
      <c r="E57" s="736">
        <v>0</v>
      </c>
      <c r="F57" s="736">
        <v>0</v>
      </c>
      <c r="G57" s="763">
        <v>0</v>
      </c>
      <c r="H57" s="764">
        <v>296400</v>
      </c>
      <c r="I57" s="757">
        <v>355700</v>
      </c>
      <c r="J57" s="757">
        <v>349400</v>
      </c>
      <c r="K57" s="758">
        <v>407700</v>
      </c>
      <c r="L57" s="359"/>
      <c r="M57" s="751"/>
      <c r="N57" s="197"/>
      <c r="O57" s="187"/>
      <c r="P57" s="188"/>
      <c r="Q57" s="146"/>
    </row>
    <row r="58" spans="1:17" ht="26.25" customHeight="1" thickBot="1">
      <c r="A58" s="639"/>
      <c r="B58" s="597"/>
      <c r="C58" s="75" t="s">
        <v>23</v>
      </c>
      <c r="D58" s="742">
        <v>0</v>
      </c>
      <c r="E58" s="743">
        <v>0</v>
      </c>
      <c r="F58" s="743">
        <v>0</v>
      </c>
      <c r="G58" s="744">
        <v>0</v>
      </c>
      <c r="H58" s="765">
        <f>26</f>
        <v>26</v>
      </c>
      <c r="I58" s="743">
        <v>0</v>
      </c>
      <c r="J58" s="743">
        <v>0</v>
      </c>
      <c r="K58" s="744">
        <v>0</v>
      </c>
      <c r="L58" s="356"/>
      <c r="M58" s="752"/>
      <c r="N58" s="195"/>
      <c r="O58" s="76"/>
      <c r="P58" s="151"/>
      <c r="Q58" s="153">
        <f>26/26</f>
        <v>1</v>
      </c>
    </row>
    <row r="59" spans="1:17" ht="26.25" customHeight="1" thickBot="1">
      <c r="A59" s="639"/>
      <c r="B59" s="597"/>
      <c r="C59" s="191" t="s">
        <v>24</v>
      </c>
      <c r="D59" s="273">
        <f>D57*D58</f>
        <v>0</v>
      </c>
      <c r="E59" s="272">
        <f>E57*E58</f>
        <v>0</v>
      </c>
      <c r="F59" s="272">
        <f>F57*F58</f>
        <v>0</v>
      </c>
      <c r="G59" s="274">
        <f>G57*G58</f>
        <v>0</v>
      </c>
      <c r="H59" s="268">
        <f>H58*H57*12</f>
        <v>92476800</v>
      </c>
      <c r="I59" s="183">
        <f>I58*I57*12</f>
        <v>0</v>
      </c>
      <c r="J59" s="183">
        <f>J58*J57*12</f>
        <v>0</v>
      </c>
      <c r="K59" s="203">
        <f>K58*K57*12</f>
        <v>0</v>
      </c>
      <c r="L59" s="357"/>
      <c r="M59" s="381"/>
      <c r="N59" s="268">
        <f>SUM(D59:G59)</f>
        <v>0</v>
      </c>
      <c r="O59" s="183">
        <f>SUM(H59:K59)</f>
        <v>92476800</v>
      </c>
      <c r="P59" s="184">
        <f>N59+O59</f>
        <v>92476800</v>
      </c>
      <c r="Q59" s="146"/>
    </row>
    <row r="60" spans="1:17" ht="26.25" customHeight="1" thickBot="1">
      <c r="A60" s="639"/>
      <c r="B60" s="597" t="s">
        <v>224</v>
      </c>
      <c r="C60" s="212" t="s">
        <v>22</v>
      </c>
      <c r="D60" s="766"/>
      <c r="E60" s="767"/>
      <c r="F60" s="767"/>
      <c r="G60" s="768"/>
      <c r="H60" s="764">
        <v>164700</v>
      </c>
      <c r="I60" s="757"/>
      <c r="J60" s="757"/>
      <c r="K60" s="758"/>
      <c r="L60" s="359"/>
      <c r="M60" s="751"/>
      <c r="N60" s="197"/>
      <c r="O60" s="187"/>
      <c r="P60" s="188"/>
      <c r="Q60" s="146"/>
    </row>
    <row r="61" spans="1:17" ht="26.25" customHeight="1" thickBot="1">
      <c r="A61" s="639"/>
      <c r="B61" s="597"/>
      <c r="C61" s="75" t="s">
        <v>23</v>
      </c>
      <c r="D61" s="742"/>
      <c r="E61" s="743">
        <v>0</v>
      </c>
      <c r="F61" s="743">
        <v>0</v>
      </c>
      <c r="G61" s="744">
        <v>0</v>
      </c>
      <c r="H61" s="765">
        <v>0</v>
      </c>
      <c r="I61" s="743">
        <v>0</v>
      </c>
      <c r="J61" s="743">
        <v>0</v>
      </c>
      <c r="K61" s="744">
        <v>0</v>
      </c>
      <c r="L61" s="356"/>
      <c r="M61" s="752"/>
      <c r="N61" s="195"/>
      <c r="O61" s="76"/>
      <c r="P61" s="151"/>
      <c r="Q61" s="146"/>
    </row>
    <row r="62" spans="1:17" ht="26.25" customHeight="1" thickBot="1">
      <c r="A62" s="639"/>
      <c r="B62" s="628"/>
      <c r="C62" s="213" t="s">
        <v>24</v>
      </c>
      <c r="D62" s="275">
        <f>D60*D61</f>
        <v>0</v>
      </c>
      <c r="E62" s="276">
        <f>E60*E61</f>
        <v>0</v>
      </c>
      <c r="F62" s="276">
        <f>F60*F61</f>
        <v>0</v>
      </c>
      <c r="G62" s="277">
        <f>G60*G61</f>
        <v>0</v>
      </c>
      <c r="H62" s="278">
        <f>H61*H60*12</f>
        <v>0</v>
      </c>
      <c r="I62" s="276">
        <f>I61*I60*12</f>
        <v>0</v>
      </c>
      <c r="J62" s="276">
        <f>J61*J60*12</f>
        <v>0</v>
      </c>
      <c r="K62" s="277">
        <f>K61*K60*12</f>
        <v>0</v>
      </c>
      <c r="L62" s="360"/>
      <c r="M62" s="382"/>
      <c r="N62" s="278">
        <f>SUM(D62:G62)</f>
        <v>0</v>
      </c>
      <c r="O62" s="276">
        <f>SUM(H62:K62)</f>
        <v>0</v>
      </c>
      <c r="P62" s="276">
        <f>N62+O62</f>
        <v>0</v>
      </c>
      <c r="Q62" s="146"/>
    </row>
    <row r="63" spans="1:17" ht="26.25" customHeight="1" thickBot="1">
      <c r="A63" s="640"/>
      <c r="B63" s="279" t="s">
        <v>25</v>
      </c>
      <c r="C63" s="211" t="s">
        <v>26</v>
      </c>
      <c r="D63" s="519">
        <f>D59+D62</f>
        <v>0</v>
      </c>
      <c r="E63" s="284">
        <f>E59+E62</f>
        <v>0</v>
      </c>
      <c r="F63" s="284">
        <f>F59+F62</f>
        <v>0</v>
      </c>
      <c r="G63" s="520">
        <f>G59+G62</f>
        <v>0</v>
      </c>
      <c r="H63" s="283">
        <f>+H62+H59</f>
        <v>92476800</v>
      </c>
      <c r="I63" s="284">
        <f>+I62+I59</f>
        <v>0</v>
      </c>
      <c r="J63" s="284">
        <f>+J62+J59</f>
        <v>0</v>
      </c>
      <c r="K63" s="285">
        <f>+K62+K59</f>
        <v>0</v>
      </c>
      <c r="L63" s="358"/>
      <c r="M63" s="376"/>
      <c r="N63" s="196">
        <f>+N62+N59</f>
        <v>0</v>
      </c>
      <c r="O63" s="185">
        <f>+O62+O59</f>
        <v>92476800</v>
      </c>
      <c r="P63" s="185">
        <f>+P62+P59</f>
        <v>92476800</v>
      </c>
      <c r="Q63" s="146"/>
    </row>
    <row r="64" spans="1:17" ht="24" customHeight="1" thickBot="1">
      <c r="A64" s="641" t="s">
        <v>379</v>
      </c>
      <c r="B64" s="632" t="s">
        <v>381</v>
      </c>
      <c r="C64" s="158" t="s">
        <v>22</v>
      </c>
      <c r="D64" s="769">
        <v>0</v>
      </c>
      <c r="E64" s="770">
        <v>0</v>
      </c>
      <c r="F64" s="770">
        <v>0</v>
      </c>
      <c r="G64" s="771">
        <v>0</v>
      </c>
      <c r="H64" s="769">
        <v>241600</v>
      </c>
      <c r="I64" s="770">
        <v>0</v>
      </c>
      <c r="J64" s="770">
        <v>0</v>
      </c>
      <c r="K64" s="771">
        <v>0</v>
      </c>
      <c r="L64" s="361"/>
      <c r="M64" s="772"/>
      <c r="N64" s="369"/>
      <c r="O64" s="280"/>
      <c r="P64" s="281"/>
      <c r="Q64" s="146"/>
    </row>
    <row r="65" spans="1:17" ht="25.5" customHeight="1" thickBot="1">
      <c r="A65" s="623"/>
      <c r="B65" s="592"/>
      <c r="C65" s="75" t="s">
        <v>23</v>
      </c>
      <c r="D65" s="742">
        <v>0</v>
      </c>
      <c r="E65" s="743">
        <v>0</v>
      </c>
      <c r="F65" s="743">
        <v>0</v>
      </c>
      <c r="G65" s="744">
        <v>0</v>
      </c>
      <c r="H65" s="742">
        <f>6</f>
        <v>6</v>
      </c>
      <c r="I65" s="743">
        <v>0</v>
      </c>
      <c r="J65" s="743">
        <v>0</v>
      </c>
      <c r="K65" s="744">
        <v>0</v>
      </c>
      <c r="L65" s="356"/>
      <c r="M65" s="752"/>
      <c r="N65" s="367"/>
      <c r="O65" s="77"/>
      <c r="P65" s="152"/>
      <c r="Q65" s="146"/>
    </row>
    <row r="66" spans="1:17" ht="26.25" customHeight="1" thickBot="1">
      <c r="A66" s="623"/>
      <c r="B66" s="592"/>
      <c r="C66" s="191" t="s">
        <v>24</v>
      </c>
      <c r="D66" s="202">
        <f>D65*D64</f>
        <v>0</v>
      </c>
      <c r="E66" s="183">
        <f>E65*E64</f>
        <v>0</v>
      </c>
      <c r="F66" s="183">
        <f>F65*F64</f>
        <v>0</v>
      </c>
      <c r="G66" s="203">
        <f>G65*G64</f>
        <v>0</v>
      </c>
      <c r="H66" s="202">
        <f>H65*H64*12</f>
        <v>17395200</v>
      </c>
      <c r="I66" s="183">
        <f>I65*I64*12</f>
        <v>0</v>
      </c>
      <c r="J66" s="183">
        <f>J65*J64*12</f>
        <v>0</v>
      </c>
      <c r="K66" s="203">
        <f>K65*K64*12</f>
        <v>0</v>
      </c>
      <c r="L66" s="357"/>
      <c r="M66" s="378"/>
      <c r="N66" s="268">
        <f>SUM(D66:G66)</f>
        <v>0</v>
      </c>
      <c r="O66" s="183">
        <f>SUM(H66:K66)</f>
        <v>17395200</v>
      </c>
      <c r="P66" s="184">
        <f>N66+O66</f>
        <v>17395200</v>
      </c>
      <c r="Q66" s="146"/>
    </row>
    <row r="67" spans="1:17" s="21" customFormat="1" ht="29.25" customHeight="1" thickBot="1">
      <c r="A67" s="623"/>
      <c r="B67" s="182" t="s">
        <v>25</v>
      </c>
      <c r="C67" s="211" t="s">
        <v>26</v>
      </c>
      <c r="D67" s="204">
        <f>D59+D66</f>
        <v>0</v>
      </c>
      <c r="E67" s="185">
        <f>E59+E66</f>
        <v>0</v>
      </c>
      <c r="F67" s="185">
        <f>F59+F66</f>
        <v>0</v>
      </c>
      <c r="G67" s="186">
        <f>G59+G66</f>
        <v>0</v>
      </c>
      <c r="H67" s="204">
        <f>+H66</f>
        <v>17395200</v>
      </c>
      <c r="I67" s="185">
        <f>+I66</f>
        <v>0</v>
      </c>
      <c r="J67" s="185">
        <f>+J66</f>
        <v>0</v>
      </c>
      <c r="K67" s="186">
        <f>+K66</f>
        <v>0</v>
      </c>
      <c r="L67" s="358">
        <v>0</v>
      </c>
      <c r="M67" s="376"/>
      <c r="N67" s="196">
        <f>N59+N66</f>
        <v>0</v>
      </c>
      <c r="O67" s="185">
        <f>+O66</f>
        <v>17395200</v>
      </c>
      <c r="P67" s="186">
        <f>+P66</f>
        <v>17395200</v>
      </c>
      <c r="Q67" s="146"/>
    </row>
    <row r="68" spans="1:17" ht="23.25" customHeight="1" thickBot="1">
      <c r="A68" s="629" t="s">
        <v>382</v>
      </c>
      <c r="B68" s="597" t="s">
        <v>665</v>
      </c>
      <c r="C68" s="212" t="s">
        <v>22</v>
      </c>
      <c r="D68" s="756">
        <v>0</v>
      </c>
      <c r="E68" s="756">
        <v>0</v>
      </c>
      <c r="F68" s="756">
        <v>0</v>
      </c>
      <c r="G68" s="756">
        <v>0</v>
      </c>
      <c r="H68" s="756">
        <v>286100</v>
      </c>
      <c r="I68" s="757">
        <v>350100</v>
      </c>
      <c r="J68" s="757">
        <v>344000</v>
      </c>
      <c r="K68" s="758">
        <v>401300</v>
      </c>
      <c r="L68" s="359"/>
      <c r="M68" s="751"/>
      <c r="N68" s="197"/>
      <c r="O68" s="187"/>
      <c r="P68" s="188"/>
      <c r="Q68" s="146"/>
    </row>
    <row r="69" spans="1:17" ht="26.25" customHeight="1" thickBot="1">
      <c r="A69" s="630"/>
      <c r="B69" s="597"/>
      <c r="C69" s="75" t="s">
        <v>23</v>
      </c>
      <c r="D69" s="742">
        <v>0</v>
      </c>
      <c r="E69" s="743">
        <v>1</v>
      </c>
      <c r="F69" s="743">
        <v>0</v>
      </c>
      <c r="G69" s="744">
        <v>0</v>
      </c>
      <c r="H69" s="742">
        <v>80</v>
      </c>
      <c r="I69" s="743">
        <v>1</v>
      </c>
      <c r="J69" s="743">
        <v>0</v>
      </c>
      <c r="K69" s="743"/>
      <c r="L69" s="356"/>
      <c r="M69" s="752"/>
      <c r="N69" s="195"/>
      <c r="O69" s="76"/>
      <c r="P69" s="151"/>
      <c r="Q69" s="153">
        <f>81/88</f>
        <v>0.9204545454545454</v>
      </c>
    </row>
    <row r="70" spans="1:17" ht="26.25" customHeight="1" thickBot="1">
      <c r="A70" s="630"/>
      <c r="B70" s="597"/>
      <c r="C70" s="213" t="s">
        <v>24</v>
      </c>
      <c r="D70" s="207">
        <f>D68*D69</f>
        <v>0</v>
      </c>
      <c r="E70" s="159">
        <f>E68*E69</f>
        <v>0</v>
      </c>
      <c r="F70" s="159">
        <f>F68*F69</f>
        <v>0</v>
      </c>
      <c r="G70" s="208">
        <f>G68*G69</f>
        <v>0</v>
      </c>
      <c r="H70" s="207">
        <f>H69*H68*12</f>
        <v>274656000</v>
      </c>
      <c r="I70" s="159">
        <f>I69*I68*12</f>
        <v>4201200</v>
      </c>
      <c r="J70" s="159">
        <f>J69*J68*12</f>
        <v>0</v>
      </c>
      <c r="K70" s="208">
        <f>K69*K68*12</f>
        <v>0</v>
      </c>
      <c r="L70" s="361"/>
      <c r="M70" s="375"/>
      <c r="N70" s="370">
        <f>SUM(D70:G70)</f>
        <v>0</v>
      </c>
      <c r="O70" s="159">
        <f>SUM(H70:K70)</f>
        <v>278857200</v>
      </c>
      <c r="P70" s="160">
        <f>N70+O70</f>
        <v>278857200</v>
      </c>
      <c r="Q70" s="146"/>
    </row>
    <row r="71" spans="1:17" ht="26.25" customHeight="1" thickBot="1">
      <c r="A71" s="630"/>
      <c r="B71" s="597" t="s">
        <v>515</v>
      </c>
      <c r="C71" s="212" t="s">
        <v>22</v>
      </c>
      <c r="D71" s="756"/>
      <c r="E71" s="757"/>
      <c r="F71" s="757"/>
      <c r="G71" s="758"/>
      <c r="H71" s="756">
        <v>155800</v>
      </c>
      <c r="I71" s="757"/>
      <c r="J71" s="757"/>
      <c r="K71" s="758"/>
      <c r="L71" s="359"/>
      <c r="M71" s="772"/>
      <c r="N71" s="197"/>
      <c r="O71" s="187"/>
      <c r="P71" s="188"/>
      <c r="Q71" s="146"/>
    </row>
    <row r="72" spans="1:17" ht="26.25" customHeight="1" thickBot="1">
      <c r="A72" s="630"/>
      <c r="B72" s="597"/>
      <c r="C72" s="75" t="s">
        <v>23</v>
      </c>
      <c r="D72" s="742"/>
      <c r="E72" s="743">
        <v>0</v>
      </c>
      <c r="F72" s="743">
        <v>0</v>
      </c>
      <c r="G72" s="744">
        <v>0</v>
      </c>
      <c r="H72" s="742">
        <v>0</v>
      </c>
      <c r="I72" s="743">
        <v>0</v>
      </c>
      <c r="J72" s="743">
        <v>0</v>
      </c>
      <c r="K72" s="744">
        <v>0</v>
      </c>
      <c r="L72" s="356"/>
      <c r="M72" s="752"/>
      <c r="N72" s="195"/>
      <c r="O72" s="76"/>
      <c r="P72" s="151"/>
      <c r="Q72" s="146"/>
    </row>
    <row r="73" spans="1:17" ht="26.25" customHeight="1" thickBot="1">
      <c r="A73" s="630"/>
      <c r="B73" s="597"/>
      <c r="C73" s="191" t="s">
        <v>24</v>
      </c>
      <c r="D73" s="205">
        <f>D71*D72</f>
        <v>0</v>
      </c>
      <c r="E73" s="192">
        <f>E71*E72</f>
        <v>0</v>
      </c>
      <c r="F73" s="192">
        <f>F71*F72</f>
        <v>0</v>
      </c>
      <c r="G73" s="206">
        <f>G71*G72</f>
        <v>0</v>
      </c>
      <c r="H73" s="275">
        <f>H72*H71*12</f>
        <v>0</v>
      </c>
      <c r="I73" s="276">
        <f>I72*I71*12</f>
        <v>0</v>
      </c>
      <c r="J73" s="276">
        <f>J72*J71*12</f>
        <v>0</v>
      </c>
      <c r="K73" s="277">
        <f>K72*K71*12</f>
        <v>0</v>
      </c>
      <c r="L73" s="362"/>
      <c r="M73" s="382"/>
      <c r="N73" s="278">
        <f>SUM(D73:G73)</f>
        <v>0</v>
      </c>
      <c r="O73" s="276">
        <f>SUM(H73:K73)</f>
        <v>0</v>
      </c>
      <c r="P73" s="276">
        <f>N73+O73</f>
        <v>0</v>
      </c>
      <c r="Q73" s="146"/>
    </row>
    <row r="74" spans="1:17" ht="26.25" customHeight="1" thickBot="1">
      <c r="A74" s="631"/>
      <c r="B74" s="193" t="s">
        <v>25</v>
      </c>
      <c r="C74" s="214" t="s">
        <v>26</v>
      </c>
      <c r="D74" s="209">
        <f>D66+D73+D69</f>
        <v>0</v>
      </c>
      <c r="E74" s="194">
        <f>E66+E73+E69</f>
        <v>1</v>
      </c>
      <c r="F74" s="194">
        <f>F66+F73+F69</f>
        <v>0</v>
      </c>
      <c r="G74" s="282">
        <f>G66+G73+G69</f>
        <v>0</v>
      </c>
      <c r="H74" s="283">
        <f>+H73+H70</f>
        <v>274656000</v>
      </c>
      <c r="I74" s="283">
        <f>+I73+I70</f>
        <v>4201200</v>
      </c>
      <c r="J74" s="283">
        <f>+J73+J70</f>
        <v>0</v>
      </c>
      <c r="K74" s="283">
        <f>+K73+K70</f>
        <v>0</v>
      </c>
      <c r="L74" s="363">
        <v>0</v>
      </c>
      <c r="M74" s="376"/>
      <c r="N74" s="371"/>
      <c r="O74" s="284">
        <f>SUM(H74:K74)</f>
        <v>278857200</v>
      </c>
      <c r="P74" s="285">
        <f>+N74+O74</f>
        <v>278857200</v>
      </c>
      <c r="Q74" s="146"/>
    </row>
    <row r="75" spans="1:17" ht="24" customHeight="1" thickBot="1">
      <c r="A75" s="633" t="s">
        <v>383</v>
      </c>
      <c r="B75" s="592" t="s">
        <v>225</v>
      </c>
      <c r="C75" s="158" t="s">
        <v>22</v>
      </c>
      <c r="D75" s="773">
        <v>0</v>
      </c>
      <c r="E75" s="774">
        <v>0</v>
      </c>
      <c r="F75" s="774">
        <v>0</v>
      </c>
      <c r="G75" s="775">
        <v>0</v>
      </c>
      <c r="H75" s="773">
        <v>233100</v>
      </c>
      <c r="I75" s="774">
        <v>0</v>
      </c>
      <c r="J75" s="774">
        <v>0</v>
      </c>
      <c r="K75" s="775">
        <v>0</v>
      </c>
      <c r="L75" s="364"/>
      <c r="M75" s="751"/>
      <c r="N75" s="372"/>
      <c r="O75" s="161"/>
      <c r="P75" s="161"/>
      <c r="Q75" s="146"/>
    </row>
    <row r="76" spans="1:17" ht="25.5" customHeight="1" thickBot="1">
      <c r="A76" s="634"/>
      <c r="B76" s="592"/>
      <c r="C76" s="75" t="s">
        <v>23</v>
      </c>
      <c r="D76" s="742">
        <v>0</v>
      </c>
      <c r="E76" s="743">
        <v>0</v>
      </c>
      <c r="F76" s="743">
        <v>0</v>
      </c>
      <c r="G76" s="744">
        <v>0</v>
      </c>
      <c r="H76" s="742">
        <f>18</f>
        <v>18</v>
      </c>
      <c r="I76" s="743">
        <v>0</v>
      </c>
      <c r="J76" s="743">
        <v>0</v>
      </c>
      <c r="K76" s="744">
        <v>0</v>
      </c>
      <c r="L76" s="356"/>
      <c r="M76" s="752"/>
      <c r="N76" s="367"/>
      <c r="O76" s="77"/>
      <c r="P76" s="152"/>
      <c r="Q76" s="153"/>
    </row>
    <row r="77" spans="1:17" ht="26.25" customHeight="1" thickBot="1">
      <c r="A77" s="634"/>
      <c r="B77" s="592"/>
      <c r="C77" s="191" t="s">
        <v>24</v>
      </c>
      <c r="D77" s="202">
        <f>D76*D75</f>
        <v>0</v>
      </c>
      <c r="E77" s="183">
        <f>E76*E75</f>
        <v>0</v>
      </c>
      <c r="F77" s="183">
        <f>F76*F75</f>
        <v>0</v>
      </c>
      <c r="G77" s="203">
        <f>G76*G75</f>
        <v>0</v>
      </c>
      <c r="H77" s="207">
        <f>H76*H75*12</f>
        <v>50349600</v>
      </c>
      <c r="I77" s="159">
        <f>I76*I75*12</f>
        <v>0</v>
      </c>
      <c r="J77" s="159">
        <f>J76*J75*12</f>
        <v>0</v>
      </c>
      <c r="K77" s="208">
        <f>K76*K75*12</f>
        <v>0</v>
      </c>
      <c r="L77" s="357"/>
      <c r="M77" s="375"/>
      <c r="N77" s="268">
        <f>SUM(D77:G77)</f>
        <v>0</v>
      </c>
      <c r="O77" s="183">
        <f>SUM(H77:K77)</f>
        <v>50349600</v>
      </c>
      <c r="P77" s="184">
        <f>N77+O77</f>
        <v>50349600</v>
      </c>
      <c r="Q77" s="146"/>
    </row>
    <row r="78" spans="1:17" s="21" customFormat="1" ht="29.25" customHeight="1" thickBot="1">
      <c r="A78" s="635"/>
      <c r="B78" s="193" t="s">
        <v>25</v>
      </c>
      <c r="C78" s="214" t="s">
        <v>26</v>
      </c>
      <c r="D78" s="209">
        <f>D70+D77+D73</f>
        <v>0</v>
      </c>
      <c r="E78" s="194">
        <f>E70+E77+E73</f>
        <v>0</v>
      </c>
      <c r="F78" s="194">
        <f>F70+F77+F73</f>
        <v>0</v>
      </c>
      <c r="G78" s="282">
        <f>G70+G77+G73</f>
        <v>0</v>
      </c>
      <c r="H78" s="283">
        <f>+H77</f>
        <v>50349600</v>
      </c>
      <c r="I78" s="284">
        <f>+I77</f>
        <v>0</v>
      </c>
      <c r="J78" s="284">
        <f>+J77</f>
        <v>0</v>
      </c>
      <c r="K78" s="285">
        <f>+K77</f>
        <v>0</v>
      </c>
      <c r="L78" s="363">
        <v>0</v>
      </c>
      <c r="M78" s="383">
        <f>+M77+M73+M70</f>
        <v>0</v>
      </c>
      <c r="N78" s="198">
        <f>N70+N77+N73</f>
        <v>0</v>
      </c>
      <c r="O78" s="194">
        <f>O77</f>
        <v>50349600</v>
      </c>
      <c r="P78" s="194">
        <f>P77</f>
        <v>50349600</v>
      </c>
      <c r="Q78" s="146"/>
    </row>
    <row r="80" ht="14.25" thickBot="1"/>
    <row r="81" spans="1:6" ht="30.75" customHeight="1" thickBot="1">
      <c r="A81" s="625" t="s">
        <v>487</v>
      </c>
      <c r="B81" s="626"/>
      <c r="C81" s="626"/>
      <c r="D81" s="626"/>
      <c r="E81" s="626"/>
      <c r="F81" s="627"/>
    </row>
    <row r="82" spans="1:6" ht="30" customHeight="1">
      <c r="A82" s="776" t="s">
        <v>406</v>
      </c>
      <c r="B82" s="777" t="s">
        <v>407</v>
      </c>
      <c r="C82" s="778">
        <v>58100</v>
      </c>
      <c r="D82" s="778">
        <v>69800</v>
      </c>
      <c r="E82" s="778">
        <v>78000</v>
      </c>
      <c r="F82" s="779">
        <v>114700</v>
      </c>
    </row>
    <row r="83" spans="1:6" ht="30" customHeight="1">
      <c r="A83" s="780"/>
      <c r="B83" s="781" t="s">
        <v>408</v>
      </c>
      <c r="C83" s="782">
        <v>95100</v>
      </c>
      <c r="D83" s="782">
        <v>114100</v>
      </c>
      <c r="E83" s="782">
        <v>160600</v>
      </c>
      <c r="F83" s="783">
        <v>239500</v>
      </c>
    </row>
    <row r="84" spans="1:6" ht="30" customHeight="1">
      <c r="A84" s="784" t="s">
        <v>424</v>
      </c>
      <c r="B84" s="785" t="s">
        <v>409</v>
      </c>
      <c r="C84" s="786">
        <v>256900</v>
      </c>
      <c r="D84" s="786">
        <v>308300</v>
      </c>
      <c r="E84" s="786">
        <v>302900</v>
      </c>
      <c r="F84" s="787">
        <v>353400</v>
      </c>
    </row>
    <row r="85" spans="1:6" ht="30" customHeight="1">
      <c r="A85" s="784"/>
      <c r="B85" s="785" t="s">
        <v>410</v>
      </c>
      <c r="C85" s="786">
        <v>142800</v>
      </c>
      <c r="D85" s="788"/>
      <c r="E85" s="788"/>
      <c r="F85" s="789"/>
    </row>
    <row r="86" spans="1:18" ht="30" customHeight="1">
      <c r="A86" s="790"/>
      <c r="B86" s="791" t="s">
        <v>411</v>
      </c>
      <c r="C86" s="792">
        <v>207400</v>
      </c>
      <c r="D86" s="793"/>
      <c r="E86" s="793"/>
      <c r="F86" s="794"/>
      <c r="H86" s="795"/>
      <c r="I86" s="795"/>
      <c r="J86" s="795"/>
      <c r="K86" s="138"/>
      <c r="L86" s="795"/>
      <c r="M86" s="795"/>
      <c r="N86" s="795"/>
      <c r="O86" s="138"/>
      <c r="P86" s="796"/>
      <c r="Q86" s="796"/>
      <c r="R86" s="796"/>
    </row>
    <row r="87" spans="1:18" ht="30" customHeight="1">
      <c r="A87" s="797" t="s">
        <v>425</v>
      </c>
      <c r="B87" s="785" t="s">
        <v>409</v>
      </c>
      <c r="C87" s="786">
        <v>252600</v>
      </c>
      <c r="D87" s="788">
        <v>303200</v>
      </c>
      <c r="E87" s="788">
        <v>297900</v>
      </c>
      <c r="F87" s="789">
        <v>347600</v>
      </c>
      <c r="H87" s="798"/>
      <c r="I87" s="799"/>
      <c r="J87" s="799"/>
      <c r="L87" s="798"/>
      <c r="M87" s="799"/>
      <c r="N87" s="799"/>
      <c r="P87" s="800"/>
      <c r="Q87" s="801"/>
      <c r="R87" s="801"/>
    </row>
    <row r="88" spans="1:18" ht="30" customHeight="1">
      <c r="A88" s="797"/>
      <c r="B88" s="785" t="s">
        <v>410</v>
      </c>
      <c r="C88" s="786">
        <v>140400</v>
      </c>
      <c r="D88" s="788"/>
      <c r="E88" s="788"/>
      <c r="F88" s="789"/>
      <c r="H88" s="798"/>
      <c r="I88" s="799"/>
      <c r="J88" s="799"/>
      <c r="L88" s="798"/>
      <c r="M88" s="799"/>
      <c r="N88" s="799"/>
      <c r="P88" s="800"/>
      <c r="Q88" s="801"/>
      <c r="R88" s="801"/>
    </row>
    <row r="89" spans="1:18" ht="30" customHeight="1" thickBot="1">
      <c r="A89" s="802"/>
      <c r="B89" s="803" t="s">
        <v>411</v>
      </c>
      <c r="C89" s="804">
        <v>204000</v>
      </c>
      <c r="D89" s="805"/>
      <c r="E89" s="805"/>
      <c r="F89" s="806"/>
      <c r="H89" s="798"/>
      <c r="I89" s="799"/>
      <c r="J89" s="799"/>
      <c r="L89" s="798"/>
      <c r="M89" s="799"/>
      <c r="N89" s="799"/>
      <c r="P89" s="800"/>
      <c r="Q89" s="801"/>
      <c r="R89" s="801"/>
    </row>
    <row r="90" spans="1:18" ht="30" customHeight="1">
      <c r="A90" s="807"/>
      <c r="B90" s="808"/>
      <c r="C90" s="809"/>
      <c r="D90" s="810"/>
      <c r="E90" s="810"/>
      <c r="F90" s="810"/>
      <c r="H90" s="798"/>
      <c r="I90" s="799"/>
      <c r="J90" s="799"/>
      <c r="L90" s="798"/>
      <c r="M90" s="799"/>
      <c r="N90" s="799"/>
      <c r="P90" s="800"/>
      <c r="Q90" s="801"/>
      <c r="R90" s="801"/>
    </row>
    <row r="91" spans="16:18" ht="30" customHeight="1" thickBot="1">
      <c r="P91" s="138"/>
      <c r="Q91" s="138"/>
      <c r="R91" s="138"/>
    </row>
    <row r="92" spans="1:18" ht="30" customHeight="1" thickBot="1">
      <c r="A92" s="625" t="s">
        <v>651</v>
      </c>
      <c r="B92" s="626"/>
      <c r="C92" s="626"/>
      <c r="D92" s="626"/>
      <c r="E92" s="626"/>
      <c r="F92" s="627"/>
      <c r="H92" s="625" t="s">
        <v>483</v>
      </c>
      <c r="I92" s="626"/>
      <c r="J92" s="626"/>
      <c r="K92" s="626"/>
      <c r="L92" s="626"/>
      <c r="M92" s="627"/>
      <c r="P92" s="795"/>
      <c r="Q92" s="795"/>
      <c r="R92" s="795"/>
    </row>
    <row r="93" spans="1:18" ht="30" customHeight="1">
      <c r="A93" s="811" t="s">
        <v>406</v>
      </c>
      <c r="B93" s="812" t="s">
        <v>422</v>
      </c>
      <c r="C93" s="338">
        <f>CEILING(D29,100)</f>
        <v>66000</v>
      </c>
      <c r="D93" s="329">
        <f>CEILING(E29,100)</f>
        <v>79200</v>
      </c>
      <c r="E93" s="329">
        <f>CEILING(F29,100)</f>
        <v>88500</v>
      </c>
      <c r="F93" s="330">
        <f>CEILING(G29,100)</f>
        <v>130200</v>
      </c>
      <c r="H93" s="811" t="s">
        <v>406</v>
      </c>
      <c r="I93" s="812" t="s">
        <v>422</v>
      </c>
      <c r="J93" s="338">
        <v>61600</v>
      </c>
      <c r="K93" s="329">
        <v>74000</v>
      </c>
      <c r="L93" s="329">
        <v>82700</v>
      </c>
      <c r="M93" s="330">
        <v>121600</v>
      </c>
      <c r="P93" s="813"/>
      <c r="Q93" s="814"/>
      <c r="R93" s="814"/>
    </row>
    <row r="94" spans="1:18" ht="30" customHeight="1">
      <c r="A94" s="815"/>
      <c r="B94" s="816" t="s">
        <v>423</v>
      </c>
      <c r="C94" s="339">
        <f>CEILING(D38,100)</f>
        <v>107900</v>
      </c>
      <c r="D94" s="328">
        <f>CEILING(E38,100)</f>
        <v>124600</v>
      </c>
      <c r="E94" s="328">
        <f>CEILING(F38,100)</f>
        <v>177100</v>
      </c>
      <c r="F94" s="331">
        <f>CEILING(G38,100)</f>
        <v>271700</v>
      </c>
      <c r="H94" s="815"/>
      <c r="I94" s="816" t="s">
        <v>423</v>
      </c>
      <c r="J94" s="339">
        <v>100800</v>
      </c>
      <c r="K94" s="328">
        <v>120900</v>
      </c>
      <c r="L94" s="328">
        <f>M89</f>
        <v>0</v>
      </c>
      <c r="M94" s="331">
        <v>253000</v>
      </c>
      <c r="P94" s="813"/>
      <c r="Q94" s="814"/>
      <c r="R94" s="814"/>
    </row>
    <row r="95" spans="1:18" ht="30" customHeight="1" thickBot="1">
      <c r="A95" s="817"/>
      <c r="B95" s="818" t="s">
        <v>189</v>
      </c>
      <c r="C95" s="340">
        <f>CEILING(D46,100)</f>
        <v>25800</v>
      </c>
      <c r="D95" s="332">
        <f>CEILING(E46,100)</f>
        <v>31000</v>
      </c>
      <c r="E95" s="332">
        <f>CEILING(F46,100)</f>
        <v>32400</v>
      </c>
      <c r="F95" s="333">
        <f>CEILING(G46,100)</f>
        <v>38700</v>
      </c>
      <c r="H95" s="817"/>
      <c r="I95" s="818" t="s">
        <v>189</v>
      </c>
      <c r="J95" s="340">
        <v>24100</v>
      </c>
      <c r="K95" s="332">
        <v>28900</v>
      </c>
      <c r="L95" s="332">
        <v>30200</v>
      </c>
      <c r="M95" s="333">
        <v>36100</v>
      </c>
      <c r="P95" s="813"/>
      <c r="Q95" s="814"/>
      <c r="R95" s="814"/>
    </row>
    <row r="96" spans="1:18" ht="30" customHeight="1">
      <c r="A96" s="819" t="s">
        <v>424</v>
      </c>
      <c r="B96" s="820" t="s">
        <v>409</v>
      </c>
      <c r="C96" s="341">
        <f>J96*1.04</f>
        <v>299208</v>
      </c>
      <c r="D96" s="336">
        <f>CEILING(I57,100)</f>
        <v>355700</v>
      </c>
      <c r="E96" s="336">
        <f>CEILING(J57,100)</f>
        <v>349400</v>
      </c>
      <c r="F96" s="337">
        <f>CEILING(K57,100)</f>
        <v>407700</v>
      </c>
      <c r="H96" s="819" t="s">
        <v>424</v>
      </c>
      <c r="I96" s="820" t="s">
        <v>409</v>
      </c>
      <c r="J96" s="341">
        <v>287700</v>
      </c>
      <c r="K96" s="336">
        <v>345300</v>
      </c>
      <c r="L96" s="336">
        <v>339200</v>
      </c>
      <c r="M96" s="337">
        <v>395800</v>
      </c>
      <c r="P96" s="813"/>
      <c r="Q96" s="814"/>
      <c r="R96" s="814"/>
    </row>
    <row r="97" spans="1:18" ht="30" customHeight="1">
      <c r="A97" s="821"/>
      <c r="B97" s="822" t="s">
        <v>410</v>
      </c>
      <c r="C97" s="342">
        <f>CEILING(H60,100)</f>
        <v>164700</v>
      </c>
      <c r="D97" s="345"/>
      <c r="E97" s="345"/>
      <c r="F97" s="346"/>
      <c r="H97" s="821"/>
      <c r="I97" s="822" t="s">
        <v>410</v>
      </c>
      <c r="J97" s="342">
        <v>159900</v>
      </c>
      <c r="K97" s="345"/>
      <c r="L97" s="345"/>
      <c r="M97" s="346"/>
      <c r="P97" s="138"/>
      <c r="Q97" s="138"/>
      <c r="R97" s="138"/>
    </row>
    <row r="98" spans="1:18" ht="30" customHeight="1" thickBot="1">
      <c r="A98" s="823"/>
      <c r="B98" s="824" t="s">
        <v>411</v>
      </c>
      <c r="C98" s="343">
        <v>207400</v>
      </c>
      <c r="D98" s="347"/>
      <c r="E98" s="347"/>
      <c r="F98" s="348"/>
      <c r="H98" s="823"/>
      <c r="I98" s="824" t="s">
        <v>411</v>
      </c>
      <c r="J98" s="343">
        <v>232300</v>
      </c>
      <c r="K98" s="347"/>
      <c r="L98" s="347"/>
      <c r="M98" s="348"/>
      <c r="P98" s="795"/>
      <c r="Q98" s="795"/>
      <c r="R98" s="795"/>
    </row>
    <row r="99" spans="1:18" ht="30" customHeight="1">
      <c r="A99" s="811" t="s">
        <v>425</v>
      </c>
      <c r="B99" s="812" t="s">
        <v>409</v>
      </c>
      <c r="C99" s="344">
        <f>CEILING(H68,100)</f>
        <v>286100</v>
      </c>
      <c r="D99" s="334">
        <f>CEILING(I68,100)</f>
        <v>350100</v>
      </c>
      <c r="E99" s="334">
        <f>CEILING(J68,100)</f>
        <v>344000</v>
      </c>
      <c r="F99" s="335">
        <f>CEILING(K68,100)</f>
        <v>401300</v>
      </c>
      <c r="H99" s="811" t="s">
        <v>425</v>
      </c>
      <c r="I99" s="812" t="s">
        <v>409</v>
      </c>
      <c r="J99" s="344">
        <v>280400</v>
      </c>
      <c r="K99" s="334">
        <v>336600</v>
      </c>
      <c r="L99" s="334">
        <v>330700</v>
      </c>
      <c r="M99" s="335">
        <v>385800</v>
      </c>
      <c r="P99" s="813"/>
      <c r="Q99" s="814"/>
      <c r="R99" s="814"/>
    </row>
    <row r="100" spans="1:18" ht="30" customHeight="1">
      <c r="A100" s="815"/>
      <c r="B100" s="816" t="s">
        <v>410</v>
      </c>
      <c r="C100" s="339">
        <v>140400</v>
      </c>
      <c r="D100" s="349"/>
      <c r="E100" s="349"/>
      <c r="F100" s="350"/>
      <c r="H100" s="815"/>
      <c r="I100" s="816" t="s">
        <v>410</v>
      </c>
      <c r="J100" s="339">
        <v>155800</v>
      </c>
      <c r="K100" s="349"/>
      <c r="L100" s="349"/>
      <c r="M100" s="350"/>
      <c r="P100" s="825"/>
      <c r="Q100" s="826"/>
      <c r="R100" s="826"/>
    </row>
    <row r="101" spans="1:18" ht="30" customHeight="1" thickBot="1">
      <c r="A101" s="817"/>
      <c r="B101" s="818" t="s">
        <v>411</v>
      </c>
      <c r="C101" s="340">
        <v>204000</v>
      </c>
      <c r="D101" s="351"/>
      <c r="E101" s="351"/>
      <c r="F101" s="352"/>
      <c r="H101" s="817"/>
      <c r="I101" s="818" t="s">
        <v>411</v>
      </c>
      <c r="J101" s="340">
        <v>228500</v>
      </c>
      <c r="K101" s="351"/>
      <c r="L101" s="351"/>
      <c r="M101" s="352"/>
      <c r="P101" s="827"/>
      <c r="Q101" s="826"/>
      <c r="R101" s="826"/>
    </row>
    <row r="102" spans="16:18" ht="19.5" customHeight="1">
      <c r="P102" s="795"/>
      <c r="Q102" s="795"/>
      <c r="R102" s="795"/>
    </row>
    <row r="103" spans="16:18" ht="19.5" customHeight="1">
      <c r="P103" s="813"/>
      <c r="Q103" s="814"/>
      <c r="R103" s="814"/>
    </row>
    <row r="104" spans="16:18" ht="13.5">
      <c r="P104" s="138"/>
      <c r="Q104" s="138"/>
      <c r="R104" s="138"/>
    </row>
    <row r="105" spans="16:18" ht="13.5">
      <c r="P105" s="138"/>
      <c r="Q105" s="138"/>
      <c r="R105" s="138"/>
    </row>
    <row r="106" spans="16:18" ht="13.5">
      <c r="P106" s="138"/>
      <c r="Q106" s="138"/>
      <c r="R106" s="138"/>
    </row>
    <row r="107" spans="16:18" ht="13.5">
      <c r="P107" s="828"/>
      <c r="Q107" s="829"/>
      <c r="R107" s="829"/>
    </row>
    <row r="108" spans="16:18" ht="13.5">
      <c r="P108" s="796"/>
      <c r="Q108" s="796"/>
      <c r="R108" s="796"/>
    </row>
    <row r="109" spans="16:18" ht="13.5">
      <c r="P109" s="830"/>
      <c r="Q109" s="831"/>
      <c r="R109" s="831"/>
    </row>
    <row r="110" spans="16:18" ht="13.5">
      <c r="P110" s="832"/>
      <c r="Q110" s="829"/>
      <c r="R110" s="829"/>
    </row>
    <row r="111" spans="16:18" ht="13.5">
      <c r="P111" s="828"/>
      <c r="Q111" s="829"/>
      <c r="R111" s="829"/>
    </row>
    <row r="112" spans="16:18" ht="13.5">
      <c r="P112" s="796"/>
      <c r="Q112" s="796"/>
      <c r="R112" s="796"/>
    </row>
    <row r="113" spans="16:18" ht="13.5">
      <c r="P113" s="830"/>
      <c r="Q113" s="831"/>
      <c r="R113" s="831"/>
    </row>
    <row r="114" spans="16:18" ht="13.5">
      <c r="P114" s="138"/>
      <c r="Q114" s="138"/>
      <c r="R114" s="138"/>
    </row>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sheetData>
  <sheetProtection password="C581" sheet="1" objects="1" scenarios="1"/>
  <mergeCells count="56">
    <mergeCell ref="H92:M92"/>
    <mergeCell ref="H93:H95"/>
    <mergeCell ref="H96:H98"/>
    <mergeCell ref="H99:H101"/>
    <mergeCell ref="A29:A37"/>
    <mergeCell ref="N8:O8"/>
    <mergeCell ref="A93:A95"/>
    <mergeCell ref="A20:C20"/>
    <mergeCell ref="B42:B44"/>
    <mergeCell ref="D22:E22"/>
    <mergeCell ref="A27:A28"/>
    <mergeCell ref="B27:B28"/>
    <mergeCell ref="A57:A63"/>
    <mergeCell ref="A82:A83"/>
    <mergeCell ref="B57:B59"/>
    <mergeCell ref="A84:A86"/>
    <mergeCell ref="A64:A67"/>
    <mergeCell ref="A50:A56"/>
    <mergeCell ref="A96:A98"/>
    <mergeCell ref="A99:A101"/>
    <mergeCell ref="A92:F92"/>
    <mergeCell ref="B60:B62"/>
    <mergeCell ref="A68:A74"/>
    <mergeCell ref="B68:B70"/>
    <mergeCell ref="B75:B77"/>
    <mergeCell ref="B64:B66"/>
    <mergeCell ref="A75:A78"/>
    <mergeCell ref="A81:F81"/>
    <mergeCell ref="M11:N11"/>
    <mergeCell ref="M15:N15"/>
    <mergeCell ref="A42:A45"/>
    <mergeCell ref="A46:A49"/>
    <mergeCell ref="B46:B48"/>
    <mergeCell ref="A17:C17"/>
    <mergeCell ref="L18:L19"/>
    <mergeCell ref="L9:L13"/>
    <mergeCell ref="L14:L17"/>
    <mergeCell ref="A38:A41"/>
    <mergeCell ref="A1:D1"/>
    <mergeCell ref="A2:D2"/>
    <mergeCell ref="A3:D3"/>
    <mergeCell ref="A15:C15"/>
    <mergeCell ref="C27:C28"/>
    <mergeCell ref="B33:B35"/>
    <mergeCell ref="B29:B31"/>
    <mergeCell ref="A22:A23"/>
    <mergeCell ref="D27:G27"/>
    <mergeCell ref="A14:C14"/>
    <mergeCell ref="I5:J5"/>
    <mergeCell ref="B50:B52"/>
    <mergeCell ref="B53:B55"/>
    <mergeCell ref="I7:J7"/>
    <mergeCell ref="H27:K27"/>
    <mergeCell ref="B71:B73"/>
    <mergeCell ref="B22:C22"/>
    <mergeCell ref="B38:B40"/>
  </mergeCells>
  <printOptions/>
  <pageMargins left="0.7479166666666667" right="0.7479166666666667" top="0.8604166666666666" bottom="0.7" header="0.4201388888888889" footer="0.4597222222222222"/>
  <pageSetup fitToHeight="2" fitToWidth="1" horizontalDpi="300" verticalDpi="300" orientation="landscape" r:id="rId2"/>
  <headerFooter alignWithMargins="0">
    <oddHeader>&amp;LSEPT - 2004&amp;CDIRECTIVA D.B.S.A.
ORDINARIA&amp;R01-BS/0305/04</oddHeader>
    <oddFooter>&amp;LDEPARTAMENTO
RRHH Y GESTION&amp;C01-BS&amp;RPAG &amp;P</oddFooter>
  </headerFooter>
  <drawing r:id="rId1"/>
</worksheet>
</file>

<file path=xl/worksheets/sheet10.xml><?xml version="1.0" encoding="utf-8"?>
<worksheet xmlns="http://schemas.openxmlformats.org/spreadsheetml/2006/main" xmlns:r="http://schemas.openxmlformats.org/officeDocument/2006/relationships">
  <dimension ref="B4:N188"/>
  <sheetViews>
    <sheetView zoomScale="110" zoomScaleNormal="110" zoomScalePageLayoutView="0" workbookViewId="0" topLeftCell="A1">
      <selection activeCell="J25" sqref="J25"/>
    </sheetView>
  </sheetViews>
  <sheetFormatPr defaultColWidth="11.421875" defaultRowHeight="12.75"/>
  <cols>
    <col min="2" max="2" width="13.00390625" style="0" customWidth="1"/>
    <col min="3" max="3" width="15.421875" style="0" bestFit="1" customWidth="1"/>
    <col min="9" max="9" width="17.28125" style="0" customWidth="1"/>
  </cols>
  <sheetData>
    <row r="3" ht="13.5" thickBot="1"/>
    <row r="4" spans="2:10" ht="12.75">
      <c r="B4" s="727" t="s">
        <v>227</v>
      </c>
      <c r="C4" s="240" t="s">
        <v>350</v>
      </c>
      <c r="D4" s="234">
        <v>2014</v>
      </c>
      <c r="E4" s="234">
        <v>2015</v>
      </c>
      <c r="F4" s="234" t="s">
        <v>351</v>
      </c>
      <c r="G4" s="234">
        <v>2016</v>
      </c>
      <c r="I4" s="239" t="s">
        <v>226</v>
      </c>
      <c r="J4" s="239">
        <v>1.036</v>
      </c>
    </row>
    <row r="5" spans="2:7" ht="13.5">
      <c r="B5" s="728"/>
      <c r="C5" s="241" t="s">
        <v>130</v>
      </c>
      <c r="D5" s="235">
        <v>821055</v>
      </c>
      <c r="E5" s="235">
        <f>E16</f>
        <v>610590</v>
      </c>
      <c r="F5" s="235">
        <f>(D5+E5)/2</f>
        <v>715822.5</v>
      </c>
      <c r="G5" s="235">
        <f>F5*$J$4</f>
        <v>741592.11</v>
      </c>
    </row>
    <row r="6" spans="2:7" ht="13.5">
      <c r="B6" s="728"/>
      <c r="C6" s="241" t="s">
        <v>40</v>
      </c>
      <c r="D6" s="235">
        <v>1108482</v>
      </c>
      <c r="E6" s="235">
        <f aca="true" t="shared" si="0" ref="E6:E11">E17</f>
        <v>1683363</v>
      </c>
      <c r="F6" s="235">
        <f aca="true" t="shared" si="1" ref="F6:F11">(D6+E6)/2</f>
        <v>1395922.5</v>
      </c>
      <c r="G6" s="235">
        <f aca="true" t="shared" si="2" ref="G6:G11">F6*$J$4</f>
        <v>1446175.71</v>
      </c>
    </row>
    <row r="7" spans="2:9" ht="13.5">
      <c r="B7" s="728"/>
      <c r="C7" s="241" t="s">
        <v>41</v>
      </c>
      <c r="D7" s="235">
        <v>259530</v>
      </c>
      <c r="E7" s="235">
        <f t="shared" si="0"/>
        <v>168990</v>
      </c>
      <c r="F7" s="235">
        <f t="shared" si="1"/>
        <v>214260</v>
      </c>
      <c r="G7" s="235">
        <f t="shared" si="2"/>
        <v>221973.36000000002</v>
      </c>
      <c r="I7" s="225"/>
    </row>
    <row r="8" spans="2:7" ht="13.5">
      <c r="B8" s="728"/>
      <c r="C8" s="241" t="s">
        <v>83</v>
      </c>
      <c r="D8" s="235"/>
      <c r="E8" s="235">
        <f t="shared" si="0"/>
        <v>0</v>
      </c>
      <c r="F8" s="235">
        <f t="shared" si="1"/>
        <v>0</v>
      </c>
      <c r="G8" s="235">
        <f t="shared" si="2"/>
        <v>0</v>
      </c>
    </row>
    <row r="9" spans="2:9" ht="13.5">
      <c r="B9" s="728"/>
      <c r="C9" s="241" t="s">
        <v>84</v>
      </c>
      <c r="D9" s="235">
        <v>448466</v>
      </c>
      <c r="E9" s="235">
        <f t="shared" si="0"/>
        <v>416719.5</v>
      </c>
      <c r="F9" s="235">
        <f t="shared" si="1"/>
        <v>432592.75</v>
      </c>
      <c r="G9" s="235">
        <f t="shared" si="2"/>
        <v>448166.08900000004</v>
      </c>
      <c r="I9" s="225"/>
    </row>
    <row r="10" spans="2:7" ht="13.5">
      <c r="B10" s="728"/>
      <c r="C10" s="241" t="s">
        <v>85</v>
      </c>
      <c r="D10" s="235">
        <v>19956</v>
      </c>
      <c r="E10" s="235">
        <f t="shared" si="0"/>
        <v>5887.5</v>
      </c>
      <c r="F10" s="235">
        <f t="shared" si="1"/>
        <v>12921.75</v>
      </c>
      <c r="G10" s="235">
        <f t="shared" si="2"/>
        <v>13386.933</v>
      </c>
    </row>
    <row r="11" spans="2:9" ht="13.5">
      <c r="B11" s="728"/>
      <c r="C11" s="241" t="s">
        <v>86</v>
      </c>
      <c r="D11" s="235">
        <v>207168</v>
      </c>
      <c r="E11" s="235">
        <f t="shared" si="0"/>
        <v>285427.5</v>
      </c>
      <c r="F11" s="235">
        <f t="shared" si="1"/>
        <v>246297.75</v>
      </c>
      <c r="G11" s="235">
        <f t="shared" si="2"/>
        <v>255164.469</v>
      </c>
      <c r="I11" s="225"/>
    </row>
    <row r="12" spans="2:7" ht="12.75">
      <c r="B12" s="728"/>
      <c r="C12" s="242"/>
      <c r="D12" s="236">
        <f>SUM(D5:D11)</f>
        <v>2864657</v>
      </c>
      <c r="E12" s="236">
        <f>SUM(E5:E11)</f>
        <v>3170977.5</v>
      </c>
      <c r="F12" s="236">
        <f>SUM(F5:F11)</f>
        <v>3017817.25</v>
      </c>
      <c r="G12" s="236">
        <f>SUM(G5:G11)</f>
        <v>3126458.671</v>
      </c>
    </row>
    <row r="13" ht="12.75">
      <c r="B13" s="728"/>
    </row>
    <row r="14" ht="12.75">
      <c r="B14" s="728"/>
    </row>
    <row r="15" spans="2:5" ht="26.25">
      <c r="B15" s="728"/>
      <c r="C15" s="240" t="s">
        <v>350</v>
      </c>
      <c r="D15" s="234" t="s">
        <v>352</v>
      </c>
      <c r="E15" s="234" t="s">
        <v>353</v>
      </c>
    </row>
    <row r="16" spans="2:5" ht="13.5">
      <c r="B16" s="728"/>
      <c r="C16" s="241" t="s">
        <v>130</v>
      </c>
      <c r="D16" s="235">
        <v>407060</v>
      </c>
      <c r="E16" s="235">
        <f>D16/8*12</f>
        <v>610590</v>
      </c>
    </row>
    <row r="17" spans="2:5" ht="13.5">
      <c r="B17" s="728"/>
      <c r="C17" s="241" t="s">
        <v>40</v>
      </c>
      <c r="D17" s="235">
        <v>1122242</v>
      </c>
      <c r="E17" s="235">
        <f aca="true" t="shared" si="3" ref="E17:E22">D17/8*12</f>
        <v>1683363</v>
      </c>
    </row>
    <row r="18" spans="2:5" ht="13.5">
      <c r="B18" s="728"/>
      <c r="C18" s="241" t="s">
        <v>41</v>
      </c>
      <c r="D18" s="235">
        <v>112660</v>
      </c>
      <c r="E18" s="235">
        <f t="shared" si="3"/>
        <v>168990</v>
      </c>
    </row>
    <row r="19" spans="2:5" ht="13.5">
      <c r="B19" s="728"/>
      <c r="C19" s="241" t="s">
        <v>83</v>
      </c>
      <c r="D19" s="235">
        <v>0</v>
      </c>
      <c r="E19" s="235">
        <f t="shared" si="3"/>
        <v>0</v>
      </c>
    </row>
    <row r="20" spans="2:5" ht="13.5">
      <c r="B20" s="728"/>
      <c r="C20" s="241" t="s">
        <v>84</v>
      </c>
      <c r="D20" s="235">
        <v>277813</v>
      </c>
      <c r="E20" s="235">
        <f t="shared" si="3"/>
        <v>416719.5</v>
      </c>
    </row>
    <row r="21" spans="2:5" ht="13.5">
      <c r="B21" s="728"/>
      <c r="C21" s="241" t="s">
        <v>85</v>
      </c>
      <c r="D21" s="235">
        <v>3925</v>
      </c>
      <c r="E21" s="235">
        <f t="shared" si="3"/>
        <v>5887.5</v>
      </c>
    </row>
    <row r="22" spans="2:5" ht="13.5">
      <c r="B22" s="728"/>
      <c r="C22" s="241" t="s">
        <v>86</v>
      </c>
      <c r="D22" s="235">
        <v>190285</v>
      </c>
      <c r="E22" s="235">
        <f t="shared" si="3"/>
        <v>285427.5</v>
      </c>
    </row>
    <row r="23" spans="2:5" ht="12.75">
      <c r="B23" s="728"/>
      <c r="C23" s="242"/>
      <c r="D23" s="237">
        <f>SUM(D16:D22)</f>
        <v>2113985</v>
      </c>
      <c r="E23" s="237">
        <f>SUM(E16:E22)</f>
        <v>3170977.5</v>
      </c>
    </row>
    <row r="24" ht="12.75">
      <c r="B24" s="728"/>
    </row>
    <row r="25" spans="2:3" ht="14.25" thickBot="1">
      <c r="B25" s="729"/>
      <c r="C25" s="238" t="s">
        <v>354</v>
      </c>
    </row>
    <row r="28" ht="13.5" thickBot="1"/>
    <row r="29" spans="2:10" ht="12.75">
      <c r="B29" s="727" t="s">
        <v>179</v>
      </c>
      <c r="C29" s="240" t="s">
        <v>350</v>
      </c>
      <c r="D29" s="234">
        <v>2014</v>
      </c>
      <c r="E29" s="234">
        <v>2015</v>
      </c>
      <c r="F29" s="234" t="s">
        <v>351</v>
      </c>
      <c r="G29" s="234">
        <v>2016</v>
      </c>
      <c r="I29" s="239"/>
      <c r="J29" s="239"/>
    </row>
    <row r="30" spans="2:7" ht="13.5">
      <c r="B30" s="728"/>
      <c r="C30" s="241" t="s">
        <v>130</v>
      </c>
      <c r="D30" s="235">
        <v>2172396</v>
      </c>
      <c r="E30" s="235">
        <f>E41</f>
        <v>2856550.5</v>
      </c>
      <c r="F30" s="235">
        <f aca="true" t="shared" si="4" ref="F30:F36">(D30+E30)/2</f>
        <v>2514473.25</v>
      </c>
      <c r="G30" s="235">
        <f aca="true" t="shared" si="5" ref="G30:G36">F30*$J$4</f>
        <v>2604994.287</v>
      </c>
    </row>
    <row r="31" spans="2:7" ht="13.5">
      <c r="B31" s="728"/>
      <c r="C31" s="241" t="s">
        <v>40</v>
      </c>
      <c r="D31" s="235">
        <v>2049284</v>
      </c>
      <c r="E31" s="235">
        <f aca="true" t="shared" si="6" ref="E31:E36">E42</f>
        <v>2572890</v>
      </c>
      <c r="F31" s="235">
        <f t="shared" si="4"/>
        <v>2311087</v>
      </c>
      <c r="G31" s="235">
        <f t="shared" si="5"/>
        <v>2394286.132</v>
      </c>
    </row>
    <row r="32" spans="2:7" ht="13.5">
      <c r="B32" s="728"/>
      <c r="C32" s="241" t="s">
        <v>41</v>
      </c>
      <c r="D32" s="235">
        <v>2709665</v>
      </c>
      <c r="E32" s="235">
        <f t="shared" si="6"/>
        <v>1733338.5</v>
      </c>
      <c r="F32" s="235">
        <f t="shared" si="4"/>
        <v>2221501.75</v>
      </c>
      <c r="G32" s="235">
        <f t="shared" si="5"/>
        <v>2301475.813</v>
      </c>
    </row>
    <row r="33" spans="2:7" ht="13.5">
      <c r="B33" s="728"/>
      <c r="C33" s="241" t="s">
        <v>83</v>
      </c>
      <c r="D33" s="235"/>
      <c r="E33" s="235">
        <f t="shared" si="6"/>
        <v>0</v>
      </c>
      <c r="F33" s="235">
        <f t="shared" si="4"/>
        <v>0</v>
      </c>
      <c r="G33" s="235">
        <f t="shared" si="5"/>
        <v>0</v>
      </c>
    </row>
    <row r="34" spans="2:7" ht="13.5">
      <c r="B34" s="728"/>
      <c r="C34" s="241" t="s">
        <v>84</v>
      </c>
      <c r="D34" s="235">
        <v>866823</v>
      </c>
      <c r="E34" s="235">
        <f t="shared" si="6"/>
        <v>315886.5</v>
      </c>
      <c r="F34" s="235">
        <f t="shared" si="4"/>
        <v>591354.75</v>
      </c>
      <c r="G34" s="235">
        <f t="shared" si="5"/>
        <v>612643.5210000001</v>
      </c>
    </row>
    <row r="35" spans="2:7" ht="13.5">
      <c r="B35" s="728"/>
      <c r="C35" s="241" t="s">
        <v>85</v>
      </c>
      <c r="D35" s="235">
        <v>0</v>
      </c>
      <c r="E35" s="235">
        <f t="shared" si="6"/>
        <v>0</v>
      </c>
      <c r="F35" s="235">
        <f t="shared" si="4"/>
        <v>0</v>
      </c>
      <c r="G35" s="235">
        <f t="shared" si="5"/>
        <v>0</v>
      </c>
    </row>
    <row r="36" spans="2:7" ht="13.5">
      <c r="B36" s="728"/>
      <c r="C36" s="241" t="s">
        <v>86</v>
      </c>
      <c r="D36" s="235">
        <v>0</v>
      </c>
      <c r="E36" s="235">
        <f t="shared" si="6"/>
        <v>38811</v>
      </c>
      <c r="F36" s="235">
        <f t="shared" si="4"/>
        <v>19405.5</v>
      </c>
      <c r="G36" s="235">
        <f t="shared" si="5"/>
        <v>20104.098</v>
      </c>
    </row>
    <row r="37" spans="2:7" ht="12.75">
      <c r="B37" s="728"/>
      <c r="C37" s="242"/>
      <c r="D37" s="236">
        <f>SUM(D30:D36)</f>
        <v>7798168</v>
      </c>
      <c r="E37" s="236">
        <f>SUM(E30:E36)</f>
        <v>7517476.5</v>
      </c>
      <c r="F37" s="236">
        <f>SUM(F30:F36)</f>
        <v>7657822.25</v>
      </c>
      <c r="G37" s="236">
        <f>SUM(G30:G36)</f>
        <v>7933503.851</v>
      </c>
    </row>
    <row r="38" ht="12.75">
      <c r="B38" s="728"/>
    </row>
    <row r="39" ht="12.75">
      <c r="B39" s="728"/>
    </row>
    <row r="40" spans="2:5" ht="26.25">
      <c r="B40" s="728"/>
      <c r="C40" s="240" t="s">
        <v>350</v>
      </c>
      <c r="D40" s="234" t="s">
        <v>352</v>
      </c>
      <c r="E40" s="234" t="s">
        <v>353</v>
      </c>
    </row>
    <row r="41" spans="2:5" ht="13.5">
      <c r="B41" s="728"/>
      <c r="C41" s="241" t="s">
        <v>130</v>
      </c>
      <c r="D41" s="235">
        <v>1904367</v>
      </c>
      <c r="E41" s="235">
        <f>D41/8*12</f>
        <v>2856550.5</v>
      </c>
    </row>
    <row r="42" spans="2:5" ht="13.5">
      <c r="B42" s="728"/>
      <c r="C42" s="241" t="s">
        <v>40</v>
      </c>
      <c r="D42" s="235">
        <v>1715260</v>
      </c>
      <c r="E42" s="235">
        <f aca="true" t="shared" si="7" ref="E42:E47">D42/8*12</f>
        <v>2572890</v>
      </c>
    </row>
    <row r="43" spans="2:5" ht="13.5">
      <c r="B43" s="728"/>
      <c r="C43" s="241" t="s">
        <v>41</v>
      </c>
      <c r="D43" s="235">
        <v>1155559</v>
      </c>
      <c r="E43" s="235">
        <f t="shared" si="7"/>
        <v>1733338.5</v>
      </c>
    </row>
    <row r="44" spans="2:5" ht="13.5">
      <c r="B44" s="728"/>
      <c r="C44" s="241" t="s">
        <v>83</v>
      </c>
      <c r="D44" s="235">
        <v>0</v>
      </c>
      <c r="E44" s="235">
        <f t="shared" si="7"/>
        <v>0</v>
      </c>
    </row>
    <row r="45" spans="2:5" ht="13.5">
      <c r="B45" s="728"/>
      <c r="C45" s="241" t="s">
        <v>84</v>
      </c>
      <c r="D45" s="235">
        <v>210591</v>
      </c>
      <c r="E45" s="235">
        <f t="shared" si="7"/>
        <v>315886.5</v>
      </c>
    </row>
    <row r="46" spans="2:5" ht="13.5">
      <c r="B46" s="728"/>
      <c r="C46" s="241" t="s">
        <v>85</v>
      </c>
      <c r="D46" s="235">
        <v>0</v>
      </c>
      <c r="E46" s="235">
        <f t="shared" si="7"/>
        <v>0</v>
      </c>
    </row>
    <row r="47" spans="2:5" ht="13.5">
      <c r="B47" s="728"/>
      <c r="C47" s="241" t="s">
        <v>86</v>
      </c>
      <c r="D47" s="235">
        <v>25874</v>
      </c>
      <c r="E47" s="235">
        <f t="shared" si="7"/>
        <v>38811</v>
      </c>
    </row>
    <row r="48" spans="2:5" ht="12.75">
      <c r="B48" s="728"/>
      <c r="C48" s="242"/>
      <c r="D48" s="237">
        <f>SUM(D41:D47)</f>
        <v>5011651</v>
      </c>
      <c r="E48" s="237">
        <f>SUM(E41:E47)</f>
        <v>7517476.5</v>
      </c>
    </row>
    <row r="49" ht="12.75">
      <c r="B49" s="728"/>
    </row>
    <row r="50" spans="2:3" ht="14.25" thickBot="1">
      <c r="B50" s="729"/>
      <c r="C50" s="238" t="s">
        <v>354</v>
      </c>
    </row>
    <row r="53" ht="13.5" thickBot="1"/>
    <row r="54" spans="2:14" ht="12.75">
      <c r="B54" s="727" t="s">
        <v>180</v>
      </c>
      <c r="C54" s="240" t="s">
        <v>350</v>
      </c>
      <c r="D54" s="234">
        <v>2014</v>
      </c>
      <c r="E54" s="234">
        <v>2015</v>
      </c>
      <c r="F54" s="234" t="s">
        <v>351</v>
      </c>
      <c r="G54" s="234">
        <v>2016</v>
      </c>
      <c r="I54" s="239"/>
      <c r="J54" s="239"/>
      <c r="K54" s="243"/>
      <c r="L54" s="243"/>
      <c r="M54" s="243"/>
      <c r="N54" s="243"/>
    </row>
    <row r="55" spans="2:14" ht="13.5">
      <c r="B55" s="728"/>
      <c r="C55" s="241" t="s">
        <v>130</v>
      </c>
      <c r="D55" s="235">
        <v>318800</v>
      </c>
      <c r="E55" s="235">
        <f>E66</f>
        <v>313350</v>
      </c>
      <c r="F55" s="235">
        <f aca="true" t="shared" si="8" ref="F55:F61">(D55+E55)/2</f>
        <v>316075</v>
      </c>
      <c r="G55" s="235">
        <f aca="true" t="shared" si="9" ref="G55:G61">F55*$J$4</f>
        <v>327453.7</v>
      </c>
      <c r="K55" s="243"/>
      <c r="L55" s="243"/>
      <c r="M55" s="243"/>
      <c r="N55" s="243"/>
    </row>
    <row r="56" spans="2:14" ht="13.5">
      <c r="B56" s="728"/>
      <c r="C56" s="241" t="s">
        <v>40</v>
      </c>
      <c r="D56" s="235"/>
      <c r="E56" s="235">
        <f aca="true" t="shared" si="10" ref="E56:E61">E67</f>
        <v>0</v>
      </c>
      <c r="F56" s="235">
        <f t="shared" si="8"/>
        <v>0</v>
      </c>
      <c r="G56" s="235">
        <f t="shared" si="9"/>
        <v>0</v>
      </c>
      <c r="K56" s="243"/>
      <c r="L56" s="243"/>
      <c r="M56" s="243"/>
      <c r="N56" s="243"/>
    </row>
    <row r="57" spans="2:14" ht="13.5">
      <c r="B57" s="728"/>
      <c r="C57" s="241" t="s">
        <v>41</v>
      </c>
      <c r="D57" s="235"/>
      <c r="E57" s="235">
        <f t="shared" si="10"/>
        <v>25455</v>
      </c>
      <c r="F57" s="235">
        <f t="shared" si="8"/>
        <v>12727.5</v>
      </c>
      <c r="G57" s="235">
        <f t="shared" si="9"/>
        <v>13185.69</v>
      </c>
      <c r="K57" s="243"/>
      <c r="L57" s="243"/>
      <c r="M57" s="243"/>
      <c r="N57" s="243"/>
    </row>
    <row r="58" spans="2:14" ht="13.5">
      <c r="B58" s="728"/>
      <c r="C58" s="241" t="s">
        <v>83</v>
      </c>
      <c r="D58" s="235"/>
      <c r="E58" s="235">
        <f t="shared" si="10"/>
        <v>0</v>
      </c>
      <c r="F58" s="235">
        <f t="shared" si="8"/>
        <v>0</v>
      </c>
      <c r="G58" s="235">
        <f t="shared" si="9"/>
        <v>0</v>
      </c>
      <c r="K58" s="243"/>
      <c r="L58" s="243"/>
      <c r="M58" s="243"/>
      <c r="N58" s="243"/>
    </row>
    <row r="59" spans="2:14" ht="13.5">
      <c r="B59" s="728"/>
      <c r="C59" s="241" t="s">
        <v>84</v>
      </c>
      <c r="D59" s="235">
        <v>266256</v>
      </c>
      <c r="E59" s="235">
        <f t="shared" si="10"/>
        <v>286746</v>
      </c>
      <c r="F59" s="235">
        <f t="shared" si="8"/>
        <v>276501</v>
      </c>
      <c r="G59" s="235">
        <f t="shared" si="9"/>
        <v>286455.036</v>
      </c>
      <c r="K59" s="243"/>
      <c r="L59" s="243"/>
      <c r="M59" s="243"/>
      <c r="N59" s="243"/>
    </row>
    <row r="60" spans="2:14" ht="13.5">
      <c r="B60" s="728"/>
      <c r="C60" s="241" t="s">
        <v>85</v>
      </c>
      <c r="D60" s="235">
        <v>10080</v>
      </c>
      <c r="E60" s="235">
        <f t="shared" si="10"/>
        <v>7036.5</v>
      </c>
      <c r="F60" s="235">
        <f t="shared" si="8"/>
        <v>8558.25</v>
      </c>
      <c r="G60" s="235">
        <f t="shared" si="9"/>
        <v>8866.347</v>
      </c>
      <c r="K60" s="243"/>
      <c r="L60" s="243"/>
      <c r="M60" s="243"/>
      <c r="N60" s="243"/>
    </row>
    <row r="61" spans="2:14" ht="13.5">
      <c r="B61" s="728"/>
      <c r="C61" s="241" t="s">
        <v>86</v>
      </c>
      <c r="D61" s="235">
        <v>257490</v>
      </c>
      <c r="E61" s="235">
        <f t="shared" si="10"/>
        <v>211560</v>
      </c>
      <c r="F61" s="235">
        <f t="shared" si="8"/>
        <v>234525</v>
      </c>
      <c r="G61" s="235">
        <f t="shared" si="9"/>
        <v>242967.9</v>
      </c>
      <c r="K61" s="243"/>
      <c r="L61" s="243"/>
      <c r="M61" s="243"/>
      <c r="N61" s="243"/>
    </row>
    <row r="62" spans="2:14" ht="12.75">
      <c r="B62" s="728"/>
      <c r="C62" s="242"/>
      <c r="D62" s="236">
        <f>SUM(D55:D61)</f>
        <v>852626</v>
      </c>
      <c r="E62" s="236">
        <f>SUM(E55:E61)</f>
        <v>844147.5</v>
      </c>
      <c r="F62" s="236">
        <f>SUM(F55:F61)</f>
        <v>848386.75</v>
      </c>
      <c r="G62" s="236">
        <f>SUM(G55:G61)</f>
        <v>878928.673</v>
      </c>
      <c r="K62" s="243"/>
      <c r="L62" s="243"/>
      <c r="M62" s="243"/>
      <c r="N62" s="243"/>
    </row>
    <row r="63" spans="2:14" ht="12.75">
      <c r="B63" s="728"/>
      <c r="K63" s="243"/>
      <c r="L63" s="243"/>
      <c r="M63" s="243"/>
      <c r="N63" s="243"/>
    </row>
    <row r="64" spans="2:14" ht="12.75">
      <c r="B64" s="728"/>
      <c r="K64" s="243"/>
      <c r="L64" s="243"/>
      <c r="M64" s="243"/>
      <c r="N64" s="243"/>
    </row>
    <row r="65" spans="2:14" ht="26.25">
      <c r="B65" s="728"/>
      <c r="C65" s="240" t="s">
        <v>350</v>
      </c>
      <c r="D65" s="234" t="s">
        <v>352</v>
      </c>
      <c r="E65" s="234" t="s">
        <v>353</v>
      </c>
      <c r="K65" s="243"/>
      <c r="L65" s="243"/>
      <c r="M65" s="243"/>
      <c r="N65" s="243"/>
    </row>
    <row r="66" spans="2:14" ht="13.5">
      <c r="B66" s="728"/>
      <c r="C66" s="241" t="s">
        <v>130</v>
      </c>
      <c r="D66" s="235">
        <v>208900</v>
      </c>
      <c r="E66" s="235">
        <f>D66/8*12</f>
        <v>313350</v>
      </c>
      <c r="K66" s="243"/>
      <c r="L66" s="243"/>
      <c r="M66" s="243"/>
      <c r="N66" s="243"/>
    </row>
    <row r="67" spans="2:5" ht="13.5">
      <c r="B67" s="728"/>
      <c r="C67" s="241" t="s">
        <v>40</v>
      </c>
      <c r="D67" s="235">
        <v>0</v>
      </c>
      <c r="E67" s="235">
        <f aca="true" t="shared" si="11" ref="E67:E72">D67/8*12</f>
        <v>0</v>
      </c>
    </row>
    <row r="68" spans="2:5" ht="13.5">
      <c r="B68" s="728"/>
      <c r="C68" s="241" t="s">
        <v>41</v>
      </c>
      <c r="D68" s="235">
        <v>16970</v>
      </c>
      <c r="E68" s="235">
        <f t="shared" si="11"/>
        <v>25455</v>
      </c>
    </row>
    <row r="69" spans="2:5" ht="13.5">
      <c r="B69" s="728"/>
      <c r="C69" s="241" t="s">
        <v>83</v>
      </c>
      <c r="D69" s="235">
        <v>0</v>
      </c>
      <c r="E69" s="235">
        <f t="shared" si="11"/>
        <v>0</v>
      </c>
    </row>
    <row r="70" spans="2:5" ht="13.5">
      <c r="B70" s="728"/>
      <c r="C70" s="241" t="s">
        <v>84</v>
      </c>
      <c r="D70" s="235">
        <v>191164</v>
      </c>
      <c r="E70" s="235">
        <f t="shared" si="11"/>
        <v>286746</v>
      </c>
    </row>
    <row r="71" spans="2:5" ht="13.5">
      <c r="B71" s="728"/>
      <c r="C71" s="241" t="s">
        <v>85</v>
      </c>
      <c r="D71" s="235">
        <v>4691</v>
      </c>
      <c r="E71" s="235">
        <f t="shared" si="11"/>
        <v>7036.5</v>
      </c>
    </row>
    <row r="72" spans="2:5" ht="13.5">
      <c r="B72" s="728"/>
      <c r="C72" s="241" t="s">
        <v>86</v>
      </c>
      <c r="D72" s="235">
        <v>141040</v>
      </c>
      <c r="E72" s="235">
        <f t="shared" si="11"/>
        <v>211560</v>
      </c>
    </row>
    <row r="73" spans="2:5" ht="12.75">
      <c r="B73" s="728"/>
      <c r="C73" s="242"/>
      <c r="D73" s="237">
        <f>SUM(D66:D72)</f>
        <v>562765</v>
      </c>
      <c r="E73" s="237">
        <f>SUM(E66:E72)</f>
        <v>844147.5</v>
      </c>
    </row>
    <row r="74" ht="12.75">
      <c r="B74" s="728"/>
    </row>
    <row r="75" spans="2:3" ht="14.25" thickBot="1">
      <c r="B75" s="729"/>
      <c r="C75" s="238" t="s">
        <v>354</v>
      </c>
    </row>
    <row r="78" ht="13.5" thickBot="1"/>
    <row r="79" spans="2:10" ht="12.75">
      <c r="B79" s="727" t="s">
        <v>189</v>
      </c>
      <c r="C79" s="240" t="s">
        <v>350</v>
      </c>
      <c r="D79" s="234">
        <v>2014</v>
      </c>
      <c r="E79" s="234">
        <v>2015</v>
      </c>
      <c r="F79" s="234" t="s">
        <v>351</v>
      </c>
      <c r="G79" s="234">
        <v>2016</v>
      </c>
      <c r="H79" s="243"/>
      <c r="I79" s="243"/>
      <c r="J79" s="243"/>
    </row>
    <row r="80" spans="2:10" ht="13.5">
      <c r="B80" s="728"/>
      <c r="C80" s="241" t="s">
        <v>130</v>
      </c>
      <c r="D80" s="235">
        <v>370990</v>
      </c>
      <c r="E80" s="235">
        <f>E91</f>
        <v>206214</v>
      </c>
      <c r="F80" s="235">
        <f aca="true" t="shared" si="12" ref="F80:F86">(D80+E80)/2</f>
        <v>288602</v>
      </c>
      <c r="G80" s="235">
        <f aca="true" t="shared" si="13" ref="G80:G86">F80*$J$4</f>
        <v>298991.672</v>
      </c>
      <c r="H80" s="243"/>
      <c r="I80" s="243"/>
      <c r="J80" s="243"/>
    </row>
    <row r="81" spans="2:10" ht="13.5">
      <c r="B81" s="728"/>
      <c r="C81" s="241" t="s">
        <v>40</v>
      </c>
      <c r="D81" s="235">
        <v>153928</v>
      </c>
      <c r="E81" s="235">
        <f aca="true" t="shared" si="14" ref="E81:E86">E92</f>
        <v>182119.5</v>
      </c>
      <c r="F81" s="235">
        <f t="shared" si="12"/>
        <v>168023.75</v>
      </c>
      <c r="G81" s="235">
        <f t="shared" si="13"/>
        <v>174072.605</v>
      </c>
      <c r="H81" s="243"/>
      <c r="I81" s="243"/>
      <c r="J81" s="243"/>
    </row>
    <row r="82" spans="2:10" ht="13.5">
      <c r="B82" s="728"/>
      <c r="C82" s="241" t="s">
        <v>41</v>
      </c>
      <c r="D82" s="235">
        <v>156420</v>
      </c>
      <c r="E82" s="235">
        <f t="shared" si="14"/>
        <v>178230</v>
      </c>
      <c r="F82" s="235">
        <f t="shared" si="12"/>
        <v>167325</v>
      </c>
      <c r="G82" s="235">
        <f t="shared" si="13"/>
        <v>173348.7</v>
      </c>
      <c r="H82" s="243"/>
      <c r="I82" s="243"/>
      <c r="J82" s="243"/>
    </row>
    <row r="83" spans="2:10" ht="13.5">
      <c r="B83" s="728"/>
      <c r="C83" s="241" t="s">
        <v>83</v>
      </c>
      <c r="D83" s="235"/>
      <c r="E83" s="235">
        <f t="shared" si="14"/>
        <v>0</v>
      </c>
      <c r="F83" s="235">
        <f t="shared" si="12"/>
        <v>0</v>
      </c>
      <c r="G83" s="235">
        <f t="shared" si="13"/>
        <v>0</v>
      </c>
      <c r="H83" s="243"/>
      <c r="I83" s="243"/>
      <c r="J83" s="243"/>
    </row>
    <row r="84" spans="2:7" ht="13.5">
      <c r="B84" s="728"/>
      <c r="C84" s="241" t="s">
        <v>84</v>
      </c>
      <c r="D84" s="235">
        <v>198551</v>
      </c>
      <c r="E84" s="235">
        <f t="shared" si="14"/>
        <v>242986.5</v>
      </c>
      <c r="F84" s="235">
        <f t="shared" si="12"/>
        <v>220768.75</v>
      </c>
      <c r="G84" s="235">
        <f t="shared" si="13"/>
        <v>228716.42500000002</v>
      </c>
    </row>
    <row r="85" spans="2:7" ht="13.5">
      <c r="B85" s="728"/>
      <c r="C85" s="241" t="s">
        <v>85</v>
      </c>
      <c r="D85" s="235">
        <v>14756</v>
      </c>
      <c r="E85" s="235">
        <f t="shared" si="14"/>
        <v>7449</v>
      </c>
      <c r="F85" s="235">
        <f t="shared" si="12"/>
        <v>11102.5</v>
      </c>
      <c r="G85" s="235">
        <f t="shared" si="13"/>
        <v>11502.19</v>
      </c>
    </row>
    <row r="86" spans="2:14" ht="13.5">
      <c r="B86" s="728"/>
      <c r="C86" s="241" t="s">
        <v>86</v>
      </c>
      <c r="D86" s="235">
        <v>273660</v>
      </c>
      <c r="E86" s="235">
        <f t="shared" si="14"/>
        <v>281595</v>
      </c>
      <c r="F86" s="235">
        <f t="shared" si="12"/>
        <v>277627.5</v>
      </c>
      <c r="G86" s="235">
        <f t="shared" si="13"/>
        <v>287622.09</v>
      </c>
      <c r="H86" s="243"/>
      <c r="I86" s="243"/>
      <c r="J86" s="243"/>
      <c r="K86" s="243"/>
      <c r="L86" s="243"/>
      <c r="M86" s="243"/>
      <c r="N86" s="243"/>
    </row>
    <row r="87" spans="2:14" ht="12.75">
      <c r="B87" s="728"/>
      <c r="C87" s="242"/>
      <c r="D87" s="236">
        <f>SUM(D80:D86)</f>
        <v>1168305</v>
      </c>
      <c r="E87" s="236">
        <f>SUM(E80:E86)</f>
        <v>1098594</v>
      </c>
      <c r="F87" s="236">
        <f>SUM(F80:F86)</f>
        <v>1133449.5</v>
      </c>
      <c r="G87" s="236">
        <f>SUM(G80:G86)</f>
        <v>1174253.682</v>
      </c>
      <c r="H87" s="243"/>
      <c r="I87" s="243"/>
      <c r="J87" s="243"/>
      <c r="K87" s="243"/>
      <c r="L87" s="243"/>
      <c r="M87" s="243"/>
      <c r="N87" s="243"/>
    </row>
    <row r="88" spans="2:14" ht="12.75">
      <c r="B88" s="728"/>
      <c r="H88" s="243"/>
      <c r="I88" s="243"/>
      <c r="J88" s="243"/>
      <c r="K88" s="243"/>
      <c r="L88" s="243"/>
      <c r="M88" s="243"/>
      <c r="N88" s="243"/>
    </row>
    <row r="89" spans="2:14" ht="12.75">
      <c r="B89" s="728"/>
      <c r="H89" s="243"/>
      <c r="I89" s="243"/>
      <c r="J89" s="243"/>
      <c r="K89" s="243"/>
      <c r="L89" s="243"/>
      <c r="M89" s="243"/>
      <c r="N89" s="243"/>
    </row>
    <row r="90" spans="2:5" ht="26.25">
      <c r="B90" s="728"/>
      <c r="C90" s="240" t="s">
        <v>350</v>
      </c>
      <c r="D90" s="234" t="s">
        <v>352</v>
      </c>
      <c r="E90" s="234" t="s">
        <v>353</v>
      </c>
    </row>
    <row r="91" spans="2:5" ht="13.5">
      <c r="B91" s="728"/>
      <c r="C91" s="241" t="s">
        <v>130</v>
      </c>
      <c r="D91" s="235">
        <v>137476</v>
      </c>
      <c r="E91" s="235">
        <f>D91/8*12</f>
        <v>206214</v>
      </c>
    </row>
    <row r="92" spans="2:5" ht="13.5">
      <c r="B92" s="728"/>
      <c r="C92" s="241" t="s">
        <v>40</v>
      </c>
      <c r="D92" s="235">
        <v>121413</v>
      </c>
      <c r="E92" s="235">
        <f aca="true" t="shared" si="15" ref="E92:E97">D92/8*12</f>
        <v>182119.5</v>
      </c>
    </row>
    <row r="93" spans="2:5" ht="13.5">
      <c r="B93" s="728"/>
      <c r="C93" s="241" t="s">
        <v>41</v>
      </c>
      <c r="D93" s="235">
        <v>118820</v>
      </c>
      <c r="E93" s="235">
        <f t="shared" si="15"/>
        <v>178230</v>
      </c>
    </row>
    <row r="94" spans="2:5" ht="13.5">
      <c r="B94" s="728"/>
      <c r="C94" s="241" t="s">
        <v>83</v>
      </c>
      <c r="D94" s="235"/>
      <c r="E94" s="235">
        <f t="shared" si="15"/>
        <v>0</v>
      </c>
    </row>
    <row r="95" spans="2:5" ht="13.5">
      <c r="B95" s="728"/>
      <c r="C95" s="241" t="s">
        <v>84</v>
      </c>
      <c r="D95" s="235">
        <v>161991</v>
      </c>
      <c r="E95" s="235">
        <f t="shared" si="15"/>
        <v>242986.5</v>
      </c>
    </row>
    <row r="96" spans="2:5" ht="13.5">
      <c r="B96" s="728"/>
      <c r="C96" s="241" t="s">
        <v>85</v>
      </c>
      <c r="D96" s="235">
        <v>4966</v>
      </c>
      <c r="E96" s="235">
        <f t="shared" si="15"/>
        <v>7449</v>
      </c>
    </row>
    <row r="97" spans="2:5" ht="13.5">
      <c r="B97" s="728"/>
      <c r="C97" s="241" t="s">
        <v>86</v>
      </c>
      <c r="D97" s="235">
        <v>187730</v>
      </c>
      <c r="E97" s="235">
        <f t="shared" si="15"/>
        <v>281595</v>
      </c>
    </row>
    <row r="98" spans="2:5" ht="12.75">
      <c r="B98" s="728"/>
      <c r="C98" s="242"/>
      <c r="D98" s="237">
        <f>SUM(D91:D97)</f>
        <v>732396</v>
      </c>
      <c r="E98" s="237">
        <f>SUM(E91:E97)</f>
        <v>1098594</v>
      </c>
    </row>
    <row r="99" ht="12.75">
      <c r="B99" s="728"/>
    </row>
    <row r="100" spans="2:3" ht="14.25" thickBot="1">
      <c r="B100" s="729"/>
      <c r="C100" s="238" t="s">
        <v>354</v>
      </c>
    </row>
    <row r="103" ht="13.5" thickBot="1"/>
    <row r="104" spans="2:10" ht="12.75">
      <c r="B104" s="727" t="s">
        <v>355</v>
      </c>
      <c r="C104" s="240" t="s">
        <v>350</v>
      </c>
      <c r="D104" s="234">
        <v>2014</v>
      </c>
      <c r="E104" s="234">
        <v>2015</v>
      </c>
      <c r="F104" s="234" t="s">
        <v>351</v>
      </c>
      <c r="G104" s="234">
        <v>2016</v>
      </c>
      <c r="H104" s="243"/>
      <c r="I104" s="243"/>
      <c r="J104" s="243"/>
    </row>
    <row r="105" spans="2:10" ht="13.5">
      <c r="B105" s="728"/>
      <c r="C105" s="241" t="s">
        <v>130</v>
      </c>
      <c r="D105" s="235">
        <v>458220</v>
      </c>
      <c r="E105" s="235">
        <f>E116</f>
        <v>939529.5</v>
      </c>
      <c r="F105" s="235">
        <f aca="true" t="shared" si="16" ref="F105:F111">(D105+E105)/2</f>
        <v>698874.75</v>
      </c>
      <c r="G105" s="235">
        <f aca="true" t="shared" si="17" ref="G105:G111">F105*$J$4</f>
        <v>724034.241</v>
      </c>
      <c r="H105" s="243"/>
      <c r="I105" s="243"/>
      <c r="J105" s="243"/>
    </row>
    <row r="106" spans="2:10" ht="13.5">
      <c r="B106" s="728"/>
      <c r="C106" s="241" t="s">
        <v>40</v>
      </c>
      <c r="D106" s="235">
        <v>716715</v>
      </c>
      <c r="E106" s="235">
        <f aca="true" t="shared" si="18" ref="E106:E111">E117</f>
        <v>911559</v>
      </c>
      <c r="F106" s="235">
        <f t="shared" si="16"/>
        <v>814137</v>
      </c>
      <c r="G106" s="235">
        <f t="shared" si="17"/>
        <v>843445.932</v>
      </c>
      <c r="H106" s="243"/>
      <c r="I106" s="243"/>
      <c r="J106" s="243"/>
    </row>
    <row r="107" spans="2:10" ht="13.5">
      <c r="B107" s="728"/>
      <c r="C107" s="241" t="s">
        <v>41</v>
      </c>
      <c r="D107" s="235">
        <v>1387354</v>
      </c>
      <c r="E107" s="235">
        <f t="shared" si="18"/>
        <v>1333891.5</v>
      </c>
      <c r="F107" s="235">
        <f t="shared" si="16"/>
        <v>1360622.75</v>
      </c>
      <c r="G107" s="235">
        <f t="shared" si="17"/>
        <v>1409605.169</v>
      </c>
      <c r="H107" s="243"/>
      <c r="I107" s="243"/>
      <c r="J107" s="243"/>
    </row>
    <row r="108" spans="2:10" ht="13.5">
      <c r="B108" s="728"/>
      <c r="C108" s="241" t="s">
        <v>83</v>
      </c>
      <c r="D108" s="235"/>
      <c r="E108" s="235">
        <f t="shared" si="18"/>
        <v>0</v>
      </c>
      <c r="F108" s="235">
        <f t="shared" si="16"/>
        <v>0</v>
      </c>
      <c r="G108" s="235">
        <f t="shared" si="17"/>
        <v>0</v>
      </c>
      <c r="H108" s="243"/>
      <c r="I108" s="243"/>
      <c r="J108" s="243"/>
    </row>
    <row r="109" spans="2:10" ht="13.5">
      <c r="B109" s="728"/>
      <c r="C109" s="241" t="s">
        <v>84</v>
      </c>
      <c r="D109" s="235">
        <v>188973</v>
      </c>
      <c r="E109" s="235">
        <f t="shared" si="18"/>
        <v>222651</v>
      </c>
      <c r="F109" s="235">
        <f t="shared" si="16"/>
        <v>205812</v>
      </c>
      <c r="G109" s="235">
        <f t="shared" si="17"/>
        <v>213221.23200000002</v>
      </c>
      <c r="H109" s="243"/>
      <c r="I109" s="243"/>
      <c r="J109" s="243"/>
    </row>
    <row r="110" spans="2:7" ht="13.5">
      <c r="B110" s="728"/>
      <c r="C110" s="241" t="s">
        <v>85</v>
      </c>
      <c r="D110" s="235">
        <v>68814</v>
      </c>
      <c r="E110" s="235">
        <f t="shared" si="18"/>
        <v>25741.5</v>
      </c>
      <c r="F110" s="235">
        <f t="shared" si="16"/>
        <v>47277.75</v>
      </c>
      <c r="G110" s="235">
        <f t="shared" si="17"/>
        <v>48979.749</v>
      </c>
    </row>
    <row r="111" spans="2:7" ht="13.5">
      <c r="B111" s="728"/>
      <c r="C111" s="241" t="s">
        <v>86</v>
      </c>
      <c r="D111" s="235">
        <v>154620</v>
      </c>
      <c r="E111" s="235">
        <f t="shared" si="18"/>
        <v>157324.5</v>
      </c>
      <c r="F111" s="235">
        <f t="shared" si="16"/>
        <v>155972.25</v>
      </c>
      <c r="G111" s="235">
        <f t="shared" si="17"/>
        <v>161587.25100000002</v>
      </c>
    </row>
    <row r="112" spans="2:14" ht="12.75">
      <c r="B112" s="728"/>
      <c r="C112" s="242"/>
      <c r="D112" s="236">
        <f>SUM(D105:D111)</f>
        <v>2974696</v>
      </c>
      <c r="E112" s="236">
        <f>SUM(E105:E111)</f>
        <v>3590697</v>
      </c>
      <c r="F112" s="236">
        <f>SUM(F105:F111)</f>
        <v>3282696.5</v>
      </c>
      <c r="G112" s="236">
        <f>SUM(G105:G111)</f>
        <v>3400873.574</v>
      </c>
      <c r="H112" s="243"/>
      <c r="I112" s="243"/>
      <c r="J112" s="243"/>
      <c r="K112" s="243"/>
      <c r="L112" s="243"/>
      <c r="M112" s="243"/>
      <c r="N112" s="243"/>
    </row>
    <row r="113" spans="2:14" ht="12.75">
      <c r="B113" s="728"/>
      <c r="H113" s="243"/>
      <c r="I113" s="243"/>
      <c r="J113" s="243"/>
      <c r="K113" s="243"/>
      <c r="L113" s="243"/>
      <c r="M113" s="243"/>
      <c r="N113" s="243"/>
    </row>
    <row r="114" spans="2:14" ht="12.75">
      <c r="B114" s="728"/>
      <c r="H114" s="243"/>
      <c r="I114" s="243"/>
      <c r="J114" s="243"/>
      <c r="K114" s="243"/>
      <c r="L114" s="243"/>
      <c r="M114" s="243"/>
      <c r="N114" s="243"/>
    </row>
    <row r="115" spans="2:14" ht="26.25">
      <c r="B115" s="728"/>
      <c r="C115" s="240" t="s">
        <v>350</v>
      </c>
      <c r="D115" s="234" t="s">
        <v>352</v>
      </c>
      <c r="E115" s="234" t="s">
        <v>353</v>
      </c>
      <c r="H115" s="243"/>
      <c r="I115" s="243"/>
      <c r="J115" s="243"/>
      <c r="K115" s="243"/>
      <c r="L115" s="243"/>
      <c r="M115" s="243"/>
      <c r="N115" s="243"/>
    </row>
    <row r="116" spans="2:14" ht="13.5">
      <c r="B116" s="728"/>
      <c r="C116" s="241" t="s">
        <v>130</v>
      </c>
      <c r="D116" s="235">
        <v>626353</v>
      </c>
      <c r="E116" s="235">
        <f>D116/8*12</f>
        <v>939529.5</v>
      </c>
      <c r="H116" s="243"/>
      <c r="I116" s="243"/>
      <c r="J116" s="243"/>
      <c r="K116" s="243"/>
      <c r="L116" s="243"/>
      <c r="M116" s="243"/>
      <c r="N116" s="243"/>
    </row>
    <row r="117" spans="2:14" ht="13.5">
      <c r="B117" s="728"/>
      <c r="C117" s="241" t="s">
        <v>40</v>
      </c>
      <c r="D117" s="235">
        <v>607706</v>
      </c>
      <c r="E117" s="235">
        <f aca="true" t="shared" si="19" ref="E117:E122">D117/8*12</f>
        <v>911559</v>
      </c>
      <c r="H117" s="243"/>
      <c r="I117" s="243"/>
      <c r="J117" s="243"/>
      <c r="K117" s="243"/>
      <c r="L117" s="243"/>
      <c r="M117" s="243"/>
      <c r="N117" s="243"/>
    </row>
    <row r="118" spans="2:5" ht="13.5">
      <c r="B118" s="728"/>
      <c r="C118" s="241" t="s">
        <v>41</v>
      </c>
      <c r="D118" s="235">
        <v>889261</v>
      </c>
      <c r="E118" s="235">
        <f t="shared" si="19"/>
        <v>1333891.5</v>
      </c>
    </row>
    <row r="119" spans="2:5" ht="13.5">
      <c r="B119" s="728"/>
      <c r="C119" s="241" t="s">
        <v>83</v>
      </c>
      <c r="D119" s="235"/>
      <c r="E119" s="235">
        <f t="shared" si="19"/>
        <v>0</v>
      </c>
    </row>
    <row r="120" spans="2:5" ht="13.5">
      <c r="B120" s="728"/>
      <c r="C120" s="241" t="s">
        <v>84</v>
      </c>
      <c r="D120" s="235">
        <v>148434</v>
      </c>
      <c r="E120" s="235">
        <f t="shared" si="19"/>
        <v>222651</v>
      </c>
    </row>
    <row r="121" spans="2:5" ht="13.5">
      <c r="B121" s="728"/>
      <c r="C121" s="241" t="s">
        <v>85</v>
      </c>
      <c r="D121" s="235">
        <v>17161</v>
      </c>
      <c r="E121" s="235">
        <f t="shared" si="19"/>
        <v>25741.5</v>
      </c>
    </row>
    <row r="122" spans="2:5" ht="13.5">
      <c r="B122" s="728"/>
      <c r="C122" s="241" t="s">
        <v>86</v>
      </c>
      <c r="D122" s="235">
        <v>104883</v>
      </c>
      <c r="E122" s="235">
        <f t="shared" si="19"/>
        <v>157324.5</v>
      </c>
    </row>
    <row r="123" spans="2:5" ht="12.75">
      <c r="B123" s="728"/>
      <c r="C123" s="242"/>
      <c r="D123" s="237">
        <f>SUM(D116:D122)</f>
        <v>2393798</v>
      </c>
      <c r="E123" s="237">
        <f>SUM(E116:E122)</f>
        <v>3590697</v>
      </c>
    </row>
    <row r="124" ht="12.75">
      <c r="B124" s="728"/>
    </row>
    <row r="125" spans="2:3" ht="14.25" thickBot="1">
      <c r="B125" s="729"/>
      <c r="C125" s="238" t="s">
        <v>354</v>
      </c>
    </row>
    <row r="128" ht="13.5" thickBot="1"/>
    <row r="129" spans="2:10" ht="12.75">
      <c r="B129" s="727" t="s">
        <v>314</v>
      </c>
      <c r="C129" s="240" t="s">
        <v>350</v>
      </c>
      <c r="D129" s="234">
        <v>2014</v>
      </c>
      <c r="E129" s="234">
        <v>2015</v>
      </c>
      <c r="F129" s="234" t="s">
        <v>351</v>
      </c>
      <c r="G129" s="234">
        <v>2016</v>
      </c>
      <c r="H129" s="243"/>
      <c r="I129" s="243"/>
      <c r="J129" s="243"/>
    </row>
    <row r="130" spans="2:10" ht="13.5">
      <c r="B130" s="728"/>
      <c r="C130" s="241" t="s">
        <v>130</v>
      </c>
      <c r="D130" s="235">
        <v>425631</v>
      </c>
      <c r="E130" s="235">
        <f>E141</f>
        <v>529038</v>
      </c>
      <c r="F130" s="235">
        <f aca="true" t="shared" si="20" ref="F130:F136">(D130+E130)/2</f>
        <v>477334.5</v>
      </c>
      <c r="G130" s="235">
        <f aca="true" t="shared" si="21" ref="G130:G136">F130*$J$4</f>
        <v>494518.542</v>
      </c>
      <c r="H130" s="243"/>
      <c r="I130" s="243"/>
      <c r="J130" s="243"/>
    </row>
    <row r="131" spans="2:10" ht="13.5">
      <c r="B131" s="728"/>
      <c r="C131" s="241" t="s">
        <v>40</v>
      </c>
      <c r="D131" s="235">
        <v>588462</v>
      </c>
      <c r="E131" s="235">
        <f aca="true" t="shared" si="22" ref="E131:E136">E142</f>
        <v>771340.5</v>
      </c>
      <c r="F131" s="235">
        <f t="shared" si="20"/>
        <v>679901.25</v>
      </c>
      <c r="G131" s="235">
        <f t="shared" si="21"/>
        <v>704377.6950000001</v>
      </c>
      <c r="H131" s="243"/>
      <c r="I131" s="243"/>
      <c r="J131" s="243"/>
    </row>
    <row r="132" spans="2:10" ht="13.5">
      <c r="B132" s="728"/>
      <c r="C132" s="241" t="s">
        <v>41</v>
      </c>
      <c r="D132" s="235">
        <v>1387354</v>
      </c>
      <c r="E132" s="235">
        <f t="shared" si="22"/>
        <v>871756.5</v>
      </c>
      <c r="F132" s="235">
        <f t="shared" si="20"/>
        <v>1129555.25</v>
      </c>
      <c r="G132" s="235">
        <f t="shared" si="21"/>
        <v>1170219.239</v>
      </c>
      <c r="H132" s="243"/>
      <c r="I132" s="243"/>
      <c r="J132" s="243"/>
    </row>
    <row r="133" spans="2:10" ht="13.5">
      <c r="B133" s="728"/>
      <c r="C133" s="241" t="s">
        <v>83</v>
      </c>
      <c r="D133" s="235"/>
      <c r="E133" s="235">
        <f t="shared" si="22"/>
        <v>0</v>
      </c>
      <c r="F133" s="235">
        <f t="shared" si="20"/>
        <v>0</v>
      </c>
      <c r="G133" s="235">
        <f t="shared" si="21"/>
        <v>0</v>
      </c>
      <c r="H133" s="243"/>
      <c r="I133" s="243"/>
      <c r="J133" s="243"/>
    </row>
    <row r="134" spans="2:10" ht="13.5">
      <c r="B134" s="728"/>
      <c r="C134" s="241" t="s">
        <v>84</v>
      </c>
      <c r="D134" s="235">
        <v>221560</v>
      </c>
      <c r="E134" s="235">
        <f t="shared" si="22"/>
        <v>222649.5</v>
      </c>
      <c r="F134" s="235">
        <f t="shared" si="20"/>
        <v>222104.75</v>
      </c>
      <c r="G134" s="235">
        <f t="shared" si="21"/>
        <v>230100.521</v>
      </c>
      <c r="H134" s="243"/>
      <c r="I134" s="243"/>
      <c r="J134" s="243"/>
    </row>
    <row r="135" spans="2:7" ht="13.5">
      <c r="B135" s="728"/>
      <c r="C135" s="241" t="s">
        <v>85</v>
      </c>
      <c r="D135" s="235">
        <v>68819</v>
      </c>
      <c r="E135" s="235">
        <f t="shared" si="22"/>
        <v>25740</v>
      </c>
      <c r="F135" s="235">
        <f t="shared" si="20"/>
        <v>47279.5</v>
      </c>
      <c r="G135" s="235">
        <f t="shared" si="21"/>
        <v>48981.562</v>
      </c>
    </row>
    <row r="136" spans="2:7" ht="13.5">
      <c r="B136" s="728"/>
      <c r="C136" s="241" t="s">
        <v>86</v>
      </c>
      <c r="D136" s="235">
        <v>154627</v>
      </c>
      <c r="E136" s="235">
        <f t="shared" si="22"/>
        <v>157326</v>
      </c>
      <c r="F136" s="235">
        <f t="shared" si="20"/>
        <v>155976.5</v>
      </c>
      <c r="G136" s="235">
        <f t="shared" si="21"/>
        <v>161591.654</v>
      </c>
    </row>
    <row r="137" spans="2:14" ht="12.75">
      <c r="B137" s="728"/>
      <c r="C137" s="242"/>
      <c r="D137" s="236">
        <f>SUM(D130:D136)</f>
        <v>2846453</v>
      </c>
      <c r="E137" s="236">
        <f>SUM(E130:E136)</f>
        <v>2577850.5</v>
      </c>
      <c r="F137" s="236">
        <f>SUM(F130:F136)</f>
        <v>2712151.75</v>
      </c>
      <c r="G137" s="236">
        <f>SUM(G130:G136)</f>
        <v>2809789.2130000005</v>
      </c>
      <c r="H137" s="243"/>
      <c r="I137" s="243"/>
      <c r="J137" s="243"/>
      <c r="K137" s="243"/>
      <c r="L137" s="243"/>
      <c r="M137" s="243"/>
      <c r="N137" s="243"/>
    </row>
    <row r="138" spans="2:14" ht="12.75">
      <c r="B138" s="728"/>
      <c r="H138" s="243"/>
      <c r="I138" s="243"/>
      <c r="J138" s="243"/>
      <c r="K138" s="243"/>
      <c r="L138" s="243"/>
      <c r="M138" s="243"/>
      <c r="N138" s="243"/>
    </row>
    <row r="139" spans="2:14" ht="12.75">
      <c r="B139" s="728"/>
      <c r="H139" s="243"/>
      <c r="I139" s="243"/>
      <c r="J139" s="243"/>
      <c r="K139" s="243"/>
      <c r="L139" s="243"/>
      <c r="M139" s="243"/>
      <c r="N139" s="243"/>
    </row>
    <row r="140" spans="2:14" ht="26.25">
      <c r="B140" s="728"/>
      <c r="C140" s="240" t="s">
        <v>350</v>
      </c>
      <c r="D140" s="234" t="s">
        <v>352</v>
      </c>
      <c r="E140" s="234" t="s">
        <v>353</v>
      </c>
      <c r="H140" s="243"/>
      <c r="I140" s="243"/>
      <c r="J140" s="243"/>
      <c r="K140" s="243"/>
      <c r="L140" s="243"/>
      <c r="M140" s="243"/>
      <c r="N140" s="243"/>
    </row>
    <row r="141" spans="2:14" ht="13.5">
      <c r="B141" s="728"/>
      <c r="C141" s="241" t="s">
        <v>130</v>
      </c>
      <c r="D141" s="235">
        <v>352692</v>
      </c>
      <c r="E141" s="235">
        <f>D141/8*12</f>
        <v>529038</v>
      </c>
      <c r="H141" s="243"/>
      <c r="I141" s="243"/>
      <c r="J141" s="243"/>
      <c r="K141" s="243"/>
      <c r="L141" s="243"/>
      <c r="M141" s="243"/>
      <c r="N141" s="243"/>
    </row>
    <row r="142" spans="2:14" ht="13.5">
      <c r="B142" s="728"/>
      <c r="C142" s="241" t="s">
        <v>40</v>
      </c>
      <c r="D142" s="235">
        <v>514227</v>
      </c>
      <c r="E142" s="235">
        <f aca="true" t="shared" si="23" ref="E142:E147">D142/8*12</f>
        <v>771340.5</v>
      </c>
      <c r="H142" s="243"/>
      <c r="I142" s="243"/>
      <c r="J142" s="243"/>
      <c r="K142" s="243"/>
      <c r="L142" s="243"/>
      <c r="M142" s="243"/>
      <c r="N142" s="243"/>
    </row>
    <row r="143" spans="2:5" ht="13.5">
      <c r="B143" s="728"/>
      <c r="C143" s="241" t="s">
        <v>41</v>
      </c>
      <c r="D143" s="235">
        <v>581171</v>
      </c>
      <c r="E143" s="235">
        <f t="shared" si="23"/>
        <v>871756.5</v>
      </c>
    </row>
    <row r="144" spans="2:5" ht="13.5">
      <c r="B144" s="728"/>
      <c r="C144" s="241" t="s">
        <v>83</v>
      </c>
      <c r="D144" s="235"/>
      <c r="E144" s="235">
        <f t="shared" si="23"/>
        <v>0</v>
      </c>
    </row>
    <row r="145" spans="2:5" ht="13.5">
      <c r="B145" s="728"/>
      <c r="C145" s="241" t="s">
        <v>84</v>
      </c>
      <c r="D145" s="235">
        <v>148433</v>
      </c>
      <c r="E145" s="235">
        <f t="shared" si="23"/>
        <v>222649.5</v>
      </c>
    </row>
    <row r="146" spans="2:5" ht="13.5">
      <c r="B146" s="728"/>
      <c r="C146" s="241" t="s">
        <v>85</v>
      </c>
      <c r="D146" s="235">
        <v>17160</v>
      </c>
      <c r="E146" s="235">
        <f t="shared" si="23"/>
        <v>25740</v>
      </c>
    </row>
    <row r="147" spans="2:5" ht="13.5">
      <c r="B147" s="728"/>
      <c r="C147" s="241" t="s">
        <v>86</v>
      </c>
      <c r="D147" s="235">
        <v>104884</v>
      </c>
      <c r="E147" s="235">
        <f t="shared" si="23"/>
        <v>157326</v>
      </c>
    </row>
    <row r="148" spans="2:5" ht="12.75">
      <c r="B148" s="728"/>
      <c r="C148" s="242"/>
      <c r="D148" s="237">
        <f>SUM(D141:D147)</f>
        <v>1718567</v>
      </c>
      <c r="E148" s="237">
        <f>SUM(E141:E147)</f>
        <v>2577850.5</v>
      </c>
    </row>
    <row r="149" ht="12.75">
      <c r="B149" s="728"/>
    </row>
    <row r="150" spans="2:3" ht="14.25" thickBot="1">
      <c r="B150" s="729"/>
      <c r="C150" s="238" t="s">
        <v>354</v>
      </c>
    </row>
    <row r="153" spans="3:10" ht="13.5" thickBot="1">
      <c r="C153" s="243"/>
      <c r="D153" s="243"/>
      <c r="E153" s="243"/>
      <c r="F153" s="243"/>
      <c r="G153" s="243"/>
      <c r="H153" s="243"/>
      <c r="I153" s="243"/>
      <c r="J153" s="243"/>
    </row>
    <row r="154" spans="2:10" ht="12.75">
      <c r="B154" s="727" t="s">
        <v>316</v>
      </c>
      <c r="C154" s="240" t="s">
        <v>350</v>
      </c>
      <c r="D154" s="234">
        <v>2014</v>
      </c>
      <c r="E154" s="234">
        <v>2015</v>
      </c>
      <c r="F154" s="234" t="s">
        <v>351</v>
      </c>
      <c r="G154" s="234">
        <v>2016</v>
      </c>
      <c r="H154" s="243"/>
      <c r="I154" s="243"/>
      <c r="J154" s="243"/>
    </row>
    <row r="155" spans="2:10" ht="13.5">
      <c r="B155" s="728"/>
      <c r="C155" s="241" t="s">
        <v>130</v>
      </c>
      <c r="D155" s="235">
        <v>2172392</v>
      </c>
      <c r="E155" s="235">
        <f>E166</f>
        <v>2856553.5</v>
      </c>
      <c r="F155" s="235">
        <f aca="true" t="shared" si="24" ref="F155:F161">(D155+E155)/2</f>
        <v>2514472.75</v>
      </c>
      <c r="G155" s="235">
        <f aca="true" t="shared" si="25" ref="G155:G161">F155*$J$4</f>
        <v>2604993.769</v>
      </c>
      <c r="H155" s="243"/>
      <c r="I155" s="243"/>
      <c r="J155" s="243"/>
    </row>
    <row r="156" spans="2:10" ht="13.5">
      <c r="B156" s="728"/>
      <c r="C156" s="241" t="s">
        <v>40</v>
      </c>
      <c r="D156" s="235">
        <v>1364635</v>
      </c>
      <c r="E156" s="235">
        <f aca="true" t="shared" si="26" ref="E156:E161">E167</f>
        <v>1332531</v>
      </c>
      <c r="F156" s="235">
        <f t="shared" si="24"/>
        <v>1348583</v>
      </c>
      <c r="G156" s="235">
        <f t="shared" si="25"/>
        <v>1397131.9880000001</v>
      </c>
      <c r="H156" s="243"/>
      <c r="I156" s="243"/>
      <c r="J156" s="243"/>
    </row>
    <row r="157" spans="2:10" ht="13.5">
      <c r="B157" s="728"/>
      <c r="C157" s="241" t="s">
        <v>41</v>
      </c>
      <c r="D157" s="235">
        <v>1764733</v>
      </c>
      <c r="E157" s="235">
        <f t="shared" si="26"/>
        <v>1330932</v>
      </c>
      <c r="F157" s="235">
        <f t="shared" si="24"/>
        <v>1547832.5</v>
      </c>
      <c r="G157" s="235">
        <f t="shared" si="25"/>
        <v>1603554.47</v>
      </c>
      <c r="H157" s="243"/>
      <c r="I157" s="243"/>
      <c r="J157" s="243"/>
    </row>
    <row r="158" spans="2:10" ht="13.5">
      <c r="B158" s="728"/>
      <c r="C158" s="241" t="s">
        <v>83</v>
      </c>
      <c r="D158" s="235"/>
      <c r="E158" s="235">
        <f t="shared" si="26"/>
        <v>0</v>
      </c>
      <c r="F158" s="235">
        <f t="shared" si="24"/>
        <v>0</v>
      </c>
      <c r="G158" s="235">
        <f t="shared" si="25"/>
        <v>0</v>
      </c>
      <c r="H158" s="243"/>
      <c r="I158" s="243"/>
      <c r="J158" s="243"/>
    </row>
    <row r="159" spans="2:7" ht="13.5">
      <c r="B159" s="728"/>
      <c r="C159" s="241" t="s">
        <v>84</v>
      </c>
      <c r="D159" s="235">
        <v>772252</v>
      </c>
      <c r="E159" s="235">
        <f t="shared" si="26"/>
        <v>265573.5</v>
      </c>
      <c r="F159" s="235">
        <f t="shared" si="24"/>
        <v>518912.75</v>
      </c>
      <c r="G159" s="235">
        <f t="shared" si="25"/>
        <v>537593.609</v>
      </c>
    </row>
    <row r="160" spans="2:7" ht="13.5">
      <c r="B160" s="728"/>
      <c r="C160" s="241" t="s">
        <v>85</v>
      </c>
      <c r="D160" s="235"/>
      <c r="E160" s="235">
        <f t="shared" si="26"/>
        <v>0</v>
      </c>
      <c r="F160" s="235">
        <f t="shared" si="24"/>
        <v>0</v>
      </c>
      <c r="G160" s="235">
        <f t="shared" si="25"/>
        <v>0</v>
      </c>
    </row>
    <row r="161" spans="2:14" ht="13.5">
      <c r="B161" s="728"/>
      <c r="C161" s="241" t="s">
        <v>86</v>
      </c>
      <c r="D161" s="235"/>
      <c r="E161" s="235">
        <f t="shared" si="26"/>
        <v>33759</v>
      </c>
      <c r="F161" s="235">
        <f t="shared" si="24"/>
        <v>16879.5</v>
      </c>
      <c r="G161" s="235">
        <f t="shared" si="25"/>
        <v>17487.162</v>
      </c>
      <c r="H161" s="243"/>
      <c r="I161" s="243"/>
      <c r="J161" s="243"/>
      <c r="K161" s="243"/>
      <c r="L161" s="243"/>
      <c r="M161" s="243"/>
      <c r="N161" s="243"/>
    </row>
    <row r="162" spans="2:14" ht="12.75">
      <c r="B162" s="728"/>
      <c r="C162" s="242"/>
      <c r="D162" s="236">
        <f>SUM(D155:D161)</f>
        <v>6074012</v>
      </c>
      <c r="E162" s="236">
        <f>SUM(E155:E161)</f>
        <v>5819349</v>
      </c>
      <c r="F162" s="236">
        <f>SUM(F155:F161)</f>
        <v>5946680.5</v>
      </c>
      <c r="G162" s="236">
        <f>SUM(G155:G161)</f>
        <v>6160760.998</v>
      </c>
      <c r="H162" s="243"/>
      <c r="I162" s="243"/>
      <c r="J162" s="243"/>
      <c r="K162" s="243"/>
      <c r="L162" s="243"/>
      <c r="M162" s="243"/>
      <c r="N162" s="243"/>
    </row>
    <row r="163" spans="2:14" ht="12.75">
      <c r="B163" s="728"/>
      <c r="H163" s="243"/>
      <c r="I163" s="243"/>
      <c r="J163" s="243"/>
      <c r="K163" s="243"/>
      <c r="L163" s="243"/>
      <c r="M163" s="243"/>
      <c r="N163" s="243"/>
    </row>
    <row r="164" spans="2:14" ht="12.75">
      <c r="B164" s="728"/>
      <c r="H164" s="243"/>
      <c r="I164" s="243"/>
      <c r="J164" s="243"/>
      <c r="K164" s="243"/>
      <c r="L164" s="243"/>
      <c r="M164" s="243"/>
      <c r="N164" s="243"/>
    </row>
    <row r="165" spans="2:14" ht="26.25">
      <c r="B165" s="728"/>
      <c r="C165" s="240" t="s">
        <v>350</v>
      </c>
      <c r="D165" s="234" t="s">
        <v>352</v>
      </c>
      <c r="E165" s="234" t="s">
        <v>353</v>
      </c>
      <c r="H165" s="243"/>
      <c r="I165" s="243"/>
      <c r="J165" s="243"/>
      <c r="K165" s="243"/>
      <c r="L165" s="243"/>
      <c r="M165" s="243"/>
      <c r="N165" s="243"/>
    </row>
    <row r="166" spans="2:14" ht="13.5">
      <c r="B166" s="728"/>
      <c r="C166" s="241" t="s">
        <v>130</v>
      </c>
      <c r="D166" s="235">
        <v>1904369</v>
      </c>
      <c r="E166" s="235">
        <f>D166/8*12</f>
        <v>2856553.5</v>
      </c>
      <c r="H166" s="243"/>
      <c r="I166" s="243"/>
      <c r="J166" s="243"/>
      <c r="K166" s="243"/>
      <c r="L166" s="243"/>
      <c r="M166" s="243"/>
      <c r="N166" s="243"/>
    </row>
    <row r="167" spans="2:5" ht="13.5">
      <c r="B167" s="728"/>
      <c r="C167" s="241" t="s">
        <v>40</v>
      </c>
      <c r="D167" s="235">
        <v>888354</v>
      </c>
      <c r="E167" s="235">
        <f aca="true" t="shared" si="27" ref="E167:E172">D167/8*12</f>
        <v>1332531</v>
      </c>
    </row>
    <row r="168" spans="2:5" ht="13.5">
      <c r="B168" s="728"/>
      <c r="C168" s="241" t="s">
        <v>41</v>
      </c>
      <c r="D168" s="235">
        <v>887288</v>
      </c>
      <c r="E168" s="235">
        <f t="shared" si="27"/>
        <v>1330932</v>
      </c>
    </row>
    <row r="169" spans="2:5" ht="13.5">
      <c r="B169" s="728"/>
      <c r="C169" s="241" t="s">
        <v>83</v>
      </c>
      <c r="D169" s="235"/>
      <c r="E169" s="235">
        <f t="shared" si="27"/>
        <v>0</v>
      </c>
    </row>
    <row r="170" spans="2:5" ht="13.5">
      <c r="B170" s="728"/>
      <c r="C170" s="241" t="s">
        <v>84</v>
      </c>
      <c r="D170" s="235">
        <v>177049</v>
      </c>
      <c r="E170" s="235">
        <f t="shared" si="27"/>
        <v>265573.5</v>
      </c>
    </row>
    <row r="171" spans="2:5" ht="13.5">
      <c r="B171" s="728"/>
      <c r="C171" s="241" t="s">
        <v>85</v>
      </c>
      <c r="D171" s="235"/>
      <c r="E171" s="235">
        <f t="shared" si="27"/>
        <v>0</v>
      </c>
    </row>
    <row r="172" spans="2:5" ht="13.5">
      <c r="B172" s="728"/>
      <c r="C172" s="241" t="s">
        <v>86</v>
      </c>
      <c r="D172" s="235">
        <v>22506</v>
      </c>
      <c r="E172" s="235">
        <f t="shared" si="27"/>
        <v>33759</v>
      </c>
    </row>
    <row r="173" spans="2:5" ht="12.75">
      <c r="B173" s="728"/>
      <c r="C173" s="242"/>
      <c r="D173" s="237">
        <f>SUM(D166:D172)</f>
        <v>3879566</v>
      </c>
      <c r="E173" s="237">
        <f>SUM(E166:E172)</f>
        <v>5819349</v>
      </c>
    </row>
    <row r="174" ht="12.75">
      <c r="B174" s="728"/>
    </row>
    <row r="175" spans="2:3" ht="14.25" thickBot="1">
      <c r="B175" s="729"/>
      <c r="C175" s="238" t="s">
        <v>354</v>
      </c>
    </row>
    <row r="178" spans="3:10" ht="12.75">
      <c r="C178" s="243"/>
      <c r="D178" s="243"/>
      <c r="E178" s="243"/>
      <c r="F178" s="243"/>
      <c r="G178" s="243"/>
      <c r="H178" s="243"/>
      <c r="I178" s="243"/>
      <c r="J178" s="243"/>
    </row>
    <row r="179" spans="3:10" ht="12.75">
      <c r="C179" s="243"/>
      <c r="D179" s="243"/>
      <c r="E179" s="243"/>
      <c r="F179" s="243"/>
      <c r="G179" s="243"/>
      <c r="H179" s="243"/>
      <c r="I179" s="243"/>
      <c r="J179" s="243"/>
    </row>
    <row r="180" spans="3:10" ht="12.75">
      <c r="C180" s="243"/>
      <c r="D180" s="243"/>
      <c r="E180" s="243"/>
      <c r="F180" s="243"/>
      <c r="G180" s="243"/>
      <c r="H180" s="243"/>
      <c r="I180" s="243"/>
      <c r="J180" s="243"/>
    </row>
    <row r="181" spans="3:10" ht="12.75">
      <c r="C181" s="243"/>
      <c r="D181" s="243"/>
      <c r="E181" s="243"/>
      <c r="F181" s="243"/>
      <c r="G181" s="243"/>
      <c r="H181" s="243"/>
      <c r="I181" s="243"/>
      <c r="J181" s="243"/>
    </row>
    <row r="182" spans="3:10" ht="12.75">
      <c r="C182" s="243"/>
      <c r="D182" s="243"/>
      <c r="E182" s="243"/>
      <c r="F182" s="243"/>
      <c r="G182" s="243"/>
      <c r="H182" s="243"/>
      <c r="I182" s="243"/>
      <c r="J182" s="243"/>
    </row>
    <row r="185" spans="3:14" ht="12.75">
      <c r="C185" s="243"/>
      <c r="D185" s="243"/>
      <c r="E185" s="243"/>
      <c r="F185" s="243"/>
      <c r="G185" s="243"/>
      <c r="H185" s="243"/>
      <c r="I185" s="243"/>
      <c r="J185" s="243"/>
      <c r="K185" s="243"/>
      <c r="L185" s="243"/>
      <c r="M185" s="243"/>
      <c r="N185" s="243"/>
    </row>
    <row r="186" spans="3:14" ht="12.75">
      <c r="C186" s="243"/>
      <c r="D186" s="243"/>
      <c r="E186" s="243"/>
      <c r="F186" s="243"/>
      <c r="G186" s="243"/>
      <c r="H186" s="243"/>
      <c r="I186" s="243"/>
      <c r="J186" s="243"/>
      <c r="K186" s="243"/>
      <c r="L186" s="243"/>
      <c r="M186" s="243"/>
      <c r="N186" s="243"/>
    </row>
    <row r="187" spans="3:14" ht="12.75">
      <c r="C187" s="243"/>
      <c r="D187" s="243"/>
      <c r="E187" s="243"/>
      <c r="F187" s="243"/>
      <c r="G187" s="243"/>
      <c r="H187" s="243"/>
      <c r="I187" s="243"/>
      <c r="J187" s="243"/>
      <c r="K187" s="243"/>
      <c r="L187" s="243"/>
      <c r="M187" s="243"/>
      <c r="N187" s="243"/>
    </row>
    <row r="188" spans="3:14" ht="12.75">
      <c r="C188" s="243"/>
      <c r="D188" s="243"/>
      <c r="E188" s="243"/>
      <c r="F188" s="243"/>
      <c r="G188" s="243"/>
      <c r="H188" s="243"/>
      <c r="I188" s="243"/>
      <c r="J188" s="243"/>
      <c r="K188" s="243"/>
      <c r="L188" s="243"/>
      <c r="M188" s="243"/>
      <c r="N188" s="243"/>
    </row>
  </sheetData>
  <sheetProtection/>
  <mergeCells count="7">
    <mergeCell ref="B154:B175"/>
    <mergeCell ref="B4:B25"/>
    <mergeCell ref="B29:B50"/>
    <mergeCell ref="B54:B75"/>
    <mergeCell ref="B79:B100"/>
    <mergeCell ref="B104:B125"/>
    <mergeCell ref="B129:B15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62"/>
  <sheetViews>
    <sheetView zoomScalePageLayoutView="0" workbookViewId="0" topLeftCell="A1">
      <selection activeCell="B62" sqref="B62"/>
    </sheetView>
  </sheetViews>
  <sheetFormatPr defaultColWidth="11.421875" defaultRowHeight="12.75"/>
  <cols>
    <col min="1" max="1" width="35.00390625" style="0" customWidth="1"/>
    <col min="2" max="2" width="27.00390625" style="0" bestFit="1" customWidth="1"/>
    <col min="3" max="8" width="11.8515625" style="0" bestFit="1" customWidth="1"/>
    <col min="9" max="9" width="12.28125" style="0" bestFit="1" customWidth="1"/>
    <col min="10" max="10" width="13.28125" style="0" bestFit="1" customWidth="1"/>
    <col min="11" max="11" width="10.28125" style="0" bestFit="1" customWidth="1"/>
    <col min="12" max="12" width="13.00390625" style="0" bestFit="1" customWidth="1"/>
  </cols>
  <sheetData>
    <row r="1" spans="1:12" ht="42.75">
      <c r="A1" s="296"/>
      <c r="B1" s="296"/>
      <c r="C1" s="297" t="s">
        <v>227</v>
      </c>
      <c r="D1" s="297" t="s">
        <v>179</v>
      </c>
      <c r="E1" s="297" t="s">
        <v>180</v>
      </c>
      <c r="F1" s="297" t="s">
        <v>189</v>
      </c>
      <c r="G1" s="297" t="s">
        <v>390</v>
      </c>
      <c r="H1" s="297" t="s">
        <v>391</v>
      </c>
      <c r="I1" s="297" t="s">
        <v>392</v>
      </c>
      <c r="J1" s="297" t="s">
        <v>393</v>
      </c>
      <c r="K1" s="297"/>
      <c r="L1" s="296"/>
    </row>
    <row r="2" spans="1:11" ht="13.5">
      <c r="A2" s="21" t="s">
        <v>192</v>
      </c>
      <c r="B2" s="21" t="s">
        <v>394</v>
      </c>
      <c r="C2" s="298">
        <v>250000</v>
      </c>
      <c r="D2" s="298"/>
      <c r="E2" s="298"/>
      <c r="F2" s="298"/>
      <c r="G2" s="298"/>
      <c r="H2" s="298"/>
      <c r="I2" s="298"/>
      <c r="J2" s="298"/>
      <c r="K2" s="298"/>
    </row>
    <row r="3" spans="1:11" ht="13.5">
      <c r="A3" s="111" t="s">
        <v>362</v>
      </c>
      <c r="B3" s="111" t="s">
        <v>395</v>
      </c>
      <c r="C3" s="298">
        <v>252000</v>
      </c>
      <c r="D3" s="298"/>
      <c r="E3" s="298"/>
      <c r="F3" s="298"/>
      <c r="G3" s="298"/>
      <c r="H3" s="298"/>
      <c r="I3" s="298"/>
      <c r="J3" s="298"/>
      <c r="K3" s="298"/>
    </row>
    <row r="4" spans="1:11" ht="13.5">
      <c r="A4" s="1" t="s">
        <v>184</v>
      </c>
      <c r="B4" s="1" t="s">
        <v>396</v>
      </c>
      <c r="C4" s="298">
        <v>450000</v>
      </c>
      <c r="D4" s="298"/>
      <c r="E4" s="298"/>
      <c r="F4" s="298"/>
      <c r="G4" s="298"/>
      <c r="H4" s="298"/>
      <c r="I4" s="298"/>
      <c r="J4" s="298"/>
      <c r="K4" s="298"/>
    </row>
    <row r="5" spans="1:11" ht="13.5">
      <c r="A5" s="1" t="s">
        <v>193</v>
      </c>
      <c r="B5" s="1" t="s">
        <v>397</v>
      </c>
      <c r="C5" s="298">
        <v>268140</v>
      </c>
      <c r="D5" s="298"/>
      <c r="E5" s="298"/>
      <c r="F5" s="298"/>
      <c r="G5" s="298"/>
      <c r="H5" s="298"/>
      <c r="I5" s="298"/>
      <c r="J5" s="298"/>
      <c r="K5" s="298"/>
    </row>
    <row r="6" spans="1:11" ht="13.5">
      <c r="A6" s="1" t="s">
        <v>363</v>
      </c>
      <c r="B6" s="1" t="s">
        <v>398</v>
      </c>
      <c r="C6" s="298">
        <v>50000</v>
      </c>
      <c r="D6" s="298"/>
      <c r="E6" s="298"/>
      <c r="F6" s="298"/>
      <c r="G6" s="298"/>
      <c r="H6" s="298"/>
      <c r="I6" s="298"/>
      <c r="J6" s="298"/>
      <c r="K6" s="298"/>
    </row>
    <row r="7" spans="1:11" ht="13.5">
      <c r="A7" s="111" t="s">
        <v>215</v>
      </c>
      <c r="B7" s="111" t="s">
        <v>398</v>
      </c>
      <c r="C7" s="298">
        <v>500000</v>
      </c>
      <c r="D7" s="298"/>
      <c r="E7" s="298"/>
      <c r="F7" s="298"/>
      <c r="G7" s="298"/>
      <c r="H7" s="298"/>
      <c r="I7" s="298"/>
      <c r="J7" s="298"/>
      <c r="K7" s="298"/>
    </row>
    <row r="8" spans="1:11" ht="13.5">
      <c r="A8" s="111" t="s">
        <v>364</v>
      </c>
      <c r="B8" s="111" t="s">
        <v>394</v>
      </c>
      <c r="C8" s="298"/>
      <c r="D8" s="298">
        <v>289380</v>
      </c>
      <c r="E8" s="298"/>
      <c r="F8" s="298"/>
      <c r="G8" s="298"/>
      <c r="H8" s="298"/>
      <c r="I8" s="298"/>
      <c r="J8" s="298"/>
      <c r="K8" s="298"/>
    </row>
    <row r="9" spans="1:11" ht="13.5">
      <c r="A9" s="111" t="s">
        <v>365</v>
      </c>
      <c r="B9" s="111" t="s">
        <v>395</v>
      </c>
      <c r="C9" s="298"/>
      <c r="D9" s="298">
        <v>558000</v>
      </c>
      <c r="E9" s="298"/>
      <c r="F9" s="298"/>
      <c r="G9" s="298"/>
      <c r="H9" s="298"/>
      <c r="I9" s="298"/>
      <c r="J9" s="298"/>
      <c r="K9" s="298"/>
    </row>
    <row r="10" spans="1:11" ht="13.5">
      <c r="A10" s="1" t="s">
        <v>195</v>
      </c>
      <c r="B10" s="1" t="s">
        <v>396</v>
      </c>
      <c r="C10" s="298"/>
      <c r="D10" s="298">
        <v>838879</v>
      </c>
      <c r="E10" s="298"/>
      <c r="F10" s="298"/>
      <c r="G10" s="298"/>
      <c r="H10" s="298"/>
      <c r="I10" s="298"/>
      <c r="J10" s="298"/>
      <c r="K10" s="298"/>
    </row>
    <row r="11" spans="1:11" ht="13.5">
      <c r="A11" s="1" t="s">
        <v>196</v>
      </c>
      <c r="B11" s="1" t="s">
        <v>399</v>
      </c>
      <c r="C11" s="298"/>
      <c r="D11" s="298">
        <v>518000</v>
      </c>
      <c r="E11" s="298"/>
      <c r="F11" s="298"/>
      <c r="G11" s="298"/>
      <c r="H11" s="298"/>
      <c r="I11" s="298"/>
      <c r="J11" s="298"/>
      <c r="K11" s="298"/>
    </row>
    <row r="12" spans="1:11" ht="13.5">
      <c r="A12" s="1" t="s">
        <v>197</v>
      </c>
      <c r="B12" s="1" t="s">
        <v>397</v>
      </c>
      <c r="C12" s="298"/>
      <c r="D12" s="298">
        <v>6656954</v>
      </c>
      <c r="E12" s="298"/>
      <c r="F12" s="298"/>
      <c r="G12" s="298"/>
      <c r="H12" s="298"/>
      <c r="I12" s="298"/>
      <c r="J12" s="298"/>
      <c r="K12" s="298"/>
    </row>
    <row r="13" spans="1:11" ht="13.5">
      <c r="A13" s="1" t="s">
        <v>198</v>
      </c>
      <c r="B13" s="1" t="s">
        <v>398</v>
      </c>
      <c r="C13" s="298"/>
      <c r="D13" s="298">
        <v>500000</v>
      </c>
      <c r="E13" s="298"/>
      <c r="F13" s="298"/>
      <c r="G13" s="298"/>
      <c r="H13" s="298"/>
      <c r="I13" s="298"/>
      <c r="J13" s="298"/>
      <c r="K13" s="298"/>
    </row>
    <row r="14" spans="1:11" ht="13.5">
      <c r="A14" s="21" t="s">
        <v>367</v>
      </c>
      <c r="B14" s="21" t="s">
        <v>395</v>
      </c>
      <c r="C14" s="298"/>
      <c r="D14" s="298"/>
      <c r="E14" s="298">
        <v>72000</v>
      </c>
      <c r="F14" s="298"/>
      <c r="G14" s="298"/>
      <c r="H14" s="298"/>
      <c r="I14" s="298"/>
      <c r="J14" s="298"/>
      <c r="K14" s="298"/>
    </row>
    <row r="15" spans="1:11" ht="13.5">
      <c r="A15" s="1" t="s">
        <v>199</v>
      </c>
      <c r="B15" s="1" t="s">
        <v>396</v>
      </c>
      <c r="C15" s="298"/>
      <c r="D15" s="298"/>
      <c r="E15" s="298">
        <v>136297</v>
      </c>
      <c r="F15" s="298"/>
      <c r="G15" s="298"/>
      <c r="H15" s="298"/>
      <c r="I15" s="298"/>
      <c r="J15" s="298"/>
      <c r="K15" s="298"/>
    </row>
    <row r="16" spans="1:11" ht="13.5">
      <c r="A16" s="1" t="s">
        <v>200</v>
      </c>
      <c r="B16" s="1" t="s">
        <v>397</v>
      </c>
      <c r="C16" s="298"/>
      <c r="D16" s="298"/>
      <c r="E16" s="298">
        <v>422000</v>
      </c>
      <c r="F16" s="298"/>
      <c r="G16" s="298"/>
      <c r="H16" s="298"/>
      <c r="I16" s="298"/>
      <c r="J16" s="298"/>
      <c r="K16" s="298"/>
    </row>
    <row r="17" spans="1:11" ht="13.5">
      <c r="A17" s="1" t="s">
        <v>201</v>
      </c>
      <c r="B17" s="1" t="s">
        <v>399</v>
      </c>
      <c r="C17" s="298"/>
      <c r="D17" s="298"/>
      <c r="E17" s="298">
        <v>48000</v>
      </c>
      <c r="F17" s="298"/>
      <c r="G17" s="298"/>
      <c r="H17" s="298"/>
      <c r="I17" s="298"/>
      <c r="J17" s="298"/>
      <c r="K17" s="298"/>
    </row>
    <row r="18" spans="1:11" ht="13.5">
      <c r="A18" s="1" t="s">
        <v>203</v>
      </c>
      <c r="B18" s="1" t="s">
        <v>397</v>
      </c>
      <c r="C18" s="298"/>
      <c r="D18" s="298"/>
      <c r="E18" s="298">
        <v>616287</v>
      </c>
      <c r="F18" s="298"/>
      <c r="G18" s="298"/>
      <c r="H18" s="298"/>
      <c r="I18" s="298"/>
      <c r="J18" s="298"/>
      <c r="K18" s="298"/>
    </row>
    <row r="19" spans="1:11" ht="13.5">
      <c r="A19" s="21" t="s">
        <v>205</v>
      </c>
      <c r="B19" s="21" t="s">
        <v>394</v>
      </c>
      <c r="C19" s="298"/>
      <c r="D19" s="298"/>
      <c r="E19" s="298"/>
      <c r="F19" s="298">
        <v>415000</v>
      </c>
      <c r="G19" s="298"/>
      <c r="H19" s="298"/>
      <c r="I19" s="298"/>
      <c r="J19" s="298"/>
      <c r="K19" s="298"/>
    </row>
    <row r="20" spans="1:11" ht="13.5">
      <c r="A20" s="21" t="s">
        <v>206</v>
      </c>
      <c r="B20" s="21" t="s">
        <v>395</v>
      </c>
      <c r="C20" s="298"/>
      <c r="D20" s="298"/>
      <c r="E20" s="298"/>
      <c r="F20" s="298">
        <v>72000</v>
      </c>
      <c r="G20" s="298"/>
      <c r="H20" s="298"/>
      <c r="I20" s="298"/>
      <c r="J20" s="298"/>
      <c r="K20" s="298"/>
    </row>
    <row r="21" spans="1:11" ht="13.5">
      <c r="A21" s="1" t="s">
        <v>207</v>
      </c>
      <c r="B21" s="1" t="s">
        <v>396</v>
      </c>
      <c r="C21" s="298"/>
      <c r="D21" s="298"/>
      <c r="E21" s="298"/>
      <c r="F21" s="298">
        <v>226810</v>
      </c>
      <c r="G21" s="298"/>
      <c r="H21" s="298"/>
      <c r="I21" s="298"/>
      <c r="J21" s="298"/>
      <c r="K21" s="298"/>
    </row>
    <row r="22" spans="1:11" ht="13.5">
      <c r="A22" s="1" t="s">
        <v>208</v>
      </c>
      <c r="B22" s="1" t="s">
        <v>397</v>
      </c>
      <c r="C22" s="298"/>
      <c r="D22" s="298"/>
      <c r="E22" s="298"/>
      <c r="F22" s="298">
        <v>486920</v>
      </c>
      <c r="G22" s="298"/>
      <c r="H22" s="298"/>
      <c r="I22" s="298"/>
      <c r="J22" s="298"/>
      <c r="K22" s="298"/>
    </row>
    <row r="23" spans="1:11" ht="13.5">
      <c r="A23" s="1" t="s">
        <v>369</v>
      </c>
      <c r="B23" s="1" t="s">
        <v>398</v>
      </c>
      <c r="C23" s="298"/>
      <c r="D23" s="298"/>
      <c r="E23" s="298"/>
      <c r="F23" s="298">
        <v>150000</v>
      </c>
      <c r="G23" s="298"/>
      <c r="H23" s="298"/>
      <c r="I23" s="298"/>
      <c r="J23" s="298"/>
      <c r="K23" s="298"/>
    </row>
    <row r="24" spans="1:11" ht="13.5">
      <c r="A24" s="21" t="s">
        <v>209</v>
      </c>
      <c r="B24" s="21" t="s">
        <v>394</v>
      </c>
      <c r="C24" s="298"/>
      <c r="D24" s="298"/>
      <c r="E24" s="298"/>
      <c r="F24" s="298"/>
      <c r="G24" s="298">
        <v>199848</v>
      </c>
      <c r="H24" s="298"/>
      <c r="I24" s="298"/>
      <c r="J24" s="298"/>
      <c r="K24" s="298"/>
    </row>
    <row r="25" spans="1:11" ht="13.5">
      <c r="A25" s="21" t="s">
        <v>370</v>
      </c>
      <c r="B25" s="21" t="s">
        <v>395</v>
      </c>
      <c r="C25" s="298"/>
      <c r="D25" s="298"/>
      <c r="E25" s="298"/>
      <c r="F25" s="298"/>
      <c r="G25" s="298">
        <v>162000</v>
      </c>
      <c r="H25" s="298"/>
      <c r="I25" s="298"/>
      <c r="J25" s="298"/>
      <c r="K25" s="298"/>
    </row>
    <row r="26" spans="1:11" ht="13.5">
      <c r="A26" s="1" t="s">
        <v>210</v>
      </c>
      <c r="B26" s="1" t="s">
        <v>396</v>
      </c>
      <c r="C26" s="298"/>
      <c r="D26" s="298"/>
      <c r="E26" s="298"/>
      <c r="F26" s="298"/>
      <c r="G26" s="298">
        <v>501776</v>
      </c>
      <c r="H26" s="298"/>
      <c r="I26" s="298"/>
      <c r="J26" s="298"/>
      <c r="K26" s="298"/>
    </row>
    <row r="27" spans="1:11" ht="13.5">
      <c r="A27" s="1" t="s">
        <v>371</v>
      </c>
      <c r="B27" s="1" t="s">
        <v>397</v>
      </c>
      <c r="C27" s="298"/>
      <c r="D27" s="298"/>
      <c r="E27" s="298"/>
      <c r="F27" s="298"/>
      <c r="G27" s="298">
        <v>1583000</v>
      </c>
      <c r="H27" s="298"/>
      <c r="I27" s="298"/>
      <c r="J27" s="298"/>
      <c r="K27" s="298"/>
    </row>
    <row r="28" spans="1:11" ht="13.5">
      <c r="A28" s="1" t="s">
        <v>211</v>
      </c>
      <c r="B28" s="1" t="s">
        <v>399</v>
      </c>
      <c r="C28" s="298"/>
      <c r="D28" s="298"/>
      <c r="E28" s="298"/>
      <c r="F28" s="298"/>
      <c r="G28" s="298">
        <v>171655</v>
      </c>
      <c r="H28" s="298"/>
      <c r="I28" s="298"/>
      <c r="J28" s="298"/>
      <c r="K28" s="298"/>
    </row>
    <row r="29" spans="1:11" ht="13.5">
      <c r="A29" s="1" t="s">
        <v>212</v>
      </c>
      <c r="B29" s="1" t="s">
        <v>398</v>
      </c>
      <c r="C29" s="298"/>
      <c r="D29" s="298"/>
      <c r="E29" s="298"/>
      <c r="F29" s="298"/>
      <c r="G29" s="298">
        <v>680500</v>
      </c>
      <c r="H29" s="298"/>
      <c r="I29" s="298"/>
      <c r="J29" s="298"/>
      <c r="K29" s="298"/>
    </row>
    <row r="30" spans="1:11" ht="13.5">
      <c r="A30" s="1" t="s">
        <v>375</v>
      </c>
      <c r="B30" s="1" t="s">
        <v>398</v>
      </c>
      <c r="C30" s="298"/>
      <c r="D30" s="298"/>
      <c r="E30" s="298"/>
      <c r="F30" s="298"/>
      <c r="G30" s="298">
        <v>250000</v>
      </c>
      <c r="H30" s="298"/>
      <c r="I30" s="298"/>
      <c r="J30" s="298"/>
      <c r="K30" s="298"/>
    </row>
    <row r="31" spans="1:11" ht="13.5">
      <c r="A31" s="21" t="s">
        <v>400</v>
      </c>
      <c r="B31" s="21" t="s">
        <v>394</v>
      </c>
      <c r="C31" s="298"/>
      <c r="D31" s="298"/>
      <c r="E31" s="298"/>
      <c r="F31" s="298"/>
      <c r="G31" s="298"/>
      <c r="H31" s="298">
        <v>160687.2</v>
      </c>
      <c r="I31" s="298">
        <v>40171.8</v>
      </c>
      <c r="J31" s="298"/>
      <c r="K31" s="298"/>
    </row>
    <row r="32" spans="1:11" ht="13.5">
      <c r="A32" s="21" t="s">
        <v>373</v>
      </c>
      <c r="B32" s="21" t="s">
        <v>395</v>
      </c>
      <c r="C32" s="298"/>
      <c r="D32" s="298"/>
      <c r="E32" s="298"/>
      <c r="F32" s="298"/>
      <c r="G32" s="298"/>
      <c r="H32" s="298">
        <v>198000</v>
      </c>
      <c r="I32" s="298"/>
      <c r="J32" s="298"/>
      <c r="K32" s="298"/>
    </row>
    <row r="33" spans="1:11" ht="13.5">
      <c r="A33" s="1" t="s">
        <v>213</v>
      </c>
      <c r="B33" s="1" t="s">
        <v>396</v>
      </c>
      <c r="C33" s="298"/>
      <c r="D33" s="298"/>
      <c r="E33" s="298"/>
      <c r="F33" s="298"/>
      <c r="G33" s="298"/>
      <c r="H33" s="298">
        <v>441970</v>
      </c>
      <c r="I33" s="298"/>
      <c r="J33" s="298"/>
      <c r="K33" s="298"/>
    </row>
    <row r="34" spans="1:11" ht="13.5">
      <c r="A34" s="1" t="s">
        <v>211</v>
      </c>
      <c r="B34" s="1" t="s">
        <v>399</v>
      </c>
      <c r="C34" s="298"/>
      <c r="D34" s="298"/>
      <c r="E34" s="298"/>
      <c r="F34" s="298"/>
      <c r="G34" s="298"/>
      <c r="H34" s="298">
        <v>137324</v>
      </c>
      <c r="I34" s="298">
        <v>34330</v>
      </c>
      <c r="J34" s="298"/>
      <c r="K34" s="298"/>
    </row>
    <row r="35" spans="1:11" ht="13.5">
      <c r="A35" s="1" t="s">
        <v>214</v>
      </c>
      <c r="B35" s="1" t="s">
        <v>401</v>
      </c>
      <c r="C35" s="298"/>
      <c r="D35" s="298"/>
      <c r="E35" s="298"/>
      <c r="F35" s="298"/>
      <c r="G35" s="298"/>
      <c r="H35" s="298">
        <v>500000</v>
      </c>
      <c r="I35" s="298">
        <v>96037</v>
      </c>
      <c r="J35" s="298"/>
      <c r="K35" s="298"/>
    </row>
    <row r="36" spans="1:11" ht="13.5">
      <c r="A36" s="1" t="s">
        <v>402</v>
      </c>
      <c r="B36" s="1" t="s">
        <v>398</v>
      </c>
      <c r="C36" s="298"/>
      <c r="D36" s="298"/>
      <c r="E36" s="298"/>
      <c r="F36" s="298"/>
      <c r="G36" s="298"/>
      <c r="H36" s="298">
        <v>200000</v>
      </c>
      <c r="I36" s="298">
        <v>50000</v>
      </c>
      <c r="J36" s="298"/>
      <c r="K36" s="298"/>
    </row>
    <row r="37" spans="1:11" ht="13.5">
      <c r="A37" s="20" t="s">
        <v>216</v>
      </c>
      <c r="B37" s="20" t="s">
        <v>395</v>
      </c>
      <c r="C37" s="298"/>
      <c r="D37" s="298"/>
      <c r="E37" s="298"/>
      <c r="F37" s="298"/>
      <c r="G37" s="298"/>
      <c r="H37" s="298"/>
      <c r="I37" s="298">
        <v>72000</v>
      </c>
      <c r="J37" s="298"/>
      <c r="K37" s="298"/>
    </row>
    <row r="38" spans="1:11" ht="13.5">
      <c r="A38" s="111" t="s">
        <v>218</v>
      </c>
      <c r="B38" s="111" t="s">
        <v>394</v>
      </c>
      <c r="C38" s="298"/>
      <c r="D38" s="298"/>
      <c r="E38" s="298"/>
      <c r="F38" s="298"/>
      <c r="G38" s="298"/>
      <c r="H38" s="298"/>
      <c r="I38" s="298"/>
      <c r="J38" s="298">
        <v>259000</v>
      </c>
      <c r="K38" s="298">
        <v>100000</v>
      </c>
    </row>
    <row r="39" spans="1:11" ht="13.5">
      <c r="A39" s="111" t="s">
        <v>217</v>
      </c>
      <c r="B39" s="111" t="s">
        <v>395</v>
      </c>
      <c r="C39" s="298"/>
      <c r="D39" s="298"/>
      <c r="E39" s="298"/>
      <c r="F39" s="298"/>
      <c r="G39" s="298"/>
      <c r="H39" s="298"/>
      <c r="I39" s="298"/>
      <c r="J39" s="298">
        <v>414000</v>
      </c>
      <c r="K39" s="298">
        <v>108000</v>
      </c>
    </row>
    <row r="40" spans="1:11" ht="13.5">
      <c r="A40" s="1" t="s">
        <v>219</v>
      </c>
      <c r="B40" s="1" t="s">
        <v>396</v>
      </c>
      <c r="C40" s="298"/>
      <c r="D40" s="298"/>
      <c r="E40" s="298"/>
      <c r="F40" s="298"/>
      <c r="G40" s="298"/>
      <c r="H40" s="298"/>
      <c r="I40" s="298"/>
      <c r="J40" s="298">
        <v>480000</v>
      </c>
      <c r="K40" s="298"/>
    </row>
    <row r="41" spans="1:11" ht="13.5">
      <c r="A41" s="1" t="s">
        <v>211</v>
      </c>
      <c r="B41" s="1" t="s">
        <v>399</v>
      </c>
      <c r="C41" s="298"/>
      <c r="D41" s="298"/>
      <c r="E41" s="298"/>
      <c r="F41" s="298"/>
      <c r="G41" s="298"/>
      <c r="H41" s="298"/>
      <c r="I41" s="298"/>
      <c r="J41" s="298">
        <v>398860</v>
      </c>
      <c r="K41" s="298"/>
    </row>
    <row r="42" spans="1:11" ht="13.5">
      <c r="A42" s="1" t="s">
        <v>386</v>
      </c>
      <c r="B42" s="1" t="s">
        <v>398</v>
      </c>
      <c r="C42" s="298"/>
      <c r="D42" s="298"/>
      <c r="E42" s="298"/>
      <c r="F42" s="298"/>
      <c r="G42" s="298"/>
      <c r="H42" s="298"/>
      <c r="I42" s="298"/>
      <c r="J42" s="298">
        <v>350000</v>
      </c>
      <c r="K42" s="298">
        <v>150000</v>
      </c>
    </row>
    <row r="43" spans="1:11" ht="13.5">
      <c r="A43" s="1"/>
      <c r="B43" s="1"/>
      <c r="C43" s="298"/>
      <c r="D43" s="298"/>
      <c r="E43" s="298"/>
      <c r="F43" s="298"/>
      <c r="G43" s="298"/>
      <c r="H43" s="298"/>
      <c r="I43" s="298"/>
      <c r="J43" s="298"/>
      <c r="K43" s="298"/>
    </row>
    <row r="44" spans="3:11" ht="13.5" thickBot="1">
      <c r="C44" s="298"/>
      <c r="D44" s="298"/>
      <c r="E44" s="298"/>
      <c r="F44" s="298"/>
      <c r="G44" s="298"/>
      <c r="H44" s="298"/>
      <c r="I44" s="298"/>
      <c r="J44" s="298"/>
      <c r="K44" s="298"/>
    </row>
    <row r="45" spans="3:12" ht="15" thickBot="1">
      <c r="C45" s="298">
        <f>SUM(C2:C44)</f>
        <v>1770140</v>
      </c>
      <c r="D45" s="298">
        <f aca="true" t="shared" si="0" ref="D45:K45">SUM(D2:D44)</f>
        <v>9361213</v>
      </c>
      <c r="E45" s="298">
        <f t="shared" si="0"/>
        <v>1294584</v>
      </c>
      <c r="F45" s="298">
        <f t="shared" si="0"/>
        <v>1350730</v>
      </c>
      <c r="G45" s="298">
        <f t="shared" si="0"/>
        <v>3548779</v>
      </c>
      <c r="H45" s="298">
        <f t="shared" si="0"/>
        <v>1637981.2</v>
      </c>
      <c r="I45" s="298">
        <f t="shared" si="0"/>
        <v>292538.8</v>
      </c>
      <c r="J45" s="298">
        <f t="shared" si="0"/>
        <v>1901860</v>
      </c>
      <c r="K45" s="298">
        <f t="shared" si="0"/>
        <v>358000</v>
      </c>
      <c r="L45" s="299">
        <f>SUM(C45:K45)</f>
        <v>21515826</v>
      </c>
    </row>
    <row r="46" spans="3:11" ht="13.5" thickBot="1">
      <c r="C46" s="298"/>
      <c r="D46" s="298"/>
      <c r="E46" s="298"/>
      <c r="F46" s="298"/>
      <c r="G46" s="298"/>
      <c r="H46" s="298"/>
      <c r="I46" s="298"/>
      <c r="J46" s="298"/>
      <c r="K46" s="298"/>
    </row>
    <row r="47" spans="3:11" ht="15" thickBot="1">
      <c r="C47" s="298"/>
      <c r="D47" s="298"/>
      <c r="E47" s="298"/>
      <c r="F47" s="298"/>
      <c r="G47" s="730">
        <f>SUM(G45:I45)</f>
        <v>5479299</v>
      </c>
      <c r="H47" s="731"/>
      <c r="I47" s="732"/>
      <c r="J47" s="733">
        <f>SUM(J45:K45)</f>
        <v>2259860</v>
      </c>
      <c r="K47" s="734"/>
    </row>
    <row r="48" spans="3:11" ht="12.75">
      <c r="C48" s="298"/>
      <c r="D48" s="298"/>
      <c r="E48" s="298"/>
      <c r="F48" s="298"/>
      <c r="G48" s="298"/>
      <c r="H48" s="298"/>
      <c r="I48" s="298"/>
      <c r="J48" s="298"/>
      <c r="K48" s="298"/>
    </row>
    <row r="49" spans="3:11" ht="12.75">
      <c r="C49" s="298"/>
      <c r="D49" s="298"/>
      <c r="E49" s="298"/>
      <c r="F49" s="298"/>
      <c r="G49" s="298"/>
      <c r="H49" s="298"/>
      <c r="I49" s="298"/>
      <c r="J49" s="298"/>
      <c r="K49" s="298"/>
    </row>
    <row r="50" spans="2:11" ht="12.75">
      <c r="B50" s="300"/>
      <c r="C50" s="298"/>
      <c r="D50" s="298"/>
      <c r="E50" s="298"/>
      <c r="F50" s="298"/>
      <c r="G50" s="298"/>
      <c r="H50" s="298"/>
      <c r="I50" s="298"/>
      <c r="J50" s="298"/>
      <c r="K50" s="298"/>
    </row>
    <row r="51" spans="1:11" ht="13.5">
      <c r="A51" s="1" t="s">
        <v>396</v>
      </c>
      <c r="B51" s="300">
        <f>+C4+D10+E15+F21+G26+H33+J40</f>
        <v>3075732</v>
      </c>
      <c r="C51" s="298"/>
      <c r="D51" s="298"/>
      <c r="E51" s="298"/>
      <c r="F51" s="298"/>
      <c r="G51" s="298"/>
      <c r="H51" s="298"/>
      <c r="I51" s="298"/>
      <c r="J51" s="298"/>
      <c r="K51" s="298"/>
    </row>
    <row r="52" spans="1:11" ht="12.75">
      <c r="A52" t="s">
        <v>395</v>
      </c>
      <c r="B52" s="300">
        <f>+C3+D9+E14+F20+G25+H32+I37+J39+K39</f>
        <v>1908000</v>
      </c>
      <c r="C52" s="298"/>
      <c r="D52" s="298"/>
      <c r="E52" s="298"/>
      <c r="F52" s="298"/>
      <c r="G52" s="298"/>
      <c r="H52" s="298"/>
      <c r="I52" s="298"/>
      <c r="J52" s="298"/>
      <c r="K52" s="298"/>
    </row>
    <row r="53" spans="1:11" ht="13.5">
      <c r="A53" s="1" t="s">
        <v>398</v>
      </c>
      <c r="B53" s="300">
        <f>+C6+C7+D13+F23+G29+G30+H36+I36+J42+K42</f>
        <v>2880500</v>
      </c>
      <c r="C53" s="298"/>
      <c r="D53" s="298"/>
      <c r="E53" s="298"/>
      <c r="F53" s="298"/>
      <c r="G53" s="298"/>
      <c r="H53" s="298"/>
      <c r="I53" s="298"/>
      <c r="J53" s="298"/>
      <c r="K53" s="298"/>
    </row>
    <row r="54" spans="1:11" ht="12.75">
      <c r="A54" t="s">
        <v>399</v>
      </c>
      <c r="B54" s="300">
        <f>+D11+E17+G28+H34+I34+J41</f>
        <v>1308169</v>
      </c>
      <c r="C54" s="298"/>
      <c r="D54" s="298"/>
      <c r="E54" s="298"/>
      <c r="F54" s="298"/>
      <c r="G54" s="298"/>
      <c r="H54" s="298"/>
      <c r="I54" s="298"/>
      <c r="J54" s="298"/>
      <c r="K54" s="298"/>
    </row>
    <row r="55" spans="1:11" ht="13.5">
      <c r="A55" s="1" t="s">
        <v>397</v>
      </c>
      <c r="B55" s="300">
        <f>+C5+D12+E16+E18+F22+G27</f>
        <v>10033301</v>
      </c>
      <c r="C55" s="298"/>
      <c r="D55" s="298"/>
      <c r="E55" s="298"/>
      <c r="F55" s="298"/>
      <c r="G55" s="298"/>
      <c r="H55" s="298"/>
      <c r="I55" s="298"/>
      <c r="J55" s="298"/>
      <c r="K55" s="298"/>
    </row>
    <row r="56" spans="1:11" ht="12.75">
      <c r="A56" t="s">
        <v>394</v>
      </c>
      <c r="B56" s="300">
        <f>+C2+D8+F19+G24+H31+I31+J38+K38</f>
        <v>1714087</v>
      </c>
      <c r="C56" s="298"/>
      <c r="D56" s="298"/>
      <c r="E56" s="298"/>
      <c r="F56" s="298"/>
      <c r="G56" s="298"/>
      <c r="H56" s="298"/>
      <c r="I56" s="298"/>
      <c r="J56" s="298"/>
      <c r="K56" s="298"/>
    </row>
    <row r="57" spans="1:11" ht="13.5">
      <c r="A57" s="1" t="s">
        <v>401</v>
      </c>
      <c r="B57" s="300">
        <f>+H35+I35</f>
        <v>596037</v>
      </c>
      <c r="C57" s="298"/>
      <c r="D57" s="298"/>
      <c r="E57" s="298"/>
      <c r="F57" s="298"/>
      <c r="G57" s="298"/>
      <c r="H57" s="298"/>
      <c r="I57" s="298"/>
      <c r="J57" s="298"/>
      <c r="K57" s="298"/>
    </row>
    <row r="58" spans="3:11" ht="12.75">
      <c r="C58" s="298"/>
      <c r="D58" s="298"/>
      <c r="E58" s="298"/>
      <c r="F58" s="298"/>
      <c r="G58" s="298"/>
      <c r="H58" s="298"/>
      <c r="I58" s="298"/>
      <c r="J58" s="298"/>
      <c r="K58" s="298"/>
    </row>
    <row r="59" spans="1:11" ht="12.75">
      <c r="A59" s="302"/>
      <c r="B59" s="303">
        <f>SUM(B50:B58)</f>
        <v>21515826</v>
      </c>
      <c r="C59" s="298"/>
      <c r="D59" s="298"/>
      <c r="E59" s="298"/>
      <c r="F59" s="298"/>
      <c r="G59" s="298"/>
      <c r="H59" s="298"/>
      <c r="I59" s="298"/>
      <c r="J59" s="298"/>
      <c r="K59" s="298"/>
    </row>
    <row r="60" spans="1:11" ht="12.75">
      <c r="A60" s="304" t="s">
        <v>415</v>
      </c>
      <c r="B60" s="305">
        <v>4190380</v>
      </c>
      <c r="C60" s="298"/>
      <c r="D60" s="298"/>
      <c r="E60" s="298"/>
      <c r="F60" s="298"/>
      <c r="G60" s="298"/>
      <c r="H60" s="298"/>
      <c r="I60" s="298"/>
      <c r="J60" s="298"/>
      <c r="K60" s="298"/>
    </row>
    <row r="61" ht="12.75">
      <c r="B61" s="300">
        <f>+B59-B60</f>
        <v>17325446</v>
      </c>
    </row>
    <row r="62" spans="1:2" ht="12.75">
      <c r="A62" t="s">
        <v>416</v>
      </c>
      <c r="B62" s="300">
        <f>+B61/2</f>
        <v>8662723</v>
      </c>
    </row>
  </sheetData>
  <sheetProtection/>
  <autoFilter ref="A1:J42"/>
  <mergeCells count="2">
    <mergeCell ref="G47:I47"/>
    <mergeCell ref="J47:K4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3:I11"/>
  <sheetViews>
    <sheetView zoomScalePageLayoutView="0" workbookViewId="0" topLeftCell="A1">
      <selection activeCell="E11" sqref="E11"/>
    </sheetView>
  </sheetViews>
  <sheetFormatPr defaultColWidth="11.421875" defaultRowHeight="12.75"/>
  <cols>
    <col min="2" max="2" width="24.57421875" style="0" bestFit="1" customWidth="1"/>
    <col min="3" max="3" width="13.8515625" style="225" bestFit="1" customWidth="1"/>
    <col min="5" max="5" width="13.8515625" style="0" bestFit="1" customWidth="1"/>
  </cols>
  <sheetData>
    <row r="3" spans="2:5" ht="12.75">
      <c r="B3" t="s">
        <v>189</v>
      </c>
      <c r="C3" s="225">
        <v>5516384</v>
      </c>
      <c r="E3" s="225">
        <f>SUM(180000+51750+73600+30000+60000)</f>
        <v>395350</v>
      </c>
    </row>
    <row r="4" spans="2:5" ht="12.75">
      <c r="B4" t="s">
        <v>227</v>
      </c>
      <c r="C4" s="225">
        <v>4172539</v>
      </c>
      <c r="E4" s="225">
        <f>SUM(600000+18000+105000+24500+35000)</f>
        <v>782500</v>
      </c>
    </row>
    <row r="5" spans="2:5" ht="12.75">
      <c r="B5" t="s">
        <v>180</v>
      </c>
      <c r="C5" s="225">
        <v>2371968</v>
      </c>
      <c r="E5" s="225">
        <f>SUM(360000+50000+50000+35000+51750+22500)</f>
        <v>569250</v>
      </c>
    </row>
    <row r="6" spans="2:5" ht="12.75">
      <c r="B6" t="s">
        <v>179</v>
      </c>
      <c r="C6" s="225">
        <v>5834332</v>
      </c>
      <c r="E6" s="225">
        <f>SUM(250000+80000+120000+100000+80000+80000+60000+200000)</f>
        <v>970000</v>
      </c>
    </row>
    <row r="7" spans="2:9" ht="12.75">
      <c r="B7" t="s">
        <v>403</v>
      </c>
      <c r="C7" s="225">
        <v>5064370</v>
      </c>
      <c r="E7" s="225">
        <f>SUM(990500+350000+270000+161045+62160)</f>
        <v>1833705</v>
      </c>
      <c r="G7" t="s">
        <v>418</v>
      </c>
      <c r="I7">
        <f>+C7/2</f>
        <v>2532185</v>
      </c>
    </row>
    <row r="8" spans="2:5" ht="12.75">
      <c r="B8" t="s">
        <v>404</v>
      </c>
      <c r="C8" s="225">
        <v>1982540</v>
      </c>
      <c r="E8" s="225"/>
    </row>
    <row r="9" ht="12.75">
      <c r="E9" s="225"/>
    </row>
    <row r="10" spans="3:5" ht="12.75">
      <c r="C10" s="225">
        <f>SUM(C3:C9)</f>
        <v>24942133</v>
      </c>
      <c r="E10" s="225">
        <f>SUM(E3:E8)*1.19</f>
        <v>5415457.95</v>
      </c>
    </row>
    <row r="11" spans="2:5" ht="12.75">
      <c r="B11" s="301">
        <v>0.5</v>
      </c>
      <c r="C11" s="225">
        <f>C10/2</f>
        <v>12471066.5</v>
      </c>
      <c r="E11" s="225">
        <f>E10*1.19</f>
        <v>6444394.9605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1"/>
  <dimension ref="A1:AJ756"/>
  <sheetViews>
    <sheetView showGridLines="0" zoomScale="70" zoomScaleNormal="70" zoomScalePageLayoutView="0" workbookViewId="0" topLeftCell="A1">
      <selection activeCell="D5" sqref="D5:E5"/>
    </sheetView>
  </sheetViews>
  <sheetFormatPr defaultColWidth="11.421875" defaultRowHeight="12.75"/>
  <cols>
    <col min="1" max="1" width="17.421875" style="1" customWidth="1"/>
    <col min="2" max="2" width="77.421875" style="1" customWidth="1"/>
    <col min="3" max="3" width="12.57421875" style="1" customWidth="1"/>
    <col min="4" max="4" width="21.00390625" style="119" customWidth="1"/>
    <col min="5" max="5" width="16.140625" style="1" customWidth="1"/>
    <col min="6" max="6" width="15.28125" style="22" customWidth="1"/>
    <col min="7" max="7" width="17.7109375" style="4" customWidth="1"/>
    <col min="8" max="8" width="22.7109375" style="119" customWidth="1"/>
    <col min="9" max="9" width="56.140625" style="1" customWidth="1"/>
    <col min="10" max="10" width="21.421875" style="1" customWidth="1"/>
    <col min="11" max="11" width="25.00390625" style="1" customWidth="1"/>
    <col min="12" max="12" width="25.140625" style="1" customWidth="1"/>
    <col min="13" max="13" width="18.140625" style="1" customWidth="1"/>
    <col min="14" max="14" width="14.28125" style="1" bestFit="1" customWidth="1"/>
    <col min="15" max="15" width="19.8515625" style="1" customWidth="1"/>
    <col min="16" max="16" width="15.421875" style="1" customWidth="1"/>
    <col min="17" max="17" width="16.00390625" style="1" bestFit="1" customWidth="1"/>
    <col min="18" max="19" width="12.140625" style="1" bestFit="1" customWidth="1"/>
    <col min="20" max="20" width="13.00390625" style="1" bestFit="1" customWidth="1"/>
    <col min="21" max="21" width="14.7109375" style="1" bestFit="1" customWidth="1"/>
    <col min="22" max="16384" width="11.421875" style="1" customWidth="1"/>
  </cols>
  <sheetData>
    <row r="1" spans="2:7" ht="12.75">
      <c r="B1" s="694" t="s">
        <v>0</v>
      </c>
      <c r="C1" s="694"/>
      <c r="D1" s="694"/>
      <c r="E1" s="694"/>
      <c r="F1" s="694"/>
      <c r="G1" s="694"/>
    </row>
    <row r="2" spans="2:7" ht="12.75">
      <c r="B2" s="695" t="s">
        <v>27</v>
      </c>
      <c r="C2" s="695"/>
      <c r="D2" s="695"/>
      <c r="E2" s="695"/>
      <c r="F2" s="695"/>
      <c r="G2" s="695"/>
    </row>
    <row r="3" spans="2:7" ht="12.75">
      <c r="B3" s="600" t="s">
        <v>28</v>
      </c>
      <c r="C3" s="600"/>
      <c r="D3" s="600"/>
      <c r="E3" s="600"/>
      <c r="F3" s="600"/>
      <c r="G3" s="600"/>
    </row>
    <row r="4" spans="2:3" ht="6.75" customHeight="1" thickBot="1">
      <c r="B4" s="4"/>
      <c r="C4" s="4"/>
    </row>
    <row r="5" spans="2:10" s="64" customFormat="1" ht="24" thickBot="1">
      <c r="B5" s="23" t="s">
        <v>29</v>
      </c>
      <c r="C5" s="23"/>
      <c r="D5" s="696" t="str">
        <f>'Ap. 2 Ingresos C. Benef.'!$I$5</f>
        <v>BIENVALP</v>
      </c>
      <c r="E5" s="697"/>
      <c r="F5" s="118"/>
      <c r="G5" s="118"/>
      <c r="H5" s="127"/>
      <c r="I5" s="215" t="s">
        <v>405</v>
      </c>
      <c r="J5" s="216">
        <v>1.03</v>
      </c>
    </row>
    <row r="6" spans="1:12" ht="25.5" customHeight="1" thickBot="1">
      <c r="A6" s="63"/>
      <c r="B6" s="63"/>
      <c r="C6" s="688"/>
      <c r="D6" s="688"/>
      <c r="L6" s="260"/>
    </row>
    <row r="7" spans="4:11" ht="12.75">
      <c r="D7" s="133" t="s">
        <v>30</v>
      </c>
      <c r="E7" s="698" t="s">
        <v>31</v>
      </c>
      <c r="F7" s="699"/>
      <c r="G7" s="134" t="s">
        <v>32</v>
      </c>
      <c r="H7" s="489" t="s">
        <v>33</v>
      </c>
      <c r="K7" s="1" t="s">
        <v>541</v>
      </c>
    </row>
    <row r="8" spans="1:17" ht="25.5" customHeight="1" thickBot="1">
      <c r="A8" s="26" t="s">
        <v>34</v>
      </c>
      <c r="B8" s="700" t="s">
        <v>35</v>
      </c>
      <c r="C8" s="701"/>
      <c r="D8" s="135" t="s">
        <v>36</v>
      </c>
      <c r="E8" s="136" t="s">
        <v>37</v>
      </c>
      <c r="F8" s="136" t="s">
        <v>38</v>
      </c>
      <c r="G8" s="137" t="s">
        <v>39</v>
      </c>
      <c r="H8" s="490" t="s">
        <v>39</v>
      </c>
      <c r="K8" s="649" t="s">
        <v>580</v>
      </c>
      <c r="L8" s="652"/>
      <c r="M8" s="652"/>
      <c r="O8" s="425" t="s">
        <v>228</v>
      </c>
      <c r="P8" s="426">
        <f>'[1]EDUCACIONAL'!$BH$54</f>
        <v>1991040</v>
      </c>
      <c r="Q8" s="1">
        <f>SUM(4*138000)+(12*274000)</f>
        <v>3840000</v>
      </c>
    </row>
    <row r="9" spans="1:16" ht="15.75" customHeight="1" thickBot="1">
      <c r="A9" s="682" t="s">
        <v>227</v>
      </c>
      <c r="B9" s="692" t="s">
        <v>115</v>
      </c>
      <c r="C9" s="693"/>
      <c r="D9" s="120">
        <f>SUM(D20:D21,D18,D12:D16)</f>
        <v>114161334.41403124</v>
      </c>
      <c r="E9" s="57">
        <f>SUM(E20:E21,E18,E12:E16)</f>
        <v>0</v>
      </c>
      <c r="F9" s="62"/>
      <c r="G9" s="57">
        <f>SUM(G20:G21,G18,G12:G16)</f>
        <v>0</v>
      </c>
      <c r="H9" s="128">
        <f>SUM(H20:H21,H18,H12:H16)</f>
        <v>114161334.41403124</v>
      </c>
      <c r="I9" s="103" t="s">
        <v>227</v>
      </c>
      <c r="K9" s="219" t="s">
        <v>562</v>
      </c>
      <c r="L9" s="220">
        <v>4</v>
      </c>
      <c r="M9" s="833">
        <f>'[1]EDUCACIONAL'!$BL$54</f>
        <v>24475529.432123996</v>
      </c>
      <c r="O9" s="102"/>
      <c r="P9" s="102"/>
    </row>
    <row r="10" spans="1:16" ht="24" thickBot="1">
      <c r="A10" s="683"/>
      <c r="B10" s="657" t="s">
        <v>56</v>
      </c>
      <c r="C10" s="658"/>
      <c r="D10" s="654"/>
      <c r="E10" s="655"/>
      <c r="F10" s="655"/>
      <c r="G10" s="655"/>
      <c r="H10" s="656"/>
      <c r="I10" s="215" t="s">
        <v>356</v>
      </c>
      <c r="J10" s="252">
        <v>138</v>
      </c>
      <c r="K10" s="219" t="s">
        <v>230</v>
      </c>
      <c r="L10" s="220">
        <v>10</v>
      </c>
      <c r="M10" s="833">
        <f>'[1]EDUCACIONAL'!$BL$49</f>
        <v>74867705.86064461</v>
      </c>
      <c r="O10" s="652" t="s">
        <v>231</v>
      </c>
      <c r="P10" s="652"/>
    </row>
    <row r="11" spans="1:16" ht="23.25">
      <c r="A11" s="683"/>
      <c r="B11" s="388"/>
      <c r="C11" s="389"/>
      <c r="D11" s="391"/>
      <c r="E11" s="387"/>
      <c r="F11" s="387"/>
      <c r="G11" s="387"/>
      <c r="H11" s="491"/>
      <c r="I11" s="392"/>
      <c r="J11" s="393"/>
      <c r="K11" s="219" t="s">
        <v>476</v>
      </c>
      <c r="L11" s="220">
        <v>1</v>
      </c>
      <c r="M11" s="833">
        <f>'[1]EDUCACIONAL'!$BL$35</f>
        <v>700798.392</v>
      </c>
      <c r="O11" s="535"/>
      <c r="P11" s="535"/>
    </row>
    <row r="12" spans="1:17" ht="18">
      <c r="A12" s="683"/>
      <c r="B12" s="834" t="s">
        <v>57</v>
      </c>
      <c r="C12" s="835"/>
      <c r="D12" s="836">
        <f>M17</f>
        <v>107477705.94281723</v>
      </c>
      <c r="E12" s="29"/>
      <c r="F12" s="30"/>
      <c r="G12" s="28"/>
      <c r="H12" s="129">
        <f>G12+D12</f>
        <v>107477705.94281723</v>
      </c>
      <c r="K12" s="219" t="s">
        <v>232</v>
      </c>
      <c r="L12" s="220">
        <v>1</v>
      </c>
      <c r="M12" s="218">
        <f>'[1]EDUCACIONAL'!$BL$36</f>
        <v>7433672.258048626</v>
      </c>
      <c r="O12" s="427" t="s">
        <v>233</v>
      </c>
      <c r="P12" s="426">
        <f>'[1]EDUCACIONAL'!$BF$54</f>
        <v>1835316.259785843</v>
      </c>
      <c r="Q12" s="1">
        <f>57000*16</f>
        <v>912000</v>
      </c>
    </row>
    <row r="13" spans="1:17" ht="18">
      <c r="A13" s="683"/>
      <c r="B13" s="834" t="s">
        <v>181</v>
      </c>
      <c r="C13" s="835"/>
      <c r="D13" s="836">
        <f>P8</f>
        <v>1991040</v>
      </c>
      <c r="E13" s="29">
        <v>0</v>
      </c>
      <c r="F13" s="30">
        <v>1</v>
      </c>
      <c r="G13" s="28">
        <f>E13*F13</f>
        <v>0</v>
      </c>
      <c r="H13" s="129">
        <f>G13+D13</f>
        <v>1991040</v>
      </c>
      <c r="K13" s="219" t="s">
        <v>234</v>
      </c>
      <c r="L13" s="220">
        <v>0</v>
      </c>
      <c r="M13" s="218">
        <v>0</v>
      </c>
      <c r="O13" s="427" t="s">
        <v>235</v>
      </c>
      <c r="P13" s="426">
        <f>'[1]EDUCACIONAL'!$BG$54</f>
        <v>1782495.1519999998</v>
      </c>
      <c r="Q13" s="1">
        <f>16*110000</f>
        <v>1760000</v>
      </c>
    </row>
    <row r="14" spans="1:16" ht="18">
      <c r="A14" s="683"/>
      <c r="B14" s="837" t="s">
        <v>58</v>
      </c>
      <c r="C14" s="838"/>
      <c r="D14" s="121">
        <v>0</v>
      </c>
      <c r="E14" s="29">
        <v>0</v>
      </c>
      <c r="F14" s="30">
        <v>1</v>
      </c>
      <c r="G14" s="28">
        <f>E14*F14</f>
        <v>0</v>
      </c>
      <c r="H14" s="129">
        <f>G14+D14</f>
        <v>0</v>
      </c>
      <c r="K14" s="653" t="s">
        <v>236</v>
      </c>
      <c r="L14" s="653"/>
      <c r="M14" s="218"/>
      <c r="O14" s="428" t="s">
        <v>237</v>
      </c>
      <c r="P14" s="429">
        <f>SUM(P12:P13)</f>
        <v>3617811.411785843</v>
      </c>
    </row>
    <row r="15" spans="1:16" ht="18">
      <c r="A15" s="683"/>
      <c r="B15" s="834" t="s">
        <v>59</v>
      </c>
      <c r="C15" s="835"/>
      <c r="D15" s="836">
        <f>P14</f>
        <v>3617811.411785843</v>
      </c>
      <c r="E15" s="29">
        <v>0</v>
      </c>
      <c r="F15" s="30">
        <v>1</v>
      </c>
      <c r="G15" s="28">
        <f>E15*F15</f>
        <v>0</v>
      </c>
      <c r="H15" s="129">
        <f>G15+D15</f>
        <v>3617811.411785843</v>
      </c>
      <c r="K15" s="653" t="s">
        <v>238</v>
      </c>
      <c r="L15" s="653"/>
      <c r="M15" s="218">
        <f>SUM(M9:M13)</f>
        <v>107477705.94281723</v>
      </c>
      <c r="O15" s="105"/>
      <c r="P15" s="106"/>
    </row>
    <row r="16" spans="1:13" ht="15" customHeight="1">
      <c r="A16" s="683"/>
      <c r="B16" s="834" t="s">
        <v>129</v>
      </c>
      <c r="C16" s="835"/>
      <c r="D16" s="121"/>
      <c r="E16" s="29">
        <v>0</v>
      </c>
      <c r="F16" s="30">
        <v>1</v>
      </c>
      <c r="G16" s="28">
        <f>E16*F16</f>
        <v>0</v>
      </c>
      <c r="H16" s="129">
        <f>G16+D16</f>
        <v>0</v>
      </c>
      <c r="K16" s="653" t="s">
        <v>239</v>
      </c>
      <c r="L16" s="653"/>
      <c r="M16" s="224"/>
    </row>
    <row r="17" spans="1:13" ht="15.75" customHeight="1">
      <c r="A17" s="683"/>
      <c r="B17" s="657" t="s">
        <v>60</v>
      </c>
      <c r="C17" s="658"/>
      <c r="D17" s="654"/>
      <c r="E17" s="655"/>
      <c r="F17" s="655"/>
      <c r="G17" s="655"/>
      <c r="H17" s="656"/>
      <c r="I17" s="21"/>
      <c r="K17" s="650" t="s">
        <v>542</v>
      </c>
      <c r="L17" s="650"/>
      <c r="M17" s="223">
        <f>+M15</f>
        <v>107477705.94281723</v>
      </c>
    </row>
    <row r="18" spans="1:16" ht="14.25" customHeight="1">
      <c r="A18" s="683"/>
      <c r="B18" s="834" t="s">
        <v>61</v>
      </c>
      <c r="C18" s="835"/>
      <c r="D18" s="122">
        <f>H12/100</f>
        <v>1074777.0594281722</v>
      </c>
      <c r="E18" s="113">
        <v>0</v>
      </c>
      <c r="F18" s="114">
        <v>1</v>
      </c>
      <c r="G18" s="115">
        <f>E18*F18</f>
        <v>0</v>
      </c>
      <c r="H18" s="129">
        <f>G18+D18</f>
        <v>1074777.0594281722</v>
      </c>
      <c r="I18" s="1" t="s">
        <v>543</v>
      </c>
      <c r="K18" s="167" t="s">
        <v>540</v>
      </c>
      <c r="L18" s="167"/>
      <c r="M18" s="167"/>
      <c r="O18" s="167"/>
      <c r="P18" s="167"/>
    </row>
    <row r="19" spans="1:16" ht="14.25" customHeight="1">
      <c r="A19" s="683"/>
      <c r="B19" s="657" t="s">
        <v>62</v>
      </c>
      <c r="C19" s="658"/>
      <c r="D19" s="689"/>
      <c r="E19" s="690"/>
      <c r="F19" s="690"/>
      <c r="G19" s="690"/>
      <c r="H19" s="691"/>
      <c r="I19" s="21"/>
      <c r="K19" s="659"/>
      <c r="L19" s="659"/>
      <c r="M19" s="659"/>
      <c r="O19" s="167"/>
      <c r="P19" s="167"/>
    </row>
    <row r="20" spans="1:16" ht="16.5" customHeight="1">
      <c r="A20" s="683"/>
      <c r="B20" s="839" t="s">
        <v>63</v>
      </c>
      <c r="C20" s="840"/>
      <c r="D20" s="122">
        <v>0</v>
      </c>
      <c r="E20" s="113">
        <v>0</v>
      </c>
      <c r="F20" s="114">
        <v>1</v>
      </c>
      <c r="G20" s="115">
        <f>E20*F20</f>
        <v>0</v>
      </c>
      <c r="H20" s="129">
        <v>0</v>
      </c>
      <c r="I20" s="138" t="s">
        <v>594</v>
      </c>
      <c r="K20" s="119"/>
      <c r="M20" s="39"/>
      <c r="O20" s="167"/>
      <c r="P20" s="167"/>
    </row>
    <row r="21" spans="1:16" ht="18" customHeight="1">
      <c r="A21" s="683"/>
      <c r="B21" s="841" t="s">
        <v>64</v>
      </c>
      <c r="C21" s="840"/>
      <c r="D21" s="122">
        <v>0</v>
      </c>
      <c r="E21" s="430">
        <v>0</v>
      </c>
      <c r="F21" s="30">
        <v>0</v>
      </c>
      <c r="G21" s="28">
        <f>E21*F21</f>
        <v>0</v>
      </c>
      <c r="H21" s="129">
        <f>G21+D21</f>
        <v>0</v>
      </c>
      <c r="I21" s="431"/>
      <c r="K21" s="173"/>
      <c r="L21" s="174"/>
      <c r="M21" s="173"/>
      <c r="N21" s="167"/>
      <c r="O21" s="167"/>
      <c r="P21" s="167"/>
    </row>
    <row r="22" spans="1:16" ht="16.5" customHeight="1">
      <c r="A22" s="683"/>
      <c r="B22" s="672" t="s">
        <v>65</v>
      </c>
      <c r="C22" s="673"/>
      <c r="D22" s="123">
        <f>SUM(D24:D25,D27:D29,D31:D32,D34:D45,D47:D55,D57:D63,D65:D67,D69:D74,D76:D77,D79:D82,D84:D85)</f>
        <v>28511301</v>
      </c>
      <c r="E22" s="27"/>
      <c r="F22" s="61"/>
      <c r="G22" s="27"/>
      <c r="H22" s="130">
        <f>SUM(H24:H25,H27:H29,H31:H32,H34:H45,H47:H55,H57:H63,H65:H67,H69:H74,H76:H77,H79:H82,H84:H85)</f>
        <v>28561301</v>
      </c>
      <c r="I22" s="21"/>
      <c r="K22" s="173"/>
      <c r="L22" s="174"/>
      <c r="M22" s="173"/>
      <c r="N22" s="167"/>
      <c r="O22" s="167"/>
      <c r="P22" s="167"/>
    </row>
    <row r="23" spans="1:16" ht="14.25" customHeight="1">
      <c r="A23" s="683"/>
      <c r="B23" s="842" t="s">
        <v>66</v>
      </c>
      <c r="C23" s="843"/>
      <c r="D23" s="654"/>
      <c r="E23" s="655"/>
      <c r="F23" s="655"/>
      <c r="G23" s="655"/>
      <c r="H23" s="656"/>
      <c r="I23" s="105"/>
      <c r="K23" s="167"/>
      <c r="L23" s="167"/>
      <c r="M23" s="167"/>
      <c r="N23" s="167"/>
      <c r="O23" s="167"/>
      <c r="P23" s="167"/>
    </row>
    <row r="24" spans="1:10" ht="15.75" customHeight="1">
      <c r="A24" s="683"/>
      <c r="B24" s="837" t="s">
        <v>67</v>
      </c>
      <c r="C24" s="838"/>
      <c r="D24" s="844">
        <v>5634145</v>
      </c>
      <c r="E24" s="430">
        <f>1600*1.037</f>
        <v>1659.1999999999998</v>
      </c>
      <c r="F24" s="470">
        <f>11*21*14</f>
        <v>3234</v>
      </c>
      <c r="G24" s="433">
        <f>E24*F24</f>
        <v>5365852.8</v>
      </c>
      <c r="H24" s="129">
        <v>5634145</v>
      </c>
      <c r="I24" s="103" t="s">
        <v>544</v>
      </c>
      <c r="J24" s="244"/>
    </row>
    <row r="25" spans="1:9" ht="15.75" customHeight="1">
      <c r="A25" s="683"/>
      <c r="B25" s="837" t="s">
        <v>117</v>
      </c>
      <c r="C25" s="838"/>
      <c r="D25" s="467">
        <v>6097560</v>
      </c>
      <c r="E25" s="430">
        <v>700</v>
      </c>
      <c r="F25" s="470">
        <v>48</v>
      </c>
      <c r="G25" s="433">
        <f>E25*F25</f>
        <v>33600</v>
      </c>
      <c r="H25" s="129">
        <v>6097560</v>
      </c>
      <c r="I25" s="469" t="s">
        <v>535</v>
      </c>
    </row>
    <row r="26" spans="1:9" ht="12.75" customHeight="1">
      <c r="A26" s="683"/>
      <c r="B26" s="842" t="s">
        <v>68</v>
      </c>
      <c r="C26" s="843"/>
      <c r="D26" s="654"/>
      <c r="E26" s="655"/>
      <c r="F26" s="655"/>
      <c r="G26" s="655"/>
      <c r="H26" s="656"/>
      <c r="I26" s="21"/>
    </row>
    <row r="27" spans="1:13" ht="16.5" customHeight="1">
      <c r="A27" s="683"/>
      <c r="B27" s="834" t="s">
        <v>116</v>
      </c>
      <c r="C27" s="835"/>
      <c r="D27" s="122"/>
      <c r="E27" s="29">
        <v>0</v>
      </c>
      <c r="F27" s="30">
        <v>1</v>
      </c>
      <c r="G27" s="28">
        <f>E27*F27</f>
        <v>0</v>
      </c>
      <c r="H27" s="129"/>
      <c r="I27" s="21"/>
      <c r="K27" s="102"/>
      <c r="L27" s="1" t="s">
        <v>592</v>
      </c>
      <c r="M27" s="102"/>
    </row>
    <row r="28" spans="1:14" ht="18" customHeight="1">
      <c r="A28" s="683"/>
      <c r="B28" s="834" t="s">
        <v>69</v>
      </c>
      <c r="C28" s="835"/>
      <c r="D28" s="467">
        <f>E28*F28</f>
        <v>151920</v>
      </c>
      <c r="E28" s="430">
        <v>18990</v>
      </c>
      <c r="F28" s="470">
        <v>8</v>
      </c>
      <c r="G28" s="433">
        <f>D28+50000</f>
        <v>201920</v>
      </c>
      <c r="H28" s="129">
        <f>G28</f>
        <v>201920</v>
      </c>
      <c r="I28" s="468" t="s">
        <v>536</v>
      </c>
      <c r="J28" s="102"/>
      <c r="K28" s="102"/>
      <c r="N28" s="102"/>
    </row>
    <row r="29" spans="1:9" ht="13.5" customHeight="1">
      <c r="A29" s="683"/>
      <c r="B29" s="834" t="s">
        <v>70</v>
      </c>
      <c r="C29" s="835"/>
      <c r="D29" s="467">
        <f>E29*F29</f>
        <v>40220</v>
      </c>
      <c r="E29" s="430">
        <v>20110</v>
      </c>
      <c r="F29" s="470">
        <v>2</v>
      </c>
      <c r="G29" s="433">
        <f>E29*F29</f>
        <v>40220</v>
      </c>
      <c r="H29" s="129">
        <f>G29</f>
        <v>40220</v>
      </c>
      <c r="I29" s="469" t="s">
        <v>537</v>
      </c>
    </row>
    <row r="30" spans="1:8" ht="14.25" customHeight="1">
      <c r="A30" s="683"/>
      <c r="B30" s="842" t="s">
        <v>71</v>
      </c>
      <c r="C30" s="843"/>
      <c r="D30" s="666"/>
      <c r="E30" s="667"/>
      <c r="F30" s="667"/>
      <c r="G30" s="667"/>
      <c r="H30" s="668"/>
    </row>
    <row r="31" spans="1:8" ht="12.75" customHeight="1">
      <c r="A31" s="683"/>
      <c r="B31" s="837" t="s">
        <v>72</v>
      </c>
      <c r="C31" s="838"/>
      <c r="D31" s="122">
        <v>0</v>
      </c>
      <c r="E31" s="29">
        <v>0</v>
      </c>
      <c r="F31" s="30">
        <v>1</v>
      </c>
      <c r="G31" s="28">
        <f>E31*F31</f>
        <v>0</v>
      </c>
      <c r="H31" s="129">
        <f>G31+D31</f>
        <v>0</v>
      </c>
    </row>
    <row r="32" spans="1:8" ht="18">
      <c r="A32" s="683"/>
      <c r="B32" s="834" t="s">
        <v>73</v>
      </c>
      <c r="C32" s="835"/>
      <c r="D32" s="122">
        <v>0</v>
      </c>
      <c r="E32" s="29">
        <v>0</v>
      </c>
      <c r="F32" s="30">
        <v>1</v>
      </c>
      <c r="G32" s="28">
        <f>E32*F32</f>
        <v>0</v>
      </c>
      <c r="H32" s="129">
        <f>G32+D32</f>
        <v>0</v>
      </c>
    </row>
    <row r="33" spans="1:8" ht="18">
      <c r="A33" s="683"/>
      <c r="B33" s="842" t="s">
        <v>74</v>
      </c>
      <c r="C33" s="843"/>
      <c r="D33" s="654"/>
      <c r="E33" s="655"/>
      <c r="F33" s="655"/>
      <c r="G33" s="655"/>
      <c r="H33" s="656"/>
    </row>
    <row r="34" spans="1:8" ht="18">
      <c r="A34" s="683"/>
      <c r="B34" s="837" t="s">
        <v>176</v>
      </c>
      <c r="C34" s="838"/>
      <c r="D34" s="845"/>
      <c r="E34" s="29"/>
      <c r="F34" s="30"/>
      <c r="G34" s="28"/>
      <c r="H34" s="129"/>
    </row>
    <row r="35" spans="1:10" ht="18">
      <c r="A35" s="683"/>
      <c r="B35" s="837" t="s">
        <v>75</v>
      </c>
      <c r="C35" s="838"/>
      <c r="D35" s="846">
        <v>600000</v>
      </c>
      <c r="E35" s="430">
        <v>0</v>
      </c>
      <c r="F35" s="470">
        <v>1</v>
      </c>
      <c r="G35" s="433">
        <f aca="true" t="shared" si="0" ref="G35:G44">E35*F35</f>
        <v>0</v>
      </c>
      <c r="H35" s="129">
        <f>D35</f>
        <v>600000</v>
      </c>
      <c r="I35" s="103" t="s">
        <v>588</v>
      </c>
      <c r="J35" s="102"/>
    </row>
    <row r="36" spans="1:10" ht="12.75">
      <c r="A36" s="683"/>
      <c r="B36" s="847" t="s">
        <v>131</v>
      </c>
      <c r="C36" s="848"/>
      <c r="D36" s="162"/>
      <c r="E36" s="29"/>
      <c r="F36" s="30"/>
      <c r="G36" s="28"/>
      <c r="H36" s="129"/>
      <c r="J36" s="102"/>
    </row>
    <row r="37" spans="1:10" ht="18">
      <c r="A37" s="683"/>
      <c r="B37" s="837" t="s">
        <v>76</v>
      </c>
      <c r="C37" s="838"/>
      <c r="D37" s="845">
        <v>67197</v>
      </c>
      <c r="E37" s="473">
        <v>10800</v>
      </c>
      <c r="F37" s="30">
        <v>6</v>
      </c>
      <c r="G37" s="474">
        <f t="shared" si="0"/>
        <v>64800</v>
      </c>
      <c r="H37" s="129">
        <v>67197</v>
      </c>
      <c r="I37" s="1" t="s">
        <v>546</v>
      </c>
      <c r="J37" s="102"/>
    </row>
    <row r="38" spans="1:12" ht="18">
      <c r="A38" s="683"/>
      <c r="B38" s="837" t="s">
        <v>77</v>
      </c>
      <c r="C38" s="838"/>
      <c r="D38" s="849">
        <v>0</v>
      </c>
      <c r="E38" s="29">
        <v>0</v>
      </c>
      <c r="F38" s="30">
        <v>1</v>
      </c>
      <c r="G38" s="28">
        <f t="shared" si="0"/>
        <v>0</v>
      </c>
      <c r="H38" s="129">
        <f>G38+D38</f>
        <v>0</v>
      </c>
      <c r="I38" s="102"/>
      <c r="J38" s="102"/>
      <c r="L38" s="119"/>
    </row>
    <row r="39" spans="1:10" ht="12.75">
      <c r="A39" s="683"/>
      <c r="B39" s="847" t="s">
        <v>78</v>
      </c>
      <c r="C39" s="848"/>
      <c r="D39" s="122">
        <f>E39*F39</f>
        <v>84000</v>
      </c>
      <c r="E39" s="29">
        <v>14000</v>
      </c>
      <c r="F39" s="30">
        <v>6</v>
      </c>
      <c r="G39" s="28">
        <f t="shared" si="0"/>
        <v>84000</v>
      </c>
      <c r="H39" s="129">
        <f>G39</f>
        <v>84000</v>
      </c>
      <c r="I39" s="1" t="s">
        <v>468</v>
      </c>
      <c r="J39" s="102"/>
    </row>
    <row r="40" spans="1:10" ht="18">
      <c r="A40" s="683"/>
      <c r="B40" s="837" t="s">
        <v>118</v>
      </c>
      <c r="C40" s="838"/>
      <c r="D40" s="849">
        <v>0</v>
      </c>
      <c r="E40" s="29">
        <v>0</v>
      </c>
      <c r="F40" s="30">
        <v>1</v>
      </c>
      <c r="G40" s="28">
        <f t="shared" si="0"/>
        <v>0</v>
      </c>
      <c r="H40" s="129">
        <f>G40+D40</f>
        <v>0</v>
      </c>
      <c r="I40" s="102"/>
      <c r="J40" s="102"/>
    </row>
    <row r="41" spans="1:13" ht="18">
      <c r="A41" s="683"/>
      <c r="B41" s="837" t="s">
        <v>123</v>
      </c>
      <c r="C41" s="838"/>
      <c r="D41" s="849"/>
      <c r="E41" s="29">
        <v>0</v>
      </c>
      <c r="F41" s="30">
        <v>1</v>
      </c>
      <c r="G41" s="28">
        <f t="shared" si="0"/>
        <v>0</v>
      </c>
      <c r="H41" s="129"/>
      <c r="J41" s="102"/>
      <c r="K41" s="102"/>
      <c r="L41" s="102"/>
      <c r="M41" s="102"/>
    </row>
    <row r="42" spans="1:9" ht="18">
      <c r="A42" s="683"/>
      <c r="B42" s="837" t="s">
        <v>79</v>
      </c>
      <c r="C42" s="838"/>
      <c r="D42" s="844">
        <v>1200000</v>
      </c>
      <c r="E42" s="430">
        <v>0</v>
      </c>
      <c r="F42" s="470">
        <v>1</v>
      </c>
      <c r="G42" s="433">
        <f t="shared" si="0"/>
        <v>0</v>
      </c>
      <c r="H42" s="129">
        <f>D42</f>
        <v>1200000</v>
      </c>
      <c r="I42" s="103" t="s">
        <v>545</v>
      </c>
    </row>
    <row r="43" spans="1:9" ht="18">
      <c r="A43" s="683"/>
      <c r="B43" s="837" t="s">
        <v>80</v>
      </c>
      <c r="C43" s="838"/>
      <c r="D43" s="849">
        <v>637526</v>
      </c>
      <c r="E43" s="29">
        <v>0</v>
      </c>
      <c r="F43" s="30">
        <v>1</v>
      </c>
      <c r="G43" s="28">
        <f t="shared" si="0"/>
        <v>0</v>
      </c>
      <c r="H43" s="129">
        <v>637526</v>
      </c>
      <c r="I43" s="102" t="s">
        <v>589</v>
      </c>
    </row>
    <row r="44" spans="1:9" ht="18">
      <c r="A44" s="683"/>
      <c r="B44" s="837" t="s">
        <v>81</v>
      </c>
      <c r="C44" s="838"/>
      <c r="D44" s="122">
        <v>500000</v>
      </c>
      <c r="E44" s="29">
        <v>0</v>
      </c>
      <c r="F44" s="30">
        <v>1</v>
      </c>
      <c r="G44" s="28">
        <f t="shared" si="0"/>
        <v>0</v>
      </c>
      <c r="H44" s="129">
        <f>D44</f>
        <v>500000</v>
      </c>
      <c r="I44" s="1" t="s">
        <v>469</v>
      </c>
    </row>
    <row r="45" spans="1:13" ht="18">
      <c r="A45" s="683"/>
      <c r="B45" s="837" t="s">
        <v>119</v>
      </c>
      <c r="C45" s="838"/>
      <c r="D45" s="849"/>
      <c r="E45" s="29"/>
      <c r="F45" s="30"/>
      <c r="G45" s="28"/>
      <c r="H45" s="129"/>
      <c r="K45" s="4"/>
      <c r="L45" s="4"/>
      <c r="M45" s="4"/>
    </row>
    <row r="46" spans="1:11" s="4" customFormat="1" ht="18">
      <c r="A46" s="683"/>
      <c r="B46" s="842" t="s">
        <v>82</v>
      </c>
      <c r="C46" s="843"/>
      <c r="D46" s="654"/>
      <c r="E46" s="655"/>
      <c r="F46" s="655"/>
      <c r="G46" s="655"/>
      <c r="H46" s="656"/>
      <c r="J46" s="702" t="s">
        <v>581</v>
      </c>
      <c r="K46" s="703"/>
    </row>
    <row r="47" spans="1:13" s="4" customFormat="1" ht="18">
      <c r="A47" s="683"/>
      <c r="B47" s="834" t="s">
        <v>130</v>
      </c>
      <c r="C47" s="835"/>
      <c r="D47" s="849">
        <v>963289</v>
      </c>
      <c r="E47" s="29">
        <v>0</v>
      </c>
      <c r="F47" s="31">
        <v>1</v>
      </c>
      <c r="G47" s="28">
        <f>E47*F47</f>
        <v>0</v>
      </c>
      <c r="H47" s="129">
        <v>963289</v>
      </c>
      <c r="I47" s="139" t="s">
        <v>539</v>
      </c>
      <c r="J47" s="266" t="s">
        <v>130</v>
      </c>
      <c r="K47" s="384">
        <v>963289</v>
      </c>
      <c r="L47" s="1"/>
      <c r="M47" s="1"/>
    </row>
    <row r="48" spans="1:11" ht="18">
      <c r="A48" s="683"/>
      <c r="B48" s="834" t="s">
        <v>40</v>
      </c>
      <c r="C48" s="835"/>
      <c r="D48" s="849">
        <v>1321781</v>
      </c>
      <c r="E48" s="29">
        <v>0</v>
      </c>
      <c r="F48" s="30">
        <v>1</v>
      </c>
      <c r="G48" s="28">
        <f aca="true" t="shared" si="1" ref="G48:G55">E48*F48</f>
        <v>0</v>
      </c>
      <c r="H48" s="129">
        <v>1321781</v>
      </c>
      <c r="I48" s="139" t="s">
        <v>539</v>
      </c>
      <c r="J48" s="266" t="s">
        <v>40</v>
      </c>
      <c r="K48" s="384">
        <v>1321781</v>
      </c>
    </row>
    <row r="49" spans="1:11" ht="18">
      <c r="A49" s="683"/>
      <c r="B49" s="834" t="s">
        <v>41</v>
      </c>
      <c r="C49" s="835"/>
      <c r="D49" s="849">
        <f>K49</f>
        <v>816000</v>
      </c>
      <c r="E49" s="29">
        <v>0</v>
      </c>
      <c r="F49" s="30">
        <v>1</v>
      </c>
      <c r="G49" s="28">
        <f t="shared" si="1"/>
        <v>0</v>
      </c>
      <c r="H49" s="129">
        <f>D49</f>
        <v>816000</v>
      </c>
      <c r="I49" s="139" t="s">
        <v>539</v>
      </c>
      <c r="J49" s="266" t="s">
        <v>41</v>
      </c>
      <c r="K49" s="384">
        <v>816000</v>
      </c>
    </row>
    <row r="50" spans="1:11" ht="18">
      <c r="A50" s="683"/>
      <c r="B50" s="834" t="s">
        <v>83</v>
      </c>
      <c r="C50" s="835"/>
      <c r="D50" s="122">
        <v>0</v>
      </c>
      <c r="E50" s="29">
        <v>0</v>
      </c>
      <c r="F50" s="30">
        <v>1</v>
      </c>
      <c r="G50" s="28">
        <f t="shared" si="1"/>
        <v>0</v>
      </c>
      <c r="H50" s="129">
        <f>G50+D50</f>
        <v>0</v>
      </c>
      <c r="I50" s="102"/>
      <c r="J50" s="266" t="s">
        <v>83</v>
      </c>
      <c r="K50" s="384">
        <v>0</v>
      </c>
    </row>
    <row r="51" spans="1:11" ht="18">
      <c r="A51" s="683"/>
      <c r="B51" s="834" t="s">
        <v>84</v>
      </c>
      <c r="C51" s="835"/>
      <c r="D51" s="263">
        <v>342752</v>
      </c>
      <c r="E51" s="29">
        <v>0</v>
      </c>
      <c r="F51" s="30">
        <v>1</v>
      </c>
      <c r="G51" s="28">
        <f t="shared" si="1"/>
        <v>0</v>
      </c>
      <c r="H51" s="129">
        <v>342752</v>
      </c>
      <c r="I51" s="116" t="s">
        <v>500</v>
      </c>
      <c r="J51" s="266" t="s">
        <v>84</v>
      </c>
      <c r="K51" s="384">
        <v>342752</v>
      </c>
    </row>
    <row r="52" spans="1:11" ht="18">
      <c r="A52" s="683"/>
      <c r="B52" s="834" t="s">
        <v>85</v>
      </c>
      <c r="C52" s="835"/>
      <c r="D52" s="849"/>
      <c r="E52" s="29">
        <v>0</v>
      </c>
      <c r="F52" s="30">
        <v>1</v>
      </c>
      <c r="G52" s="28">
        <f t="shared" si="1"/>
        <v>0</v>
      </c>
      <c r="H52" s="129"/>
      <c r="I52" s="163"/>
      <c r="J52" s="266" t="s">
        <v>85</v>
      </c>
      <c r="K52" s="384"/>
    </row>
    <row r="53" spans="1:12" ht="18">
      <c r="A53" s="683"/>
      <c r="B53" s="834" t="s">
        <v>86</v>
      </c>
      <c r="C53" s="835"/>
      <c r="D53" s="122">
        <v>268363</v>
      </c>
      <c r="E53" s="29">
        <v>0</v>
      </c>
      <c r="F53" s="30">
        <v>1</v>
      </c>
      <c r="G53" s="28">
        <f t="shared" si="1"/>
        <v>0</v>
      </c>
      <c r="H53" s="129">
        <v>268363</v>
      </c>
      <c r="I53" s="1" t="s">
        <v>501</v>
      </c>
      <c r="J53" s="266" t="s">
        <v>86</v>
      </c>
      <c r="K53" s="384">
        <v>268363</v>
      </c>
      <c r="L53" s="1" t="s">
        <v>354</v>
      </c>
    </row>
    <row r="54" spans="1:8" ht="18">
      <c r="A54" s="683"/>
      <c r="B54" s="834" t="s">
        <v>87</v>
      </c>
      <c r="C54" s="835"/>
      <c r="D54" s="122">
        <v>0</v>
      </c>
      <c r="E54" s="29">
        <v>0</v>
      </c>
      <c r="F54" s="30">
        <v>1</v>
      </c>
      <c r="G54" s="28">
        <f t="shared" si="1"/>
        <v>0</v>
      </c>
      <c r="H54" s="129">
        <f>G54+D54</f>
        <v>0</v>
      </c>
    </row>
    <row r="55" spans="1:9" ht="18">
      <c r="A55" s="683"/>
      <c r="B55" s="834" t="s">
        <v>88</v>
      </c>
      <c r="C55" s="835"/>
      <c r="D55" s="467">
        <f>E55*F55</f>
        <v>366360</v>
      </c>
      <c r="E55" s="430">
        <v>30530</v>
      </c>
      <c r="F55" s="470">
        <v>12</v>
      </c>
      <c r="G55" s="433">
        <f t="shared" si="1"/>
        <v>366360</v>
      </c>
      <c r="H55" s="129">
        <f>G55</f>
        <v>366360</v>
      </c>
      <c r="I55" s="103" t="s">
        <v>625</v>
      </c>
    </row>
    <row r="56" spans="1:8" ht="18">
      <c r="A56" s="683"/>
      <c r="B56" s="657" t="s">
        <v>89</v>
      </c>
      <c r="C56" s="658"/>
      <c r="D56" s="654"/>
      <c r="E56" s="655"/>
      <c r="F56" s="655"/>
      <c r="G56" s="655"/>
      <c r="H56" s="656"/>
    </row>
    <row r="57" spans="1:9" ht="18">
      <c r="A57" s="683"/>
      <c r="B57" s="837" t="s">
        <v>90</v>
      </c>
      <c r="C57" s="838"/>
      <c r="D57" s="850">
        <v>500000</v>
      </c>
      <c r="E57" s="430"/>
      <c r="F57" s="432"/>
      <c r="G57" s="433"/>
      <c r="H57" s="129">
        <f>D57</f>
        <v>500000</v>
      </c>
      <c r="I57" s="102"/>
    </row>
    <row r="58" spans="1:8" ht="18">
      <c r="A58" s="683"/>
      <c r="B58" s="837" t="s">
        <v>91</v>
      </c>
      <c r="C58" s="838"/>
      <c r="D58" s="122">
        <v>0</v>
      </c>
      <c r="E58" s="29">
        <v>0</v>
      </c>
      <c r="F58" s="30">
        <v>1</v>
      </c>
      <c r="G58" s="28">
        <f aca="true" t="shared" si="2" ref="G58:G63">E58*F58</f>
        <v>0</v>
      </c>
      <c r="H58" s="129">
        <f>G58+D58</f>
        <v>0</v>
      </c>
    </row>
    <row r="59" spans="1:9" ht="18">
      <c r="A59" s="683"/>
      <c r="B59" s="837" t="s">
        <v>92</v>
      </c>
      <c r="C59" s="838"/>
      <c r="D59" s="122">
        <v>0</v>
      </c>
      <c r="E59" s="29">
        <v>0</v>
      </c>
      <c r="F59" s="30">
        <v>1</v>
      </c>
      <c r="G59" s="28">
        <f t="shared" si="2"/>
        <v>0</v>
      </c>
      <c r="H59" s="129">
        <f>G59+D59</f>
        <v>0</v>
      </c>
      <c r="I59" s="119"/>
    </row>
    <row r="60" spans="1:8" ht="18">
      <c r="A60" s="683"/>
      <c r="B60" s="837" t="s">
        <v>93</v>
      </c>
      <c r="C60" s="838"/>
      <c r="D60" s="122">
        <v>0</v>
      </c>
      <c r="E60" s="29">
        <v>0</v>
      </c>
      <c r="F60" s="30">
        <v>1</v>
      </c>
      <c r="G60" s="28">
        <f t="shared" si="2"/>
        <v>0</v>
      </c>
      <c r="H60" s="129">
        <f>G60+D60</f>
        <v>0</v>
      </c>
    </row>
    <row r="61" spans="1:8" ht="18">
      <c r="A61" s="683"/>
      <c r="B61" s="837" t="s">
        <v>94</v>
      </c>
      <c r="C61" s="838"/>
      <c r="D61" s="122">
        <v>0</v>
      </c>
      <c r="E61" s="29">
        <v>0</v>
      </c>
      <c r="F61" s="30">
        <v>1</v>
      </c>
      <c r="G61" s="28">
        <f t="shared" si="2"/>
        <v>0</v>
      </c>
      <c r="H61" s="129">
        <f>G61+D61</f>
        <v>0</v>
      </c>
    </row>
    <row r="62" spans="1:8" ht="18">
      <c r="A62" s="683"/>
      <c r="B62" s="837" t="s">
        <v>95</v>
      </c>
      <c r="C62" s="838"/>
      <c r="D62" s="122">
        <v>0</v>
      </c>
      <c r="E62" s="29">
        <v>0</v>
      </c>
      <c r="F62" s="30">
        <v>1</v>
      </c>
      <c r="G62" s="28">
        <f t="shared" si="2"/>
        <v>0</v>
      </c>
      <c r="H62" s="129">
        <f>G62+D62</f>
        <v>0</v>
      </c>
    </row>
    <row r="63" spans="1:9" ht="18">
      <c r="A63" s="683"/>
      <c r="B63" s="837" t="s">
        <v>96</v>
      </c>
      <c r="C63" s="838"/>
      <c r="D63" s="122">
        <v>326740</v>
      </c>
      <c r="E63" s="29">
        <v>0</v>
      </c>
      <c r="F63" s="30">
        <v>1</v>
      </c>
      <c r="G63" s="28">
        <f t="shared" si="2"/>
        <v>0</v>
      </c>
      <c r="H63" s="129">
        <v>326740</v>
      </c>
      <c r="I63" s="1" t="s">
        <v>547</v>
      </c>
    </row>
    <row r="64" spans="1:8" ht="18">
      <c r="A64" s="683"/>
      <c r="B64" s="657" t="s">
        <v>97</v>
      </c>
      <c r="C64" s="658"/>
      <c r="D64" s="654"/>
      <c r="E64" s="655"/>
      <c r="F64" s="655"/>
      <c r="G64" s="655"/>
      <c r="H64" s="656"/>
    </row>
    <row r="65" spans="1:8" ht="18">
      <c r="A65" s="683"/>
      <c r="B65" s="834" t="s">
        <v>98</v>
      </c>
      <c r="C65" s="835"/>
      <c r="D65" s="122">
        <v>0</v>
      </c>
      <c r="E65" s="29">
        <v>0</v>
      </c>
      <c r="F65" s="30">
        <v>1</v>
      </c>
      <c r="G65" s="28">
        <f>E65*F65</f>
        <v>0</v>
      </c>
      <c r="H65" s="129">
        <f>G65+D65</f>
        <v>0</v>
      </c>
    </row>
    <row r="66" spans="1:11" ht="18">
      <c r="A66" s="683"/>
      <c r="B66" s="834" t="s">
        <v>99</v>
      </c>
      <c r="C66" s="835"/>
      <c r="D66" s="467">
        <f>E66*F66</f>
        <v>400000</v>
      </c>
      <c r="E66" s="430">
        <v>3200</v>
      </c>
      <c r="F66" s="470">
        <v>125</v>
      </c>
      <c r="G66" s="433">
        <f>E66*F66</f>
        <v>400000</v>
      </c>
      <c r="H66" s="129">
        <f>D66</f>
        <v>400000</v>
      </c>
      <c r="I66" s="103" t="s">
        <v>658</v>
      </c>
      <c r="J66" s="471"/>
      <c r="K66" s="103"/>
    </row>
    <row r="67" spans="1:8" ht="18">
      <c r="A67" s="683"/>
      <c r="B67" s="834" t="s">
        <v>100</v>
      </c>
      <c r="C67" s="835"/>
      <c r="D67" s="122">
        <v>0</v>
      </c>
      <c r="E67" s="29">
        <v>0</v>
      </c>
      <c r="F67" s="30">
        <v>1</v>
      </c>
      <c r="G67" s="28">
        <f>E67*F67</f>
        <v>0</v>
      </c>
      <c r="H67" s="129">
        <f>G67+D67</f>
        <v>0</v>
      </c>
    </row>
    <row r="68" spans="1:8" ht="18">
      <c r="A68" s="683"/>
      <c r="B68" s="657" t="s">
        <v>42</v>
      </c>
      <c r="C68" s="658"/>
      <c r="D68" s="654"/>
      <c r="E68" s="655"/>
      <c r="F68" s="655"/>
      <c r="G68" s="655"/>
      <c r="H68" s="656"/>
    </row>
    <row r="69" spans="1:10" ht="18">
      <c r="A69" s="683"/>
      <c r="B69" s="837" t="s">
        <v>132</v>
      </c>
      <c r="C69" s="838"/>
      <c r="D69" s="122"/>
      <c r="E69" s="29">
        <v>0</v>
      </c>
      <c r="F69" s="30">
        <v>1</v>
      </c>
      <c r="G69" s="28">
        <f aca="true" t="shared" si="3" ref="G69:G74">E69*F69</f>
        <v>0</v>
      </c>
      <c r="H69" s="129">
        <f>G69+D69</f>
        <v>0</v>
      </c>
      <c r="J69" s="102"/>
    </row>
    <row r="70" spans="1:10" ht="18">
      <c r="A70" s="683"/>
      <c r="B70" s="834" t="s">
        <v>101</v>
      </c>
      <c r="C70" s="835"/>
      <c r="D70" s="849">
        <v>2169734</v>
      </c>
      <c r="E70" s="29">
        <v>0</v>
      </c>
      <c r="F70" s="30">
        <v>1</v>
      </c>
      <c r="G70" s="28">
        <f t="shared" si="3"/>
        <v>0</v>
      </c>
      <c r="H70" s="129">
        <v>2169734</v>
      </c>
      <c r="I70" s="1" t="s">
        <v>470</v>
      </c>
      <c r="J70" s="102"/>
    </row>
    <row r="71" spans="1:10" ht="18">
      <c r="A71" s="683"/>
      <c r="B71" s="834" t="s">
        <v>102</v>
      </c>
      <c r="C71" s="835"/>
      <c r="D71" s="122">
        <v>0</v>
      </c>
      <c r="E71" s="29">
        <v>0</v>
      </c>
      <c r="F71" s="30">
        <v>1</v>
      </c>
      <c r="G71" s="28">
        <f t="shared" si="3"/>
        <v>0</v>
      </c>
      <c r="H71" s="129">
        <f>G71+D71</f>
        <v>0</v>
      </c>
      <c r="I71" s="102"/>
      <c r="J71" s="102"/>
    </row>
    <row r="72" spans="1:10" ht="18">
      <c r="A72" s="683"/>
      <c r="B72" s="834" t="s">
        <v>103</v>
      </c>
      <c r="C72" s="835"/>
      <c r="D72" s="849">
        <v>988917</v>
      </c>
      <c r="E72" s="29">
        <v>0</v>
      </c>
      <c r="F72" s="30">
        <v>1</v>
      </c>
      <c r="G72" s="28">
        <f t="shared" si="3"/>
        <v>0</v>
      </c>
      <c r="H72" s="129">
        <v>988917</v>
      </c>
      <c r="I72" s="139" t="s">
        <v>548</v>
      </c>
      <c r="J72" s="102"/>
    </row>
    <row r="73" spans="1:10" ht="18">
      <c r="A73" s="683"/>
      <c r="B73" s="834" t="s">
        <v>104</v>
      </c>
      <c r="C73" s="835"/>
      <c r="D73" s="122"/>
      <c r="E73" s="29">
        <v>0</v>
      </c>
      <c r="F73" s="30">
        <v>1</v>
      </c>
      <c r="G73" s="28">
        <f t="shared" si="3"/>
        <v>0</v>
      </c>
      <c r="H73" s="129">
        <f>G73+D73</f>
        <v>0</v>
      </c>
      <c r="J73" s="102"/>
    </row>
    <row r="74" spans="1:10" ht="18">
      <c r="A74" s="683"/>
      <c r="B74" s="834" t="s">
        <v>506</v>
      </c>
      <c r="C74" s="835"/>
      <c r="D74" s="467">
        <f>E74*F74</f>
        <v>1380000</v>
      </c>
      <c r="E74" s="430">
        <v>10000</v>
      </c>
      <c r="F74" s="470">
        <v>138</v>
      </c>
      <c r="G74" s="433">
        <f t="shared" si="3"/>
        <v>1380000</v>
      </c>
      <c r="H74" s="129">
        <f>D74</f>
        <v>1380000</v>
      </c>
      <c r="I74" s="103" t="s">
        <v>549</v>
      </c>
      <c r="J74" s="102"/>
    </row>
    <row r="75" spans="1:10" ht="18">
      <c r="A75" s="683"/>
      <c r="B75" s="657" t="s">
        <v>106</v>
      </c>
      <c r="C75" s="658"/>
      <c r="D75" s="654"/>
      <c r="E75" s="655"/>
      <c r="F75" s="655"/>
      <c r="G75" s="655"/>
      <c r="H75" s="656"/>
      <c r="I75" s="102"/>
      <c r="J75" s="102"/>
    </row>
    <row r="76" spans="1:11" ht="18">
      <c r="A76" s="683"/>
      <c r="B76" s="834" t="s">
        <v>121</v>
      </c>
      <c r="C76" s="835"/>
      <c r="D76" s="122">
        <v>197460</v>
      </c>
      <c r="E76" s="29">
        <v>0</v>
      </c>
      <c r="F76" s="30">
        <v>1</v>
      </c>
      <c r="G76" s="28">
        <f>F76*E76</f>
        <v>0</v>
      </c>
      <c r="H76" s="129">
        <f>D76</f>
        <v>197460</v>
      </c>
      <c r="J76" s="119"/>
      <c r="K76" s="102"/>
    </row>
    <row r="77" spans="1:12" ht="18">
      <c r="A77" s="683"/>
      <c r="B77" s="834" t="s">
        <v>122</v>
      </c>
      <c r="C77" s="835"/>
      <c r="D77" s="467">
        <v>862784</v>
      </c>
      <c r="E77" s="430">
        <v>6400</v>
      </c>
      <c r="F77" s="470">
        <v>138</v>
      </c>
      <c r="G77" s="433">
        <f>F77*E77</f>
        <v>883200</v>
      </c>
      <c r="H77" s="129">
        <v>862784</v>
      </c>
      <c r="I77" s="103" t="s">
        <v>590</v>
      </c>
      <c r="K77" s="102"/>
      <c r="L77" s="244"/>
    </row>
    <row r="78" spans="1:8" ht="18">
      <c r="A78" s="683"/>
      <c r="B78" s="657" t="s">
        <v>107</v>
      </c>
      <c r="C78" s="658"/>
      <c r="D78" s="654"/>
      <c r="E78" s="655"/>
      <c r="F78" s="655"/>
      <c r="G78" s="655"/>
      <c r="H78" s="656"/>
    </row>
    <row r="79" spans="1:9" ht="18">
      <c r="A79" s="683"/>
      <c r="B79" s="834" t="s">
        <v>108</v>
      </c>
      <c r="C79" s="835"/>
      <c r="D79" s="849">
        <v>162083</v>
      </c>
      <c r="E79" s="113">
        <v>0</v>
      </c>
      <c r="F79" s="114">
        <v>1</v>
      </c>
      <c r="G79" s="115">
        <f>E79*F79</f>
        <v>0</v>
      </c>
      <c r="H79" s="129">
        <v>162083</v>
      </c>
      <c r="I79" s="1" t="s">
        <v>550</v>
      </c>
    </row>
    <row r="80" spans="1:8" ht="18">
      <c r="A80" s="683"/>
      <c r="B80" s="834" t="s">
        <v>109</v>
      </c>
      <c r="C80" s="835"/>
      <c r="D80" s="142">
        <v>0</v>
      </c>
      <c r="E80" s="113">
        <v>0</v>
      </c>
      <c r="F80" s="114">
        <v>1</v>
      </c>
      <c r="G80" s="115">
        <f>E80*F80</f>
        <v>0</v>
      </c>
      <c r="H80" s="129">
        <f>G80+D80</f>
        <v>0</v>
      </c>
    </row>
    <row r="81" spans="1:12" ht="12.75">
      <c r="A81" s="683"/>
      <c r="B81" s="851" t="s">
        <v>110</v>
      </c>
      <c r="C81" s="852"/>
      <c r="D81" s="142">
        <v>0</v>
      </c>
      <c r="E81" s="113">
        <v>0</v>
      </c>
      <c r="F81" s="114">
        <v>1</v>
      </c>
      <c r="G81" s="115">
        <f>E81*F81</f>
        <v>0</v>
      </c>
      <c r="H81" s="129">
        <v>0</v>
      </c>
      <c r="I81" s="1" t="s">
        <v>591</v>
      </c>
      <c r="K81" s="102"/>
      <c r="L81" s="102"/>
    </row>
    <row r="82" spans="1:11" ht="18">
      <c r="A82" s="683"/>
      <c r="B82" s="837" t="s">
        <v>111</v>
      </c>
      <c r="C82" s="838"/>
      <c r="D82" s="142">
        <v>46665</v>
      </c>
      <c r="E82" s="143">
        <v>33000</v>
      </c>
      <c r="F82" s="144">
        <v>1</v>
      </c>
      <c r="G82" s="115">
        <f>E82*F82</f>
        <v>33000</v>
      </c>
      <c r="H82" s="131">
        <v>46665</v>
      </c>
      <c r="I82" s="262" t="s">
        <v>551</v>
      </c>
      <c r="J82" s="244"/>
      <c r="K82" s="102"/>
    </row>
    <row r="83" spans="1:8" ht="18">
      <c r="A83" s="683"/>
      <c r="B83" s="657" t="s">
        <v>112</v>
      </c>
      <c r="C83" s="658"/>
      <c r="D83" s="663"/>
      <c r="E83" s="664"/>
      <c r="F83" s="664"/>
      <c r="G83" s="664"/>
      <c r="H83" s="665"/>
    </row>
    <row r="84" spans="1:10" ht="18">
      <c r="A84" s="683"/>
      <c r="B84" s="837" t="s">
        <v>113</v>
      </c>
      <c r="C84" s="838"/>
      <c r="D84" s="844">
        <v>2385805</v>
      </c>
      <c r="E84" s="430">
        <v>287585</v>
      </c>
      <c r="F84" s="470">
        <v>8</v>
      </c>
      <c r="G84" s="433">
        <f>E84*F84</f>
        <v>2300680</v>
      </c>
      <c r="H84" s="129">
        <v>2385805</v>
      </c>
      <c r="I84" s="116" t="s">
        <v>559</v>
      </c>
      <c r="J84" s="112"/>
    </row>
    <row r="85" spans="1:9" ht="18.75" customHeight="1">
      <c r="A85" s="683"/>
      <c r="B85" s="837" t="s">
        <v>120</v>
      </c>
      <c r="C85" s="838"/>
      <c r="D85" s="849"/>
      <c r="E85" s="29">
        <v>13500</v>
      </c>
      <c r="F85" s="30">
        <v>18</v>
      </c>
      <c r="G85" s="28">
        <f>E85*F85</f>
        <v>243000</v>
      </c>
      <c r="H85" s="129"/>
      <c r="I85" s="1" t="s">
        <v>564</v>
      </c>
    </row>
    <row r="86" spans="1:8" ht="18">
      <c r="A86" s="683"/>
      <c r="B86" s="853" t="s">
        <v>114</v>
      </c>
      <c r="C86" s="854"/>
      <c r="D86" s="123">
        <f>SUM(D87:D91)</f>
        <v>300000</v>
      </c>
      <c r="E86" s="27">
        <f>SUM(E87:E91)</f>
        <v>0</v>
      </c>
      <c r="F86" s="61"/>
      <c r="G86" s="27">
        <f>SUM(G87:G91)</f>
        <v>0</v>
      </c>
      <c r="H86" s="130">
        <f>SUM(H87:H91)</f>
        <v>300000</v>
      </c>
    </row>
    <row r="87" spans="1:8" ht="18">
      <c r="A87" s="683"/>
      <c r="B87" s="855" t="s">
        <v>124</v>
      </c>
      <c r="C87" s="856"/>
      <c r="D87" s="124">
        <v>0</v>
      </c>
      <c r="E87" s="54">
        <v>0</v>
      </c>
      <c r="F87" s="55">
        <v>1</v>
      </c>
      <c r="G87" s="53">
        <f>E87*F87</f>
        <v>0</v>
      </c>
      <c r="H87" s="131">
        <v>0</v>
      </c>
    </row>
    <row r="88" spans="1:8" ht="18">
      <c r="A88" s="683"/>
      <c r="B88" s="855" t="s">
        <v>125</v>
      </c>
      <c r="C88" s="856"/>
      <c r="D88" s="122">
        <v>0</v>
      </c>
      <c r="E88" s="29">
        <v>0</v>
      </c>
      <c r="F88" s="30">
        <v>1</v>
      </c>
      <c r="G88" s="28">
        <f>E88*F88</f>
        <v>0</v>
      </c>
      <c r="H88" s="129">
        <f>G88+D88</f>
        <v>0</v>
      </c>
    </row>
    <row r="89" spans="1:10" ht="18">
      <c r="A89" s="683"/>
      <c r="B89" s="855" t="s">
        <v>126</v>
      </c>
      <c r="C89" s="856"/>
      <c r="D89" s="122">
        <v>300000</v>
      </c>
      <c r="E89" s="29"/>
      <c r="F89" s="30"/>
      <c r="G89" s="28"/>
      <c r="H89" s="129">
        <f>D89</f>
        <v>300000</v>
      </c>
      <c r="I89" s="1" t="s">
        <v>563</v>
      </c>
      <c r="J89" s="102"/>
    </row>
    <row r="90" spans="1:8" ht="18">
      <c r="A90" s="683"/>
      <c r="B90" s="855" t="s">
        <v>127</v>
      </c>
      <c r="C90" s="856"/>
      <c r="D90" s="122">
        <v>0</v>
      </c>
      <c r="E90" s="29">
        <v>0</v>
      </c>
      <c r="F90" s="30">
        <v>1</v>
      </c>
      <c r="G90" s="28">
        <f>E90*F90</f>
        <v>0</v>
      </c>
      <c r="H90" s="129">
        <f>G90+D90</f>
        <v>0</v>
      </c>
    </row>
    <row r="91" spans="1:8" ht="18">
      <c r="A91" s="683"/>
      <c r="B91" s="855" t="s">
        <v>128</v>
      </c>
      <c r="C91" s="856"/>
      <c r="D91" s="122">
        <v>0</v>
      </c>
      <c r="E91" s="54">
        <v>0</v>
      </c>
      <c r="F91" s="55">
        <v>1</v>
      </c>
      <c r="G91" s="53">
        <f>E91*F91</f>
        <v>0</v>
      </c>
      <c r="H91" s="131">
        <f>G91+D91</f>
        <v>0</v>
      </c>
    </row>
    <row r="92" spans="1:8" s="110" customFormat="1" ht="18.75" thickBot="1">
      <c r="A92" s="684"/>
      <c r="B92" s="857" t="s">
        <v>43</v>
      </c>
      <c r="C92" s="858"/>
      <c r="D92" s="125">
        <f>SUM(D9,D22,D86)</f>
        <v>142972635.41403124</v>
      </c>
      <c r="E92" s="107">
        <v>0</v>
      </c>
      <c r="F92" s="108"/>
      <c r="G92" s="109">
        <v>0</v>
      </c>
      <c r="H92" s="132">
        <f>SUM(H86,H22,H9)</f>
        <v>143022635.41403124</v>
      </c>
    </row>
    <row r="93" spans="1:9" ht="15.75" customHeight="1" thickBot="1">
      <c r="A93" s="638" t="s">
        <v>179</v>
      </c>
      <c r="B93" s="669" t="s">
        <v>115</v>
      </c>
      <c r="C93" s="670"/>
      <c r="D93" s="123">
        <f>SUM(D103:D104,D101,D95:D99)</f>
        <v>113832875.20874555</v>
      </c>
      <c r="E93" s="27">
        <f>SUM(E103:E104,E101,E95:E99)</f>
        <v>0</v>
      </c>
      <c r="F93" s="61"/>
      <c r="G93" s="27">
        <f>SUM(G103:G104,G101,G95:G99)</f>
        <v>0</v>
      </c>
      <c r="H93" s="130">
        <f>SUM(H103:H104,H101,H95:H99)</f>
        <v>113832875.20874555</v>
      </c>
      <c r="I93" s="4" t="s">
        <v>179</v>
      </c>
    </row>
    <row r="94" spans="1:16" ht="24" thickBot="1">
      <c r="A94" s="639"/>
      <c r="B94" s="657" t="s">
        <v>56</v>
      </c>
      <c r="C94" s="658"/>
      <c r="D94" s="654"/>
      <c r="E94" s="655"/>
      <c r="F94" s="655"/>
      <c r="G94" s="655"/>
      <c r="H94" s="656"/>
      <c r="I94" s="215" t="s">
        <v>356</v>
      </c>
      <c r="J94" s="216">
        <v>138</v>
      </c>
      <c r="K94" s="671"/>
      <c r="L94" s="671"/>
      <c r="M94" s="671"/>
      <c r="N94" s="167"/>
      <c r="O94" s="167"/>
      <c r="P94" s="167"/>
    </row>
    <row r="95" spans="1:11" ht="18">
      <c r="A95" s="639"/>
      <c r="B95" s="834" t="s">
        <v>57</v>
      </c>
      <c r="C95" s="835"/>
      <c r="D95" s="859">
        <f>M104</f>
        <v>107020279.61558965</v>
      </c>
      <c r="E95" s="29"/>
      <c r="F95" s="30">
        <v>1</v>
      </c>
      <c r="G95" s="28"/>
      <c r="H95" s="129">
        <f>G95+D95</f>
        <v>107020279.61558965</v>
      </c>
      <c r="K95" s="1" t="s">
        <v>552</v>
      </c>
    </row>
    <row r="96" spans="1:17" ht="18">
      <c r="A96" s="639"/>
      <c r="B96" s="834" t="s">
        <v>181</v>
      </c>
      <c r="C96" s="835"/>
      <c r="D96" s="859">
        <f>P96</f>
        <v>1991040</v>
      </c>
      <c r="E96" s="29">
        <v>0</v>
      </c>
      <c r="F96" s="30">
        <v>1</v>
      </c>
      <c r="G96" s="28">
        <f>E96*F96</f>
        <v>0</v>
      </c>
      <c r="H96" s="129">
        <f>G96+D96</f>
        <v>1991040</v>
      </c>
      <c r="I96" s="514" t="s">
        <v>626</v>
      </c>
      <c r="K96" s="649" t="s">
        <v>582</v>
      </c>
      <c r="L96" s="649"/>
      <c r="M96" s="649"/>
      <c r="O96" s="425" t="s">
        <v>228</v>
      </c>
      <c r="P96" s="426">
        <f>'[1]EDUCACIONAL'!$BH$80</f>
        <v>1991040</v>
      </c>
      <c r="Q96" s="103"/>
    </row>
    <row r="97" spans="1:16" ht="18">
      <c r="A97" s="639"/>
      <c r="B97" s="837" t="s">
        <v>58</v>
      </c>
      <c r="C97" s="838"/>
      <c r="D97" s="122"/>
      <c r="E97" s="29">
        <v>0</v>
      </c>
      <c r="F97" s="30">
        <v>1</v>
      </c>
      <c r="G97" s="28">
        <f>E97*F97</f>
        <v>0</v>
      </c>
      <c r="H97" s="129">
        <f>G97+D97</f>
        <v>0</v>
      </c>
      <c r="K97" s="219" t="s">
        <v>229</v>
      </c>
      <c r="L97" s="475">
        <v>1</v>
      </c>
      <c r="M97" s="476">
        <f>'[1]EDUCACIONAL'!$BL$58</f>
        <v>7677559.839504001</v>
      </c>
      <c r="O97" s="102"/>
      <c r="P97" s="102"/>
    </row>
    <row r="98" spans="1:16" ht="18">
      <c r="A98" s="639"/>
      <c r="B98" s="834" t="s">
        <v>59</v>
      </c>
      <c r="C98" s="835"/>
      <c r="D98" s="859">
        <f>P101</f>
        <v>3751352.7970000003</v>
      </c>
      <c r="E98" s="29">
        <v>0</v>
      </c>
      <c r="F98" s="30">
        <v>1</v>
      </c>
      <c r="G98" s="28">
        <f>E98*F98</f>
        <v>0</v>
      </c>
      <c r="H98" s="129">
        <f>G98+D98</f>
        <v>3751352.7970000003</v>
      </c>
      <c r="K98" s="219" t="s">
        <v>230</v>
      </c>
      <c r="L98" s="220">
        <v>10</v>
      </c>
      <c r="M98" s="441">
        <f>'[1]EDUCACIONAL'!$BL$80</f>
        <v>75185748.14400001</v>
      </c>
      <c r="O98" s="652" t="s">
        <v>231</v>
      </c>
      <c r="P98" s="652"/>
    </row>
    <row r="99" spans="1:16" ht="14.25" customHeight="1">
      <c r="A99" s="639"/>
      <c r="B99" s="834" t="s">
        <v>129</v>
      </c>
      <c r="C99" s="835"/>
      <c r="D99" s="122">
        <v>0</v>
      </c>
      <c r="E99" s="29">
        <v>0</v>
      </c>
      <c r="F99" s="30">
        <v>1</v>
      </c>
      <c r="G99" s="28">
        <f>E99*F99</f>
        <v>0</v>
      </c>
      <c r="H99" s="129">
        <f>G99+D99</f>
        <v>0</v>
      </c>
      <c r="K99" s="219" t="s">
        <v>232</v>
      </c>
      <c r="L99" s="220">
        <v>3</v>
      </c>
      <c r="M99" s="218">
        <f>'[1]EDUCACIONAL'!$BL$67</f>
        <v>15851761.850045642</v>
      </c>
      <c r="O99" s="427" t="s">
        <v>233</v>
      </c>
      <c r="P99" s="860">
        <f>'[1]EDUCACIONAL'!$BF$80</f>
        <v>1968857.6450000003</v>
      </c>
    </row>
    <row r="100" spans="1:16" ht="18" customHeight="1">
      <c r="A100" s="639"/>
      <c r="B100" s="657" t="s">
        <v>60</v>
      </c>
      <c r="C100" s="658"/>
      <c r="D100" s="654"/>
      <c r="E100" s="655"/>
      <c r="F100" s="655"/>
      <c r="G100" s="655"/>
      <c r="H100" s="656"/>
      <c r="I100" s="21"/>
      <c r="K100" s="219" t="s">
        <v>234</v>
      </c>
      <c r="L100" s="220">
        <v>2</v>
      </c>
      <c r="M100" s="218">
        <f>'[1]EDUCACIONAL'!$BL$62</f>
        <v>8305209.782039999</v>
      </c>
      <c r="O100" s="427" t="s">
        <v>235</v>
      </c>
      <c r="P100" s="426">
        <f>'[1]EDUCACIONAL'!$BG$80</f>
        <v>1782495.1519999998</v>
      </c>
    </row>
    <row r="101" spans="1:17" ht="16.5" customHeight="1">
      <c r="A101" s="639"/>
      <c r="B101" s="834" t="s">
        <v>61</v>
      </c>
      <c r="C101" s="835"/>
      <c r="D101" s="849">
        <f>+D95*1%</f>
        <v>1070202.7961558965</v>
      </c>
      <c r="E101" s="29">
        <v>0</v>
      </c>
      <c r="F101" s="30">
        <v>1</v>
      </c>
      <c r="G101" s="28">
        <f>E101*F101</f>
        <v>0</v>
      </c>
      <c r="H101" s="129">
        <f>G101+D101</f>
        <v>1070202.7961558965</v>
      </c>
      <c r="I101" s="1" t="s">
        <v>565</v>
      </c>
      <c r="K101" s="653" t="s">
        <v>236</v>
      </c>
      <c r="L101" s="653"/>
      <c r="M101" s="218"/>
      <c r="O101" s="428" t="s">
        <v>237</v>
      </c>
      <c r="P101" s="429">
        <f>SUM(P99:P100)</f>
        <v>3751352.7970000003</v>
      </c>
      <c r="Q101" s="429">
        <f>SUM(Q99:Q100)</f>
        <v>0</v>
      </c>
    </row>
    <row r="102" spans="1:16" ht="16.5" customHeight="1">
      <c r="A102" s="639"/>
      <c r="B102" s="657" t="s">
        <v>62</v>
      </c>
      <c r="C102" s="658"/>
      <c r="D102" s="654"/>
      <c r="E102" s="655"/>
      <c r="F102" s="655"/>
      <c r="G102" s="655"/>
      <c r="H102" s="656"/>
      <c r="I102" s="21"/>
      <c r="J102" s="102"/>
      <c r="K102" s="653" t="s">
        <v>238</v>
      </c>
      <c r="L102" s="653"/>
      <c r="M102" s="218"/>
      <c r="O102" s="105"/>
      <c r="P102" s="106"/>
    </row>
    <row r="103" spans="1:14" ht="19.5" customHeight="1">
      <c r="A103" s="639"/>
      <c r="B103" s="839" t="s">
        <v>63</v>
      </c>
      <c r="C103" s="840"/>
      <c r="D103" s="122">
        <v>0</v>
      </c>
      <c r="E103" s="29">
        <v>0</v>
      </c>
      <c r="F103" s="30">
        <v>1</v>
      </c>
      <c r="G103" s="28">
        <f>E103*F103</f>
        <v>0</v>
      </c>
      <c r="H103" s="129">
        <v>0</v>
      </c>
      <c r="I103" s="138" t="s">
        <v>593</v>
      </c>
      <c r="K103" s="653" t="s">
        <v>239</v>
      </c>
      <c r="L103" s="653"/>
      <c r="M103" s="224"/>
      <c r="N103" s="105"/>
    </row>
    <row r="104" spans="1:13" ht="17.25" customHeight="1">
      <c r="A104" s="639"/>
      <c r="B104" s="841" t="s">
        <v>64</v>
      </c>
      <c r="C104" s="861"/>
      <c r="D104" s="862">
        <v>0</v>
      </c>
      <c r="E104" s="113">
        <v>0</v>
      </c>
      <c r="F104" s="114">
        <v>0</v>
      </c>
      <c r="G104" s="115">
        <f>E104*F104</f>
        <v>0</v>
      </c>
      <c r="H104" s="129">
        <f>G104+D104</f>
        <v>0</v>
      </c>
      <c r="I104" s="431"/>
      <c r="K104" s="650" t="s">
        <v>542</v>
      </c>
      <c r="L104" s="650"/>
      <c r="M104" s="223">
        <f>SUM(M97:M103)</f>
        <v>107020279.61558965</v>
      </c>
    </row>
    <row r="105" spans="1:16" ht="12.75" customHeight="1">
      <c r="A105" s="639"/>
      <c r="B105" s="672" t="s">
        <v>65</v>
      </c>
      <c r="C105" s="673"/>
      <c r="D105" s="123">
        <f>SUM(D107:D108,D110:D112,D114:D115,D117:D128,D130:D138,D140:D146,D148:D150,D152:D157,D159:D160,D162:D165,D167:D168)</f>
        <v>57511262</v>
      </c>
      <c r="E105" s="27">
        <f>SUM(E107:E108,E110:E112,E114:E115,E117:E128,E130:E138,E140:E146,E148:E150,E152:E157,E159:E160,E162:E165,E167:E168)</f>
        <v>373534.2</v>
      </c>
      <c r="F105" s="61"/>
      <c r="G105" s="27">
        <f>SUM(G107:G108,G110:G112,G114:G115,G117:G128,G130:G138,G140:G146,G148:G150,G152:G157,G159:G160,G162:G165,G167:G168)</f>
        <v>34855403.4</v>
      </c>
      <c r="H105" s="130">
        <f>SUM(H107:H108,H110:H112,H114:H115,H117:H128,H130:H138,H140:H146,H148:H150,H152:H157,H159:H160,H162:H165,H167:H168)</f>
        <v>59911262</v>
      </c>
      <c r="I105" s="21"/>
      <c r="K105" s="39"/>
      <c r="L105" s="39"/>
      <c r="M105" s="477"/>
      <c r="N105" s="167"/>
      <c r="O105" s="167"/>
      <c r="P105" s="167"/>
    </row>
    <row r="106" spans="1:16" ht="15.75" customHeight="1">
      <c r="A106" s="639"/>
      <c r="B106" s="842" t="s">
        <v>66</v>
      </c>
      <c r="C106" s="843"/>
      <c r="D106" s="654"/>
      <c r="E106" s="655"/>
      <c r="F106" s="655"/>
      <c r="G106" s="655"/>
      <c r="H106" s="656"/>
      <c r="I106" s="105"/>
      <c r="K106" s="173"/>
      <c r="L106" s="174"/>
      <c r="M106" s="173"/>
      <c r="N106" s="167"/>
      <c r="O106" s="167"/>
      <c r="P106" s="167"/>
    </row>
    <row r="107" spans="1:16" ht="17.25" customHeight="1">
      <c r="A107" s="639"/>
      <c r="B107" s="837" t="s">
        <v>67</v>
      </c>
      <c r="C107" s="838"/>
      <c r="D107" s="122">
        <v>7911874</v>
      </c>
      <c r="E107" s="29">
        <f>1600*1.037</f>
        <v>1659.1999999999998</v>
      </c>
      <c r="F107" s="30">
        <f>17*21*11</f>
        <v>3927</v>
      </c>
      <c r="G107" s="28">
        <f>E107*F107</f>
        <v>6515678.399999999</v>
      </c>
      <c r="H107" s="129">
        <v>7911874</v>
      </c>
      <c r="I107" s="21" t="s">
        <v>554</v>
      </c>
      <c r="J107" s="102"/>
      <c r="K107" s="257"/>
      <c r="L107" s="174"/>
      <c r="M107" s="173"/>
      <c r="N107" s="167"/>
      <c r="O107" s="167"/>
      <c r="P107" s="167"/>
    </row>
    <row r="108" spans="1:10" ht="16.5" customHeight="1">
      <c r="A108" s="639"/>
      <c r="B108" s="837" t="s">
        <v>117</v>
      </c>
      <c r="C108" s="838"/>
      <c r="D108" s="122">
        <v>18292680</v>
      </c>
      <c r="E108" s="29">
        <v>700</v>
      </c>
      <c r="F108" s="30">
        <f>138*21*10</f>
        <v>28980</v>
      </c>
      <c r="G108" s="28">
        <f>E108*F108</f>
        <v>20286000</v>
      </c>
      <c r="H108" s="129">
        <v>18292680</v>
      </c>
      <c r="I108" s="111" t="s">
        <v>539</v>
      </c>
      <c r="J108" s="119"/>
    </row>
    <row r="109" spans="1:9" ht="15.75" customHeight="1">
      <c r="A109" s="639"/>
      <c r="B109" s="842" t="s">
        <v>68</v>
      </c>
      <c r="C109" s="843"/>
      <c r="D109" s="654"/>
      <c r="E109" s="655"/>
      <c r="F109" s="655"/>
      <c r="G109" s="655"/>
      <c r="H109" s="656"/>
      <c r="I109" s="21"/>
    </row>
    <row r="110" spans="1:9" ht="15.75" customHeight="1">
      <c r="A110" s="639"/>
      <c r="B110" s="834" t="s">
        <v>116</v>
      </c>
      <c r="C110" s="835"/>
      <c r="D110" s="859">
        <v>800000</v>
      </c>
      <c r="E110" s="29"/>
      <c r="F110" s="30"/>
      <c r="G110" s="28"/>
      <c r="H110" s="129">
        <f>D110</f>
        <v>800000</v>
      </c>
      <c r="I110" s="111" t="s">
        <v>595</v>
      </c>
    </row>
    <row r="111" spans="1:13" ht="16.5" customHeight="1">
      <c r="A111" s="639"/>
      <c r="B111" s="834" t="s">
        <v>69</v>
      </c>
      <c r="C111" s="835"/>
      <c r="D111" s="845">
        <v>441616</v>
      </c>
      <c r="E111" s="29"/>
      <c r="F111" s="30"/>
      <c r="G111" s="28"/>
      <c r="H111" s="129">
        <v>441616</v>
      </c>
      <c r="I111" s="111" t="s">
        <v>566</v>
      </c>
      <c r="M111" s="119"/>
    </row>
    <row r="112" spans="1:9" ht="15" customHeight="1">
      <c r="A112" s="639"/>
      <c r="B112" s="834" t="s">
        <v>70</v>
      </c>
      <c r="C112" s="835"/>
      <c r="D112" s="845">
        <f>F112*E112</f>
        <v>120660</v>
      </c>
      <c r="E112" s="29">
        <v>20110</v>
      </c>
      <c r="F112" s="30">
        <v>6</v>
      </c>
      <c r="G112" s="28">
        <f>E112*F112</f>
        <v>120660</v>
      </c>
      <c r="H112" s="129">
        <f>G112</f>
        <v>120660</v>
      </c>
      <c r="I112" s="21" t="s">
        <v>442</v>
      </c>
    </row>
    <row r="113" spans="1:8" ht="16.5" customHeight="1">
      <c r="A113" s="639"/>
      <c r="B113" s="842" t="s">
        <v>71</v>
      </c>
      <c r="C113" s="843"/>
      <c r="D113" s="666"/>
      <c r="E113" s="667"/>
      <c r="F113" s="667"/>
      <c r="G113" s="667"/>
      <c r="H113" s="668"/>
    </row>
    <row r="114" spans="1:8" ht="15.75" customHeight="1">
      <c r="A114" s="639"/>
      <c r="B114" s="837" t="s">
        <v>72</v>
      </c>
      <c r="C114" s="838"/>
      <c r="D114" s="122">
        <v>0</v>
      </c>
      <c r="E114" s="29">
        <v>0</v>
      </c>
      <c r="F114" s="30">
        <v>1</v>
      </c>
      <c r="G114" s="28">
        <f>E114*F114</f>
        <v>0</v>
      </c>
      <c r="H114" s="129">
        <f>G114+D114</f>
        <v>0</v>
      </c>
    </row>
    <row r="115" spans="1:8" ht="18">
      <c r="A115" s="639"/>
      <c r="B115" s="834" t="s">
        <v>73</v>
      </c>
      <c r="C115" s="835"/>
      <c r="D115" s="122">
        <v>0</v>
      </c>
      <c r="E115" s="29">
        <v>0</v>
      </c>
      <c r="F115" s="30">
        <v>1</v>
      </c>
      <c r="G115" s="28">
        <f>E115*F115</f>
        <v>0</v>
      </c>
      <c r="H115" s="129">
        <f>G115+D115</f>
        <v>0</v>
      </c>
    </row>
    <row r="116" spans="1:8" ht="18">
      <c r="A116" s="639"/>
      <c r="B116" s="842" t="s">
        <v>74</v>
      </c>
      <c r="C116" s="843"/>
      <c r="D116" s="654"/>
      <c r="E116" s="655"/>
      <c r="F116" s="655"/>
      <c r="G116" s="655"/>
      <c r="H116" s="656"/>
    </row>
    <row r="117" spans="1:9" ht="18">
      <c r="A117" s="639"/>
      <c r="B117" s="837" t="s">
        <v>176</v>
      </c>
      <c r="C117" s="838"/>
      <c r="D117" s="849">
        <v>1000000</v>
      </c>
      <c r="E117" s="29"/>
      <c r="F117" s="30"/>
      <c r="G117" s="28"/>
      <c r="H117" s="129">
        <f>D117</f>
        <v>1000000</v>
      </c>
      <c r="I117" s="1" t="s">
        <v>627</v>
      </c>
    </row>
    <row r="118" spans="1:9" ht="18">
      <c r="A118" s="639"/>
      <c r="B118" s="837" t="s">
        <v>75</v>
      </c>
      <c r="C118" s="838"/>
      <c r="D118" s="849">
        <f>H118</f>
        <v>593813</v>
      </c>
      <c r="E118" s="29">
        <v>0</v>
      </c>
      <c r="F118" s="30">
        <v>1</v>
      </c>
      <c r="G118" s="28">
        <f aca="true" t="shared" si="4" ref="G118:G128">E118*F118</f>
        <v>0</v>
      </c>
      <c r="H118" s="129">
        <v>593813</v>
      </c>
      <c r="I118" s="139" t="s">
        <v>426</v>
      </c>
    </row>
    <row r="119" spans="1:9" ht="18">
      <c r="A119" s="639"/>
      <c r="B119" s="837" t="s">
        <v>131</v>
      </c>
      <c r="C119" s="838"/>
      <c r="D119" s="122"/>
      <c r="E119" s="29">
        <v>80</v>
      </c>
      <c r="F119" s="30">
        <v>30000</v>
      </c>
      <c r="G119" s="28">
        <f t="shared" si="4"/>
        <v>2400000</v>
      </c>
      <c r="H119" s="129">
        <f aca="true" t="shared" si="5" ref="H119:H128">G119+D119</f>
        <v>2400000</v>
      </c>
      <c r="I119" s="1" t="s">
        <v>657</v>
      </c>
    </row>
    <row r="120" spans="1:9" ht="18">
      <c r="A120" s="639"/>
      <c r="B120" s="837" t="s">
        <v>76</v>
      </c>
      <c r="C120" s="838"/>
      <c r="D120" s="845">
        <v>78397</v>
      </c>
      <c r="E120" s="29">
        <v>10800</v>
      </c>
      <c r="F120" s="30">
        <v>7</v>
      </c>
      <c r="G120" s="28">
        <f t="shared" si="4"/>
        <v>75600</v>
      </c>
      <c r="H120" s="129">
        <v>78397</v>
      </c>
      <c r="I120" s="1" t="s">
        <v>446</v>
      </c>
    </row>
    <row r="121" spans="1:8" ht="18">
      <c r="A121" s="639"/>
      <c r="B121" s="837" t="s">
        <v>77</v>
      </c>
      <c r="C121" s="838"/>
      <c r="D121" s="122">
        <v>0</v>
      </c>
      <c r="E121" s="29">
        <v>0</v>
      </c>
      <c r="F121" s="30">
        <v>1</v>
      </c>
      <c r="G121" s="28">
        <f t="shared" si="4"/>
        <v>0</v>
      </c>
      <c r="H121" s="129">
        <f t="shared" si="5"/>
        <v>0</v>
      </c>
    </row>
    <row r="122" spans="1:9" ht="18">
      <c r="A122" s="639"/>
      <c r="B122" s="837" t="s">
        <v>78</v>
      </c>
      <c r="C122" s="838"/>
      <c r="D122" s="849">
        <v>111945</v>
      </c>
      <c r="E122" s="29">
        <v>0</v>
      </c>
      <c r="F122" s="30">
        <v>1</v>
      </c>
      <c r="G122" s="28">
        <f t="shared" si="4"/>
        <v>0</v>
      </c>
      <c r="H122" s="129">
        <v>111945</v>
      </c>
      <c r="I122" s="102" t="s">
        <v>521</v>
      </c>
    </row>
    <row r="123" spans="1:8" ht="18">
      <c r="A123" s="639"/>
      <c r="B123" s="837" t="s">
        <v>118</v>
      </c>
      <c r="C123" s="838"/>
      <c r="D123" s="122"/>
      <c r="E123" s="29">
        <v>0</v>
      </c>
      <c r="F123" s="30">
        <v>1</v>
      </c>
      <c r="G123" s="28">
        <f t="shared" si="4"/>
        <v>0</v>
      </c>
      <c r="H123" s="129">
        <f t="shared" si="5"/>
        <v>0</v>
      </c>
    </row>
    <row r="124" spans="1:8" ht="18">
      <c r="A124" s="639"/>
      <c r="B124" s="837" t="s">
        <v>123</v>
      </c>
      <c r="C124" s="838"/>
      <c r="D124" s="845"/>
      <c r="E124" s="29"/>
      <c r="F124" s="30"/>
      <c r="G124" s="28"/>
      <c r="H124" s="129"/>
    </row>
    <row r="125" spans="1:9" ht="18">
      <c r="A125" s="639"/>
      <c r="B125" s="837" t="s">
        <v>79</v>
      </c>
      <c r="C125" s="838"/>
      <c r="D125" s="849">
        <v>1514020</v>
      </c>
      <c r="E125" s="29">
        <v>0</v>
      </c>
      <c r="F125" s="30">
        <v>1</v>
      </c>
      <c r="G125" s="28">
        <f t="shared" si="4"/>
        <v>0</v>
      </c>
      <c r="H125" s="129">
        <f t="shared" si="5"/>
        <v>1514020</v>
      </c>
      <c r="I125" s="1" t="s">
        <v>474</v>
      </c>
    </row>
    <row r="126" spans="1:9" ht="18">
      <c r="A126" s="639"/>
      <c r="B126" s="837" t="s">
        <v>80</v>
      </c>
      <c r="C126" s="838"/>
      <c r="D126" s="849">
        <v>426937</v>
      </c>
      <c r="E126" s="29">
        <v>0</v>
      </c>
      <c r="F126" s="30">
        <v>1</v>
      </c>
      <c r="G126" s="28">
        <f t="shared" si="4"/>
        <v>0</v>
      </c>
      <c r="H126" s="129">
        <v>426937</v>
      </c>
      <c r="I126" s="102" t="s">
        <v>520</v>
      </c>
    </row>
    <row r="127" spans="1:9" ht="26.25" customHeight="1">
      <c r="A127" s="639"/>
      <c r="B127" s="837" t="s">
        <v>81</v>
      </c>
      <c r="C127" s="838"/>
      <c r="D127" s="863">
        <v>0</v>
      </c>
      <c r="E127" s="113">
        <v>0</v>
      </c>
      <c r="F127" s="114">
        <v>1</v>
      </c>
      <c r="G127" s="115">
        <f t="shared" si="4"/>
        <v>0</v>
      </c>
      <c r="H127" s="129">
        <v>0</v>
      </c>
      <c r="I127" s="386" t="s">
        <v>596</v>
      </c>
    </row>
    <row r="128" spans="1:13" ht="18">
      <c r="A128" s="639"/>
      <c r="B128" s="837" t="s">
        <v>119</v>
      </c>
      <c r="C128" s="838"/>
      <c r="D128" s="122"/>
      <c r="E128" s="29">
        <v>0</v>
      </c>
      <c r="F128" s="30">
        <v>1</v>
      </c>
      <c r="G128" s="28">
        <f t="shared" si="4"/>
        <v>0</v>
      </c>
      <c r="H128" s="129">
        <f t="shared" si="5"/>
        <v>0</v>
      </c>
      <c r="K128" s="4"/>
      <c r="L128" s="4"/>
      <c r="M128" s="4"/>
    </row>
    <row r="129" spans="1:12" s="4" customFormat="1" ht="18">
      <c r="A129" s="639"/>
      <c r="B129" s="842" t="s">
        <v>82</v>
      </c>
      <c r="C129" s="843"/>
      <c r="D129" s="654"/>
      <c r="E129" s="655"/>
      <c r="F129" s="655"/>
      <c r="G129" s="655"/>
      <c r="H129" s="656"/>
      <c r="J129" s="651" t="s">
        <v>581</v>
      </c>
      <c r="K129" s="651"/>
      <c r="L129" s="4" t="s">
        <v>597</v>
      </c>
    </row>
    <row r="130" spans="1:13" s="4" customFormat="1" ht="18">
      <c r="A130" s="639"/>
      <c r="B130" s="834" t="s">
        <v>130</v>
      </c>
      <c r="C130" s="835"/>
      <c r="D130" s="849">
        <v>2646008</v>
      </c>
      <c r="E130" s="29">
        <v>0</v>
      </c>
      <c r="F130" s="30">
        <v>1</v>
      </c>
      <c r="G130" s="28">
        <f>E130*F130</f>
        <v>0</v>
      </c>
      <c r="H130" s="129">
        <v>2646008</v>
      </c>
      <c r="I130" s="139" t="s">
        <v>539</v>
      </c>
      <c r="J130" s="434" t="s">
        <v>130</v>
      </c>
      <c r="K130" s="434">
        <v>2646008</v>
      </c>
      <c r="L130" s="163">
        <f>K130/12</f>
        <v>220500.66666666666</v>
      </c>
      <c r="M130" s="1"/>
    </row>
    <row r="131" spans="1:12" ht="18">
      <c r="A131" s="639"/>
      <c r="B131" s="834" t="s">
        <v>40</v>
      </c>
      <c r="C131" s="835"/>
      <c r="D131" s="849">
        <v>2604638</v>
      </c>
      <c r="E131" s="29">
        <v>0</v>
      </c>
      <c r="F131" s="30">
        <v>1</v>
      </c>
      <c r="G131" s="28">
        <f aca="true" t="shared" si="6" ref="G131:G138">E131*F131</f>
        <v>0</v>
      </c>
      <c r="H131" s="129">
        <v>2604638</v>
      </c>
      <c r="I131" s="139" t="s">
        <v>539</v>
      </c>
      <c r="J131" s="434" t="s">
        <v>40</v>
      </c>
      <c r="K131" s="434">
        <v>2604638</v>
      </c>
      <c r="L131" s="163">
        <f aca="true" t="shared" si="7" ref="L131:L136">K131/12</f>
        <v>217053.16666666666</v>
      </c>
    </row>
    <row r="132" spans="1:12" ht="18">
      <c r="A132" s="639"/>
      <c r="B132" s="834" t="s">
        <v>41</v>
      </c>
      <c r="C132" s="835"/>
      <c r="D132" s="849">
        <f>2414625+2400000</f>
        <v>4814625</v>
      </c>
      <c r="E132" s="29">
        <v>0</v>
      </c>
      <c r="F132" s="30">
        <v>1</v>
      </c>
      <c r="G132" s="28">
        <f t="shared" si="6"/>
        <v>0</v>
      </c>
      <c r="H132" s="129">
        <f>D132</f>
        <v>4814625</v>
      </c>
      <c r="I132" s="530" t="s">
        <v>663</v>
      </c>
      <c r="J132" s="434" t="s">
        <v>41</v>
      </c>
      <c r="K132" s="434">
        <v>2414625</v>
      </c>
      <c r="L132" s="163">
        <f t="shared" si="7"/>
        <v>201218.75</v>
      </c>
    </row>
    <row r="133" spans="1:12" ht="18">
      <c r="A133" s="639"/>
      <c r="B133" s="834" t="s">
        <v>83</v>
      </c>
      <c r="C133" s="835"/>
      <c r="D133" s="122">
        <v>0</v>
      </c>
      <c r="E133" s="29">
        <v>0</v>
      </c>
      <c r="F133" s="30">
        <v>1</v>
      </c>
      <c r="G133" s="28">
        <f t="shared" si="6"/>
        <v>0</v>
      </c>
      <c r="H133" s="129">
        <f aca="true" t="shared" si="8" ref="H133:H138">G133+D133</f>
        <v>0</v>
      </c>
      <c r="J133" s="434" t="s">
        <v>83</v>
      </c>
      <c r="K133" s="434">
        <v>0</v>
      </c>
      <c r="L133" s="163">
        <f t="shared" si="7"/>
        <v>0</v>
      </c>
    </row>
    <row r="134" spans="1:12" ht="18">
      <c r="A134" s="639"/>
      <c r="B134" s="834" t="s">
        <v>84</v>
      </c>
      <c r="C134" s="835"/>
      <c r="D134" s="849">
        <v>517096</v>
      </c>
      <c r="E134" s="29">
        <v>0</v>
      </c>
      <c r="F134" s="30">
        <v>1</v>
      </c>
      <c r="G134" s="28">
        <f t="shared" si="6"/>
        <v>0</v>
      </c>
      <c r="H134" s="129">
        <v>517096</v>
      </c>
      <c r="I134" s="139" t="s">
        <v>539</v>
      </c>
      <c r="J134" s="434" t="s">
        <v>84</v>
      </c>
      <c r="K134" s="434">
        <v>517096</v>
      </c>
      <c r="L134" s="163">
        <f t="shared" si="7"/>
        <v>43091.333333333336</v>
      </c>
    </row>
    <row r="135" spans="1:12" ht="18">
      <c r="A135" s="639"/>
      <c r="B135" s="834" t="s">
        <v>85</v>
      </c>
      <c r="C135" s="835"/>
      <c r="D135" s="122"/>
      <c r="E135" s="29">
        <v>0</v>
      </c>
      <c r="F135" s="30">
        <v>1</v>
      </c>
      <c r="G135" s="28">
        <f t="shared" si="6"/>
        <v>0</v>
      </c>
      <c r="H135" s="129">
        <f t="shared" si="8"/>
        <v>0</v>
      </c>
      <c r="J135" s="434" t="s">
        <v>85</v>
      </c>
      <c r="K135" s="434">
        <v>0</v>
      </c>
      <c r="L135" s="163">
        <f t="shared" si="7"/>
        <v>0</v>
      </c>
    </row>
    <row r="136" spans="1:12" ht="18">
      <c r="A136" s="639"/>
      <c r="B136" s="834" t="s">
        <v>86</v>
      </c>
      <c r="C136" s="835"/>
      <c r="D136" s="122">
        <v>227116</v>
      </c>
      <c r="E136" s="29">
        <v>0</v>
      </c>
      <c r="F136" s="30">
        <v>1</v>
      </c>
      <c r="G136" s="28">
        <f t="shared" si="6"/>
        <v>0</v>
      </c>
      <c r="H136" s="129">
        <v>227116</v>
      </c>
      <c r="I136" s="139" t="s">
        <v>539</v>
      </c>
      <c r="J136" s="434" t="s">
        <v>86</v>
      </c>
      <c r="K136" s="434">
        <v>227116</v>
      </c>
      <c r="L136" s="163">
        <f t="shared" si="7"/>
        <v>18926.333333333332</v>
      </c>
    </row>
    <row r="137" spans="1:8" ht="18">
      <c r="A137" s="639"/>
      <c r="B137" s="834" t="s">
        <v>87</v>
      </c>
      <c r="C137" s="835"/>
      <c r="D137" s="122">
        <v>0</v>
      </c>
      <c r="E137" s="29">
        <v>0</v>
      </c>
      <c r="F137" s="30">
        <v>1</v>
      </c>
      <c r="G137" s="28">
        <f t="shared" si="6"/>
        <v>0</v>
      </c>
      <c r="H137" s="129">
        <f t="shared" si="8"/>
        <v>0</v>
      </c>
    </row>
    <row r="138" spans="1:8" ht="18">
      <c r="A138" s="639"/>
      <c r="B138" s="834" t="s">
        <v>88</v>
      </c>
      <c r="C138" s="835"/>
      <c r="D138" s="122">
        <v>0</v>
      </c>
      <c r="E138" s="29">
        <v>0</v>
      </c>
      <c r="F138" s="30">
        <v>1</v>
      </c>
      <c r="G138" s="28">
        <f t="shared" si="6"/>
        <v>0</v>
      </c>
      <c r="H138" s="129">
        <f t="shared" si="8"/>
        <v>0</v>
      </c>
    </row>
    <row r="139" spans="1:8" ht="18">
      <c r="A139" s="639"/>
      <c r="B139" s="657" t="s">
        <v>89</v>
      </c>
      <c r="C139" s="658"/>
      <c r="D139" s="654"/>
      <c r="E139" s="655"/>
      <c r="F139" s="655"/>
      <c r="G139" s="655"/>
      <c r="H139" s="656"/>
    </row>
    <row r="140" spans="1:10" s="103" customFormat="1" ht="18">
      <c r="A140" s="639"/>
      <c r="B140" s="864" t="s">
        <v>90</v>
      </c>
      <c r="C140" s="865"/>
      <c r="D140" s="844">
        <v>4500000</v>
      </c>
      <c r="E140" s="430"/>
      <c r="F140" s="470"/>
      <c r="G140" s="433"/>
      <c r="H140" s="129">
        <f>D140</f>
        <v>4500000</v>
      </c>
      <c r="I140" s="479" t="s">
        <v>555</v>
      </c>
      <c r="J140" s="481"/>
    </row>
    <row r="141" spans="1:8" ht="18">
      <c r="A141" s="639"/>
      <c r="B141" s="837" t="s">
        <v>91</v>
      </c>
      <c r="C141" s="838"/>
      <c r="D141" s="122">
        <v>0</v>
      </c>
      <c r="E141" s="29">
        <v>0</v>
      </c>
      <c r="F141" s="30">
        <v>1</v>
      </c>
      <c r="G141" s="28">
        <f aca="true" t="shared" si="9" ref="G141:G146">E141*F141</f>
        <v>0</v>
      </c>
      <c r="H141" s="129">
        <f>G141+D141</f>
        <v>0</v>
      </c>
    </row>
    <row r="142" spans="1:8" ht="18">
      <c r="A142" s="639"/>
      <c r="B142" s="837" t="s">
        <v>92</v>
      </c>
      <c r="C142" s="838"/>
      <c r="D142" s="122">
        <v>0</v>
      </c>
      <c r="E142" s="29">
        <v>0</v>
      </c>
      <c r="F142" s="30">
        <v>1</v>
      </c>
      <c r="G142" s="28">
        <f t="shared" si="9"/>
        <v>0</v>
      </c>
      <c r="H142" s="129">
        <f>G142+D142</f>
        <v>0</v>
      </c>
    </row>
    <row r="143" spans="1:9" ht="18">
      <c r="A143" s="639"/>
      <c r="B143" s="866" t="s">
        <v>93</v>
      </c>
      <c r="C143" s="867"/>
      <c r="D143" s="480">
        <v>223890</v>
      </c>
      <c r="E143" s="430">
        <v>0</v>
      </c>
      <c r="F143" s="432">
        <v>1</v>
      </c>
      <c r="G143" s="433">
        <f t="shared" si="9"/>
        <v>0</v>
      </c>
      <c r="H143" s="129">
        <v>223890</v>
      </c>
      <c r="I143" s="102" t="s">
        <v>427</v>
      </c>
    </row>
    <row r="144" spans="1:8" ht="18">
      <c r="A144" s="639"/>
      <c r="B144" s="837" t="s">
        <v>94</v>
      </c>
      <c r="C144" s="838"/>
      <c r="D144" s="122">
        <v>0</v>
      </c>
      <c r="E144" s="29">
        <v>0</v>
      </c>
      <c r="F144" s="30">
        <v>1</v>
      </c>
      <c r="G144" s="28">
        <f t="shared" si="9"/>
        <v>0</v>
      </c>
      <c r="H144" s="129">
        <f>G144+D144</f>
        <v>0</v>
      </c>
    </row>
    <row r="145" spans="1:8" ht="18">
      <c r="A145" s="639"/>
      <c r="B145" s="837" t="s">
        <v>95</v>
      </c>
      <c r="C145" s="838"/>
      <c r="D145" s="122">
        <v>0</v>
      </c>
      <c r="E145" s="29">
        <v>0</v>
      </c>
      <c r="F145" s="30">
        <v>1</v>
      </c>
      <c r="G145" s="28">
        <f t="shared" si="9"/>
        <v>0</v>
      </c>
      <c r="H145" s="129">
        <f>G145+D145</f>
        <v>0</v>
      </c>
    </row>
    <row r="146" spans="1:9" ht="18">
      <c r="A146" s="639"/>
      <c r="B146" s="866" t="s">
        <v>96</v>
      </c>
      <c r="C146" s="867"/>
      <c r="D146" s="480">
        <v>1000000</v>
      </c>
      <c r="E146" s="430">
        <v>0</v>
      </c>
      <c r="F146" s="432">
        <v>1</v>
      </c>
      <c r="G146" s="433">
        <f t="shared" si="9"/>
        <v>0</v>
      </c>
      <c r="H146" s="129">
        <f>D146</f>
        <v>1000000</v>
      </c>
      <c r="I146" s="102" t="s">
        <v>475</v>
      </c>
    </row>
    <row r="147" spans="1:8" ht="18">
      <c r="A147" s="639"/>
      <c r="B147" s="657" t="s">
        <v>97</v>
      </c>
      <c r="C147" s="658"/>
      <c r="D147" s="654"/>
      <c r="E147" s="655"/>
      <c r="F147" s="655"/>
      <c r="G147" s="655"/>
      <c r="H147" s="656"/>
    </row>
    <row r="148" spans="1:12" ht="18">
      <c r="A148" s="639"/>
      <c r="B148" s="834" t="s">
        <v>98</v>
      </c>
      <c r="C148" s="835"/>
      <c r="D148" s="122"/>
      <c r="E148" s="29">
        <v>0</v>
      </c>
      <c r="F148" s="30">
        <v>1</v>
      </c>
      <c r="G148" s="28">
        <f>E148*F148</f>
        <v>0</v>
      </c>
      <c r="H148" s="129">
        <f>G148+D148</f>
        <v>0</v>
      </c>
      <c r="I148" s="102"/>
      <c r="J148" s="102"/>
      <c r="K148" s="102"/>
      <c r="L148" s="102"/>
    </row>
    <row r="149" spans="1:12" ht="18">
      <c r="A149" s="639"/>
      <c r="B149" s="834" t="s">
        <v>99</v>
      </c>
      <c r="C149" s="835"/>
      <c r="D149" s="122">
        <f>E149*F149</f>
        <v>441600</v>
      </c>
      <c r="E149" s="29">
        <v>3200</v>
      </c>
      <c r="F149" s="30">
        <v>138</v>
      </c>
      <c r="G149" s="28">
        <f>E149*F149</f>
        <v>441600</v>
      </c>
      <c r="H149" s="129">
        <f>G149</f>
        <v>441600</v>
      </c>
      <c r="I149" s="1" t="s">
        <v>628</v>
      </c>
      <c r="J149" s="264"/>
      <c r="L149" s="102"/>
    </row>
    <row r="150" spans="1:12" ht="18">
      <c r="A150" s="639"/>
      <c r="B150" s="834" t="s">
        <v>100</v>
      </c>
      <c r="C150" s="835"/>
      <c r="D150" s="122">
        <v>0</v>
      </c>
      <c r="E150" s="29">
        <v>0</v>
      </c>
      <c r="F150" s="30">
        <v>1</v>
      </c>
      <c r="G150" s="28">
        <f>E150*F150</f>
        <v>0</v>
      </c>
      <c r="H150" s="129">
        <f>G150+D150</f>
        <v>0</v>
      </c>
      <c r="I150" s="102"/>
      <c r="J150" s="102"/>
      <c r="K150" s="102"/>
      <c r="L150" s="102"/>
    </row>
    <row r="151" spans="1:12" ht="18">
      <c r="A151" s="639"/>
      <c r="B151" s="657" t="s">
        <v>42</v>
      </c>
      <c r="C151" s="658"/>
      <c r="D151" s="654"/>
      <c r="E151" s="655"/>
      <c r="F151" s="655"/>
      <c r="G151" s="655"/>
      <c r="H151" s="656"/>
      <c r="I151" s="102"/>
      <c r="J151" s="102"/>
      <c r="K151" s="102"/>
      <c r="L151" s="102"/>
    </row>
    <row r="152" spans="1:12" ht="18">
      <c r="A152" s="639"/>
      <c r="B152" s="837" t="s">
        <v>132</v>
      </c>
      <c r="C152" s="838"/>
      <c r="D152" s="122"/>
      <c r="E152" s="29">
        <v>0</v>
      </c>
      <c r="F152" s="30">
        <v>1</v>
      </c>
      <c r="G152" s="28">
        <f aca="true" t="shared" si="10" ref="G152:G157">E152*F152</f>
        <v>0</v>
      </c>
      <c r="H152" s="129">
        <f>G152+D152</f>
        <v>0</v>
      </c>
      <c r="I152" s="102"/>
      <c r="J152" s="102"/>
      <c r="K152" s="102"/>
      <c r="L152" s="102"/>
    </row>
    <row r="153" spans="1:12" ht="18">
      <c r="A153" s="639"/>
      <c r="B153" s="834" t="s">
        <v>101</v>
      </c>
      <c r="C153" s="835"/>
      <c r="D153" s="849">
        <v>3500000</v>
      </c>
      <c r="E153" s="29">
        <v>0</v>
      </c>
      <c r="F153" s="30">
        <v>1</v>
      </c>
      <c r="G153" s="28">
        <f t="shared" si="10"/>
        <v>0</v>
      </c>
      <c r="H153" s="129">
        <f>D153</f>
        <v>3500000</v>
      </c>
      <c r="I153" s="163" t="s">
        <v>447</v>
      </c>
      <c r="J153" s="102"/>
      <c r="K153" s="102"/>
      <c r="L153" s="102"/>
    </row>
    <row r="154" spans="1:12" ht="18">
      <c r="A154" s="639"/>
      <c r="B154" s="834" t="s">
        <v>102</v>
      </c>
      <c r="C154" s="835"/>
      <c r="D154" s="122">
        <v>0</v>
      </c>
      <c r="E154" s="29">
        <v>0</v>
      </c>
      <c r="F154" s="30">
        <v>1</v>
      </c>
      <c r="G154" s="28">
        <f t="shared" si="10"/>
        <v>0</v>
      </c>
      <c r="H154" s="129">
        <f>G154+D154</f>
        <v>0</v>
      </c>
      <c r="I154" s="102"/>
      <c r="J154" s="102"/>
      <c r="K154" s="102"/>
      <c r="L154" s="102"/>
    </row>
    <row r="155" spans="1:12" ht="18">
      <c r="A155" s="639"/>
      <c r="B155" s="834" t="s">
        <v>103</v>
      </c>
      <c r="C155" s="835"/>
      <c r="D155" s="849">
        <f>H155</f>
        <v>274182</v>
      </c>
      <c r="E155" s="29">
        <v>0</v>
      </c>
      <c r="F155" s="30">
        <v>1</v>
      </c>
      <c r="G155" s="28">
        <f t="shared" si="10"/>
        <v>0</v>
      </c>
      <c r="H155" s="129">
        <v>274182</v>
      </c>
      <c r="I155" s="102" t="s">
        <v>522</v>
      </c>
      <c r="J155" s="102"/>
      <c r="K155" s="102"/>
      <c r="L155" s="102"/>
    </row>
    <row r="156" spans="1:12" ht="18">
      <c r="A156" s="639"/>
      <c r="B156" s="834" t="s">
        <v>104</v>
      </c>
      <c r="C156" s="835"/>
      <c r="D156" s="122"/>
      <c r="E156" s="29">
        <v>0</v>
      </c>
      <c r="F156" s="30">
        <v>1</v>
      </c>
      <c r="G156" s="28">
        <f t="shared" si="10"/>
        <v>0</v>
      </c>
      <c r="H156" s="129">
        <f>G156+D156</f>
        <v>0</v>
      </c>
      <c r="I156" s="102"/>
      <c r="J156" s="102"/>
      <c r="K156" s="102"/>
      <c r="L156" s="102"/>
    </row>
    <row r="157" spans="1:12" ht="12.75">
      <c r="A157" s="639"/>
      <c r="B157" s="847" t="s">
        <v>105</v>
      </c>
      <c r="C157" s="852"/>
      <c r="D157" s="467">
        <f>E157*F157</f>
        <v>1440000</v>
      </c>
      <c r="E157" s="430">
        <v>10000</v>
      </c>
      <c r="F157" s="470">
        <v>144</v>
      </c>
      <c r="G157" s="433">
        <f t="shared" si="10"/>
        <v>1440000</v>
      </c>
      <c r="H157" s="129">
        <f>D157</f>
        <v>1440000</v>
      </c>
      <c r="I157" s="481" t="s">
        <v>448</v>
      </c>
      <c r="J157" s="163"/>
      <c r="K157" s="244"/>
      <c r="L157" s="102"/>
    </row>
    <row r="158" spans="1:12" ht="18">
      <c r="A158" s="639"/>
      <c r="B158" s="657" t="s">
        <v>106</v>
      </c>
      <c r="C158" s="658"/>
      <c r="D158" s="654"/>
      <c r="E158" s="655"/>
      <c r="F158" s="655"/>
      <c r="G158" s="655"/>
      <c r="H158" s="656"/>
      <c r="I158" s="102"/>
      <c r="K158" s="102"/>
      <c r="L158" s="102"/>
    </row>
    <row r="159" spans="1:12" ht="18">
      <c r="A159" s="639"/>
      <c r="B159" s="834" t="s">
        <v>121</v>
      </c>
      <c r="C159" s="835"/>
      <c r="D159" s="122">
        <v>200594</v>
      </c>
      <c r="E159" s="29">
        <v>0</v>
      </c>
      <c r="F159" s="30">
        <v>1</v>
      </c>
      <c r="G159" s="28">
        <f>F159*E159</f>
        <v>0</v>
      </c>
      <c r="H159" s="129">
        <f>D159</f>
        <v>200594</v>
      </c>
      <c r="I159" s="1" t="s">
        <v>556</v>
      </c>
      <c r="J159" s="264"/>
      <c r="K159" s="102"/>
      <c r="L159" s="102"/>
    </row>
    <row r="160" spans="1:12" ht="18">
      <c r="A160" s="639"/>
      <c r="B160" s="834" t="s">
        <v>122</v>
      </c>
      <c r="C160" s="835"/>
      <c r="D160" s="849">
        <f>E160*F160</f>
        <v>921600</v>
      </c>
      <c r="E160" s="29">
        <v>6400</v>
      </c>
      <c r="F160" s="30">
        <v>144</v>
      </c>
      <c r="G160" s="28">
        <f>F160*E160</f>
        <v>921600</v>
      </c>
      <c r="H160" s="129">
        <f>D160</f>
        <v>921600</v>
      </c>
      <c r="I160" s="1" t="s">
        <v>567</v>
      </c>
      <c r="K160" s="102"/>
      <c r="L160" s="244"/>
    </row>
    <row r="161" spans="1:12" ht="18">
      <c r="A161" s="639"/>
      <c r="B161" s="657" t="s">
        <v>107</v>
      </c>
      <c r="C161" s="658"/>
      <c r="D161" s="654"/>
      <c r="E161" s="655"/>
      <c r="F161" s="655"/>
      <c r="G161" s="655"/>
      <c r="H161" s="656"/>
      <c r="I161" s="102"/>
      <c r="J161" s="102"/>
      <c r="K161" s="102"/>
      <c r="L161" s="102"/>
    </row>
    <row r="162" spans="1:12" ht="18">
      <c r="A162" s="639"/>
      <c r="B162" s="834" t="s">
        <v>108</v>
      </c>
      <c r="C162" s="835"/>
      <c r="D162" s="849">
        <v>403948</v>
      </c>
      <c r="E162" s="29">
        <v>0</v>
      </c>
      <c r="F162" s="30">
        <v>1</v>
      </c>
      <c r="G162" s="28">
        <f>E162*F162</f>
        <v>0</v>
      </c>
      <c r="H162" s="129">
        <f>G162+D162</f>
        <v>403948</v>
      </c>
      <c r="I162" s="102" t="s">
        <v>557</v>
      </c>
      <c r="J162" s="482"/>
      <c r="K162" s="102"/>
      <c r="L162" s="102"/>
    </row>
    <row r="163" spans="1:12" ht="18">
      <c r="A163" s="639"/>
      <c r="B163" s="834" t="s">
        <v>109</v>
      </c>
      <c r="C163" s="835"/>
      <c r="D163" s="122">
        <v>0</v>
      </c>
      <c r="E163" s="29">
        <v>0</v>
      </c>
      <c r="F163" s="30">
        <v>1</v>
      </c>
      <c r="G163" s="28">
        <f>E163*F163</f>
        <v>0</v>
      </c>
      <c r="H163" s="129">
        <f>G163+D163</f>
        <v>0</v>
      </c>
      <c r="I163" s="102"/>
      <c r="J163" s="102"/>
      <c r="K163" s="102"/>
      <c r="L163" s="102"/>
    </row>
    <row r="164" spans="1:8" ht="12.75">
      <c r="A164" s="639"/>
      <c r="B164" s="851" t="s">
        <v>110</v>
      </c>
      <c r="C164" s="852"/>
      <c r="D164" s="122">
        <v>0</v>
      </c>
      <c r="E164" s="29">
        <v>0</v>
      </c>
      <c r="F164" s="30">
        <v>1</v>
      </c>
      <c r="G164" s="28">
        <f>E164*F164</f>
        <v>0</v>
      </c>
      <c r="H164" s="129">
        <f>G164+D164</f>
        <v>0</v>
      </c>
    </row>
    <row r="165" spans="1:9" ht="18">
      <c r="A165" s="639"/>
      <c r="B165" s="837" t="s">
        <v>111</v>
      </c>
      <c r="C165" s="838"/>
      <c r="D165" s="849">
        <v>118218</v>
      </c>
      <c r="E165" s="54">
        <v>33000</v>
      </c>
      <c r="F165" s="55">
        <v>2</v>
      </c>
      <c r="G165" s="28">
        <f>E165*F165</f>
        <v>66000</v>
      </c>
      <c r="H165" s="131">
        <v>118218</v>
      </c>
      <c r="I165" s="1" t="s">
        <v>558</v>
      </c>
    </row>
    <row r="166" spans="1:8" ht="18">
      <c r="A166" s="639"/>
      <c r="B166" s="657" t="s">
        <v>112</v>
      </c>
      <c r="C166" s="658"/>
      <c r="D166" s="663"/>
      <c r="E166" s="664"/>
      <c r="F166" s="664"/>
      <c r="G166" s="664"/>
      <c r="H166" s="665"/>
    </row>
    <row r="167" spans="1:9" ht="18">
      <c r="A167" s="639"/>
      <c r="B167" s="837" t="s">
        <v>113</v>
      </c>
      <c r="C167" s="838"/>
      <c r="D167" s="849">
        <v>2385805</v>
      </c>
      <c r="E167" s="29">
        <v>287585</v>
      </c>
      <c r="F167" s="30">
        <v>9</v>
      </c>
      <c r="G167" s="28">
        <f>E167*F167</f>
        <v>2588265</v>
      </c>
      <c r="H167" s="129">
        <v>2385805</v>
      </c>
      <c r="I167" s="116" t="s">
        <v>660</v>
      </c>
    </row>
    <row r="168" spans="1:9" ht="17.25" customHeight="1">
      <c r="A168" s="639"/>
      <c r="B168" s="847" t="s">
        <v>120</v>
      </c>
      <c r="C168" s="848"/>
      <c r="D168" s="845">
        <v>0</v>
      </c>
      <c r="E168" s="29">
        <v>0</v>
      </c>
      <c r="F168" s="30">
        <v>10</v>
      </c>
      <c r="G168" s="28">
        <f>E168*F168</f>
        <v>0</v>
      </c>
      <c r="H168" s="129">
        <v>0</v>
      </c>
      <c r="I168" s="138"/>
    </row>
    <row r="169" spans="1:8" ht="17.25" customHeight="1">
      <c r="A169" s="639"/>
      <c r="B169" s="853" t="s">
        <v>114</v>
      </c>
      <c r="C169" s="854"/>
      <c r="D169" s="123">
        <f>SUM(D170:D174)</f>
        <v>3600000</v>
      </c>
      <c r="E169" s="27">
        <f>SUM(E170:E174)</f>
        <v>0</v>
      </c>
      <c r="F169" s="61"/>
      <c r="G169" s="27">
        <f>SUM(G170:G174)</f>
        <v>0</v>
      </c>
      <c r="H169" s="130">
        <f>SUM(H170:H174)</f>
        <v>3600000</v>
      </c>
    </row>
    <row r="170" spans="1:10" ht="17.25" customHeight="1">
      <c r="A170" s="639"/>
      <c r="B170" s="855" t="s">
        <v>124</v>
      </c>
      <c r="C170" s="856"/>
      <c r="D170" s="122">
        <v>3600000</v>
      </c>
      <c r="E170" s="29">
        <v>0</v>
      </c>
      <c r="F170" s="30">
        <v>1</v>
      </c>
      <c r="G170" s="28">
        <f>E170*F170</f>
        <v>0</v>
      </c>
      <c r="H170" s="129">
        <f>D170</f>
        <v>3600000</v>
      </c>
      <c r="J170" s="102"/>
    </row>
    <row r="171" spans="1:8" ht="17.25" customHeight="1">
      <c r="A171" s="639"/>
      <c r="B171" s="855" t="s">
        <v>125</v>
      </c>
      <c r="C171" s="856"/>
      <c r="D171" s="122">
        <v>0</v>
      </c>
      <c r="E171" s="29">
        <v>0</v>
      </c>
      <c r="F171" s="30">
        <v>1</v>
      </c>
      <c r="G171" s="28">
        <f>E171*F171</f>
        <v>0</v>
      </c>
      <c r="H171" s="129">
        <f>G171+D171</f>
        <v>0</v>
      </c>
    </row>
    <row r="172" spans="1:8" ht="17.25" customHeight="1">
      <c r="A172" s="639"/>
      <c r="B172" s="855" t="s">
        <v>126</v>
      </c>
      <c r="C172" s="856"/>
      <c r="D172" s="122">
        <v>0</v>
      </c>
      <c r="E172" s="29">
        <v>0</v>
      </c>
      <c r="F172" s="30">
        <v>1</v>
      </c>
      <c r="G172" s="28">
        <f>E172*F172</f>
        <v>0</v>
      </c>
      <c r="H172" s="129">
        <f>G172+D172</f>
        <v>0</v>
      </c>
    </row>
    <row r="173" spans="1:8" ht="17.25" customHeight="1">
      <c r="A173" s="639"/>
      <c r="B173" s="855" t="s">
        <v>127</v>
      </c>
      <c r="C173" s="856"/>
      <c r="D173" s="122">
        <v>0</v>
      </c>
      <c r="E173" s="29">
        <v>0</v>
      </c>
      <c r="F173" s="30">
        <v>1</v>
      </c>
      <c r="G173" s="28">
        <f>E173*F173</f>
        <v>0</v>
      </c>
      <c r="H173" s="129">
        <f>G173+D173</f>
        <v>0</v>
      </c>
    </row>
    <row r="174" spans="1:8" ht="17.25" customHeight="1">
      <c r="A174" s="639"/>
      <c r="B174" s="855" t="s">
        <v>128</v>
      </c>
      <c r="C174" s="856"/>
      <c r="D174" s="122">
        <v>0</v>
      </c>
      <c r="E174" s="54">
        <v>0</v>
      </c>
      <c r="F174" s="55">
        <v>1</v>
      </c>
      <c r="G174" s="53">
        <f>E174*F174</f>
        <v>0</v>
      </c>
      <c r="H174" s="131">
        <f>G174+D174</f>
        <v>0</v>
      </c>
    </row>
    <row r="175" spans="1:8" s="110" customFormat="1" ht="17.25" customHeight="1" thickBot="1">
      <c r="A175" s="640"/>
      <c r="B175" s="857" t="s">
        <v>43</v>
      </c>
      <c r="C175" s="858"/>
      <c r="D175" s="125">
        <f>SUM(D93,D105,D169)</f>
        <v>174944137.20874554</v>
      </c>
      <c r="E175" s="107">
        <f>SUM(E169,E105,E93)</f>
        <v>373534.2</v>
      </c>
      <c r="F175" s="108"/>
      <c r="G175" s="109">
        <f>SUM(G169,G105,G93)</f>
        <v>34855403.4</v>
      </c>
      <c r="H175" s="132">
        <f>SUM(H169,H105,H93)</f>
        <v>177344137.20874554</v>
      </c>
    </row>
    <row r="176" spans="1:10" ht="17.25" customHeight="1" thickBot="1">
      <c r="A176" s="629" t="s">
        <v>180</v>
      </c>
      <c r="B176" s="669" t="s">
        <v>115</v>
      </c>
      <c r="C176" s="670"/>
      <c r="D176" s="123">
        <f>SUM(D186:D187,D184,D178:D182)</f>
        <v>4869011.493174891</v>
      </c>
      <c r="E176" s="27">
        <f>SUM(E186:E187,E184,E178:E182)</f>
        <v>0</v>
      </c>
      <c r="F176" s="61"/>
      <c r="G176" s="27">
        <f>SUM(G186:G187,G184,G178:G182)</f>
        <v>0</v>
      </c>
      <c r="H176" s="130">
        <f>SUM(H186:H187,H184,H178:H182)</f>
        <v>4869011.493174891</v>
      </c>
      <c r="J176" s="4" t="s">
        <v>180</v>
      </c>
    </row>
    <row r="177" spans="1:16" ht="17.25" customHeight="1" thickBot="1">
      <c r="A177" s="630"/>
      <c r="B177" s="657" t="s">
        <v>56</v>
      </c>
      <c r="C177" s="658"/>
      <c r="D177" s="654"/>
      <c r="E177" s="655"/>
      <c r="F177" s="655"/>
      <c r="G177" s="655"/>
      <c r="H177" s="656"/>
      <c r="I177" s="215" t="s">
        <v>356</v>
      </c>
      <c r="J177" s="216">
        <v>17</v>
      </c>
      <c r="K177" s="659"/>
      <c r="L177" s="659"/>
      <c r="M177" s="659"/>
      <c r="N177" s="170"/>
      <c r="O177" s="170"/>
      <c r="P177" s="167"/>
    </row>
    <row r="178" spans="1:16" ht="17.25" customHeight="1">
      <c r="A178" s="630"/>
      <c r="B178" s="834" t="s">
        <v>57</v>
      </c>
      <c r="C178" s="835"/>
      <c r="D178" s="859">
        <f>+M188</f>
        <v>4512649.20001737</v>
      </c>
      <c r="E178" s="29">
        <v>0</v>
      </c>
      <c r="F178" s="30">
        <v>1</v>
      </c>
      <c r="G178" s="28">
        <f>E178*F178</f>
        <v>0</v>
      </c>
      <c r="H178" s="129">
        <f>G178+D178</f>
        <v>4512649.20001737</v>
      </c>
      <c r="K178" s="167"/>
      <c r="L178" s="169"/>
      <c r="M178" s="168"/>
      <c r="N178" s="171"/>
      <c r="O178" s="17"/>
      <c r="P178" s="168"/>
    </row>
    <row r="179" spans="1:12" ht="17.25" customHeight="1">
      <c r="A179" s="630"/>
      <c r="B179" s="834" t="s">
        <v>181</v>
      </c>
      <c r="C179" s="835"/>
      <c r="D179" s="859">
        <f>+P180</f>
        <v>124440</v>
      </c>
      <c r="E179" s="29">
        <v>0</v>
      </c>
      <c r="F179" s="30">
        <v>1</v>
      </c>
      <c r="G179" s="28">
        <f>E179*F179</f>
        <v>0</v>
      </c>
      <c r="H179" s="129">
        <f>G179+D179</f>
        <v>124440</v>
      </c>
      <c r="K179" s="1" t="s">
        <v>553</v>
      </c>
      <c r="L179" s="259"/>
    </row>
    <row r="180" spans="1:16" ht="17.25" customHeight="1">
      <c r="A180" s="630"/>
      <c r="B180" s="837" t="s">
        <v>58</v>
      </c>
      <c r="C180" s="838"/>
      <c r="D180" s="122">
        <v>0</v>
      </c>
      <c r="E180" s="29">
        <v>0</v>
      </c>
      <c r="F180" s="30">
        <v>1</v>
      </c>
      <c r="G180" s="28">
        <f>E180*F180</f>
        <v>0</v>
      </c>
      <c r="H180" s="129">
        <f>G180+D180</f>
        <v>0</v>
      </c>
      <c r="K180" s="649" t="s">
        <v>361</v>
      </c>
      <c r="L180" s="649"/>
      <c r="M180" s="649"/>
      <c r="O180" s="217" t="s">
        <v>228</v>
      </c>
      <c r="P180" s="218">
        <f>'[1]EDUCACIONAL'!$BH$56</f>
        <v>124440</v>
      </c>
    </row>
    <row r="181" spans="1:17" ht="17.25" customHeight="1">
      <c r="A181" s="630"/>
      <c r="B181" s="834" t="s">
        <v>59</v>
      </c>
      <c r="C181" s="835"/>
      <c r="D181" s="859">
        <f>+P185</f>
        <v>231922.29315752065</v>
      </c>
      <c r="E181" s="29">
        <v>0</v>
      </c>
      <c r="F181" s="30">
        <v>1</v>
      </c>
      <c r="G181" s="28">
        <f>E181*F181</f>
        <v>0</v>
      </c>
      <c r="H181" s="129">
        <f>G181+D181</f>
        <v>231922.29315752065</v>
      </c>
      <c r="K181" s="219" t="s">
        <v>229</v>
      </c>
      <c r="L181" s="220">
        <v>0</v>
      </c>
      <c r="M181" s="218"/>
      <c r="O181" s="102"/>
      <c r="P181" s="102"/>
      <c r="Q181" s="102"/>
    </row>
    <row r="182" spans="1:17" ht="17.25" customHeight="1">
      <c r="A182" s="630"/>
      <c r="B182" s="834" t="s">
        <v>129</v>
      </c>
      <c r="C182" s="835"/>
      <c r="D182" s="122">
        <v>0</v>
      </c>
      <c r="E182" s="29">
        <v>0</v>
      </c>
      <c r="F182" s="30">
        <v>1</v>
      </c>
      <c r="G182" s="28">
        <f>E182*F182</f>
        <v>0</v>
      </c>
      <c r="H182" s="129">
        <f>G182+D182</f>
        <v>0</v>
      </c>
      <c r="K182" s="219" t="s">
        <v>230</v>
      </c>
      <c r="L182" s="220">
        <v>1</v>
      </c>
      <c r="M182" s="218">
        <f>'[1]EDUCACIONAL'!$BL$56</f>
        <v>4512649.20001737</v>
      </c>
      <c r="O182" s="652" t="s">
        <v>231</v>
      </c>
      <c r="P182" s="652"/>
      <c r="Q182" s="102"/>
    </row>
    <row r="183" spans="1:17" ht="17.25" customHeight="1">
      <c r="A183" s="630"/>
      <c r="B183" s="657" t="s">
        <v>60</v>
      </c>
      <c r="C183" s="658"/>
      <c r="D183" s="654"/>
      <c r="E183" s="655"/>
      <c r="F183" s="655"/>
      <c r="G183" s="655"/>
      <c r="H183" s="656"/>
      <c r="I183" s="21"/>
      <c r="K183" s="219" t="s">
        <v>232</v>
      </c>
      <c r="L183" s="220">
        <v>0</v>
      </c>
      <c r="M183" s="218"/>
      <c r="O183" s="427" t="s">
        <v>233</v>
      </c>
      <c r="P183" s="426">
        <f>'[1]EDUCACIONAL'!$BF$56</f>
        <v>120516.34615752066</v>
      </c>
      <c r="Q183" s="102"/>
    </row>
    <row r="184" spans="1:16" ht="17.25" customHeight="1">
      <c r="A184" s="630"/>
      <c r="B184" s="834" t="s">
        <v>61</v>
      </c>
      <c r="C184" s="835"/>
      <c r="D184" s="175">
        <v>0</v>
      </c>
      <c r="E184" s="29">
        <v>0</v>
      </c>
      <c r="F184" s="30">
        <v>1</v>
      </c>
      <c r="G184" s="28">
        <f>E184*F184</f>
        <v>0</v>
      </c>
      <c r="H184" s="129">
        <f>G184+D184</f>
        <v>0</v>
      </c>
      <c r="K184" s="219" t="s">
        <v>234</v>
      </c>
      <c r="L184" s="220">
        <v>0</v>
      </c>
      <c r="M184" s="218"/>
      <c r="O184" s="221" t="s">
        <v>235</v>
      </c>
      <c r="P184" s="218">
        <f>'[1]EDUCACIONAL'!$BG$56</f>
        <v>111405.947</v>
      </c>
    </row>
    <row r="185" spans="1:17" ht="17.25" customHeight="1">
      <c r="A185" s="630"/>
      <c r="B185" s="657" t="s">
        <v>62</v>
      </c>
      <c r="C185" s="658"/>
      <c r="D185" s="654"/>
      <c r="E185" s="655"/>
      <c r="F185" s="655"/>
      <c r="G185" s="655"/>
      <c r="H185" s="656"/>
      <c r="I185" s="21"/>
      <c r="K185" s="653" t="s">
        <v>236</v>
      </c>
      <c r="L185" s="653"/>
      <c r="M185" s="218"/>
      <c r="O185" s="222" t="s">
        <v>237</v>
      </c>
      <c r="P185" s="223">
        <f>SUM(P183:P184)</f>
        <v>231922.29315752065</v>
      </c>
      <c r="Q185" s="223">
        <f>SUM(Q183:Q184)</f>
        <v>0</v>
      </c>
    </row>
    <row r="186" spans="1:16" ht="17.25" customHeight="1">
      <c r="A186" s="630"/>
      <c r="B186" s="839" t="s">
        <v>63</v>
      </c>
      <c r="C186" s="840"/>
      <c r="D186" s="122"/>
      <c r="E186" s="29">
        <v>0</v>
      </c>
      <c r="F186" s="30">
        <v>1</v>
      </c>
      <c r="G186" s="28">
        <f>E186*F186</f>
        <v>0</v>
      </c>
      <c r="H186" s="129"/>
      <c r="I186" s="138" t="s">
        <v>598</v>
      </c>
      <c r="K186" s="653" t="s">
        <v>238</v>
      </c>
      <c r="L186" s="653"/>
      <c r="M186" s="218">
        <f>SUM(M181:M184)</f>
        <v>4512649.20001737</v>
      </c>
      <c r="O186" s="105"/>
      <c r="P186" s="106"/>
    </row>
    <row r="187" spans="1:14" ht="17.25" customHeight="1">
      <c r="A187" s="630"/>
      <c r="B187" s="841" t="s">
        <v>64</v>
      </c>
      <c r="C187" s="840"/>
      <c r="D187" s="122">
        <v>0</v>
      </c>
      <c r="E187" s="29">
        <v>0</v>
      </c>
      <c r="F187" s="30">
        <v>1</v>
      </c>
      <c r="G187" s="28">
        <f>E187*F187</f>
        <v>0</v>
      </c>
      <c r="H187" s="129">
        <f>G187+D187</f>
        <v>0</v>
      </c>
      <c r="I187" s="21"/>
      <c r="K187" s="653" t="s">
        <v>239</v>
      </c>
      <c r="L187" s="653"/>
      <c r="M187" s="224"/>
      <c r="N187" s="105"/>
    </row>
    <row r="188" spans="1:13" ht="17.25" customHeight="1">
      <c r="A188" s="630"/>
      <c r="B188" s="672" t="s">
        <v>65</v>
      </c>
      <c r="C188" s="673"/>
      <c r="D188" s="123">
        <f>SUM(D190:D191,D193:D195,D197:D198,D200:D211,D213:D221,D223:D229,D231:D233,D235:D240,D242:D243,D245:D248,D250:D251)</f>
        <v>4608289.7</v>
      </c>
      <c r="E188" s="27">
        <f>SUM(E190:E191,E193:E195,E197:E198,E200:E211,E213:E221,E223:E229,E231:E233,E235:E240,E242:E243,E245:E248,E250:E251)</f>
        <v>386404.2</v>
      </c>
      <c r="F188" s="61"/>
      <c r="G188" s="27">
        <f>SUM(G190:G191,G193:G195,G197:G198,G200:G211,G213:G221,G223:G229,G231:G233,G235:G240,G242:G243,G245:G248,G250:G251)</f>
        <v>1090048.2</v>
      </c>
      <c r="H188" s="130">
        <f>SUM(H190:H191,H193:H195,H197:H198,H200:H211,H213:H221,H223:H229,H231:H233,H235:H240,H242:H243,H245:H248,H250:H251)</f>
        <v>4608289.7</v>
      </c>
      <c r="I188" s="21"/>
      <c r="K188" s="650" t="s">
        <v>440</v>
      </c>
      <c r="L188" s="650"/>
      <c r="M188" s="223">
        <f>+M186</f>
        <v>4512649.20001737</v>
      </c>
    </row>
    <row r="189" spans="1:16" ht="17.25" customHeight="1">
      <c r="A189" s="630"/>
      <c r="B189" s="842" t="s">
        <v>66</v>
      </c>
      <c r="C189" s="843"/>
      <c r="D189" s="654"/>
      <c r="E189" s="655"/>
      <c r="F189" s="655"/>
      <c r="G189" s="655"/>
      <c r="H189" s="656"/>
      <c r="I189" s="21"/>
      <c r="K189" s="173"/>
      <c r="L189" s="174"/>
      <c r="M189" s="173"/>
      <c r="N189" s="167"/>
      <c r="O189" s="167"/>
      <c r="P189" s="167"/>
    </row>
    <row r="190" spans="1:16" ht="17.25" customHeight="1">
      <c r="A190" s="630"/>
      <c r="B190" s="837" t="s">
        <v>67</v>
      </c>
      <c r="C190" s="838"/>
      <c r="D190" s="849">
        <f>E190*F190</f>
        <v>383275.19999999995</v>
      </c>
      <c r="E190" s="29">
        <f>1600*1.037</f>
        <v>1659.1999999999998</v>
      </c>
      <c r="F190" s="30">
        <f>1*11*21</f>
        <v>231</v>
      </c>
      <c r="G190" s="28">
        <f>E190*F190</f>
        <v>383275.19999999995</v>
      </c>
      <c r="H190" s="129">
        <f>D190</f>
        <v>383275.19999999995</v>
      </c>
      <c r="I190" s="173" t="s">
        <v>570</v>
      </c>
      <c r="J190" s="244"/>
      <c r="L190" s="174"/>
      <c r="M190" s="173"/>
      <c r="N190" s="167"/>
      <c r="O190" s="167"/>
      <c r="P190" s="167"/>
    </row>
    <row r="191" spans="1:13" ht="17.25" customHeight="1">
      <c r="A191" s="630"/>
      <c r="B191" s="847" t="s">
        <v>117</v>
      </c>
      <c r="C191" s="848"/>
      <c r="D191" s="122">
        <v>0</v>
      </c>
      <c r="E191" s="29">
        <v>0</v>
      </c>
      <c r="F191" s="30">
        <v>1</v>
      </c>
      <c r="G191" s="28">
        <f>E191*F191</f>
        <v>0</v>
      </c>
      <c r="H191" s="129">
        <f>G191+D191</f>
        <v>0</v>
      </c>
      <c r="I191" s="21"/>
      <c r="M191" s="117"/>
    </row>
    <row r="192" spans="1:9" ht="17.25" customHeight="1">
      <c r="A192" s="630"/>
      <c r="B192" s="842" t="s">
        <v>68</v>
      </c>
      <c r="C192" s="843"/>
      <c r="D192" s="654"/>
      <c r="E192" s="655"/>
      <c r="F192" s="655"/>
      <c r="G192" s="655"/>
      <c r="H192" s="656"/>
      <c r="I192" s="21"/>
    </row>
    <row r="193" spans="1:9" ht="17.25" customHeight="1">
      <c r="A193" s="630"/>
      <c r="B193" s="834" t="s">
        <v>116</v>
      </c>
      <c r="C193" s="835"/>
      <c r="D193" s="162">
        <v>0</v>
      </c>
      <c r="E193" s="29">
        <v>0</v>
      </c>
      <c r="F193" s="30">
        <v>1</v>
      </c>
      <c r="G193" s="28">
        <f>E193*F193</f>
        <v>0</v>
      </c>
      <c r="H193" s="129">
        <f>G193+D193</f>
        <v>0</v>
      </c>
      <c r="I193" s="21"/>
    </row>
    <row r="194" spans="1:9" ht="17.25" customHeight="1">
      <c r="A194" s="630"/>
      <c r="B194" s="834" t="s">
        <v>69</v>
      </c>
      <c r="C194" s="835"/>
      <c r="D194" s="122"/>
      <c r="E194" s="29"/>
      <c r="F194" s="30">
        <v>3</v>
      </c>
      <c r="G194" s="28"/>
      <c r="H194" s="129"/>
      <c r="I194" s="21"/>
    </row>
    <row r="195" spans="1:9" ht="17.25" customHeight="1">
      <c r="A195" s="630"/>
      <c r="B195" s="834" t="s">
        <v>70</v>
      </c>
      <c r="C195" s="835"/>
      <c r="D195" s="122">
        <v>0</v>
      </c>
      <c r="E195" s="29">
        <v>0</v>
      </c>
      <c r="F195" s="30">
        <v>1</v>
      </c>
      <c r="G195" s="28">
        <f>E195*F195</f>
        <v>0</v>
      </c>
      <c r="H195" s="129">
        <f>G195+D195</f>
        <v>0</v>
      </c>
      <c r="I195" s="21"/>
    </row>
    <row r="196" spans="1:8" ht="17.25" customHeight="1">
      <c r="A196" s="630"/>
      <c r="B196" s="842" t="s">
        <v>71</v>
      </c>
      <c r="C196" s="843"/>
      <c r="D196" s="666"/>
      <c r="E196" s="667"/>
      <c r="F196" s="667"/>
      <c r="G196" s="667"/>
      <c r="H196" s="668"/>
    </row>
    <row r="197" spans="1:8" ht="17.25" customHeight="1">
      <c r="A197" s="630"/>
      <c r="B197" s="837" t="s">
        <v>72</v>
      </c>
      <c r="C197" s="838"/>
      <c r="D197" s="122">
        <v>0</v>
      </c>
      <c r="E197" s="29">
        <v>0</v>
      </c>
      <c r="F197" s="30">
        <v>1</v>
      </c>
      <c r="G197" s="28">
        <f>E197*F197</f>
        <v>0</v>
      </c>
      <c r="H197" s="129">
        <f>G197+D197</f>
        <v>0</v>
      </c>
    </row>
    <row r="198" spans="1:8" ht="18">
      <c r="A198" s="630"/>
      <c r="B198" s="834" t="s">
        <v>73</v>
      </c>
      <c r="C198" s="835"/>
      <c r="D198" s="122">
        <v>0</v>
      </c>
      <c r="E198" s="29">
        <v>0</v>
      </c>
      <c r="F198" s="30">
        <v>1</v>
      </c>
      <c r="G198" s="28">
        <f>E198*F198</f>
        <v>0</v>
      </c>
      <c r="H198" s="129">
        <f>G198+D198</f>
        <v>0</v>
      </c>
    </row>
    <row r="199" spans="1:8" ht="18">
      <c r="A199" s="630"/>
      <c r="B199" s="842" t="s">
        <v>74</v>
      </c>
      <c r="C199" s="843"/>
      <c r="D199" s="654"/>
      <c r="E199" s="655"/>
      <c r="F199" s="655"/>
      <c r="G199" s="655"/>
      <c r="H199" s="656"/>
    </row>
    <row r="200" spans="1:8" ht="18">
      <c r="A200" s="630"/>
      <c r="B200" s="837" t="s">
        <v>176</v>
      </c>
      <c r="C200" s="838"/>
      <c r="D200" s="122"/>
      <c r="E200" s="29"/>
      <c r="F200" s="30"/>
      <c r="G200" s="28"/>
      <c r="H200" s="129"/>
    </row>
    <row r="201" spans="1:9" ht="18">
      <c r="A201" s="630"/>
      <c r="B201" s="837" t="s">
        <v>75</v>
      </c>
      <c r="C201" s="838"/>
      <c r="D201" s="849">
        <v>108055</v>
      </c>
      <c r="E201" s="29">
        <v>0</v>
      </c>
      <c r="F201" s="30">
        <v>1</v>
      </c>
      <c r="G201" s="28">
        <f aca="true" t="shared" si="11" ref="G201:G210">E201*F201</f>
        <v>0</v>
      </c>
      <c r="H201" s="129">
        <v>108055</v>
      </c>
      <c r="I201" s="1" t="s">
        <v>450</v>
      </c>
    </row>
    <row r="202" spans="1:8" ht="18">
      <c r="A202" s="630"/>
      <c r="B202" s="837" t="s">
        <v>131</v>
      </c>
      <c r="C202" s="838"/>
      <c r="D202" s="122"/>
      <c r="E202" s="29"/>
      <c r="F202" s="30"/>
      <c r="G202" s="28"/>
      <c r="H202" s="129"/>
    </row>
    <row r="203" spans="1:9" ht="18">
      <c r="A203" s="630"/>
      <c r="B203" s="837" t="s">
        <v>76</v>
      </c>
      <c r="C203" s="838"/>
      <c r="D203" s="162">
        <v>33768</v>
      </c>
      <c r="E203" s="29">
        <v>10800</v>
      </c>
      <c r="F203" s="30">
        <v>3</v>
      </c>
      <c r="G203" s="28">
        <f t="shared" si="11"/>
        <v>32400</v>
      </c>
      <c r="H203" s="129">
        <v>33768</v>
      </c>
      <c r="I203" s="1" t="s">
        <v>471</v>
      </c>
    </row>
    <row r="204" spans="1:8" ht="18">
      <c r="A204" s="630"/>
      <c r="B204" s="837" t="s">
        <v>77</v>
      </c>
      <c r="C204" s="838"/>
      <c r="D204" s="122">
        <v>0</v>
      </c>
      <c r="E204" s="29">
        <v>0</v>
      </c>
      <c r="F204" s="30">
        <v>1</v>
      </c>
      <c r="G204" s="28">
        <f t="shared" si="11"/>
        <v>0</v>
      </c>
      <c r="H204" s="129">
        <f>G204+D204</f>
        <v>0</v>
      </c>
    </row>
    <row r="205" spans="1:9" ht="18">
      <c r="A205" s="630"/>
      <c r="B205" s="837" t="s">
        <v>78</v>
      </c>
      <c r="C205" s="838"/>
      <c r="D205" s="122">
        <f>31110/3</f>
        <v>10370</v>
      </c>
      <c r="E205" s="29">
        <v>0</v>
      </c>
      <c r="F205" s="30">
        <v>1</v>
      </c>
      <c r="G205" s="28">
        <f t="shared" si="11"/>
        <v>0</v>
      </c>
      <c r="H205" s="129">
        <f>D205</f>
        <v>10370</v>
      </c>
      <c r="I205" s="1" t="s">
        <v>472</v>
      </c>
    </row>
    <row r="206" spans="1:8" ht="18">
      <c r="A206" s="630"/>
      <c r="B206" s="837" t="s">
        <v>118</v>
      </c>
      <c r="C206" s="838"/>
      <c r="D206" s="122">
        <v>0</v>
      </c>
      <c r="E206" s="29">
        <v>0</v>
      </c>
      <c r="F206" s="30">
        <v>1</v>
      </c>
      <c r="G206" s="28">
        <f t="shared" si="11"/>
        <v>0</v>
      </c>
      <c r="H206" s="129">
        <f>G206+D206</f>
        <v>0</v>
      </c>
    </row>
    <row r="207" spans="1:8" ht="18">
      <c r="A207" s="630"/>
      <c r="B207" s="837" t="s">
        <v>123</v>
      </c>
      <c r="C207" s="838"/>
      <c r="D207" s="122"/>
      <c r="E207" s="29"/>
      <c r="F207" s="30"/>
      <c r="G207" s="28"/>
      <c r="H207" s="129"/>
    </row>
    <row r="208" spans="1:9" ht="18">
      <c r="A208" s="630"/>
      <c r="B208" s="837" t="s">
        <v>79</v>
      </c>
      <c r="C208" s="838"/>
      <c r="D208" s="849">
        <v>190307</v>
      </c>
      <c r="E208" s="29">
        <v>0</v>
      </c>
      <c r="F208" s="30">
        <v>1</v>
      </c>
      <c r="G208" s="28">
        <f t="shared" si="11"/>
        <v>0</v>
      </c>
      <c r="H208" s="129">
        <v>190307</v>
      </c>
      <c r="I208" s="1" t="s">
        <v>451</v>
      </c>
    </row>
    <row r="209" spans="1:9" ht="18">
      <c r="A209" s="630"/>
      <c r="B209" s="837" t="s">
        <v>80</v>
      </c>
      <c r="C209" s="838"/>
      <c r="D209" s="849">
        <f>167603/2</f>
        <v>83801.5</v>
      </c>
      <c r="E209" s="29">
        <v>0</v>
      </c>
      <c r="F209" s="30">
        <v>1</v>
      </c>
      <c r="G209" s="28">
        <f t="shared" si="11"/>
        <v>0</v>
      </c>
      <c r="H209" s="129">
        <f>D209</f>
        <v>83801.5</v>
      </c>
      <c r="I209" s="102" t="s">
        <v>523</v>
      </c>
    </row>
    <row r="210" spans="1:9" ht="18">
      <c r="A210" s="630"/>
      <c r="B210" s="837" t="s">
        <v>81</v>
      </c>
      <c r="C210" s="838"/>
      <c r="D210" s="122">
        <v>200000</v>
      </c>
      <c r="E210" s="29">
        <v>0</v>
      </c>
      <c r="F210" s="30">
        <v>1</v>
      </c>
      <c r="G210" s="28">
        <f t="shared" si="11"/>
        <v>0</v>
      </c>
      <c r="H210" s="129">
        <f>D210</f>
        <v>200000</v>
      </c>
      <c r="I210" s="1" t="s">
        <v>452</v>
      </c>
    </row>
    <row r="211" spans="1:13" ht="18">
      <c r="A211" s="630"/>
      <c r="B211" s="837" t="s">
        <v>119</v>
      </c>
      <c r="C211" s="838"/>
      <c r="D211" s="122"/>
      <c r="E211" s="29"/>
      <c r="F211" s="30"/>
      <c r="G211" s="28"/>
      <c r="H211" s="129"/>
      <c r="K211" s="4"/>
      <c r="L211" s="4"/>
      <c r="M211" s="4"/>
    </row>
    <row r="212" spans="1:11" s="4" customFormat="1" ht="18">
      <c r="A212" s="630"/>
      <c r="B212" s="842" t="s">
        <v>82</v>
      </c>
      <c r="C212" s="843"/>
      <c r="D212" s="654"/>
      <c r="E212" s="655"/>
      <c r="F212" s="655"/>
      <c r="G212" s="655"/>
      <c r="H212" s="656"/>
      <c r="J212" s="651" t="s">
        <v>581</v>
      </c>
      <c r="K212" s="651"/>
    </row>
    <row r="213" spans="1:13" s="4" customFormat="1" ht="18">
      <c r="A213" s="630"/>
      <c r="B213" s="834" t="s">
        <v>130</v>
      </c>
      <c r="C213" s="835"/>
      <c r="D213" s="849">
        <v>421416</v>
      </c>
      <c r="E213" s="29">
        <v>0</v>
      </c>
      <c r="F213" s="30">
        <v>1</v>
      </c>
      <c r="G213" s="28">
        <f>E213*F213</f>
        <v>0</v>
      </c>
      <c r="H213" s="129">
        <v>421416</v>
      </c>
      <c r="I213" s="1" t="s">
        <v>569</v>
      </c>
      <c r="J213" s="434" t="s">
        <v>130</v>
      </c>
      <c r="K213" s="434">
        <v>421416</v>
      </c>
      <c r="L213" s="163">
        <f>K213/12</f>
        <v>35118</v>
      </c>
      <c r="M213" s="1"/>
    </row>
    <row r="214" spans="1:12" ht="18">
      <c r="A214" s="630"/>
      <c r="B214" s="834" t="s">
        <v>40</v>
      </c>
      <c r="C214" s="835"/>
      <c r="D214" s="122"/>
      <c r="E214" s="29">
        <v>0</v>
      </c>
      <c r="F214" s="30">
        <v>1</v>
      </c>
      <c r="G214" s="28">
        <f aca="true" t="shared" si="12" ref="G214:G221">E214*F214</f>
        <v>0</v>
      </c>
      <c r="H214" s="129">
        <f aca="true" t="shared" si="13" ref="H214:H220">G214+D214</f>
        <v>0</v>
      </c>
      <c r="J214" s="434" t="s">
        <v>40</v>
      </c>
      <c r="K214" s="434">
        <v>0</v>
      </c>
      <c r="L214" s="163">
        <f aca="true" t="shared" si="14" ref="L214:L219">K214/12</f>
        <v>0</v>
      </c>
    </row>
    <row r="215" spans="1:12" ht="18">
      <c r="A215" s="630"/>
      <c r="B215" s="834" t="s">
        <v>41</v>
      </c>
      <c r="C215" s="835"/>
      <c r="D215" s="849">
        <v>30254</v>
      </c>
      <c r="E215" s="29">
        <v>0</v>
      </c>
      <c r="F215" s="30">
        <v>1</v>
      </c>
      <c r="G215" s="28">
        <f t="shared" si="12"/>
        <v>0</v>
      </c>
      <c r="H215" s="129">
        <v>30254</v>
      </c>
      <c r="I215" s="1" t="s">
        <v>569</v>
      </c>
      <c r="J215" s="434" t="s">
        <v>41</v>
      </c>
      <c r="K215" s="434">
        <v>30254</v>
      </c>
      <c r="L215" s="163">
        <f t="shared" si="14"/>
        <v>2521.1666666666665</v>
      </c>
    </row>
    <row r="216" spans="1:12" ht="18">
      <c r="A216" s="630"/>
      <c r="B216" s="834" t="s">
        <v>83</v>
      </c>
      <c r="C216" s="835"/>
      <c r="D216" s="122">
        <v>0</v>
      </c>
      <c r="E216" s="29">
        <v>0</v>
      </c>
      <c r="F216" s="30">
        <v>1</v>
      </c>
      <c r="G216" s="28">
        <f t="shared" si="12"/>
        <v>0</v>
      </c>
      <c r="H216" s="129">
        <f t="shared" si="13"/>
        <v>0</v>
      </c>
      <c r="J216" s="434" t="s">
        <v>83</v>
      </c>
      <c r="K216" s="434">
        <v>0</v>
      </c>
      <c r="L216" s="163">
        <f t="shared" si="14"/>
        <v>0</v>
      </c>
    </row>
    <row r="217" spans="1:12" ht="18">
      <c r="A217" s="630"/>
      <c r="B217" s="834" t="s">
        <v>84</v>
      </c>
      <c r="C217" s="835"/>
      <c r="D217" s="849">
        <v>827703</v>
      </c>
      <c r="E217" s="29">
        <v>0</v>
      </c>
      <c r="F217" s="30">
        <v>1</v>
      </c>
      <c r="G217" s="28">
        <f t="shared" si="12"/>
        <v>0</v>
      </c>
      <c r="H217" s="129">
        <v>827703</v>
      </c>
      <c r="I217" s="1" t="s">
        <v>368</v>
      </c>
      <c r="J217" s="434" t="s">
        <v>84</v>
      </c>
      <c r="K217" s="434">
        <v>827703</v>
      </c>
      <c r="L217" s="163">
        <f t="shared" si="14"/>
        <v>68975.25</v>
      </c>
    </row>
    <row r="218" spans="1:12" ht="18">
      <c r="A218" s="630"/>
      <c r="B218" s="834" t="s">
        <v>85</v>
      </c>
      <c r="C218" s="835"/>
      <c r="D218" s="122"/>
      <c r="E218" s="29">
        <v>0</v>
      </c>
      <c r="F218" s="30">
        <v>1</v>
      </c>
      <c r="G218" s="28">
        <f t="shared" si="12"/>
        <v>0</v>
      </c>
      <c r="H218" s="129">
        <f t="shared" si="13"/>
        <v>0</v>
      </c>
      <c r="J218" s="434" t="s">
        <v>85</v>
      </c>
      <c r="K218" s="434">
        <v>0</v>
      </c>
      <c r="L218" s="163">
        <f t="shared" si="14"/>
        <v>0</v>
      </c>
    </row>
    <row r="219" spans="1:12" ht="18">
      <c r="A219" s="630"/>
      <c r="B219" s="834" t="s">
        <v>86</v>
      </c>
      <c r="C219" s="835"/>
      <c r="D219" s="122"/>
      <c r="E219" s="29">
        <v>0</v>
      </c>
      <c r="F219" s="30">
        <v>1</v>
      </c>
      <c r="G219" s="28">
        <f t="shared" si="12"/>
        <v>0</v>
      </c>
      <c r="H219" s="129">
        <f t="shared" si="13"/>
        <v>0</v>
      </c>
      <c r="J219" s="434" t="s">
        <v>86</v>
      </c>
      <c r="K219" s="434">
        <v>0</v>
      </c>
      <c r="L219" s="163">
        <f t="shared" si="14"/>
        <v>0</v>
      </c>
    </row>
    <row r="220" spans="1:8" ht="18">
      <c r="A220" s="630"/>
      <c r="B220" s="834" t="s">
        <v>87</v>
      </c>
      <c r="C220" s="835"/>
      <c r="D220" s="122">
        <v>0</v>
      </c>
      <c r="E220" s="29">
        <v>0</v>
      </c>
      <c r="F220" s="30">
        <v>1</v>
      </c>
      <c r="G220" s="28">
        <f t="shared" si="12"/>
        <v>0</v>
      </c>
      <c r="H220" s="129">
        <f t="shared" si="13"/>
        <v>0</v>
      </c>
    </row>
    <row r="221" spans="1:9" ht="18">
      <c r="A221" s="630"/>
      <c r="B221" s="834" t="s">
        <v>88</v>
      </c>
      <c r="C221" s="835"/>
      <c r="D221" s="122">
        <v>671672</v>
      </c>
      <c r="E221" s="29">
        <v>0</v>
      </c>
      <c r="F221" s="30">
        <v>1</v>
      </c>
      <c r="G221" s="28">
        <f t="shared" si="12"/>
        <v>0</v>
      </c>
      <c r="H221" s="129">
        <v>671672</v>
      </c>
      <c r="I221" s="1" t="s">
        <v>473</v>
      </c>
    </row>
    <row r="222" spans="1:8" ht="18">
      <c r="A222" s="630"/>
      <c r="B222" s="657" t="s">
        <v>89</v>
      </c>
      <c r="C222" s="658"/>
      <c r="D222" s="654"/>
      <c r="E222" s="655"/>
      <c r="F222" s="655"/>
      <c r="G222" s="655"/>
      <c r="H222" s="656"/>
    </row>
    <row r="223" spans="1:9" ht="18">
      <c r="A223" s="630"/>
      <c r="B223" s="837" t="s">
        <v>90</v>
      </c>
      <c r="C223" s="838"/>
      <c r="D223" s="122">
        <v>0</v>
      </c>
      <c r="E223" s="29"/>
      <c r="F223" s="30"/>
      <c r="G223" s="28"/>
      <c r="H223" s="129">
        <v>0</v>
      </c>
      <c r="I223" s="435"/>
    </row>
    <row r="224" spans="1:9" ht="18">
      <c r="A224" s="630"/>
      <c r="B224" s="837" t="s">
        <v>91</v>
      </c>
      <c r="C224" s="838"/>
      <c r="D224" s="122">
        <v>0</v>
      </c>
      <c r="E224" s="29">
        <v>0</v>
      </c>
      <c r="F224" s="30">
        <v>1</v>
      </c>
      <c r="G224" s="28">
        <f aca="true" t="shared" si="15" ref="G224:G229">E224*F224</f>
        <v>0</v>
      </c>
      <c r="H224" s="129">
        <f>G224+D224</f>
        <v>0</v>
      </c>
      <c r="I224" s="1" t="s">
        <v>190</v>
      </c>
    </row>
    <row r="225" spans="1:8" ht="18">
      <c r="A225" s="630"/>
      <c r="B225" s="837" t="s">
        <v>92</v>
      </c>
      <c r="C225" s="838"/>
      <c r="D225" s="122">
        <v>0</v>
      </c>
      <c r="E225" s="29">
        <v>0</v>
      </c>
      <c r="F225" s="30">
        <v>1</v>
      </c>
      <c r="G225" s="28">
        <f t="shared" si="15"/>
        <v>0</v>
      </c>
      <c r="H225" s="129">
        <f>G225+D225</f>
        <v>0</v>
      </c>
    </row>
    <row r="226" spans="1:9" ht="18">
      <c r="A226" s="630"/>
      <c r="B226" s="837" t="s">
        <v>93</v>
      </c>
      <c r="C226" s="838"/>
      <c r="D226" s="122">
        <v>67166</v>
      </c>
      <c r="E226" s="29">
        <v>0</v>
      </c>
      <c r="F226" s="30">
        <v>1</v>
      </c>
      <c r="G226" s="28">
        <f t="shared" si="15"/>
        <v>0</v>
      </c>
      <c r="H226" s="129">
        <v>67166</v>
      </c>
      <c r="I226" s="1" t="s">
        <v>453</v>
      </c>
    </row>
    <row r="227" spans="1:8" ht="18">
      <c r="A227" s="630"/>
      <c r="B227" s="837" t="s">
        <v>94</v>
      </c>
      <c r="C227" s="838"/>
      <c r="D227" s="122">
        <v>0</v>
      </c>
      <c r="E227" s="29">
        <v>0</v>
      </c>
      <c r="F227" s="30">
        <v>1</v>
      </c>
      <c r="G227" s="28">
        <f t="shared" si="15"/>
        <v>0</v>
      </c>
      <c r="H227" s="129">
        <f>G227+D227</f>
        <v>0</v>
      </c>
    </row>
    <row r="228" spans="1:8" ht="18">
      <c r="A228" s="630"/>
      <c r="B228" s="837" t="s">
        <v>95</v>
      </c>
      <c r="C228" s="838"/>
      <c r="D228" s="122">
        <v>0</v>
      </c>
      <c r="E228" s="29">
        <v>0</v>
      </c>
      <c r="F228" s="30">
        <v>1</v>
      </c>
      <c r="G228" s="28">
        <f t="shared" si="15"/>
        <v>0</v>
      </c>
      <c r="H228" s="129">
        <f>G228+D228</f>
        <v>0</v>
      </c>
    </row>
    <row r="229" spans="1:9" ht="18">
      <c r="A229" s="630"/>
      <c r="B229" s="837" t="s">
        <v>96</v>
      </c>
      <c r="C229" s="838"/>
      <c r="D229" s="122">
        <v>191824</v>
      </c>
      <c r="E229" s="29">
        <v>0</v>
      </c>
      <c r="F229" s="30">
        <v>1</v>
      </c>
      <c r="G229" s="28">
        <f t="shared" si="15"/>
        <v>0</v>
      </c>
      <c r="H229" s="129">
        <v>191824</v>
      </c>
      <c r="I229" s="386" t="s">
        <v>571</v>
      </c>
    </row>
    <row r="230" spans="1:8" ht="18">
      <c r="A230" s="630"/>
      <c r="B230" s="657" t="s">
        <v>97</v>
      </c>
      <c r="C230" s="658"/>
      <c r="D230" s="654"/>
      <c r="E230" s="655"/>
      <c r="F230" s="655"/>
      <c r="G230" s="655"/>
      <c r="H230" s="656"/>
    </row>
    <row r="231" spans="1:8" ht="18">
      <c r="A231" s="630"/>
      <c r="B231" s="834" t="s">
        <v>98</v>
      </c>
      <c r="C231" s="835"/>
      <c r="D231" s="122">
        <v>0</v>
      </c>
      <c r="E231" s="29">
        <v>0</v>
      </c>
      <c r="F231" s="30">
        <v>1</v>
      </c>
      <c r="G231" s="28">
        <f>E231*F231</f>
        <v>0</v>
      </c>
      <c r="H231" s="129">
        <f>G231+D231</f>
        <v>0</v>
      </c>
    </row>
    <row r="232" spans="1:9" ht="18">
      <c r="A232" s="630"/>
      <c r="B232" s="834" t="s">
        <v>99</v>
      </c>
      <c r="C232" s="835"/>
      <c r="D232" s="849">
        <f>E232*F232</f>
        <v>54400</v>
      </c>
      <c r="E232" s="29">
        <v>3200</v>
      </c>
      <c r="F232" s="30">
        <v>17</v>
      </c>
      <c r="G232" s="28">
        <f>D232</f>
        <v>54400</v>
      </c>
      <c r="H232" s="129">
        <f>G232</f>
        <v>54400</v>
      </c>
      <c r="I232" s="1" t="s">
        <v>599</v>
      </c>
    </row>
    <row r="233" spans="1:8" ht="18">
      <c r="A233" s="630"/>
      <c r="B233" s="834" t="s">
        <v>100</v>
      </c>
      <c r="C233" s="835"/>
      <c r="D233" s="122">
        <v>0</v>
      </c>
      <c r="E233" s="29">
        <v>0</v>
      </c>
      <c r="F233" s="30">
        <v>1</v>
      </c>
      <c r="G233" s="28">
        <f>E233*F233</f>
        <v>0</v>
      </c>
      <c r="H233" s="129">
        <f>G233+D233</f>
        <v>0</v>
      </c>
    </row>
    <row r="234" spans="1:8" ht="18">
      <c r="A234" s="630"/>
      <c r="B234" s="657" t="s">
        <v>42</v>
      </c>
      <c r="C234" s="658"/>
      <c r="D234" s="654"/>
      <c r="E234" s="655"/>
      <c r="F234" s="655"/>
      <c r="G234" s="655"/>
      <c r="H234" s="656"/>
    </row>
    <row r="235" spans="1:8" ht="18">
      <c r="A235" s="630"/>
      <c r="B235" s="837" t="s">
        <v>132</v>
      </c>
      <c r="C235" s="838"/>
      <c r="D235" s="122"/>
      <c r="E235" s="29">
        <v>0</v>
      </c>
      <c r="F235" s="30">
        <v>1</v>
      </c>
      <c r="G235" s="28">
        <f aca="true" t="shared" si="16" ref="G235:G240">E235*F235</f>
        <v>0</v>
      </c>
      <c r="H235" s="129">
        <f>G235+D235</f>
        <v>0</v>
      </c>
    </row>
    <row r="236" spans="1:9" ht="18">
      <c r="A236" s="630"/>
      <c r="B236" s="834" t="s">
        <v>101</v>
      </c>
      <c r="C236" s="835"/>
      <c r="D236" s="849">
        <v>632814</v>
      </c>
      <c r="E236" s="29">
        <v>0</v>
      </c>
      <c r="F236" s="30">
        <v>1</v>
      </c>
      <c r="G236" s="28">
        <f t="shared" si="16"/>
        <v>0</v>
      </c>
      <c r="H236" s="129">
        <v>632814</v>
      </c>
      <c r="I236" s="1" t="s">
        <v>572</v>
      </c>
    </row>
    <row r="237" spans="1:8" ht="18">
      <c r="A237" s="630"/>
      <c r="B237" s="834" t="s">
        <v>102</v>
      </c>
      <c r="C237" s="835"/>
      <c r="D237" s="122">
        <v>0</v>
      </c>
      <c r="E237" s="29">
        <v>0</v>
      </c>
      <c r="F237" s="30">
        <v>1</v>
      </c>
      <c r="G237" s="28">
        <f t="shared" si="16"/>
        <v>0</v>
      </c>
      <c r="H237" s="129">
        <f>G237+D237</f>
        <v>0</v>
      </c>
    </row>
    <row r="238" spans="1:9" ht="18">
      <c r="A238" s="630"/>
      <c r="B238" s="834" t="s">
        <v>103</v>
      </c>
      <c r="C238" s="835"/>
      <c r="D238" s="122">
        <v>0</v>
      </c>
      <c r="E238" s="29">
        <v>0</v>
      </c>
      <c r="F238" s="30">
        <v>1</v>
      </c>
      <c r="G238" s="28">
        <f t="shared" si="16"/>
        <v>0</v>
      </c>
      <c r="H238" s="129">
        <f>G238+D238</f>
        <v>0</v>
      </c>
      <c r="I238" s="119"/>
    </row>
    <row r="239" spans="1:8" ht="18">
      <c r="A239" s="630"/>
      <c r="B239" s="834" t="s">
        <v>104</v>
      </c>
      <c r="C239" s="835"/>
      <c r="D239" s="122"/>
      <c r="E239" s="29">
        <v>0</v>
      </c>
      <c r="F239" s="30">
        <v>1</v>
      </c>
      <c r="G239" s="28">
        <f t="shared" si="16"/>
        <v>0</v>
      </c>
      <c r="H239" s="129">
        <f>G239+D239</f>
        <v>0</v>
      </c>
    </row>
    <row r="240" spans="1:11" ht="31.5" customHeight="1">
      <c r="A240" s="630"/>
      <c r="B240" s="834" t="s">
        <v>177</v>
      </c>
      <c r="C240" s="835"/>
      <c r="D240" s="122">
        <f>E240*F240</f>
        <v>170000</v>
      </c>
      <c r="E240" s="29">
        <v>10000</v>
      </c>
      <c r="F240" s="30">
        <v>17</v>
      </c>
      <c r="G240" s="28">
        <f t="shared" si="16"/>
        <v>170000</v>
      </c>
      <c r="H240" s="129">
        <f>G240</f>
        <v>170000</v>
      </c>
      <c r="I240" s="1" t="s">
        <v>454</v>
      </c>
      <c r="J240" s="244"/>
      <c r="K240" s="102"/>
    </row>
    <row r="241" spans="1:8" ht="18">
      <c r="A241" s="630"/>
      <c r="B241" s="657" t="s">
        <v>106</v>
      </c>
      <c r="C241" s="658"/>
      <c r="D241" s="654"/>
      <c r="E241" s="655"/>
      <c r="F241" s="655"/>
      <c r="G241" s="655"/>
      <c r="H241" s="656"/>
    </row>
    <row r="242" spans="1:8" ht="18">
      <c r="A242" s="630"/>
      <c r="B242" s="834" t="s">
        <v>121</v>
      </c>
      <c r="C242" s="835"/>
      <c r="D242" s="122">
        <v>81491</v>
      </c>
      <c r="E242" s="29">
        <v>0</v>
      </c>
      <c r="F242" s="30">
        <v>1</v>
      </c>
      <c r="G242" s="28">
        <f>F242*E242</f>
        <v>0</v>
      </c>
      <c r="H242" s="129">
        <f>D242</f>
        <v>81491</v>
      </c>
    </row>
    <row r="243" spans="1:12" ht="18">
      <c r="A243" s="630"/>
      <c r="B243" s="834" t="s">
        <v>122</v>
      </c>
      <c r="C243" s="835"/>
      <c r="D243" s="122">
        <f>E243*F243</f>
        <v>108800</v>
      </c>
      <c r="E243" s="29">
        <v>6400</v>
      </c>
      <c r="F243" s="30">
        <v>17</v>
      </c>
      <c r="G243" s="28">
        <f>F243*E243</f>
        <v>108800</v>
      </c>
      <c r="H243" s="129">
        <f>G243</f>
        <v>108800</v>
      </c>
      <c r="I243" s="1" t="s">
        <v>568</v>
      </c>
      <c r="K243" s="102"/>
      <c r="L243" s="244"/>
    </row>
    <row r="244" spans="1:8" ht="18">
      <c r="A244" s="630"/>
      <c r="B244" s="657" t="s">
        <v>107</v>
      </c>
      <c r="C244" s="658"/>
      <c r="D244" s="654"/>
      <c r="E244" s="655"/>
      <c r="F244" s="655"/>
      <c r="G244" s="655"/>
      <c r="H244" s="656"/>
    </row>
    <row r="245" spans="1:9" ht="18">
      <c r="A245" s="630"/>
      <c r="B245" s="834" t="s">
        <v>108</v>
      </c>
      <c r="C245" s="835"/>
      <c r="D245" s="849"/>
      <c r="E245" s="29">
        <v>0</v>
      </c>
      <c r="F245" s="30">
        <v>1</v>
      </c>
      <c r="G245" s="28">
        <f>E245*F245</f>
        <v>0</v>
      </c>
      <c r="H245" s="129"/>
      <c r="I245" s="102"/>
    </row>
    <row r="246" spans="1:8" ht="18">
      <c r="A246" s="630"/>
      <c r="B246" s="834" t="s">
        <v>109</v>
      </c>
      <c r="C246" s="835"/>
      <c r="D246" s="122">
        <v>0</v>
      </c>
      <c r="E246" s="29">
        <v>0</v>
      </c>
      <c r="F246" s="30">
        <v>1</v>
      </c>
      <c r="G246" s="28">
        <f>E246*F246</f>
        <v>0</v>
      </c>
      <c r="H246" s="129">
        <f>G246+D246</f>
        <v>0</v>
      </c>
    </row>
    <row r="247" spans="1:8" ht="13.5">
      <c r="A247" s="630"/>
      <c r="B247" s="851" t="s">
        <v>110</v>
      </c>
      <c r="C247" s="852"/>
      <c r="D247" s="122">
        <v>0</v>
      </c>
      <c r="E247" s="29">
        <v>0</v>
      </c>
      <c r="F247" s="30">
        <v>1</v>
      </c>
      <c r="G247" s="28">
        <f>E247*F247</f>
        <v>0</v>
      </c>
      <c r="H247" s="129">
        <f>G247+D247</f>
        <v>0</v>
      </c>
    </row>
    <row r="248" spans="1:8" ht="18">
      <c r="A248" s="630"/>
      <c r="B248" s="837" t="s">
        <v>111</v>
      </c>
      <c r="C248" s="838"/>
      <c r="D248" s="164"/>
      <c r="E248" s="54">
        <v>0</v>
      </c>
      <c r="F248" s="55">
        <v>1</v>
      </c>
      <c r="G248" s="28">
        <f>E248*F248</f>
        <v>0</v>
      </c>
      <c r="H248" s="131">
        <f>G248+D248</f>
        <v>0</v>
      </c>
    </row>
    <row r="249" spans="1:8" ht="18">
      <c r="A249" s="630"/>
      <c r="B249" s="657" t="s">
        <v>112</v>
      </c>
      <c r="C249" s="658"/>
      <c r="D249" s="663"/>
      <c r="E249" s="664"/>
      <c r="F249" s="664"/>
      <c r="G249" s="664"/>
      <c r="H249" s="665"/>
    </row>
    <row r="250" spans="1:9" ht="18">
      <c r="A250" s="630"/>
      <c r="B250" s="837" t="s">
        <v>113</v>
      </c>
      <c r="C250" s="838"/>
      <c r="D250" s="849">
        <f>E250*F250</f>
        <v>341173</v>
      </c>
      <c r="E250" s="29">
        <f>47000*7*1.037</f>
        <v>341173</v>
      </c>
      <c r="F250" s="30">
        <v>1</v>
      </c>
      <c r="G250" s="28">
        <f>E250*F250</f>
        <v>341173</v>
      </c>
      <c r="H250" s="129">
        <f>D250</f>
        <v>341173</v>
      </c>
      <c r="I250" s="1" t="s">
        <v>661</v>
      </c>
    </row>
    <row r="251" spans="1:8" ht="18">
      <c r="A251" s="630"/>
      <c r="B251" s="837" t="s">
        <v>120</v>
      </c>
      <c r="C251" s="838"/>
      <c r="D251" s="845"/>
      <c r="E251" s="29">
        <v>13172</v>
      </c>
      <c r="F251" s="114">
        <v>4</v>
      </c>
      <c r="G251" s="115"/>
      <c r="H251" s="129"/>
    </row>
    <row r="252" spans="1:8" ht="18">
      <c r="A252" s="630"/>
      <c r="B252" s="853" t="s">
        <v>114</v>
      </c>
      <c r="C252" s="854"/>
      <c r="D252" s="123">
        <f>SUM(D253:D257)</f>
        <v>0</v>
      </c>
      <c r="E252" s="27">
        <f>SUM(E253:E257)</f>
        <v>0</v>
      </c>
      <c r="F252" s="61"/>
      <c r="G252" s="27">
        <f>SUM(G253:G257)</f>
        <v>0</v>
      </c>
      <c r="H252" s="130">
        <f>SUM(H253:H257)</f>
        <v>0</v>
      </c>
    </row>
    <row r="253" spans="1:8" ht="18">
      <c r="A253" s="630"/>
      <c r="B253" s="855" t="s">
        <v>124</v>
      </c>
      <c r="C253" s="856"/>
      <c r="D253" s="122">
        <v>0</v>
      </c>
      <c r="E253" s="54">
        <v>0</v>
      </c>
      <c r="F253" s="55">
        <v>1</v>
      </c>
      <c r="G253" s="53">
        <f>E253*F253</f>
        <v>0</v>
      </c>
      <c r="H253" s="131">
        <f>G253+D253</f>
        <v>0</v>
      </c>
    </row>
    <row r="254" spans="1:8" ht="18">
      <c r="A254" s="630"/>
      <c r="B254" s="855" t="s">
        <v>125</v>
      </c>
      <c r="C254" s="856"/>
      <c r="D254" s="122">
        <v>0</v>
      </c>
      <c r="E254" s="29">
        <v>0</v>
      </c>
      <c r="F254" s="30">
        <v>1</v>
      </c>
      <c r="G254" s="28">
        <f>E254*F254</f>
        <v>0</v>
      </c>
      <c r="H254" s="129">
        <f>G254+D254</f>
        <v>0</v>
      </c>
    </row>
    <row r="255" spans="1:9" ht="18">
      <c r="A255" s="630"/>
      <c r="B255" s="855" t="s">
        <v>126</v>
      </c>
      <c r="C255" s="856"/>
      <c r="D255" s="122">
        <v>0</v>
      </c>
      <c r="E255" s="29">
        <v>0</v>
      </c>
      <c r="F255" s="30">
        <v>1</v>
      </c>
      <c r="G255" s="28">
        <f>E255*F255</f>
        <v>0</v>
      </c>
      <c r="H255" s="129">
        <f>G255+D255</f>
        <v>0</v>
      </c>
      <c r="I255" s="102"/>
    </row>
    <row r="256" spans="1:8" ht="18">
      <c r="A256" s="630"/>
      <c r="B256" s="855" t="s">
        <v>127</v>
      </c>
      <c r="C256" s="856"/>
      <c r="D256" s="122">
        <v>0</v>
      </c>
      <c r="E256" s="29">
        <v>0</v>
      </c>
      <c r="F256" s="30">
        <v>1</v>
      </c>
      <c r="G256" s="28">
        <f>E256*F256</f>
        <v>0</v>
      </c>
      <c r="H256" s="129">
        <f>G256+D256</f>
        <v>0</v>
      </c>
    </row>
    <row r="257" spans="1:8" ht="18">
      <c r="A257" s="630"/>
      <c r="B257" s="855" t="s">
        <v>128</v>
      </c>
      <c r="C257" s="856"/>
      <c r="D257" s="122">
        <v>0</v>
      </c>
      <c r="E257" s="54">
        <v>0</v>
      </c>
      <c r="F257" s="55">
        <v>1</v>
      </c>
      <c r="G257" s="53">
        <f>E257*F257</f>
        <v>0</v>
      </c>
      <c r="H257" s="131">
        <f>G257+D257</f>
        <v>0</v>
      </c>
    </row>
    <row r="258" spans="1:8" s="110" customFormat="1" ht="18" thickBot="1">
      <c r="A258" s="631"/>
      <c r="B258" s="857" t="s">
        <v>43</v>
      </c>
      <c r="C258" s="858"/>
      <c r="D258" s="125">
        <f>SUM(D176,D188,D252)</f>
        <v>9477301.193174891</v>
      </c>
      <c r="E258" s="107">
        <f>SUM(E252,E188,E176)</f>
        <v>386404.2</v>
      </c>
      <c r="F258" s="108"/>
      <c r="G258" s="109">
        <f>SUM(G252,G188,G176)</f>
        <v>1090048.2</v>
      </c>
      <c r="H258" s="132">
        <f>SUM(H252,H188,H176)</f>
        <v>9477301.193174891</v>
      </c>
    </row>
    <row r="259" spans="1:11" ht="15.75" customHeight="1" thickBot="1">
      <c r="A259" s="685" t="s">
        <v>288</v>
      </c>
      <c r="B259" s="669" t="s">
        <v>115</v>
      </c>
      <c r="C259" s="670"/>
      <c r="D259" s="123">
        <f>SUM(D269:D270,D267,D261:D265)</f>
        <v>9065517.167907009</v>
      </c>
      <c r="E259" s="27">
        <f>SUM(E269:E270,E267,E261:E265)</f>
        <v>0</v>
      </c>
      <c r="F259" s="61"/>
      <c r="G259" s="27">
        <f>SUM(G269:G270,G267,G261:G265)</f>
        <v>0</v>
      </c>
      <c r="H259" s="130">
        <f>SUM(H269:H270,H267,H261:H265)</f>
        <v>9065517.167907009</v>
      </c>
      <c r="I259" s="245" t="s">
        <v>288</v>
      </c>
      <c r="J259" s="4"/>
      <c r="K259" s="103"/>
    </row>
    <row r="260" spans="1:16" ht="24" thickBot="1">
      <c r="A260" s="686"/>
      <c r="B260" s="657" t="s">
        <v>56</v>
      </c>
      <c r="C260" s="658"/>
      <c r="D260" s="654"/>
      <c r="E260" s="655"/>
      <c r="F260" s="655"/>
      <c r="G260" s="655"/>
      <c r="H260" s="656"/>
      <c r="I260" s="215" t="s">
        <v>356</v>
      </c>
      <c r="J260" s="216">
        <v>30</v>
      </c>
      <c r="K260" s="659" t="s">
        <v>428</v>
      </c>
      <c r="L260" s="659"/>
      <c r="M260" s="659"/>
      <c r="N260" s="170"/>
      <c r="O260" s="170"/>
      <c r="P260" s="167"/>
    </row>
    <row r="261" spans="1:16" ht="18">
      <c r="A261" s="686"/>
      <c r="B261" s="834" t="s">
        <v>57</v>
      </c>
      <c r="C261" s="835"/>
      <c r="D261" s="859">
        <f>+M269</f>
        <v>8268220.085034</v>
      </c>
      <c r="E261" s="29"/>
      <c r="F261" s="30"/>
      <c r="G261" s="28"/>
      <c r="H261" s="129">
        <f>G261+D261</f>
        <v>8268220.085034</v>
      </c>
      <c r="I261" s="1" t="s">
        <v>656</v>
      </c>
      <c r="K261" s="649" t="s">
        <v>380</v>
      </c>
      <c r="L261" s="649"/>
      <c r="M261" s="649"/>
      <c r="O261" s="217" t="s">
        <v>228</v>
      </c>
      <c r="P261" s="218">
        <f>'[1]EDUCACIONAL'!$BH$84</f>
        <v>248880</v>
      </c>
    </row>
    <row r="262" spans="1:15" ht="18">
      <c r="A262" s="686"/>
      <c r="B262" s="834" t="s">
        <v>181</v>
      </c>
      <c r="C262" s="835"/>
      <c r="D262" s="859">
        <f>+P261</f>
        <v>248880</v>
      </c>
      <c r="E262" s="29">
        <v>0</v>
      </c>
      <c r="F262" s="30">
        <v>1</v>
      </c>
      <c r="G262" s="28">
        <f>E262*F262</f>
        <v>0</v>
      </c>
      <c r="H262" s="129">
        <f>G262+D262</f>
        <v>248880</v>
      </c>
      <c r="K262" s="219" t="s">
        <v>229</v>
      </c>
      <c r="L262" s="220">
        <v>0</v>
      </c>
      <c r="M262" s="218"/>
      <c r="O262" s="102"/>
    </row>
    <row r="263" spans="1:16" ht="18">
      <c r="A263" s="686"/>
      <c r="B263" s="837" t="s">
        <v>58</v>
      </c>
      <c r="C263" s="838"/>
      <c r="D263" s="122">
        <v>0</v>
      </c>
      <c r="E263" s="29">
        <v>0</v>
      </c>
      <c r="F263" s="30">
        <v>1</v>
      </c>
      <c r="G263" s="28">
        <f>E263*F263</f>
        <v>0</v>
      </c>
      <c r="H263" s="129">
        <f>G263+D263</f>
        <v>0</v>
      </c>
      <c r="K263" s="219" t="s">
        <v>230</v>
      </c>
      <c r="L263" s="220">
        <v>1</v>
      </c>
      <c r="M263" s="218">
        <f>'[1]EDUCACIONAL'!$BL$83</f>
        <v>6289373.495999999</v>
      </c>
      <c r="O263" s="649" t="s">
        <v>231</v>
      </c>
      <c r="P263" s="649"/>
    </row>
    <row r="264" spans="1:17" ht="18">
      <c r="A264" s="686"/>
      <c r="B264" s="834" t="s">
        <v>59</v>
      </c>
      <c r="C264" s="835"/>
      <c r="D264" s="859">
        <f>+P266</f>
        <v>465734.882022669</v>
      </c>
      <c r="E264" s="29">
        <v>0</v>
      </c>
      <c r="F264" s="30">
        <v>1</v>
      </c>
      <c r="G264" s="28">
        <f>E264*F264</f>
        <v>0</v>
      </c>
      <c r="H264" s="129">
        <f>G264+D264</f>
        <v>465734.882022669</v>
      </c>
      <c r="K264" s="219" t="s">
        <v>232</v>
      </c>
      <c r="L264" s="220">
        <v>0</v>
      </c>
      <c r="M264" s="218"/>
      <c r="O264" s="221" t="s">
        <v>233</v>
      </c>
      <c r="P264" s="426">
        <f>'[1]EDUCACIONAL'!$BF$84</f>
        <v>242922.98802266901</v>
      </c>
      <c r="Q264" s="102"/>
    </row>
    <row r="265" spans="1:16" ht="17.25" customHeight="1">
      <c r="A265" s="686"/>
      <c r="B265" s="834" t="s">
        <v>129</v>
      </c>
      <c r="C265" s="835"/>
      <c r="D265" s="122">
        <v>0</v>
      </c>
      <c r="E265" s="29">
        <v>0</v>
      </c>
      <c r="F265" s="30">
        <v>1</v>
      </c>
      <c r="G265" s="28">
        <f>E265*F265</f>
        <v>0</v>
      </c>
      <c r="H265" s="129">
        <f>G265+D265</f>
        <v>0</v>
      </c>
      <c r="K265" s="219" t="s">
        <v>234</v>
      </c>
      <c r="L265" s="220">
        <v>1</v>
      </c>
      <c r="M265" s="218">
        <f>'[1]EDUCACIONAL'!$BL$82</f>
        <v>1978846.589034</v>
      </c>
      <c r="O265" s="221" t="s">
        <v>235</v>
      </c>
      <c r="P265" s="218">
        <f>'[1]EDUCACIONAL'!$BG$84</f>
        <v>222811.894</v>
      </c>
    </row>
    <row r="266" spans="1:16" ht="16.5" customHeight="1">
      <c r="A266" s="686"/>
      <c r="B266" s="657" t="s">
        <v>60</v>
      </c>
      <c r="C266" s="658"/>
      <c r="D266" s="654"/>
      <c r="E266" s="655"/>
      <c r="F266" s="655"/>
      <c r="G266" s="655"/>
      <c r="H266" s="656"/>
      <c r="I266" s="21"/>
      <c r="K266" s="653" t="s">
        <v>236</v>
      </c>
      <c r="L266" s="653"/>
      <c r="M266" s="218"/>
      <c r="O266" s="222" t="s">
        <v>237</v>
      </c>
      <c r="P266" s="223">
        <f>SUM(P264:P265)</f>
        <v>465734.882022669</v>
      </c>
    </row>
    <row r="267" spans="1:16" ht="17.25" customHeight="1">
      <c r="A267" s="686"/>
      <c r="B267" s="834" t="s">
        <v>61</v>
      </c>
      <c r="C267" s="835"/>
      <c r="D267" s="849">
        <f>+D261*1%</f>
        <v>82682.20085034</v>
      </c>
      <c r="E267" s="29">
        <v>0</v>
      </c>
      <c r="F267" s="30">
        <v>1</v>
      </c>
      <c r="G267" s="28">
        <f>E267*F267</f>
        <v>0</v>
      </c>
      <c r="H267" s="129">
        <f>G267+D267</f>
        <v>82682.20085034</v>
      </c>
      <c r="I267" s="1" t="s">
        <v>194</v>
      </c>
      <c r="K267" s="653" t="s">
        <v>238</v>
      </c>
      <c r="L267" s="653"/>
      <c r="M267" s="218">
        <f>SUM(M262:M265)</f>
        <v>8268220.085034</v>
      </c>
      <c r="O267" s="105"/>
      <c r="P267" s="106"/>
    </row>
    <row r="268" spans="1:13" ht="15.75" customHeight="1">
      <c r="A268" s="686"/>
      <c r="B268" s="657" t="s">
        <v>62</v>
      </c>
      <c r="C268" s="658"/>
      <c r="D268" s="654"/>
      <c r="E268" s="655"/>
      <c r="F268" s="655"/>
      <c r="G268" s="655"/>
      <c r="H268" s="656"/>
      <c r="I268" s="21"/>
      <c r="K268" s="653" t="s">
        <v>239</v>
      </c>
      <c r="L268" s="653"/>
      <c r="M268" s="224"/>
    </row>
    <row r="269" spans="1:13" ht="16.5" customHeight="1">
      <c r="A269" s="686"/>
      <c r="B269" s="839" t="s">
        <v>63</v>
      </c>
      <c r="C269" s="840"/>
      <c r="D269" s="122"/>
      <c r="E269" s="29">
        <v>0</v>
      </c>
      <c r="F269" s="30">
        <v>1</v>
      </c>
      <c r="G269" s="28">
        <f>E269*F269</f>
        <v>0</v>
      </c>
      <c r="H269" s="129"/>
      <c r="I269" s="138"/>
      <c r="K269" s="650" t="s">
        <v>440</v>
      </c>
      <c r="L269" s="650"/>
      <c r="M269" s="223">
        <f>+M267</f>
        <v>8268220.085034</v>
      </c>
    </row>
    <row r="270" spans="1:16" ht="17.25" customHeight="1">
      <c r="A270" s="686"/>
      <c r="B270" s="841" t="s">
        <v>64</v>
      </c>
      <c r="C270" s="840"/>
      <c r="D270" s="122">
        <v>0</v>
      </c>
      <c r="E270" s="29">
        <v>0</v>
      </c>
      <c r="F270" s="30">
        <v>1</v>
      </c>
      <c r="G270" s="28">
        <f>E270*F270</f>
        <v>0</v>
      </c>
      <c r="H270" s="129">
        <f>G270+D270</f>
        <v>0</v>
      </c>
      <c r="I270" s="21"/>
      <c r="K270" s="659"/>
      <c r="L270" s="659"/>
      <c r="M270" s="659"/>
      <c r="O270" s="167"/>
      <c r="P270" s="167"/>
    </row>
    <row r="271" spans="1:16" ht="18" customHeight="1">
      <c r="A271" s="686"/>
      <c r="B271" s="672" t="s">
        <v>65</v>
      </c>
      <c r="C271" s="673"/>
      <c r="D271" s="123">
        <f>SUM(D273:D274,D276:D278,D280:D281,D283:D294,D296:D304,D306:D312,D314:D316,D318:D323,D325:D326,D328:D331,D333:D334)</f>
        <v>8671665.2</v>
      </c>
      <c r="E271" s="27">
        <f>SUM(E273:E274,E276:E278,E280:E281,E283:E294,E296:E304,E306:E312,E314:E316,E318:E323,E325:E326,E328:E331,E333:E334)</f>
        <v>323131.2</v>
      </c>
      <c r="F271" s="61"/>
      <c r="G271" s="27">
        <f>SUM(G273:G274,G276:G278,G280:G281,G283:G294,G296:G304,G306:G312,G314:G316,G318:G323,G325:G326,G328:G331,G333:G334)</f>
        <v>3471439.2</v>
      </c>
      <c r="H271" s="130">
        <f>SUM(H273:H274,H276:H278,H280:H281,H283:H294,H296:H304,H306:H312,H314:H316,H318:H323,H325:H326,H328:H331,H333:H334)</f>
        <v>9692991.2</v>
      </c>
      <c r="I271" s="21"/>
      <c r="K271" s="39"/>
      <c r="L271" s="39"/>
      <c r="M271" s="39"/>
      <c r="O271" s="167"/>
      <c r="P271" s="167"/>
    </row>
    <row r="272" spans="1:16" ht="16.5" customHeight="1">
      <c r="A272" s="686"/>
      <c r="B272" s="842" t="s">
        <v>66</v>
      </c>
      <c r="C272" s="843"/>
      <c r="D272" s="654"/>
      <c r="E272" s="655"/>
      <c r="F272" s="655"/>
      <c r="G272" s="655"/>
      <c r="H272" s="656"/>
      <c r="I272" s="21"/>
      <c r="K272" s="173"/>
      <c r="L272" s="174"/>
      <c r="M272" s="173"/>
      <c r="N272" s="167"/>
      <c r="O272" s="167"/>
      <c r="P272" s="167"/>
    </row>
    <row r="273" spans="1:16" ht="15.75" customHeight="1">
      <c r="A273" s="686"/>
      <c r="B273" s="837" t="s">
        <v>67</v>
      </c>
      <c r="C273" s="838"/>
      <c r="D273" s="849">
        <f>E273*F273</f>
        <v>383275.19999999995</v>
      </c>
      <c r="E273" s="29">
        <f>1600*1.037</f>
        <v>1659.1999999999998</v>
      </c>
      <c r="F273" s="30">
        <f>1*21*11</f>
        <v>231</v>
      </c>
      <c r="G273" s="28">
        <f>E273*F273</f>
        <v>383275.19999999995</v>
      </c>
      <c r="H273" s="129">
        <f>D273</f>
        <v>383275.19999999995</v>
      </c>
      <c r="I273" s="21" t="s">
        <v>659</v>
      </c>
      <c r="J273" s="244"/>
      <c r="K273" s="173"/>
      <c r="L273" s="174"/>
      <c r="M273" s="173"/>
      <c r="N273" s="167"/>
      <c r="O273" s="170"/>
      <c r="P273" s="167"/>
    </row>
    <row r="274" spans="1:16" ht="15.75" customHeight="1">
      <c r="A274" s="686"/>
      <c r="B274" s="837" t="s">
        <v>117</v>
      </c>
      <c r="C274" s="838"/>
      <c r="D274" s="122">
        <v>0</v>
      </c>
      <c r="E274" s="29">
        <v>0</v>
      </c>
      <c r="F274" s="30">
        <v>1</v>
      </c>
      <c r="G274" s="28">
        <f>E274*F274</f>
        <v>0</v>
      </c>
      <c r="H274" s="129">
        <f>G274+D274</f>
        <v>0</v>
      </c>
      <c r="I274" s="21"/>
      <c r="K274" s="167"/>
      <c r="L274" s="167"/>
      <c r="M274" s="167"/>
      <c r="N274" s="167"/>
      <c r="O274" s="167"/>
      <c r="P274" s="167"/>
    </row>
    <row r="275" spans="1:16" ht="17.25" customHeight="1">
      <c r="A275" s="686"/>
      <c r="B275" s="842" t="s">
        <v>68</v>
      </c>
      <c r="C275" s="843"/>
      <c r="D275" s="654"/>
      <c r="E275" s="655"/>
      <c r="F275" s="655"/>
      <c r="G275" s="655"/>
      <c r="H275" s="656"/>
      <c r="I275" s="21"/>
      <c r="K275" s="167"/>
      <c r="L275" s="167"/>
      <c r="M275" s="167"/>
      <c r="N275" s="167"/>
      <c r="O275" s="167"/>
      <c r="P275" s="167"/>
    </row>
    <row r="276" spans="1:16" ht="16.5" customHeight="1">
      <c r="A276" s="686"/>
      <c r="B276" s="834" t="s">
        <v>116</v>
      </c>
      <c r="C276" s="835"/>
      <c r="D276" s="859">
        <v>0</v>
      </c>
      <c r="E276" s="29"/>
      <c r="F276" s="30"/>
      <c r="G276" s="28"/>
      <c r="H276" s="129">
        <f>D276</f>
        <v>0</v>
      </c>
      <c r="I276" s="21" t="s">
        <v>635</v>
      </c>
      <c r="J276" s="112"/>
      <c r="K276" s="167"/>
      <c r="L276" s="167"/>
      <c r="M276" s="167"/>
      <c r="N276" s="167"/>
      <c r="O276" s="167"/>
      <c r="P276" s="167"/>
    </row>
    <row r="277" spans="1:16" ht="16.5" customHeight="1">
      <c r="A277" s="686"/>
      <c r="B277" s="834" t="s">
        <v>69</v>
      </c>
      <c r="C277" s="835"/>
      <c r="D277" s="122">
        <f>E277*F277</f>
        <v>56970</v>
      </c>
      <c r="E277" s="29">
        <v>18990</v>
      </c>
      <c r="F277" s="30">
        <v>3</v>
      </c>
      <c r="G277" s="433">
        <f>E277*F277</f>
        <v>56970</v>
      </c>
      <c r="H277" s="129">
        <f>D277</f>
        <v>56970</v>
      </c>
      <c r="I277" s="21" t="s">
        <v>573</v>
      </c>
      <c r="J277" s="102"/>
      <c r="K277" s="167"/>
      <c r="L277" s="167"/>
      <c r="M277" s="167"/>
      <c r="N277" s="167"/>
      <c r="O277" s="167"/>
      <c r="P277" s="167"/>
    </row>
    <row r="278" spans="1:16" ht="17.25" customHeight="1">
      <c r="A278" s="686"/>
      <c r="B278" s="834" t="s">
        <v>70</v>
      </c>
      <c r="C278" s="835"/>
      <c r="D278" s="122">
        <v>0</v>
      </c>
      <c r="E278" s="29">
        <v>0</v>
      </c>
      <c r="F278" s="30">
        <v>1</v>
      </c>
      <c r="G278" s="28">
        <f>E278*F278</f>
        <v>0</v>
      </c>
      <c r="H278" s="129">
        <f>G278+D278</f>
        <v>0</v>
      </c>
      <c r="I278" s="21"/>
      <c r="K278" s="167"/>
      <c r="L278" s="167"/>
      <c r="M278" s="167"/>
      <c r="N278" s="167"/>
      <c r="O278" s="167"/>
      <c r="P278" s="167"/>
    </row>
    <row r="279" spans="1:16" ht="15.75" customHeight="1">
      <c r="A279" s="686"/>
      <c r="B279" s="842" t="s">
        <v>71</v>
      </c>
      <c r="C279" s="843"/>
      <c r="D279" s="666"/>
      <c r="E279" s="667"/>
      <c r="F279" s="667"/>
      <c r="G279" s="667"/>
      <c r="H279" s="668"/>
      <c r="K279" s="167"/>
      <c r="L279" s="167"/>
      <c r="M279" s="167"/>
      <c r="N279" s="167"/>
      <c r="O279" s="167"/>
      <c r="P279" s="167"/>
    </row>
    <row r="280" spans="1:16" ht="15.75" customHeight="1">
      <c r="A280" s="686"/>
      <c r="B280" s="837" t="s">
        <v>72</v>
      </c>
      <c r="C280" s="838"/>
      <c r="D280" s="122">
        <v>0</v>
      </c>
      <c r="E280" s="29">
        <v>0</v>
      </c>
      <c r="F280" s="30">
        <v>1</v>
      </c>
      <c r="G280" s="28">
        <f>E280*F280</f>
        <v>0</v>
      </c>
      <c r="H280" s="129">
        <f>G280+D280</f>
        <v>0</v>
      </c>
      <c r="K280" s="167"/>
      <c r="L280" s="167"/>
      <c r="M280" s="167"/>
      <c r="N280" s="167"/>
      <c r="O280" s="167"/>
      <c r="P280" s="167"/>
    </row>
    <row r="281" spans="1:16" ht="18">
      <c r="A281" s="686"/>
      <c r="B281" s="834" t="s">
        <v>73</v>
      </c>
      <c r="C281" s="835"/>
      <c r="D281" s="122">
        <v>0</v>
      </c>
      <c r="E281" s="29">
        <v>0</v>
      </c>
      <c r="F281" s="30">
        <v>1</v>
      </c>
      <c r="G281" s="28">
        <f>E281*F281</f>
        <v>0</v>
      </c>
      <c r="H281" s="129">
        <f>G281+D281</f>
        <v>0</v>
      </c>
      <c r="K281" s="167"/>
      <c r="L281" s="167"/>
      <c r="M281" s="167"/>
      <c r="N281" s="167"/>
      <c r="O281" s="167"/>
      <c r="P281" s="167"/>
    </row>
    <row r="282" spans="1:16" ht="18">
      <c r="A282" s="686"/>
      <c r="B282" s="842" t="s">
        <v>74</v>
      </c>
      <c r="C282" s="843"/>
      <c r="D282" s="654"/>
      <c r="E282" s="655"/>
      <c r="F282" s="655"/>
      <c r="G282" s="655"/>
      <c r="H282" s="656"/>
      <c r="K282" s="167"/>
      <c r="L282" s="167"/>
      <c r="M282" s="167"/>
      <c r="N282" s="167"/>
      <c r="O282" s="167"/>
      <c r="P282" s="167"/>
    </row>
    <row r="283" spans="1:16" ht="18">
      <c r="A283" s="686"/>
      <c r="B283" s="837" t="s">
        <v>176</v>
      </c>
      <c r="C283" s="838"/>
      <c r="D283" s="849">
        <v>0</v>
      </c>
      <c r="E283" s="29"/>
      <c r="F283" s="30"/>
      <c r="G283" s="28"/>
      <c r="H283" s="129">
        <f>D283</f>
        <v>0</v>
      </c>
      <c r="I283" s="1" t="s">
        <v>629</v>
      </c>
      <c r="K283" s="167"/>
      <c r="L283" s="167"/>
      <c r="M283" s="167"/>
      <c r="N283" s="167"/>
      <c r="O283" s="167"/>
      <c r="P283" s="167"/>
    </row>
    <row r="284" spans="1:16" ht="18">
      <c r="A284" s="686"/>
      <c r="B284" s="837" t="s">
        <v>75</v>
      </c>
      <c r="C284" s="838"/>
      <c r="D284" s="849">
        <v>98015</v>
      </c>
      <c r="E284" s="29">
        <v>0</v>
      </c>
      <c r="F284" s="30">
        <v>1</v>
      </c>
      <c r="G284" s="28">
        <f aca="true" t="shared" si="17" ref="G284:G293">E284*F284</f>
        <v>0</v>
      </c>
      <c r="H284" s="129">
        <v>98015</v>
      </c>
      <c r="I284" s="1" t="s">
        <v>456</v>
      </c>
      <c r="K284" s="167"/>
      <c r="L284" s="167"/>
      <c r="M284" s="167"/>
      <c r="N284" s="167"/>
      <c r="O284" s="167"/>
      <c r="P284" s="167"/>
    </row>
    <row r="285" spans="1:16" ht="13.5">
      <c r="A285" s="686"/>
      <c r="B285" s="847" t="s">
        <v>131</v>
      </c>
      <c r="C285" s="848"/>
      <c r="D285" s="122">
        <v>391970</v>
      </c>
      <c r="E285" s="29"/>
      <c r="F285" s="30"/>
      <c r="G285" s="28"/>
      <c r="H285" s="129">
        <v>391970</v>
      </c>
      <c r="I285" s="1" t="s">
        <v>457</v>
      </c>
      <c r="J285" s="119"/>
      <c r="K285" s="167"/>
      <c r="L285" s="167"/>
      <c r="M285" s="167"/>
      <c r="N285" s="167"/>
      <c r="O285" s="167"/>
      <c r="P285" s="167"/>
    </row>
    <row r="286" spans="1:16" ht="18">
      <c r="A286" s="686"/>
      <c r="B286" s="837" t="s">
        <v>76</v>
      </c>
      <c r="C286" s="838"/>
      <c r="D286" s="122">
        <v>33598</v>
      </c>
      <c r="E286" s="29">
        <v>10800</v>
      </c>
      <c r="F286" s="30">
        <v>3</v>
      </c>
      <c r="G286" s="28">
        <f>E286*F286</f>
        <v>32400</v>
      </c>
      <c r="H286" s="129">
        <v>33598</v>
      </c>
      <c r="I286" s="1" t="s">
        <v>458</v>
      </c>
      <c r="K286" s="167"/>
      <c r="L286" s="167"/>
      <c r="M286" s="167"/>
      <c r="N286" s="167"/>
      <c r="O286" s="167"/>
      <c r="P286" s="167"/>
    </row>
    <row r="287" spans="1:16" ht="18">
      <c r="A287" s="686"/>
      <c r="B287" s="837" t="s">
        <v>77</v>
      </c>
      <c r="C287" s="838"/>
      <c r="D287" s="122">
        <v>0</v>
      </c>
      <c r="E287" s="29">
        <v>0</v>
      </c>
      <c r="F287" s="30">
        <v>1</v>
      </c>
      <c r="G287" s="28">
        <f t="shared" si="17"/>
        <v>0</v>
      </c>
      <c r="H287" s="129">
        <f>G287+D287</f>
        <v>0</v>
      </c>
      <c r="K287" s="167"/>
      <c r="L287" s="167"/>
      <c r="M287" s="167"/>
      <c r="N287" s="167"/>
      <c r="O287" s="167"/>
      <c r="P287" s="167"/>
    </row>
    <row r="288" spans="1:16" ht="13.5">
      <c r="A288" s="686"/>
      <c r="B288" s="847" t="s">
        <v>78</v>
      </c>
      <c r="C288" s="848"/>
      <c r="D288" s="122">
        <v>100491</v>
      </c>
      <c r="E288" s="29">
        <v>0</v>
      </c>
      <c r="F288" s="30">
        <v>1</v>
      </c>
      <c r="G288" s="28">
        <f t="shared" si="17"/>
        <v>0</v>
      </c>
      <c r="H288" s="129">
        <v>100491</v>
      </c>
      <c r="I288" s="1" t="s">
        <v>459</v>
      </c>
      <c r="K288" s="167"/>
      <c r="L288" s="167"/>
      <c r="M288" s="167"/>
      <c r="N288" s="167"/>
      <c r="O288" s="167"/>
      <c r="P288" s="167"/>
    </row>
    <row r="289" spans="1:16" ht="18">
      <c r="A289" s="686"/>
      <c r="B289" s="837" t="s">
        <v>118</v>
      </c>
      <c r="C289" s="838"/>
      <c r="D289" s="122">
        <v>0</v>
      </c>
      <c r="E289" s="29">
        <v>0</v>
      </c>
      <c r="F289" s="30">
        <v>1</v>
      </c>
      <c r="G289" s="28">
        <f t="shared" si="17"/>
        <v>0</v>
      </c>
      <c r="H289" s="129">
        <f>G289+D289</f>
        <v>0</v>
      </c>
      <c r="K289" s="167"/>
      <c r="L289" s="167"/>
      <c r="M289" s="167"/>
      <c r="N289" s="167"/>
      <c r="O289" s="167"/>
      <c r="P289" s="167"/>
    </row>
    <row r="290" spans="1:16" ht="18">
      <c r="A290" s="686"/>
      <c r="B290" s="837" t="s">
        <v>123</v>
      </c>
      <c r="C290" s="838"/>
      <c r="D290" s="849">
        <v>40746</v>
      </c>
      <c r="E290" s="29">
        <v>0</v>
      </c>
      <c r="F290" s="30">
        <v>1</v>
      </c>
      <c r="G290" s="28">
        <f t="shared" si="17"/>
        <v>0</v>
      </c>
      <c r="H290" s="129">
        <v>40746</v>
      </c>
      <c r="I290" s="102"/>
      <c r="K290" s="167"/>
      <c r="L290" s="167"/>
      <c r="M290" s="167"/>
      <c r="N290" s="167"/>
      <c r="O290" s="167"/>
      <c r="P290" s="167"/>
    </row>
    <row r="291" spans="1:9" ht="18">
      <c r="A291" s="686"/>
      <c r="B291" s="837" t="s">
        <v>79</v>
      </c>
      <c r="C291" s="838"/>
      <c r="D291" s="849">
        <v>279021</v>
      </c>
      <c r="E291" s="29">
        <v>0</v>
      </c>
      <c r="F291" s="30">
        <v>1</v>
      </c>
      <c r="G291" s="28">
        <f t="shared" si="17"/>
        <v>0</v>
      </c>
      <c r="H291" s="129">
        <v>279021</v>
      </c>
      <c r="I291" s="1" t="s">
        <v>460</v>
      </c>
    </row>
    <row r="292" spans="1:9" ht="18">
      <c r="A292" s="686"/>
      <c r="B292" s="837" t="s">
        <v>80</v>
      </c>
      <c r="C292" s="838"/>
      <c r="D292" s="849">
        <v>167917</v>
      </c>
      <c r="E292" s="29">
        <v>0</v>
      </c>
      <c r="F292" s="30">
        <v>1</v>
      </c>
      <c r="G292" s="28">
        <f t="shared" si="17"/>
        <v>0</v>
      </c>
      <c r="H292" s="129">
        <v>167917</v>
      </c>
      <c r="I292" s="1" t="s">
        <v>461</v>
      </c>
    </row>
    <row r="293" spans="1:9" ht="18">
      <c r="A293" s="686"/>
      <c r="B293" s="837" t="s">
        <v>81</v>
      </c>
      <c r="C293" s="838"/>
      <c r="D293" s="122">
        <v>140472</v>
      </c>
      <c r="E293" s="29">
        <v>0</v>
      </c>
      <c r="F293" s="30">
        <v>1</v>
      </c>
      <c r="G293" s="28">
        <f t="shared" si="17"/>
        <v>0</v>
      </c>
      <c r="H293" s="129">
        <v>140472</v>
      </c>
      <c r="I293" s="1" t="s">
        <v>462</v>
      </c>
    </row>
    <row r="294" spans="1:13" ht="18">
      <c r="A294" s="686"/>
      <c r="B294" s="837" t="s">
        <v>119</v>
      </c>
      <c r="C294" s="838"/>
      <c r="D294" s="122"/>
      <c r="E294" s="29"/>
      <c r="F294" s="30"/>
      <c r="G294" s="28"/>
      <c r="H294" s="129"/>
      <c r="K294" s="4"/>
      <c r="L294" s="4"/>
      <c r="M294" s="4"/>
    </row>
    <row r="295" spans="1:11" s="4" customFormat="1" ht="18">
      <c r="A295" s="686"/>
      <c r="B295" s="842" t="s">
        <v>82</v>
      </c>
      <c r="C295" s="843"/>
      <c r="D295" s="654"/>
      <c r="E295" s="655"/>
      <c r="F295" s="655"/>
      <c r="G295" s="655"/>
      <c r="H295" s="656"/>
      <c r="J295" s="651" t="s">
        <v>439</v>
      </c>
      <c r="K295" s="651"/>
    </row>
    <row r="296" spans="1:13" s="4" customFormat="1" ht="18">
      <c r="A296" s="686"/>
      <c r="B296" s="834" t="s">
        <v>130</v>
      </c>
      <c r="C296" s="835"/>
      <c r="D296" s="849">
        <v>286124</v>
      </c>
      <c r="E296" s="29">
        <v>0</v>
      </c>
      <c r="F296" s="31">
        <v>1</v>
      </c>
      <c r="G296" s="28">
        <f>E296*F296</f>
        <v>0</v>
      </c>
      <c r="H296" s="129">
        <v>286124</v>
      </c>
      <c r="I296" s="1"/>
      <c r="J296" s="266" t="s">
        <v>130</v>
      </c>
      <c r="K296" s="434">
        <v>286124</v>
      </c>
      <c r="L296" s="163">
        <f>K296/12</f>
        <v>23843.666666666668</v>
      </c>
      <c r="M296" s="1"/>
    </row>
    <row r="297" spans="1:12" ht="18">
      <c r="A297" s="686"/>
      <c r="B297" s="834" t="s">
        <v>40</v>
      </c>
      <c r="C297" s="835"/>
      <c r="D297" s="849">
        <v>164248</v>
      </c>
      <c r="E297" s="29">
        <v>0</v>
      </c>
      <c r="F297" s="30">
        <v>1</v>
      </c>
      <c r="G297" s="28">
        <f aca="true" t="shared" si="18" ref="G297:G304">E297*F297</f>
        <v>0</v>
      </c>
      <c r="H297" s="129">
        <v>164248</v>
      </c>
      <c r="J297" s="266" t="s">
        <v>40</v>
      </c>
      <c r="K297" s="434">
        <v>164248</v>
      </c>
      <c r="L297" s="163">
        <f aca="true" t="shared" si="19" ref="L297:L302">K297/12</f>
        <v>13687.333333333334</v>
      </c>
    </row>
    <row r="298" spans="1:12" ht="18">
      <c r="A298" s="686"/>
      <c r="B298" s="834" t="s">
        <v>41</v>
      </c>
      <c r="C298" s="835"/>
      <c r="D298" s="849">
        <v>100589</v>
      </c>
      <c r="E298" s="29">
        <v>0</v>
      </c>
      <c r="F298" s="30">
        <v>1</v>
      </c>
      <c r="G298" s="28">
        <f t="shared" si="18"/>
        <v>0</v>
      </c>
      <c r="H298" s="129">
        <v>100589</v>
      </c>
      <c r="J298" s="266" t="s">
        <v>41</v>
      </c>
      <c r="K298" s="434">
        <v>100589</v>
      </c>
      <c r="L298" s="163">
        <f t="shared" si="19"/>
        <v>8382.416666666666</v>
      </c>
    </row>
    <row r="299" spans="1:12" ht="18">
      <c r="A299" s="686"/>
      <c r="B299" s="834" t="s">
        <v>83</v>
      </c>
      <c r="C299" s="835"/>
      <c r="D299" s="122">
        <v>0</v>
      </c>
      <c r="E299" s="29">
        <v>0</v>
      </c>
      <c r="F299" s="30">
        <v>1</v>
      </c>
      <c r="G299" s="28">
        <f t="shared" si="18"/>
        <v>0</v>
      </c>
      <c r="H299" s="129">
        <f>G299+D299</f>
        <v>0</v>
      </c>
      <c r="J299" s="266" t="s">
        <v>83</v>
      </c>
      <c r="K299" s="434">
        <v>0</v>
      </c>
      <c r="L299" s="163">
        <f t="shared" si="19"/>
        <v>0</v>
      </c>
    </row>
    <row r="300" spans="1:12" ht="18">
      <c r="A300" s="686"/>
      <c r="B300" s="834" t="s">
        <v>84</v>
      </c>
      <c r="C300" s="835"/>
      <c r="D300" s="849">
        <v>569686</v>
      </c>
      <c r="E300" s="29">
        <v>0</v>
      </c>
      <c r="F300" s="30">
        <v>1</v>
      </c>
      <c r="G300" s="28">
        <f t="shared" si="18"/>
        <v>0</v>
      </c>
      <c r="H300" s="129">
        <v>569686</v>
      </c>
      <c r="I300" s="1" t="s">
        <v>429</v>
      </c>
      <c r="J300" s="266" t="s">
        <v>84</v>
      </c>
      <c r="K300" s="434">
        <v>569686</v>
      </c>
      <c r="L300" s="163">
        <f t="shared" si="19"/>
        <v>47473.833333333336</v>
      </c>
    </row>
    <row r="301" spans="1:12" ht="18">
      <c r="A301" s="686"/>
      <c r="B301" s="834" t="s">
        <v>85</v>
      </c>
      <c r="C301" s="835"/>
      <c r="D301" s="122"/>
      <c r="E301" s="29">
        <v>0</v>
      </c>
      <c r="F301" s="30">
        <v>1</v>
      </c>
      <c r="G301" s="28">
        <f t="shared" si="18"/>
        <v>0</v>
      </c>
      <c r="H301" s="129">
        <f>G301+D301</f>
        <v>0</v>
      </c>
      <c r="J301" s="266" t="s">
        <v>85</v>
      </c>
      <c r="K301" s="266">
        <v>0</v>
      </c>
      <c r="L301" s="163">
        <f t="shared" si="19"/>
        <v>0</v>
      </c>
    </row>
    <row r="302" spans="1:12" ht="18">
      <c r="A302" s="686"/>
      <c r="B302" s="834" t="s">
        <v>86</v>
      </c>
      <c r="C302" s="835"/>
      <c r="D302" s="122"/>
      <c r="E302" s="29">
        <v>0</v>
      </c>
      <c r="F302" s="30">
        <v>1</v>
      </c>
      <c r="G302" s="28">
        <f t="shared" si="18"/>
        <v>0</v>
      </c>
      <c r="H302" s="129">
        <f>G302+D302</f>
        <v>0</v>
      </c>
      <c r="J302" s="266" t="s">
        <v>86</v>
      </c>
      <c r="K302" s="266">
        <v>0</v>
      </c>
      <c r="L302" s="163">
        <f t="shared" si="19"/>
        <v>0</v>
      </c>
    </row>
    <row r="303" spans="1:8" ht="18">
      <c r="A303" s="686"/>
      <c r="B303" s="834" t="s">
        <v>87</v>
      </c>
      <c r="C303" s="835"/>
      <c r="D303" s="122">
        <v>0</v>
      </c>
      <c r="E303" s="29">
        <v>0</v>
      </c>
      <c r="F303" s="30">
        <v>1</v>
      </c>
      <c r="G303" s="28">
        <f t="shared" si="18"/>
        <v>0</v>
      </c>
      <c r="H303" s="129">
        <f>G303+D303</f>
        <v>0</v>
      </c>
    </row>
    <row r="304" spans="1:9" ht="18">
      <c r="A304" s="686"/>
      <c r="B304" s="834" t="s">
        <v>88</v>
      </c>
      <c r="C304" s="835"/>
      <c r="D304" s="122">
        <v>194499</v>
      </c>
      <c r="E304" s="29">
        <v>15000</v>
      </c>
      <c r="F304" s="30">
        <v>12</v>
      </c>
      <c r="G304" s="28">
        <f t="shared" si="18"/>
        <v>180000</v>
      </c>
      <c r="H304" s="129">
        <v>194499</v>
      </c>
      <c r="I304" s="102" t="s">
        <v>524</v>
      </c>
    </row>
    <row r="305" spans="1:8" ht="18">
      <c r="A305" s="686"/>
      <c r="B305" s="657" t="s">
        <v>89</v>
      </c>
      <c r="C305" s="658"/>
      <c r="D305" s="654"/>
      <c r="E305" s="655"/>
      <c r="F305" s="655"/>
      <c r="G305" s="655"/>
      <c r="H305" s="656"/>
    </row>
    <row r="306" spans="1:9" ht="18">
      <c r="A306" s="686"/>
      <c r="B306" s="837" t="s">
        <v>90</v>
      </c>
      <c r="C306" s="838"/>
      <c r="D306" s="122">
        <v>1850000</v>
      </c>
      <c r="E306" s="29"/>
      <c r="F306" s="30"/>
      <c r="G306" s="28"/>
      <c r="H306" s="129">
        <f>D306</f>
        <v>1850000</v>
      </c>
      <c r="I306" s="435" t="s">
        <v>636</v>
      </c>
    </row>
    <row r="307" spans="1:8" ht="18">
      <c r="A307" s="686"/>
      <c r="B307" s="837" t="s">
        <v>91</v>
      </c>
      <c r="C307" s="838"/>
      <c r="D307" s="122">
        <v>0</v>
      </c>
      <c r="E307" s="29">
        <v>0</v>
      </c>
      <c r="F307" s="30">
        <v>1</v>
      </c>
      <c r="G307" s="28">
        <f aca="true" t="shared" si="20" ref="G307:G312">E307*F307</f>
        <v>0</v>
      </c>
      <c r="H307" s="129">
        <f>G307+D307</f>
        <v>0</v>
      </c>
    </row>
    <row r="308" spans="1:8" ht="18">
      <c r="A308" s="686"/>
      <c r="B308" s="837" t="s">
        <v>92</v>
      </c>
      <c r="C308" s="838"/>
      <c r="D308" s="122">
        <v>0</v>
      </c>
      <c r="E308" s="29">
        <v>0</v>
      </c>
      <c r="F308" s="30">
        <v>1</v>
      </c>
      <c r="G308" s="28">
        <f t="shared" si="20"/>
        <v>0</v>
      </c>
      <c r="H308" s="129">
        <f>G308+D308</f>
        <v>0</v>
      </c>
    </row>
    <row r="309" spans="1:8" ht="18">
      <c r="A309" s="686"/>
      <c r="B309" s="837" t="s">
        <v>93</v>
      </c>
      <c r="C309" s="838"/>
      <c r="D309" s="122">
        <v>0</v>
      </c>
      <c r="E309" s="29">
        <v>0</v>
      </c>
      <c r="F309" s="30">
        <v>1</v>
      </c>
      <c r="G309" s="28">
        <f t="shared" si="20"/>
        <v>0</v>
      </c>
      <c r="H309" s="129">
        <f>G309+D309</f>
        <v>0</v>
      </c>
    </row>
    <row r="310" spans="1:8" ht="18">
      <c r="A310" s="686"/>
      <c r="B310" s="837" t="s">
        <v>94</v>
      </c>
      <c r="C310" s="838"/>
      <c r="D310" s="122">
        <v>0</v>
      </c>
      <c r="E310" s="29">
        <v>0</v>
      </c>
      <c r="F310" s="30">
        <v>1</v>
      </c>
      <c r="G310" s="28">
        <f t="shared" si="20"/>
        <v>0</v>
      </c>
      <c r="H310" s="129">
        <f>G310+D310</f>
        <v>0</v>
      </c>
    </row>
    <row r="311" spans="1:8" ht="18">
      <c r="A311" s="686"/>
      <c r="B311" s="837" t="s">
        <v>95</v>
      </c>
      <c r="C311" s="838"/>
      <c r="D311" s="122">
        <v>0</v>
      </c>
      <c r="E311" s="29">
        <v>0</v>
      </c>
      <c r="F311" s="30">
        <v>1</v>
      </c>
      <c r="G311" s="28">
        <f t="shared" si="20"/>
        <v>0</v>
      </c>
      <c r="H311" s="129">
        <f>G311+D311</f>
        <v>0</v>
      </c>
    </row>
    <row r="312" spans="1:9" ht="18">
      <c r="A312" s="686"/>
      <c r="B312" s="837" t="s">
        <v>96</v>
      </c>
      <c r="C312" s="838"/>
      <c r="D312" s="122">
        <v>700000</v>
      </c>
      <c r="E312" s="29">
        <v>0</v>
      </c>
      <c r="F312" s="30">
        <v>1</v>
      </c>
      <c r="G312" s="28">
        <f t="shared" si="20"/>
        <v>0</v>
      </c>
      <c r="H312" s="129">
        <v>769947</v>
      </c>
      <c r="I312" s="102" t="s">
        <v>574</v>
      </c>
    </row>
    <row r="313" spans="1:8" ht="18">
      <c r="A313" s="686"/>
      <c r="B313" s="657" t="s">
        <v>97</v>
      </c>
      <c r="C313" s="658"/>
      <c r="D313" s="654"/>
      <c r="E313" s="655"/>
      <c r="F313" s="655"/>
      <c r="G313" s="655"/>
      <c r="H313" s="656"/>
    </row>
    <row r="314" spans="1:8" ht="18">
      <c r="A314" s="686"/>
      <c r="B314" s="834" t="s">
        <v>98</v>
      </c>
      <c r="C314" s="835"/>
      <c r="D314" s="122">
        <v>0</v>
      </c>
      <c r="E314" s="29">
        <v>0</v>
      </c>
      <c r="F314" s="30">
        <v>1</v>
      </c>
      <c r="G314" s="28">
        <f>E314*F314</f>
        <v>0</v>
      </c>
      <c r="H314" s="129">
        <f>G314+D314</f>
        <v>0</v>
      </c>
    </row>
    <row r="315" spans="1:10" ht="18">
      <c r="A315" s="686"/>
      <c r="B315" s="834" t="s">
        <v>99</v>
      </c>
      <c r="C315" s="835"/>
      <c r="D315" s="122">
        <f>E315*F315</f>
        <v>99200</v>
      </c>
      <c r="E315" s="29">
        <v>3200</v>
      </c>
      <c r="F315" s="30">
        <v>31</v>
      </c>
      <c r="G315" s="28">
        <f>E315*F315</f>
        <v>99200</v>
      </c>
      <c r="H315" s="129">
        <f>G315</f>
        <v>99200</v>
      </c>
      <c r="I315" s="1" t="s">
        <v>600</v>
      </c>
      <c r="J315" s="244"/>
    </row>
    <row r="316" spans="1:8" ht="18">
      <c r="A316" s="686"/>
      <c r="B316" s="834" t="s">
        <v>100</v>
      </c>
      <c r="C316" s="835"/>
      <c r="D316" s="122">
        <v>0</v>
      </c>
      <c r="E316" s="29">
        <v>0</v>
      </c>
      <c r="F316" s="30">
        <v>1</v>
      </c>
      <c r="G316" s="28">
        <f>E316*F316</f>
        <v>0</v>
      </c>
      <c r="H316" s="129">
        <f>G316+D316</f>
        <v>0</v>
      </c>
    </row>
    <row r="317" spans="1:8" ht="18">
      <c r="A317" s="686"/>
      <c r="B317" s="657" t="s">
        <v>42</v>
      </c>
      <c r="C317" s="658"/>
      <c r="D317" s="654"/>
      <c r="E317" s="655"/>
      <c r="F317" s="655"/>
      <c r="G317" s="655"/>
      <c r="H317" s="656"/>
    </row>
    <row r="318" spans="1:8" ht="18">
      <c r="A318" s="686"/>
      <c r="B318" s="837" t="s">
        <v>132</v>
      </c>
      <c r="C318" s="838"/>
      <c r="D318" s="122"/>
      <c r="E318" s="29">
        <v>0</v>
      </c>
      <c r="F318" s="30">
        <v>1</v>
      </c>
      <c r="G318" s="28">
        <f aca="true" t="shared" si="21" ref="G318:G323">E318*F318</f>
        <v>0</v>
      </c>
      <c r="H318" s="129">
        <f>G318+D318</f>
        <v>0</v>
      </c>
    </row>
    <row r="319" spans="1:9" ht="18">
      <c r="A319" s="686"/>
      <c r="B319" s="834" t="s">
        <v>101</v>
      </c>
      <c r="C319" s="835"/>
      <c r="D319" s="849">
        <v>683552</v>
      </c>
      <c r="E319" s="29">
        <v>0</v>
      </c>
      <c r="F319" s="30">
        <v>1</v>
      </c>
      <c r="G319" s="28">
        <f t="shared" si="21"/>
        <v>0</v>
      </c>
      <c r="H319" s="129">
        <v>708843</v>
      </c>
      <c r="I319" s="1" t="s">
        <v>575</v>
      </c>
    </row>
    <row r="320" spans="1:9" s="102" customFormat="1" ht="18">
      <c r="A320" s="686"/>
      <c r="B320" s="866" t="s">
        <v>102</v>
      </c>
      <c r="C320" s="867"/>
      <c r="D320" s="850" t="s">
        <v>631</v>
      </c>
      <c r="E320" s="430">
        <v>77174</v>
      </c>
      <c r="F320" s="432">
        <v>12</v>
      </c>
      <c r="G320" s="433">
        <f t="shared" si="21"/>
        <v>926088</v>
      </c>
      <c r="H320" s="129">
        <f>G320</f>
        <v>926088</v>
      </c>
      <c r="I320" s="102" t="s">
        <v>525</v>
      </c>
    </row>
    <row r="321" spans="1:9" ht="18">
      <c r="A321" s="686"/>
      <c r="B321" s="834" t="s">
        <v>103</v>
      </c>
      <c r="C321" s="835"/>
      <c r="D321" s="122">
        <v>324166</v>
      </c>
      <c r="E321" s="29">
        <v>26050</v>
      </c>
      <c r="F321" s="30">
        <v>12</v>
      </c>
      <c r="G321" s="28">
        <f t="shared" si="21"/>
        <v>312600</v>
      </c>
      <c r="H321" s="129">
        <v>324166</v>
      </c>
      <c r="I321" s="102"/>
    </row>
    <row r="322" spans="1:8" ht="18">
      <c r="A322" s="686"/>
      <c r="B322" s="834" t="s">
        <v>104</v>
      </c>
      <c r="C322" s="835"/>
      <c r="D322" s="122"/>
      <c r="E322" s="29">
        <v>0</v>
      </c>
      <c r="F322" s="30">
        <v>1</v>
      </c>
      <c r="G322" s="28">
        <f t="shared" si="21"/>
        <v>0</v>
      </c>
      <c r="H322" s="129">
        <f>G322+D322</f>
        <v>0</v>
      </c>
    </row>
    <row r="323" spans="1:10" ht="18">
      <c r="A323" s="686"/>
      <c r="B323" s="834" t="s">
        <v>177</v>
      </c>
      <c r="C323" s="835"/>
      <c r="D323" s="122">
        <f>E323*F323</f>
        <v>300000</v>
      </c>
      <c r="E323" s="29">
        <v>10000</v>
      </c>
      <c r="F323" s="30">
        <v>30</v>
      </c>
      <c r="G323" s="28">
        <f t="shared" si="21"/>
        <v>300000</v>
      </c>
      <c r="H323" s="129">
        <f>G323</f>
        <v>300000</v>
      </c>
      <c r="I323" s="1" t="s">
        <v>463</v>
      </c>
      <c r="J323" s="244"/>
    </row>
    <row r="324" spans="1:8" ht="18">
      <c r="A324" s="686"/>
      <c r="B324" s="657" t="s">
        <v>106</v>
      </c>
      <c r="C324" s="658"/>
      <c r="D324" s="654"/>
      <c r="E324" s="655"/>
      <c r="F324" s="655"/>
      <c r="G324" s="655"/>
      <c r="H324" s="656"/>
    </row>
    <row r="325" spans="1:8" ht="18">
      <c r="A325" s="686"/>
      <c r="B325" s="834" t="s">
        <v>121</v>
      </c>
      <c r="C325" s="835"/>
      <c r="D325" s="122">
        <v>68954</v>
      </c>
      <c r="E325" s="29">
        <v>0</v>
      </c>
      <c r="F325" s="30">
        <v>1</v>
      </c>
      <c r="G325" s="28">
        <f>F325*E325</f>
        <v>0</v>
      </c>
      <c r="H325" s="129">
        <f>D325</f>
        <v>68954</v>
      </c>
    </row>
    <row r="326" spans="1:12" ht="18">
      <c r="A326" s="686"/>
      <c r="B326" s="834" t="s">
        <v>122</v>
      </c>
      <c r="C326" s="835"/>
      <c r="D326" s="849">
        <f>E326*F326</f>
        <v>198400</v>
      </c>
      <c r="E326" s="29">
        <v>6400</v>
      </c>
      <c r="F326" s="30">
        <v>31</v>
      </c>
      <c r="G326" s="28">
        <f>F326*E326</f>
        <v>198400</v>
      </c>
      <c r="H326" s="129">
        <f>D326</f>
        <v>198400</v>
      </c>
      <c r="I326" s="1" t="s">
        <v>455</v>
      </c>
      <c r="J326" s="102"/>
      <c r="K326" s="102"/>
      <c r="L326" s="244"/>
    </row>
    <row r="327" spans="1:8" ht="18">
      <c r="A327" s="686"/>
      <c r="B327" s="657" t="s">
        <v>107</v>
      </c>
      <c r="C327" s="658"/>
      <c r="D327" s="654"/>
      <c r="E327" s="655"/>
      <c r="F327" s="655"/>
      <c r="G327" s="655"/>
      <c r="H327" s="656"/>
    </row>
    <row r="328" spans="1:9" ht="18">
      <c r="A328" s="686"/>
      <c r="B328" s="834" t="s">
        <v>108</v>
      </c>
      <c r="C328" s="835"/>
      <c r="D328" s="849">
        <v>420914</v>
      </c>
      <c r="E328" s="29">
        <v>0</v>
      </c>
      <c r="F328" s="30">
        <v>1</v>
      </c>
      <c r="G328" s="28">
        <f>E328*F328</f>
        <v>0</v>
      </c>
      <c r="H328" s="129">
        <v>420914</v>
      </c>
      <c r="I328" s="1" t="s">
        <v>464</v>
      </c>
    </row>
    <row r="329" spans="1:8" ht="18">
      <c r="A329" s="686"/>
      <c r="B329" s="834" t="s">
        <v>109</v>
      </c>
      <c r="C329" s="835"/>
      <c r="D329" s="122">
        <v>0</v>
      </c>
      <c r="E329" s="29">
        <v>0</v>
      </c>
      <c r="F329" s="30">
        <v>1</v>
      </c>
      <c r="G329" s="28">
        <f>E329*F329</f>
        <v>0</v>
      </c>
      <c r="H329" s="129">
        <f>G329+D329</f>
        <v>0</v>
      </c>
    </row>
    <row r="330" spans="1:8" ht="13.5">
      <c r="A330" s="686"/>
      <c r="B330" s="851" t="s">
        <v>110</v>
      </c>
      <c r="C330" s="852"/>
      <c r="D330" s="122">
        <v>0</v>
      </c>
      <c r="E330" s="29">
        <v>0</v>
      </c>
      <c r="F330" s="30">
        <v>1</v>
      </c>
      <c r="G330" s="28">
        <f>E330*F330</f>
        <v>0</v>
      </c>
      <c r="H330" s="129">
        <f>G330+D330</f>
        <v>0</v>
      </c>
    </row>
    <row r="331" spans="1:8" ht="18">
      <c r="A331" s="686"/>
      <c r="B331" s="837" t="s">
        <v>111</v>
      </c>
      <c r="C331" s="838"/>
      <c r="D331" s="122">
        <v>0</v>
      </c>
      <c r="E331" s="54">
        <v>0</v>
      </c>
      <c r="F331" s="55">
        <v>1</v>
      </c>
      <c r="G331" s="28">
        <f>E331*F331</f>
        <v>0</v>
      </c>
      <c r="H331" s="131">
        <f>G331+D331</f>
        <v>0</v>
      </c>
    </row>
    <row r="332" spans="1:8" ht="18">
      <c r="A332" s="686"/>
      <c r="B332" s="657" t="s">
        <v>112</v>
      </c>
      <c r="C332" s="658"/>
      <c r="D332" s="663"/>
      <c r="E332" s="664"/>
      <c r="F332" s="664"/>
      <c r="G332" s="664"/>
      <c r="H332" s="665"/>
    </row>
    <row r="333" spans="1:9" ht="18">
      <c r="A333" s="686"/>
      <c r="B333" s="837" t="s">
        <v>113</v>
      </c>
      <c r="C333" s="838"/>
      <c r="D333" s="849">
        <v>1018858</v>
      </c>
      <c r="E333" s="29">
        <v>140358</v>
      </c>
      <c r="F333" s="30">
        <v>7</v>
      </c>
      <c r="G333" s="28">
        <f>E333*F333</f>
        <v>982506</v>
      </c>
      <c r="H333" s="129">
        <v>1018858</v>
      </c>
      <c r="I333" s="116" t="s">
        <v>576</v>
      </c>
    </row>
    <row r="334" spans="1:9" ht="24" customHeight="1">
      <c r="A334" s="686"/>
      <c r="B334" s="837" t="s">
        <v>120</v>
      </c>
      <c r="C334" s="838"/>
      <c r="D334" s="849"/>
      <c r="E334" s="29">
        <v>13500</v>
      </c>
      <c r="F334" s="30">
        <v>0</v>
      </c>
      <c r="G334" s="28">
        <f>E334*F334</f>
        <v>0</v>
      </c>
      <c r="H334" s="129"/>
      <c r="I334" s="102"/>
    </row>
    <row r="335" spans="1:8" ht="18">
      <c r="A335" s="686"/>
      <c r="B335" s="853" t="s">
        <v>114</v>
      </c>
      <c r="C335" s="854"/>
      <c r="D335" s="123">
        <f>SUM(D336:D340)</f>
        <v>0</v>
      </c>
      <c r="E335" s="27">
        <f>SUM(E336:E340)</f>
        <v>0</v>
      </c>
      <c r="F335" s="61"/>
      <c r="G335" s="27">
        <f>SUM(G336:G340)</f>
        <v>0</v>
      </c>
      <c r="H335" s="130">
        <f>SUM(H336:H340)</f>
        <v>0</v>
      </c>
    </row>
    <row r="336" spans="1:8" ht="18">
      <c r="A336" s="686"/>
      <c r="B336" s="855" t="s">
        <v>124</v>
      </c>
      <c r="C336" s="856"/>
      <c r="D336" s="124">
        <v>0</v>
      </c>
      <c r="E336" s="54">
        <v>0</v>
      </c>
      <c r="F336" s="55">
        <v>1</v>
      </c>
      <c r="G336" s="53">
        <f>E336*F336</f>
        <v>0</v>
      </c>
      <c r="H336" s="131">
        <f>G336+D336</f>
        <v>0</v>
      </c>
    </row>
    <row r="337" spans="1:9" ht="18">
      <c r="A337" s="686"/>
      <c r="B337" s="855" t="s">
        <v>125</v>
      </c>
      <c r="C337" s="856"/>
      <c r="D337" s="122">
        <v>0</v>
      </c>
      <c r="E337" s="29">
        <v>0</v>
      </c>
      <c r="F337" s="30">
        <v>1</v>
      </c>
      <c r="G337" s="28">
        <f>E337*F337</f>
        <v>0</v>
      </c>
      <c r="H337" s="129">
        <f>G337+D337</f>
        <v>0</v>
      </c>
      <c r="I337" s="1" t="s">
        <v>630</v>
      </c>
    </row>
    <row r="338" spans="1:8" ht="18">
      <c r="A338" s="686"/>
      <c r="B338" s="855" t="s">
        <v>126</v>
      </c>
      <c r="C338" s="856"/>
      <c r="D338" s="122"/>
      <c r="E338" s="29">
        <v>0</v>
      </c>
      <c r="F338" s="30">
        <v>1</v>
      </c>
      <c r="G338" s="28">
        <f>E338*F338</f>
        <v>0</v>
      </c>
      <c r="H338" s="129">
        <f>G338+D338</f>
        <v>0</v>
      </c>
    </row>
    <row r="339" spans="1:8" ht="18">
      <c r="A339" s="686"/>
      <c r="B339" s="855" t="s">
        <v>127</v>
      </c>
      <c r="C339" s="856"/>
      <c r="D339" s="122">
        <v>0</v>
      </c>
      <c r="E339" s="29">
        <v>0</v>
      </c>
      <c r="F339" s="30">
        <v>1</v>
      </c>
      <c r="G339" s="28">
        <f>E339*F339</f>
        <v>0</v>
      </c>
      <c r="H339" s="129">
        <f>G339+D339</f>
        <v>0</v>
      </c>
    </row>
    <row r="340" spans="1:8" ht="18">
      <c r="A340" s="686"/>
      <c r="B340" s="855" t="s">
        <v>128</v>
      </c>
      <c r="C340" s="856"/>
      <c r="D340" s="122">
        <v>0</v>
      </c>
      <c r="E340" s="54">
        <v>0</v>
      </c>
      <c r="F340" s="55">
        <v>1</v>
      </c>
      <c r="G340" s="53">
        <f>E340*F340</f>
        <v>0</v>
      </c>
      <c r="H340" s="131">
        <f>G340+D340</f>
        <v>0</v>
      </c>
    </row>
    <row r="341" spans="1:8" s="110" customFormat="1" ht="18" thickBot="1">
      <c r="A341" s="687"/>
      <c r="B341" s="857" t="s">
        <v>43</v>
      </c>
      <c r="C341" s="858"/>
      <c r="D341" s="125">
        <f>SUM(D259,D271,D335)</f>
        <v>17737182.36790701</v>
      </c>
      <c r="E341" s="107">
        <f>SUM(E335,E271,E259)</f>
        <v>323131.2</v>
      </c>
      <c r="F341" s="108"/>
      <c r="G341" s="109">
        <f>SUM(G335,G271,G259)</f>
        <v>3471439.2</v>
      </c>
      <c r="H341" s="132">
        <f>SUM(H335,H271,H259)</f>
        <v>18758508.36790701</v>
      </c>
    </row>
    <row r="342" spans="1:10" ht="15.75" customHeight="1" thickBot="1">
      <c r="A342" s="682" t="s">
        <v>297</v>
      </c>
      <c r="B342" s="669" t="s">
        <v>115</v>
      </c>
      <c r="C342" s="670"/>
      <c r="D342" s="123">
        <f>SUM(D352:D353,D350,D344:D348)</f>
        <v>43947916.93121744</v>
      </c>
      <c r="E342" s="27">
        <f>SUM(E352:E353,E350,E344:E348)</f>
        <v>0</v>
      </c>
      <c r="F342" s="61"/>
      <c r="G342" s="27">
        <f>SUM(G352:G353,G350,G344:G348)</f>
        <v>0</v>
      </c>
      <c r="H342" s="130">
        <f>SUM(H352:H353,H350,H344:H348)</f>
        <v>43947916.93121744</v>
      </c>
      <c r="I342" s="4" t="s">
        <v>188</v>
      </c>
      <c r="J342" s="4"/>
    </row>
    <row r="343" spans="1:16" ht="24" thickBot="1">
      <c r="A343" s="683"/>
      <c r="B343" s="657" t="s">
        <v>56</v>
      </c>
      <c r="C343" s="658"/>
      <c r="D343" s="654"/>
      <c r="E343" s="655"/>
      <c r="F343" s="655"/>
      <c r="G343" s="655"/>
      <c r="H343" s="656"/>
      <c r="I343" s="436" t="s">
        <v>356</v>
      </c>
      <c r="J343" s="437">
        <v>56</v>
      </c>
      <c r="K343" s="659"/>
      <c r="L343" s="659"/>
      <c r="M343" s="659"/>
      <c r="N343" s="167"/>
      <c r="O343" s="167"/>
      <c r="P343" s="167"/>
    </row>
    <row r="344" spans="1:16" ht="18">
      <c r="A344" s="683"/>
      <c r="B344" s="834" t="s">
        <v>57</v>
      </c>
      <c r="C344" s="835"/>
      <c r="D344" s="859">
        <f>+M353</f>
        <v>41376619.22892816</v>
      </c>
      <c r="E344" s="29"/>
      <c r="F344" s="30"/>
      <c r="G344" s="28"/>
      <c r="H344" s="129">
        <f>+M353</f>
        <v>41376619.22892816</v>
      </c>
      <c r="I344" s="119"/>
      <c r="K344" s="17" t="s">
        <v>560</v>
      </c>
      <c r="L344" s="169"/>
      <c r="M344" s="168"/>
      <c r="N344" s="170"/>
      <c r="O344" s="170"/>
      <c r="P344" s="167"/>
    </row>
    <row r="345" spans="1:16" ht="18">
      <c r="A345" s="683"/>
      <c r="B345" s="834" t="s">
        <v>181</v>
      </c>
      <c r="C345" s="835"/>
      <c r="D345" s="859">
        <f>P345</f>
        <v>746640</v>
      </c>
      <c r="E345" s="29">
        <v>0</v>
      </c>
      <c r="F345" s="30">
        <v>1</v>
      </c>
      <c r="G345" s="28">
        <f>E345*F345</f>
        <v>0</v>
      </c>
      <c r="H345" s="129">
        <f>G345+D345</f>
        <v>746640</v>
      </c>
      <c r="K345" s="649" t="s">
        <v>583</v>
      </c>
      <c r="L345" s="649"/>
      <c r="M345" s="649"/>
      <c r="O345" s="217" t="s">
        <v>228</v>
      </c>
      <c r="P345" s="218">
        <f>'[1]EDUCACIONAL'!$BH$33</f>
        <v>746640</v>
      </c>
    </row>
    <row r="346" spans="1:15" ht="18">
      <c r="A346" s="683"/>
      <c r="B346" s="837" t="s">
        <v>175</v>
      </c>
      <c r="C346" s="838"/>
      <c r="D346" s="849"/>
      <c r="E346" s="29">
        <v>0</v>
      </c>
      <c r="F346" s="30">
        <v>1</v>
      </c>
      <c r="G346" s="28">
        <f>E346*F346</f>
        <v>0</v>
      </c>
      <c r="H346" s="129">
        <f>G346+D346</f>
        <v>0</v>
      </c>
      <c r="K346" s="219" t="s">
        <v>229</v>
      </c>
      <c r="L346" s="220">
        <v>0</v>
      </c>
      <c r="M346" s="218"/>
      <c r="O346" s="102"/>
    </row>
    <row r="347" spans="1:16" ht="18">
      <c r="A347" s="683"/>
      <c r="B347" s="834" t="s">
        <v>59</v>
      </c>
      <c r="C347" s="835"/>
      <c r="D347" s="859">
        <f>P350</f>
        <v>1410891.5100000002</v>
      </c>
      <c r="E347" s="29">
        <v>0</v>
      </c>
      <c r="F347" s="30">
        <v>1</v>
      </c>
      <c r="G347" s="28">
        <f>E347*F347</f>
        <v>0</v>
      </c>
      <c r="H347" s="129">
        <f>G347+D347</f>
        <v>1410891.5100000002</v>
      </c>
      <c r="K347" s="219" t="s">
        <v>230</v>
      </c>
      <c r="L347" s="220">
        <v>5</v>
      </c>
      <c r="M347" s="218">
        <f>'[1]EDUCACIONAL'!$BL$33</f>
        <v>37127110.43520408</v>
      </c>
      <c r="O347" s="649" t="s">
        <v>231</v>
      </c>
      <c r="P347" s="649"/>
    </row>
    <row r="348" spans="1:17" ht="16.5" customHeight="1">
      <c r="A348" s="683"/>
      <c r="B348" s="834" t="s">
        <v>129</v>
      </c>
      <c r="C348" s="835"/>
      <c r="D348" s="849">
        <v>0</v>
      </c>
      <c r="E348" s="29">
        <v>0</v>
      </c>
      <c r="F348" s="30">
        <v>1</v>
      </c>
      <c r="G348" s="28">
        <f>E348*F348</f>
        <v>0</v>
      </c>
      <c r="H348" s="129">
        <f>G348+D348</f>
        <v>0</v>
      </c>
      <c r="K348" s="219" t="s">
        <v>232</v>
      </c>
      <c r="L348" s="220">
        <v>1</v>
      </c>
      <c r="M348" s="218">
        <f>'[1]EDUCACIONAL'!$BL$26</f>
        <v>4249508.793724081</v>
      </c>
      <c r="O348" s="221" t="s">
        <v>233</v>
      </c>
      <c r="P348" s="218">
        <f>'[1]EDUCACIONAL'!$BF$33</f>
        <v>742455.8280000001</v>
      </c>
      <c r="Q348" s="102"/>
    </row>
    <row r="349" spans="1:16" ht="12.75" customHeight="1">
      <c r="A349" s="683"/>
      <c r="B349" s="657" t="s">
        <v>60</v>
      </c>
      <c r="C349" s="658"/>
      <c r="D349" s="654"/>
      <c r="E349" s="655"/>
      <c r="F349" s="655"/>
      <c r="G349" s="655"/>
      <c r="H349" s="656"/>
      <c r="I349" s="21"/>
      <c r="K349" s="219" t="s">
        <v>234</v>
      </c>
      <c r="L349" s="220"/>
      <c r="M349" s="218">
        <v>0</v>
      </c>
      <c r="O349" s="221" t="s">
        <v>235</v>
      </c>
      <c r="P349" s="218">
        <f>'[1]EDUCACIONAL'!$BG$33</f>
        <v>668435.682</v>
      </c>
    </row>
    <row r="350" spans="1:16" ht="16.5" customHeight="1">
      <c r="A350" s="683"/>
      <c r="B350" s="834" t="s">
        <v>61</v>
      </c>
      <c r="C350" s="835"/>
      <c r="D350" s="849">
        <f>+D344*1%</f>
        <v>413766.19228928164</v>
      </c>
      <c r="E350" s="29">
        <v>0</v>
      </c>
      <c r="F350" s="30">
        <v>1</v>
      </c>
      <c r="G350" s="28">
        <f>E350*F350</f>
        <v>0</v>
      </c>
      <c r="H350" s="129">
        <f>G350+D350</f>
        <v>413766.19228928164</v>
      </c>
      <c r="I350" s="1" t="s">
        <v>565</v>
      </c>
      <c r="K350" s="653" t="s">
        <v>236</v>
      </c>
      <c r="L350" s="653"/>
      <c r="M350" s="218"/>
      <c r="O350" s="222" t="s">
        <v>237</v>
      </c>
      <c r="P350" s="223">
        <f>SUM(P348:P349)</f>
        <v>1410891.5100000002</v>
      </c>
    </row>
    <row r="351" spans="1:16" ht="12.75" customHeight="1">
      <c r="A351" s="683"/>
      <c r="B351" s="657" t="s">
        <v>62</v>
      </c>
      <c r="C351" s="658"/>
      <c r="D351" s="654"/>
      <c r="E351" s="655"/>
      <c r="F351" s="655"/>
      <c r="G351" s="655"/>
      <c r="H351" s="656"/>
      <c r="I351" s="21"/>
      <c r="K351" s="653" t="s">
        <v>238</v>
      </c>
      <c r="L351" s="653"/>
      <c r="M351" s="218">
        <f>SUM(M346:M349)</f>
        <v>41376619.22892816</v>
      </c>
      <c r="O351" s="105"/>
      <c r="P351" s="106"/>
    </row>
    <row r="352" spans="1:13" ht="17.25" customHeight="1">
      <c r="A352" s="683"/>
      <c r="B352" s="839" t="s">
        <v>63</v>
      </c>
      <c r="C352" s="840"/>
      <c r="D352" s="122">
        <v>0</v>
      </c>
      <c r="E352" s="29">
        <v>0</v>
      </c>
      <c r="F352" s="30">
        <v>1</v>
      </c>
      <c r="G352" s="28">
        <f>E352*F352</f>
        <v>0</v>
      </c>
      <c r="H352" s="129">
        <f>G352+D352</f>
        <v>0</v>
      </c>
      <c r="I352" s="138"/>
      <c r="K352" s="653" t="s">
        <v>239</v>
      </c>
      <c r="L352" s="653"/>
      <c r="M352" s="224"/>
    </row>
    <row r="353" spans="1:13" ht="18" customHeight="1">
      <c r="A353" s="683"/>
      <c r="B353" s="841" t="s">
        <v>64</v>
      </c>
      <c r="C353" s="840"/>
      <c r="D353" s="849">
        <v>0</v>
      </c>
      <c r="E353" s="29">
        <v>0</v>
      </c>
      <c r="F353" s="30">
        <v>1</v>
      </c>
      <c r="G353" s="28">
        <f>E353*F353</f>
        <v>0</v>
      </c>
      <c r="H353" s="488">
        <f>D353</f>
        <v>0</v>
      </c>
      <c r="I353" s="21"/>
      <c r="K353" s="650" t="s">
        <v>542</v>
      </c>
      <c r="L353" s="650"/>
      <c r="M353" s="223">
        <f>+M351</f>
        <v>41376619.22892816</v>
      </c>
    </row>
    <row r="354" spans="1:16" ht="15.75" customHeight="1">
      <c r="A354" s="683"/>
      <c r="B354" s="672" t="s">
        <v>65</v>
      </c>
      <c r="C354" s="673"/>
      <c r="D354" s="123">
        <f>SUM(D356:D357,D359:D361,D363:D364,D366:D377,D379:D387,D389:D395,D397:D399,D401:D406,D408:D409,D411:D414,D416:D417)</f>
        <v>19065637.077800002</v>
      </c>
      <c r="E354" s="27">
        <f>SUM(E356:E357,E359:E361,E363:E364,E366:E377,E379:E387,E389:E395,E397:E399,E401:E406,E408:E409,E411:E414,E416:E417)</f>
        <v>85111.2</v>
      </c>
      <c r="F354" s="61"/>
      <c r="G354" s="27">
        <f>SUM(G356:G357,G359:G361,G363:G364,G366:G377,G379:G387,G389:G395,G397:G399,G401:G406,G408:G409,G411:G414,G416:G417)</f>
        <v>12169791.2</v>
      </c>
      <c r="H354" s="130">
        <f>SUM(H356:H357,H359:H361,H363:H364,H366:H377,H379:H387,H389:H395,H397:H399,H401:H406,H408:H409,H411:H414,H416:H417)</f>
        <v>19071092.4391514</v>
      </c>
      <c r="I354" s="21"/>
      <c r="K354" s="39"/>
      <c r="L354" s="39"/>
      <c r="M354" s="39"/>
      <c r="N354" s="167"/>
      <c r="O354" s="167"/>
      <c r="P354" s="167"/>
    </row>
    <row r="355" spans="1:16" ht="15.75" customHeight="1">
      <c r="A355" s="683"/>
      <c r="B355" s="842" t="s">
        <v>66</v>
      </c>
      <c r="C355" s="843"/>
      <c r="D355" s="654"/>
      <c r="E355" s="655"/>
      <c r="F355" s="655"/>
      <c r="G355" s="655"/>
      <c r="H355" s="656"/>
      <c r="I355" s="117"/>
      <c r="K355" s="173"/>
      <c r="L355" s="174"/>
      <c r="M355" s="173"/>
      <c r="N355" s="167"/>
      <c r="O355" s="167"/>
      <c r="P355" s="167"/>
    </row>
    <row r="356" spans="1:16" ht="17.25" customHeight="1">
      <c r="A356" s="683"/>
      <c r="B356" s="837" t="s">
        <v>67</v>
      </c>
      <c r="C356" s="838"/>
      <c r="D356" s="849">
        <f>E356*F356</f>
        <v>2299651.1999999997</v>
      </c>
      <c r="E356" s="29">
        <f>1600*1.037</f>
        <v>1659.1999999999998</v>
      </c>
      <c r="F356" s="30">
        <f>6*11*21</f>
        <v>1386</v>
      </c>
      <c r="G356" s="28">
        <f>E356*F356</f>
        <v>2299651.1999999997</v>
      </c>
      <c r="H356" s="129">
        <f>G356</f>
        <v>2299651.1999999997</v>
      </c>
      <c r="I356" s="21" t="s">
        <v>561</v>
      </c>
      <c r="J356" s="261"/>
      <c r="K356" s="173"/>
      <c r="L356" s="174"/>
      <c r="M356" s="173"/>
      <c r="N356" s="167"/>
      <c r="O356" s="167"/>
      <c r="P356" s="167"/>
    </row>
    <row r="357" spans="1:16" ht="15" customHeight="1">
      <c r="A357" s="683"/>
      <c r="B357" s="847" t="s">
        <v>117</v>
      </c>
      <c r="C357" s="848"/>
      <c r="D357" s="849">
        <f>E357*F357</f>
        <v>8526000</v>
      </c>
      <c r="E357" s="29">
        <v>700</v>
      </c>
      <c r="F357" s="30">
        <f>58*21*10</f>
        <v>12180</v>
      </c>
      <c r="G357" s="28">
        <f>E357*F357</f>
        <v>8526000</v>
      </c>
      <c r="H357" s="129">
        <f>G357</f>
        <v>8526000</v>
      </c>
      <c r="I357" s="265" t="s">
        <v>577</v>
      </c>
      <c r="J357" s="261"/>
      <c r="K357" s="167"/>
      <c r="L357" s="167"/>
      <c r="M357" s="167"/>
      <c r="N357" s="167"/>
      <c r="O357" s="167"/>
      <c r="P357" s="167"/>
    </row>
    <row r="358" spans="1:9" ht="15.75" customHeight="1">
      <c r="A358" s="683"/>
      <c r="B358" s="842" t="s">
        <v>68</v>
      </c>
      <c r="C358" s="843"/>
      <c r="D358" s="654"/>
      <c r="E358" s="655"/>
      <c r="F358" s="655"/>
      <c r="G358" s="655"/>
      <c r="H358" s="656"/>
      <c r="I358" s="21"/>
    </row>
    <row r="359" spans="1:9" ht="17.25" customHeight="1">
      <c r="A359" s="683"/>
      <c r="B359" s="834" t="s">
        <v>116</v>
      </c>
      <c r="C359" s="835"/>
      <c r="D359" s="859"/>
      <c r="E359" s="29"/>
      <c r="F359" s="30"/>
      <c r="G359" s="28"/>
      <c r="H359" s="129"/>
      <c r="I359" s="21"/>
    </row>
    <row r="360" spans="1:9" ht="18" customHeight="1">
      <c r="A360" s="683"/>
      <c r="B360" s="834" t="s">
        <v>69</v>
      </c>
      <c r="C360" s="835"/>
      <c r="D360" s="849">
        <f>E360*F360</f>
        <v>151920</v>
      </c>
      <c r="E360" s="29">
        <v>18990</v>
      </c>
      <c r="F360" s="30">
        <v>8</v>
      </c>
      <c r="G360" s="28">
        <v>151920</v>
      </c>
      <c r="H360" s="129">
        <f>G360</f>
        <v>151920</v>
      </c>
      <c r="I360" s="21" t="s">
        <v>578</v>
      </c>
    </row>
    <row r="361" spans="1:9" ht="18" customHeight="1">
      <c r="A361" s="683"/>
      <c r="B361" s="834" t="s">
        <v>70</v>
      </c>
      <c r="C361" s="835"/>
      <c r="D361" s="849">
        <f>E361*F361</f>
        <v>40220</v>
      </c>
      <c r="E361" s="29">
        <v>20110</v>
      </c>
      <c r="F361" s="30">
        <v>2</v>
      </c>
      <c r="G361" s="28">
        <f>E361*F361</f>
        <v>40220</v>
      </c>
      <c r="H361" s="129">
        <f>G361</f>
        <v>40220</v>
      </c>
      <c r="I361" s="21" t="s">
        <v>579</v>
      </c>
    </row>
    <row r="362" spans="1:8" ht="18" customHeight="1">
      <c r="A362" s="683"/>
      <c r="B362" s="842" t="s">
        <v>71</v>
      </c>
      <c r="C362" s="843"/>
      <c r="D362" s="666"/>
      <c r="E362" s="667"/>
      <c r="F362" s="667"/>
      <c r="G362" s="667"/>
      <c r="H362" s="668"/>
    </row>
    <row r="363" spans="1:8" ht="19.5" customHeight="1">
      <c r="A363" s="683"/>
      <c r="B363" s="837" t="s">
        <v>72</v>
      </c>
      <c r="C363" s="838"/>
      <c r="D363" s="122"/>
      <c r="E363" s="29">
        <v>0</v>
      </c>
      <c r="F363" s="30">
        <v>1</v>
      </c>
      <c r="G363" s="28">
        <f>E363*F363</f>
        <v>0</v>
      </c>
      <c r="H363" s="129">
        <f>G363+D363</f>
        <v>0</v>
      </c>
    </row>
    <row r="364" spans="1:8" ht="18">
      <c r="A364" s="683"/>
      <c r="B364" s="834" t="s">
        <v>73</v>
      </c>
      <c r="C364" s="835"/>
      <c r="D364" s="122">
        <v>0</v>
      </c>
      <c r="E364" s="29">
        <v>0</v>
      </c>
      <c r="F364" s="30">
        <v>1</v>
      </c>
      <c r="G364" s="28">
        <f>E364*F364</f>
        <v>0</v>
      </c>
      <c r="H364" s="129">
        <f>G364+D364</f>
        <v>0</v>
      </c>
    </row>
    <row r="365" spans="1:8" ht="18">
      <c r="A365" s="683"/>
      <c r="B365" s="842" t="s">
        <v>74</v>
      </c>
      <c r="C365" s="843"/>
      <c r="D365" s="654"/>
      <c r="E365" s="655"/>
      <c r="F365" s="655"/>
      <c r="G365" s="655"/>
      <c r="H365" s="656"/>
    </row>
    <row r="366" spans="1:8" ht="18">
      <c r="A366" s="683"/>
      <c r="B366" s="837" t="s">
        <v>176</v>
      </c>
      <c r="C366" s="838"/>
      <c r="D366" s="849">
        <f>L386</f>
        <v>143271.50519999999</v>
      </c>
      <c r="E366" s="29"/>
      <c r="F366" s="30"/>
      <c r="G366" s="28"/>
      <c r="H366" s="129">
        <f>D366</f>
        <v>143271.50519999999</v>
      </c>
    </row>
    <row r="367" spans="1:10" ht="18">
      <c r="A367" s="683"/>
      <c r="B367" s="866" t="s">
        <v>75</v>
      </c>
      <c r="C367" s="867"/>
      <c r="D367" s="850">
        <f>L387</f>
        <v>248879.99999999997</v>
      </c>
      <c r="E367" s="430">
        <v>0</v>
      </c>
      <c r="F367" s="432">
        <v>1</v>
      </c>
      <c r="G367" s="433">
        <f aca="true" t="shared" si="22" ref="G367:G376">E367*F367</f>
        <v>0</v>
      </c>
      <c r="H367" s="129">
        <f>D367</f>
        <v>248879.99999999997</v>
      </c>
      <c r="J367" s="163"/>
    </row>
    <row r="368" spans="1:10" s="102" customFormat="1" ht="18">
      <c r="A368" s="683"/>
      <c r="B368" s="866" t="s">
        <v>131</v>
      </c>
      <c r="C368" s="867"/>
      <c r="D368" s="480">
        <v>622200</v>
      </c>
      <c r="E368" s="430"/>
      <c r="F368" s="432"/>
      <c r="G368" s="433"/>
      <c r="H368" s="129">
        <v>622200</v>
      </c>
      <c r="J368" s="244"/>
    </row>
    <row r="369" spans="1:8" ht="18">
      <c r="A369" s="683"/>
      <c r="B369" s="837" t="s">
        <v>76</v>
      </c>
      <c r="C369" s="838"/>
      <c r="D369" s="849">
        <f>L389</f>
        <v>16923.839999999997</v>
      </c>
      <c r="E369" s="29">
        <v>10880</v>
      </c>
      <c r="F369" s="30">
        <v>5</v>
      </c>
      <c r="G369" s="28">
        <f t="shared" si="22"/>
        <v>54400</v>
      </c>
      <c r="H369" s="129">
        <f>D369</f>
        <v>16923.839999999997</v>
      </c>
    </row>
    <row r="370" spans="1:8" ht="18">
      <c r="A370" s="683"/>
      <c r="B370" s="837" t="s">
        <v>77</v>
      </c>
      <c r="C370" s="838"/>
      <c r="D370" s="849">
        <v>0</v>
      </c>
      <c r="E370" s="29">
        <v>0</v>
      </c>
      <c r="F370" s="30">
        <v>1</v>
      </c>
      <c r="G370" s="28">
        <f t="shared" si="22"/>
        <v>0</v>
      </c>
      <c r="H370" s="129">
        <f>G370+D370</f>
        <v>0</v>
      </c>
    </row>
    <row r="371" spans="1:8" ht="18">
      <c r="A371" s="683"/>
      <c r="B371" s="837" t="s">
        <v>78</v>
      </c>
      <c r="C371" s="838"/>
      <c r="D371" s="122">
        <f>L390</f>
        <v>77877.663</v>
      </c>
      <c r="E371" s="29">
        <v>0</v>
      </c>
      <c r="F371" s="30">
        <v>1</v>
      </c>
      <c r="G371" s="28">
        <f t="shared" si="22"/>
        <v>0</v>
      </c>
      <c r="H371" s="129">
        <f>D371</f>
        <v>77877.663</v>
      </c>
    </row>
    <row r="372" spans="1:8" ht="18">
      <c r="A372" s="683"/>
      <c r="B372" s="837" t="s">
        <v>118</v>
      </c>
      <c r="C372" s="838"/>
      <c r="D372" s="122"/>
      <c r="E372" s="29">
        <v>0</v>
      </c>
      <c r="F372" s="30">
        <v>1</v>
      </c>
      <c r="G372" s="28">
        <f t="shared" si="22"/>
        <v>0</v>
      </c>
      <c r="H372" s="129">
        <f>G372+D372</f>
        <v>0</v>
      </c>
    </row>
    <row r="373" spans="1:8" ht="18">
      <c r="A373" s="683"/>
      <c r="B373" s="837" t="s">
        <v>123</v>
      </c>
      <c r="C373" s="838"/>
      <c r="D373" s="849">
        <f>L391</f>
        <v>59538.318</v>
      </c>
      <c r="E373" s="29">
        <v>0</v>
      </c>
      <c r="F373" s="30">
        <v>1</v>
      </c>
      <c r="G373" s="28">
        <f t="shared" si="22"/>
        <v>0</v>
      </c>
      <c r="H373" s="129">
        <f>D373</f>
        <v>59538.318</v>
      </c>
    </row>
    <row r="374" spans="1:8" ht="18">
      <c r="A374" s="683"/>
      <c r="B374" s="837" t="s">
        <v>79</v>
      </c>
      <c r="C374" s="838"/>
      <c r="D374" s="849">
        <f>L392</f>
        <v>67167.1122</v>
      </c>
      <c r="E374" s="29">
        <v>0</v>
      </c>
      <c r="F374" s="30">
        <v>1</v>
      </c>
      <c r="G374" s="28">
        <f t="shared" si="22"/>
        <v>0</v>
      </c>
      <c r="H374" s="129">
        <f>G374+D374*1.037</f>
        <v>69652.2953514</v>
      </c>
    </row>
    <row r="375" spans="1:10" ht="18">
      <c r="A375" s="683"/>
      <c r="B375" s="837" t="s">
        <v>80</v>
      </c>
      <c r="C375" s="838"/>
      <c r="D375" s="849">
        <f>L393</f>
        <v>80938.5759</v>
      </c>
      <c r="E375" s="29">
        <v>0</v>
      </c>
      <c r="F375" s="30">
        <v>1</v>
      </c>
      <c r="G375" s="28">
        <f t="shared" si="22"/>
        <v>0</v>
      </c>
      <c r="H375" s="129">
        <f>D375</f>
        <v>80938.5759</v>
      </c>
      <c r="J375" s="163"/>
    </row>
    <row r="376" spans="1:13" ht="18">
      <c r="A376" s="683"/>
      <c r="B376" s="837" t="s">
        <v>81</v>
      </c>
      <c r="C376" s="838"/>
      <c r="D376" s="122">
        <v>174017</v>
      </c>
      <c r="E376" s="29">
        <v>0</v>
      </c>
      <c r="F376" s="30">
        <v>1</v>
      </c>
      <c r="G376" s="28">
        <f t="shared" si="22"/>
        <v>0</v>
      </c>
      <c r="H376" s="129">
        <f>G376+D376*1.037</f>
        <v>180455.629</v>
      </c>
      <c r="K376" s="4"/>
      <c r="L376" s="4"/>
      <c r="M376" s="4"/>
    </row>
    <row r="377" spans="1:13" ht="18">
      <c r="A377" s="683"/>
      <c r="B377" s="837" t="s">
        <v>119</v>
      </c>
      <c r="C377" s="838"/>
      <c r="D377" s="122">
        <f>L394</f>
        <v>54136.68869999999</v>
      </c>
      <c r="E377" s="29"/>
      <c r="F377" s="30"/>
      <c r="G377" s="28"/>
      <c r="H377" s="129">
        <f>D377</f>
        <v>54136.68869999999</v>
      </c>
      <c r="K377" s="4"/>
      <c r="L377" s="4"/>
      <c r="M377" s="4"/>
    </row>
    <row r="378" spans="1:14" s="4" customFormat="1" ht="18">
      <c r="A378" s="683"/>
      <c r="B378" s="842" t="s">
        <v>82</v>
      </c>
      <c r="C378" s="843"/>
      <c r="D378" s="654"/>
      <c r="E378" s="655"/>
      <c r="F378" s="655"/>
      <c r="G378" s="655"/>
      <c r="H378" s="656"/>
      <c r="J378" s="704" t="s">
        <v>581</v>
      </c>
      <c r="K378" s="704"/>
      <c r="L378" s="483" t="s">
        <v>601</v>
      </c>
      <c r="M378" s="483" t="s">
        <v>602</v>
      </c>
      <c r="N378" s="483" t="s">
        <v>603</v>
      </c>
    </row>
    <row r="379" spans="1:15" s="4" customFormat="1" ht="18">
      <c r="A379" s="683"/>
      <c r="B379" s="834" t="s">
        <v>130</v>
      </c>
      <c r="C379" s="835"/>
      <c r="D379" s="862">
        <f>L379</f>
        <v>410763.9959999999</v>
      </c>
      <c r="E379" s="29">
        <v>0</v>
      </c>
      <c r="F379" s="31">
        <v>1</v>
      </c>
      <c r="G379" s="28">
        <f>E379*F379</f>
        <v>0</v>
      </c>
      <c r="H379" s="129">
        <f>D379</f>
        <v>410763.9959999999</v>
      </c>
      <c r="J379" s="493" t="s">
        <v>130</v>
      </c>
      <c r="K379" s="484">
        <f>1320360*1.037</f>
        <v>1369213.3199999998</v>
      </c>
      <c r="L379" s="494">
        <f>K379*30/100</f>
        <v>410763.9959999999</v>
      </c>
      <c r="M379" s="485">
        <f>K379*60/100</f>
        <v>821527.9919999999</v>
      </c>
      <c r="N379" s="485">
        <f>K379*10/100</f>
        <v>136921.332</v>
      </c>
      <c r="O379" s="515"/>
    </row>
    <row r="380" spans="1:15" ht="18">
      <c r="A380" s="683"/>
      <c r="B380" s="834" t="s">
        <v>40</v>
      </c>
      <c r="C380" s="835"/>
      <c r="D380" s="849">
        <f>L380</f>
        <v>368735.63039999997</v>
      </c>
      <c r="E380" s="29">
        <v>0</v>
      </c>
      <c r="F380" s="30">
        <v>1</v>
      </c>
      <c r="G380" s="28">
        <f aca="true" t="shared" si="23" ref="G380:G387">E380*F380</f>
        <v>0</v>
      </c>
      <c r="H380" s="129">
        <f>D380</f>
        <v>368735.63039999997</v>
      </c>
      <c r="I380" s="4"/>
      <c r="J380" s="493" t="s">
        <v>40</v>
      </c>
      <c r="K380" s="484">
        <f>1185264*1.037</f>
        <v>1229118.768</v>
      </c>
      <c r="L380" s="494">
        <f>K380*30/100</f>
        <v>368735.63039999997</v>
      </c>
      <c r="M380" s="485">
        <f>K380*60/100</f>
        <v>737471.2607999999</v>
      </c>
      <c r="N380" s="485">
        <f>K380*10/100</f>
        <v>122911.8768</v>
      </c>
      <c r="O380" s="515"/>
    </row>
    <row r="381" spans="1:15" ht="18">
      <c r="A381" s="683"/>
      <c r="B381" s="834" t="s">
        <v>41</v>
      </c>
      <c r="C381" s="835"/>
      <c r="D381" s="849">
        <f>L381</f>
        <v>880811.208</v>
      </c>
      <c r="E381" s="29">
        <v>0</v>
      </c>
      <c r="F381" s="30">
        <v>1</v>
      </c>
      <c r="G381" s="28">
        <f t="shared" si="23"/>
        <v>0</v>
      </c>
      <c r="H381" s="129">
        <f>D381</f>
        <v>880811.208</v>
      </c>
      <c r="I381" s="4"/>
      <c r="J381" s="493" t="s">
        <v>41</v>
      </c>
      <c r="K381" s="868">
        <f>2831280*1.037</f>
        <v>2936037.36</v>
      </c>
      <c r="L381" s="494">
        <f>K381*30/100</f>
        <v>880811.208</v>
      </c>
      <c r="M381" s="485">
        <f>K381*60/100</f>
        <v>1761622.416</v>
      </c>
      <c r="N381" s="485">
        <f>K381*10/100</f>
        <v>293603.736</v>
      </c>
      <c r="O381" s="515"/>
    </row>
    <row r="382" spans="1:15" ht="18">
      <c r="A382" s="683"/>
      <c r="B382" s="834" t="s">
        <v>83</v>
      </c>
      <c r="C382" s="835"/>
      <c r="D382" s="122"/>
      <c r="E382" s="29">
        <v>0</v>
      </c>
      <c r="F382" s="30">
        <v>1</v>
      </c>
      <c r="G382" s="28">
        <f t="shared" si="23"/>
        <v>0</v>
      </c>
      <c r="H382" s="129">
        <f aca="true" t="shared" si="24" ref="H382:H387">G382+D382</f>
        <v>0</v>
      </c>
      <c r="J382" s="484" t="s">
        <v>83</v>
      </c>
      <c r="K382" s="484">
        <v>0</v>
      </c>
      <c r="L382" s="494">
        <f>K382*30/100</f>
        <v>0</v>
      </c>
      <c r="M382" s="485"/>
      <c r="N382" s="485"/>
      <c r="O382" s="515"/>
    </row>
    <row r="383" spans="1:15" ht="18">
      <c r="A383" s="683"/>
      <c r="B383" s="834" t="s">
        <v>84</v>
      </c>
      <c r="C383" s="835"/>
      <c r="D383" s="849">
        <f>L383</f>
        <v>117166.48199999999</v>
      </c>
      <c r="E383" s="29">
        <v>0</v>
      </c>
      <c r="F383" s="30">
        <v>1</v>
      </c>
      <c r="G383" s="28">
        <f t="shared" si="23"/>
        <v>0</v>
      </c>
      <c r="H383" s="129">
        <f>D383</f>
        <v>117166.48199999999</v>
      </c>
      <c r="I383" s="4"/>
      <c r="J383" s="493" t="s">
        <v>84</v>
      </c>
      <c r="K383" s="484">
        <f>376620*1.037</f>
        <v>390554.93999999994</v>
      </c>
      <c r="L383" s="494">
        <f>K383*30/100</f>
        <v>117166.48199999999</v>
      </c>
      <c r="M383" s="485">
        <f>K383*60/100</f>
        <v>234332.96399999998</v>
      </c>
      <c r="N383" s="485">
        <f>K383*10/100</f>
        <v>39055.49399999999</v>
      </c>
      <c r="O383" s="515"/>
    </row>
    <row r="384" spans="1:15" ht="18">
      <c r="A384" s="683"/>
      <c r="B384" s="834" t="s">
        <v>85</v>
      </c>
      <c r="C384" s="835"/>
      <c r="D384" s="122"/>
      <c r="E384" s="29">
        <v>0</v>
      </c>
      <c r="F384" s="30">
        <v>1</v>
      </c>
      <c r="G384" s="28">
        <f t="shared" si="23"/>
        <v>0</v>
      </c>
      <c r="H384" s="129">
        <f t="shared" si="24"/>
        <v>0</v>
      </c>
      <c r="J384" s="493" t="s">
        <v>85</v>
      </c>
      <c r="K384" s="484">
        <v>0</v>
      </c>
      <c r="L384" s="494"/>
      <c r="M384" s="485"/>
      <c r="N384" s="485"/>
      <c r="O384" s="515"/>
    </row>
    <row r="385" spans="1:15" ht="18">
      <c r="A385" s="683"/>
      <c r="B385" s="834" t="s">
        <v>86</v>
      </c>
      <c r="C385" s="835"/>
      <c r="D385" s="122">
        <f>L385</f>
        <v>111809.34</v>
      </c>
      <c r="E385" s="29">
        <v>0</v>
      </c>
      <c r="F385" s="30">
        <v>1</v>
      </c>
      <c r="G385" s="28">
        <f t="shared" si="23"/>
        <v>0</v>
      </c>
      <c r="H385" s="129">
        <f t="shared" si="24"/>
        <v>111809.34</v>
      </c>
      <c r="J385" s="493" t="s">
        <v>86</v>
      </c>
      <c r="K385" s="484">
        <f>359400*1.037</f>
        <v>372697.8</v>
      </c>
      <c r="L385" s="494">
        <f aca="true" t="shared" si="25" ref="L385:L402">K385*30/100</f>
        <v>111809.34</v>
      </c>
      <c r="M385" s="485">
        <f aca="true" t="shared" si="26" ref="M385:M392">K385*60/100</f>
        <v>223618.68</v>
      </c>
      <c r="N385" s="485">
        <f aca="true" t="shared" si="27" ref="N385:N402">K385*10/100</f>
        <v>37269.78</v>
      </c>
      <c r="O385" s="515"/>
    </row>
    <row r="386" spans="1:15" ht="18">
      <c r="A386" s="683"/>
      <c r="B386" s="834" t="s">
        <v>87</v>
      </c>
      <c r="C386" s="835"/>
      <c r="D386" s="122">
        <v>0</v>
      </c>
      <c r="E386" s="29">
        <v>0</v>
      </c>
      <c r="F386" s="30">
        <v>1</v>
      </c>
      <c r="G386" s="28">
        <f t="shared" si="23"/>
        <v>0</v>
      </c>
      <c r="H386" s="129">
        <f t="shared" si="24"/>
        <v>0</v>
      </c>
      <c r="J386" s="494" t="s">
        <v>610</v>
      </c>
      <c r="K386" s="485">
        <f>460532*1.037</f>
        <v>477571.68399999995</v>
      </c>
      <c r="L386" s="494">
        <f t="shared" si="25"/>
        <v>143271.50519999999</v>
      </c>
      <c r="M386" s="485">
        <f t="shared" si="26"/>
        <v>286543.01039999997</v>
      </c>
      <c r="N386" s="485">
        <f t="shared" si="27"/>
        <v>47757.168399999995</v>
      </c>
      <c r="O386" s="515"/>
    </row>
    <row r="387" spans="1:15" ht="18">
      <c r="A387" s="683"/>
      <c r="B387" s="834" t="s">
        <v>88</v>
      </c>
      <c r="C387" s="835"/>
      <c r="D387" s="122">
        <v>0</v>
      </c>
      <c r="E387" s="29">
        <v>0</v>
      </c>
      <c r="F387" s="30">
        <v>1</v>
      </c>
      <c r="G387" s="28">
        <f t="shared" si="23"/>
        <v>0</v>
      </c>
      <c r="H387" s="129">
        <f t="shared" si="24"/>
        <v>0</v>
      </c>
      <c r="J387" s="494" t="s">
        <v>608</v>
      </c>
      <c r="K387" s="485">
        <f>800000*1.037</f>
        <v>829599.9999999999</v>
      </c>
      <c r="L387" s="494">
        <f t="shared" si="25"/>
        <v>248879.99999999997</v>
      </c>
      <c r="M387" s="485">
        <f t="shared" si="26"/>
        <v>497759.99999999994</v>
      </c>
      <c r="N387" s="485">
        <f t="shared" si="27"/>
        <v>82959.99999999999</v>
      </c>
      <c r="O387" s="515"/>
    </row>
    <row r="388" spans="1:15" ht="18">
      <c r="A388" s="683"/>
      <c r="B388" s="657" t="s">
        <v>89</v>
      </c>
      <c r="C388" s="658"/>
      <c r="D388" s="654"/>
      <c r="E388" s="655"/>
      <c r="F388" s="655"/>
      <c r="G388" s="655"/>
      <c r="H388" s="656"/>
      <c r="J388" s="485" t="s">
        <v>609</v>
      </c>
      <c r="K388" s="485">
        <f>622200*1.037</f>
        <v>645221.3999999999</v>
      </c>
      <c r="L388" s="494">
        <f t="shared" si="25"/>
        <v>193566.41999999995</v>
      </c>
      <c r="M388" s="485">
        <f t="shared" si="26"/>
        <v>387132.8399999999</v>
      </c>
      <c r="N388" s="485">
        <f t="shared" si="27"/>
        <v>64522.13999999999</v>
      </c>
      <c r="O388" s="515"/>
    </row>
    <row r="389" spans="1:15" ht="18">
      <c r="A389" s="683"/>
      <c r="B389" s="837" t="s">
        <v>90</v>
      </c>
      <c r="C389" s="838"/>
      <c r="D389" s="122">
        <f>L403</f>
        <v>390000</v>
      </c>
      <c r="E389" s="29"/>
      <c r="F389" s="30"/>
      <c r="G389" s="28"/>
      <c r="H389" s="129">
        <f>D389</f>
        <v>390000</v>
      </c>
      <c r="I389" s="138"/>
      <c r="J389" s="494" t="s">
        <v>611</v>
      </c>
      <c r="K389" s="486">
        <f>54400*1.037</f>
        <v>56412.799999999996</v>
      </c>
      <c r="L389" s="494">
        <f t="shared" si="25"/>
        <v>16923.839999999997</v>
      </c>
      <c r="M389" s="485">
        <f t="shared" si="26"/>
        <v>33847.67999999999</v>
      </c>
      <c r="N389" s="485">
        <f t="shared" si="27"/>
        <v>5641.28</v>
      </c>
      <c r="O389" s="515"/>
    </row>
    <row r="390" spans="1:15" ht="18">
      <c r="A390" s="683"/>
      <c r="B390" s="837" t="s">
        <v>91</v>
      </c>
      <c r="C390" s="838"/>
      <c r="D390" s="122"/>
      <c r="E390" s="29">
        <v>0</v>
      </c>
      <c r="F390" s="30">
        <v>1</v>
      </c>
      <c r="G390" s="28">
        <f aca="true" t="shared" si="28" ref="G390:G395">E390*F390</f>
        <v>0</v>
      </c>
      <c r="H390" s="129">
        <f aca="true" t="shared" si="29" ref="H390:H395">G390+D390</f>
        <v>0</v>
      </c>
      <c r="I390" s="138"/>
      <c r="J390" s="494" t="s">
        <v>612</v>
      </c>
      <c r="K390" s="487">
        <f>250330*1.037</f>
        <v>259592.21</v>
      </c>
      <c r="L390" s="494">
        <f t="shared" si="25"/>
        <v>77877.663</v>
      </c>
      <c r="M390" s="485">
        <f t="shared" si="26"/>
        <v>155755.326</v>
      </c>
      <c r="N390" s="485">
        <f t="shared" si="27"/>
        <v>25959.221</v>
      </c>
      <c r="O390" s="515"/>
    </row>
    <row r="391" spans="1:15" ht="18">
      <c r="A391" s="683"/>
      <c r="B391" s="837" t="s">
        <v>92</v>
      </c>
      <c r="C391" s="838"/>
      <c r="D391" s="122">
        <f>L395</f>
        <v>124439.99999999999</v>
      </c>
      <c r="E391" s="29">
        <v>0</v>
      </c>
      <c r="F391" s="30">
        <v>1</v>
      </c>
      <c r="G391" s="28">
        <f t="shared" si="28"/>
        <v>0</v>
      </c>
      <c r="H391" s="129">
        <f t="shared" si="29"/>
        <v>124439.99999999999</v>
      </c>
      <c r="J391" s="494" t="s">
        <v>613</v>
      </c>
      <c r="K391" s="485">
        <f>191380*1.037</f>
        <v>198461.06</v>
      </c>
      <c r="L391" s="494">
        <f t="shared" si="25"/>
        <v>59538.318</v>
      </c>
      <c r="M391" s="485">
        <f t="shared" si="26"/>
        <v>119076.636</v>
      </c>
      <c r="N391" s="485">
        <f t="shared" si="27"/>
        <v>19846.106</v>
      </c>
      <c r="O391" s="515"/>
    </row>
    <row r="392" spans="1:15" ht="18">
      <c r="A392" s="683"/>
      <c r="B392" s="837" t="s">
        <v>93</v>
      </c>
      <c r="C392" s="838"/>
      <c r="D392" s="849">
        <v>400000</v>
      </c>
      <c r="E392" s="29">
        <v>0</v>
      </c>
      <c r="F392" s="30">
        <v>1</v>
      </c>
      <c r="G392" s="28">
        <f t="shared" si="28"/>
        <v>0</v>
      </c>
      <c r="H392" s="129">
        <v>400000</v>
      </c>
      <c r="I392" s="138"/>
      <c r="J392" s="494" t="s">
        <v>614</v>
      </c>
      <c r="K392" s="485">
        <f>215902*1.037</f>
        <v>223890.37399999998</v>
      </c>
      <c r="L392" s="494">
        <f t="shared" si="25"/>
        <v>67167.1122</v>
      </c>
      <c r="M392" s="485">
        <f t="shared" si="26"/>
        <v>134334.2244</v>
      </c>
      <c r="N392" s="485">
        <f t="shared" si="27"/>
        <v>22389.037399999997</v>
      </c>
      <c r="O392" s="515"/>
    </row>
    <row r="393" spans="1:15" ht="18">
      <c r="A393" s="683"/>
      <c r="B393" s="837" t="s">
        <v>94</v>
      </c>
      <c r="C393" s="838"/>
      <c r="D393" s="122">
        <v>0</v>
      </c>
      <c r="E393" s="29">
        <v>0</v>
      </c>
      <c r="F393" s="30">
        <v>1</v>
      </c>
      <c r="G393" s="28">
        <f t="shared" si="28"/>
        <v>0</v>
      </c>
      <c r="H393" s="129">
        <f t="shared" si="29"/>
        <v>0</v>
      </c>
      <c r="J393" s="494" t="s">
        <v>615</v>
      </c>
      <c r="K393" s="485">
        <f>260169*1.037</f>
        <v>269795.25299999997</v>
      </c>
      <c r="L393" s="494">
        <f t="shared" si="25"/>
        <v>80938.5759</v>
      </c>
      <c r="M393" s="485">
        <f>K393*60/100</f>
        <v>161877.1518</v>
      </c>
      <c r="N393" s="485">
        <f t="shared" si="27"/>
        <v>26979.525299999998</v>
      </c>
      <c r="O393" s="515"/>
    </row>
    <row r="394" spans="1:15" ht="18">
      <c r="A394" s="683"/>
      <c r="B394" s="837" t="s">
        <v>95</v>
      </c>
      <c r="C394" s="838"/>
      <c r="D394" s="122">
        <v>0</v>
      </c>
      <c r="E394" s="29">
        <v>0</v>
      </c>
      <c r="F394" s="30">
        <v>1</v>
      </c>
      <c r="G394" s="28">
        <f t="shared" si="28"/>
        <v>0</v>
      </c>
      <c r="H394" s="129">
        <f t="shared" si="29"/>
        <v>0</v>
      </c>
      <c r="J394" s="494" t="s">
        <v>616</v>
      </c>
      <c r="K394" s="122">
        <f>174017*1.037</f>
        <v>180455.629</v>
      </c>
      <c r="L394" s="494">
        <f>K394*30/100</f>
        <v>54136.68869999999</v>
      </c>
      <c r="M394" s="485">
        <f aca="true" t="shared" si="30" ref="M394:M402">K394*60/100</f>
        <v>108273.37739999998</v>
      </c>
      <c r="N394" s="485">
        <f t="shared" si="27"/>
        <v>18045.562899999997</v>
      </c>
      <c r="O394" s="515"/>
    </row>
    <row r="395" spans="1:15" ht="18">
      <c r="A395" s="683"/>
      <c r="B395" s="837" t="s">
        <v>96</v>
      </c>
      <c r="C395" s="838"/>
      <c r="D395" s="122">
        <f>L396</f>
        <v>330000</v>
      </c>
      <c r="E395" s="29">
        <v>0</v>
      </c>
      <c r="F395" s="30">
        <v>1</v>
      </c>
      <c r="G395" s="28">
        <f t="shared" si="28"/>
        <v>0</v>
      </c>
      <c r="H395" s="129">
        <f t="shared" si="29"/>
        <v>330000</v>
      </c>
      <c r="J395" s="494" t="s">
        <v>617</v>
      </c>
      <c r="K395" s="849">
        <f>400000*1.037</f>
        <v>414799.99999999994</v>
      </c>
      <c r="L395" s="494">
        <f t="shared" si="25"/>
        <v>124439.99999999999</v>
      </c>
      <c r="M395" s="485">
        <f t="shared" si="30"/>
        <v>248879.99999999997</v>
      </c>
      <c r="N395" s="485">
        <f t="shared" si="27"/>
        <v>41479.99999999999</v>
      </c>
      <c r="O395" s="515"/>
    </row>
    <row r="396" spans="1:15" ht="18">
      <c r="A396" s="683"/>
      <c r="B396" s="657" t="s">
        <v>97</v>
      </c>
      <c r="C396" s="658"/>
      <c r="D396" s="654"/>
      <c r="E396" s="655"/>
      <c r="F396" s="655"/>
      <c r="G396" s="655"/>
      <c r="H396" s="656"/>
      <c r="J396" s="494" t="s">
        <v>618</v>
      </c>
      <c r="K396" s="122">
        <v>1100000</v>
      </c>
      <c r="L396" s="494">
        <f t="shared" si="25"/>
        <v>330000</v>
      </c>
      <c r="M396" s="485">
        <f t="shared" si="30"/>
        <v>660000</v>
      </c>
      <c r="N396" s="485">
        <f t="shared" si="27"/>
        <v>110000</v>
      </c>
      <c r="O396" s="515"/>
    </row>
    <row r="397" spans="1:15" ht="18">
      <c r="A397" s="683"/>
      <c r="B397" s="834" t="s">
        <v>98</v>
      </c>
      <c r="C397" s="835"/>
      <c r="D397" s="122">
        <v>0</v>
      </c>
      <c r="E397" s="29">
        <v>0</v>
      </c>
      <c r="F397" s="30">
        <v>1</v>
      </c>
      <c r="G397" s="28">
        <f>E397*F397</f>
        <v>0</v>
      </c>
      <c r="H397" s="129">
        <f>G397+D397</f>
        <v>0</v>
      </c>
      <c r="J397" s="495" t="s">
        <v>619</v>
      </c>
      <c r="K397" s="849">
        <f>1528944*1.037</f>
        <v>1585514.9279999998</v>
      </c>
      <c r="L397" s="495">
        <f t="shared" si="25"/>
        <v>475654.47839999996</v>
      </c>
      <c r="M397" s="485">
        <f t="shared" si="30"/>
        <v>951308.9567999999</v>
      </c>
      <c r="N397" s="485">
        <f t="shared" si="27"/>
        <v>158551.49279999998</v>
      </c>
      <c r="O397" s="515"/>
    </row>
    <row r="398" spans="1:15" ht="18">
      <c r="A398" s="683"/>
      <c r="B398" s="834" t="s">
        <v>99</v>
      </c>
      <c r="C398" s="835"/>
      <c r="D398" s="122">
        <f>G398</f>
        <v>179200</v>
      </c>
      <c r="E398" s="29">
        <v>3200</v>
      </c>
      <c r="F398" s="30">
        <v>56</v>
      </c>
      <c r="G398" s="28">
        <f>E398*F398</f>
        <v>179200</v>
      </c>
      <c r="H398" s="129">
        <f>G398</f>
        <v>179200</v>
      </c>
      <c r="I398" s="1" t="s">
        <v>498</v>
      </c>
      <c r="J398" s="496" t="s">
        <v>620</v>
      </c>
      <c r="K398" s="516">
        <f>926088*1.037</f>
        <v>960353.2559999999</v>
      </c>
      <c r="L398" s="495">
        <f t="shared" si="25"/>
        <v>288105.9768</v>
      </c>
      <c r="M398" s="485">
        <f t="shared" si="30"/>
        <v>576211.9536</v>
      </c>
      <c r="N398" s="485">
        <f t="shared" si="27"/>
        <v>96035.32559999998</v>
      </c>
      <c r="O398" s="515"/>
    </row>
    <row r="399" spans="1:15" ht="18">
      <c r="A399" s="683"/>
      <c r="B399" s="834" t="s">
        <v>100</v>
      </c>
      <c r="C399" s="835"/>
      <c r="D399" s="122">
        <v>0</v>
      </c>
      <c r="E399" s="29">
        <v>0</v>
      </c>
      <c r="F399" s="30">
        <v>1</v>
      </c>
      <c r="G399" s="28">
        <f>E399*F399</f>
        <v>0</v>
      </c>
      <c r="H399" s="129">
        <f>G399+D399</f>
        <v>0</v>
      </c>
      <c r="J399" s="497" t="s">
        <v>621</v>
      </c>
      <c r="K399" s="849">
        <f>488884*1.037</f>
        <v>506972.708</v>
      </c>
      <c r="L399" s="505">
        <f t="shared" si="25"/>
        <v>152091.8124</v>
      </c>
      <c r="M399" s="485">
        <f t="shared" si="30"/>
        <v>304183.6248</v>
      </c>
      <c r="N399" s="485">
        <f t="shared" si="27"/>
        <v>50697.2708</v>
      </c>
      <c r="O399" s="515"/>
    </row>
    <row r="400" spans="1:15" ht="18">
      <c r="A400" s="683"/>
      <c r="B400" s="657" t="s">
        <v>42</v>
      </c>
      <c r="C400" s="658"/>
      <c r="D400" s="654"/>
      <c r="E400" s="655"/>
      <c r="F400" s="655"/>
      <c r="G400" s="655"/>
      <c r="H400" s="656"/>
      <c r="J400" s="497" t="s">
        <v>622</v>
      </c>
      <c r="K400" s="266">
        <f>313428*1.037</f>
        <v>325024.83599999995</v>
      </c>
      <c r="L400" s="506">
        <f t="shared" si="25"/>
        <v>97507.45079999998</v>
      </c>
      <c r="M400" s="485">
        <f t="shared" si="30"/>
        <v>195014.90159999995</v>
      </c>
      <c r="N400" s="485">
        <f t="shared" si="27"/>
        <v>32502.483599999992</v>
      </c>
      <c r="O400" s="515"/>
    </row>
    <row r="401" spans="1:15" ht="18">
      <c r="A401" s="683"/>
      <c r="B401" s="837" t="s">
        <v>132</v>
      </c>
      <c r="C401" s="838"/>
      <c r="D401" s="122"/>
      <c r="E401" s="29">
        <v>0</v>
      </c>
      <c r="F401" s="30">
        <v>1</v>
      </c>
      <c r="G401" s="28">
        <f aca="true" t="shared" si="31" ref="G401:G406">E401*F401</f>
        <v>0</v>
      </c>
      <c r="H401" s="129">
        <f>G401+D401</f>
        <v>0</v>
      </c>
      <c r="J401" s="499" t="s">
        <v>623</v>
      </c>
      <c r="K401" s="869">
        <v>600000</v>
      </c>
      <c r="L401" s="506">
        <f t="shared" si="25"/>
        <v>180000</v>
      </c>
      <c r="M401" s="485">
        <f t="shared" si="30"/>
        <v>360000</v>
      </c>
      <c r="N401" s="485">
        <f t="shared" si="27"/>
        <v>60000</v>
      </c>
      <c r="O401" s="515"/>
    </row>
    <row r="402" spans="1:15" ht="18">
      <c r="A402" s="683"/>
      <c r="B402" s="834" t="s">
        <v>101</v>
      </c>
      <c r="C402" s="835"/>
      <c r="D402" s="849">
        <f>L397</f>
        <v>475654.47839999996</v>
      </c>
      <c r="E402" s="29">
        <v>0</v>
      </c>
      <c r="F402" s="30">
        <v>1</v>
      </c>
      <c r="G402" s="28">
        <f t="shared" si="31"/>
        <v>0</v>
      </c>
      <c r="H402" s="129">
        <f>G402+D402</f>
        <v>475654.47839999996</v>
      </c>
      <c r="I402" s="138"/>
      <c r="J402" s="497" t="s">
        <v>624</v>
      </c>
      <c r="K402" s="266">
        <f>53975+172721</f>
        <v>226696</v>
      </c>
      <c r="L402" s="506">
        <f t="shared" si="25"/>
        <v>68008.8</v>
      </c>
      <c r="M402" s="485">
        <f t="shared" si="30"/>
        <v>136017.6</v>
      </c>
      <c r="N402" s="485">
        <f t="shared" si="27"/>
        <v>22669.6</v>
      </c>
      <c r="O402" s="515"/>
    </row>
    <row r="403" spans="1:14" ht="18">
      <c r="A403" s="683"/>
      <c r="B403" s="834" t="s">
        <v>102</v>
      </c>
      <c r="C403" s="835"/>
      <c r="D403" s="849">
        <f>L398</f>
        <v>288105.9768</v>
      </c>
      <c r="E403" s="29">
        <v>0</v>
      </c>
      <c r="F403" s="30">
        <v>1</v>
      </c>
      <c r="G403" s="28">
        <f t="shared" si="31"/>
        <v>0</v>
      </c>
      <c r="H403" s="129">
        <f>G403+D403</f>
        <v>288105.9768</v>
      </c>
      <c r="I403" s="138"/>
      <c r="J403" s="501" t="s">
        <v>632</v>
      </c>
      <c r="K403" s="500">
        <v>1300000</v>
      </c>
      <c r="L403" s="506">
        <f>K403*30/100</f>
        <v>390000</v>
      </c>
      <c r="M403" s="485">
        <f>K403*60/100</f>
        <v>780000</v>
      </c>
      <c r="N403" s="485">
        <f>K403*10/100</f>
        <v>130000</v>
      </c>
    </row>
    <row r="404" spans="1:14" ht="18">
      <c r="A404" s="683"/>
      <c r="B404" s="834" t="s">
        <v>103</v>
      </c>
      <c r="C404" s="835"/>
      <c r="D404" s="849">
        <f>L399</f>
        <v>152091.8124</v>
      </c>
      <c r="E404" s="29">
        <v>0</v>
      </c>
      <c r="F404" s="30">
        <v>1</v>
      </c>
      <c r="G404" s="28">
        <f t="shared" si="31"/>
        <v>0</v>
      </c>
      <c r="H404" s="129">
        <f>G404+D404</f>
        <v>152091.8124</v>
      </c>
      <c r="I404" s="138"/>
      <c r="J404" s="163" t="s">
        <v>633</v>
      </c>
      <c r="K404" s="163">
        <f>(47000*9)*8</f>
        <v>3384000</v>
      </c>
      <c r="L404" s="506">
        <f>K404*30/100</f>
        <v>1015200</v>
      </c>
      <c r="M404" s="485">
        <f>K404*60/100</f>
        <v>2030400</v>
      </c>
      <c r="N404" s="485">
        <f>K404*10/100</f>
        <v>338400</v>
      </c>
    </row>
    <row r="405" spans="1:8" ht="18">
      <c r="A405" s="683"/>
      <c r="B405" s="834" t="s">
        <v>104</v>
      </c>
      <c r="C405" s="835"/>
      <c r="D405" s="849"/>
      <c r="E405" s="29">
        <v>0</v>
      </c>
      <c r="F405" s="30">
        <v>1</v>
      </c>
      <c r="G405" s="28">
        <f t="shared" si="31"/>
        <v>0</v>
      </c>
      <c r="H405" s="129">
        <f>G405+D405</f>
        <v>0</v>
      </c>
    </row>
    <row r="406" spans="1:10" ht="18">
      <c r="A406" s="683"/>
      <c r="B406" s="834" t="s">
        <v>177</v>
      </c>
      <c r="C406" s="835"/>
      <c r="D406" s="122">
        <f>G406</f>
        <v>560000</v>
      </c>
      <c r="E406" s="29">
        <v>10000</v>
      </c>
      <c r="F406" s="30">
        <v>56</v>
      </c>
      <c r="G406" s="28">
        <f t="shared" si="31"/>
        <v>560000</v>
      </c>
      <c r="H406" s="129">
        <f>G406</f>
        <v>560000</v>
      </c>
      <c r="I406" s="138" t="s">
        <v>204</v>
      </c>
      <c r="J406" s="244"/>
    </row>
    <row r="407" spans="1:8" ht="18">
      <c r="A407" s="683"/>
      <c r="B407" s="657" t="s">
        <v>106</v>
      </c>
      <c r="C407" s="658"/>
      <c r="D407" s="654"/>
      <c r="E407" s="655"/>
      <c r="F407" s="655"/>
      <c r="G407" s="655"/>
      <c r="H407" s="656"/>
    </row>
    <row r="408" spans="1:8" ht="18">
      <c r="A408" s="683"/>
      <c r="B408" s="834" t="s">
        <v>121</v>
      </c>
      <c r="C408" s="835"/>
      <c r="D408" s="122">
        <f>L400</f>
        <v>97507.45079999998</v>
      </c>
      <c r="E408" s="29">
        <v>0</v>
      </c>
      <c r="F408" s="30">
        <v>1</v>
      </c>
      <c r="G408" s="28">
        <f>F408*E408</f>
        <v>0</v>
      </c>
      <c r="H408" s="129">
        <v>94039</v>
      </c>
    </row>
    <row r="409" spans="1:12" ht="18">
      <c r="A409" s="683"/>
      <c r="B409" s="834" t="s">
        <v>122</v>
      </c>
      <c r="C409" s="835"/>
      <c r="D409" s="849">
        <v>358400</v>
      </c>
      <c r="E409" s="29">
        <v>6400</v>
      </c>
      <c r="F409" s="30">
        <v>56</v>
      </c>
      <c r="G409" s="28">
        <f>F409*E409</f>
        <v>358400</v>
      </c>
      <c r="H409" s="129">
        <f>G409</f>
        <v>358400</v>
      </c>
      <c r="I409" s="1" t="s">
        <v>494</v>
      </c>
      <c r="K409" s="102"/>
      <c r="L409" s="244"/>
    </row>
    <row r="410" spans="1:8" ht="18">
      <c r="A410" s="683"/>
      <c r="B410" s="657" t="s">
        <v>107</v>
      </c>
      <c r="C410" s="658"/>
      <c r="D410" s="679"/>
      <c r="E410" s="680"/>
      <c r="F410" s="680"/>
      <c r="G410" s="680"/>
      <c r="H410" s="681"/>
    </row>
    <row r="411" spans="1:9" ht="18">
      <c r="A411" s="683"/>
      <c r="B411" s="834" t="s">
        <v>108</v>
      </c>
      <c r="C411" s="835"/>
      <c r="D411" s="849">
        <v>175000</v>
      </c>
      <c r="E411" s="29">
        <v>0</v>
      </c>
      <c r="F411" s="30">
        <v>1</v>
      </c>
      <c r="G411" s="28">
        <f>E411*F411</f>
        <v>0</v>
      </c>
      <c r="H411" s="129">
        <f>G411+D411</f>
        <v>175000</v>
      </c>
      <c r="I411" s="102" t="s">
        <v>517</v>
      </c>
    </row>
    <row r="412" spans="1:8" ht="18">
      <c r="A412" s="683"/>
      <c r="B412" s="834" t="s">
        <v>109</v>
      </c>
      <c r="C412" s="835"/>
      <c r="D412" s="122">
        <v>0</v>
      </c>
      <c r="E412" s="29">
        <v>0</v>
      </c>
      <c r="F412" s="30">
        <v>1</v>
      </c>
      <c r="G412" s="28">
        <f>E412*F412</f>
        <v>0</v>
      </c>
      <c r="H412" s="129">
        <f>G412+D412</f>
        <v>0</v>
      </c>
    </row>
    <row r="413" spans="1:8" ht="18">
      <c r="A413" s="683"/>
      <c r="B413" s="834" t="s">
        <v>110</v>
      </c>
      <c r="C413" s="835"/>
      <c r="D413" s="122">
        <v>0</v>
      </c>
      <c r="E413" s="29">
        <v>0</v>
      </c>
      <c r="F413" s="30">
        <v>1</v>
      </c>
      <c r="G413" s="28">
        <f>E413*F413</f>
        <v>0</v>
      </c>
      <c r="H413" s="129">
        <f>G413+D413</f>
        <v>0</v>
      </c>
    </row>
    <row r="414" spans="1:9" ht="18">
      <c r="A414" s="683"/>
      <c r="B414" s="837" t="s">
        <v>111</v>
      </c>
      <c r="C414" s="838"/>
      <c r="D414" s="124">
        <f>L402</f>
        <v>68008.8</v>
      </c>
      <c r="E414" s="54">
        <v>0</v>
      </c>
      <c r="F414" s="55">
        <v>1</v>
      </c>
      <c r="G414" s="28">
        <f>E414*F414</f>
        <v>0</v>
      </c>
      <c r="H414" s="131">
        <f>G414+D414</f>
        <v>68008.8</v>
      </c>
      <c r="I414" s="145" t="s">
        <v>518</v>
      </c>
    </row>
    <row r="415" spans="1:8" ht="18">
      <c r="A415" s="683"/>
      <c r="B415" s="657" t="s">
        <v>112</v>
      </c>
      <c r="C415" s="658"/>
      <c r="D415" s="663"/>
      <c r="E415" s="664"/>
      <c r="F415" s="664"/>
      <c r="G415" s="664"/>
      <c r="H415" s="665"/>
    </row>
    <row r="416" spans="1:9" ht="18">
      <c r="A416" s="683"/>
      <c r="B416" s="837" t="s">
        <v>113</v>
      </c>
      <c r="C416" s="838"/>
      <c r="D416" s="849">
        <f>L404</f>
        <v>1015200</v>
      </c>
      <c r="E416" s="29">
        <v>0</v>
      </c>
      <c r="F416" s="30">
        <v>0</v>
      </c>
      <c r="G416" s="28">
        <v>0</v>
      </c>
      <c r="H416" s="129">
        <f>D416</f>
        <v>1015200</v>
      </c>
      <c r="I416" s="1" t="s">
        <v>634</v>
      </c>
    </row>
    <row r="417" spans="1:9" ht="18">
      <c r="A417" s="683"/>
      <c r="B417" s="837" t="s">
        <v>120</v>
      </c>
      <c r="C417" s="838"/>
      <c r="D417" s="850"/>
      <c r="E417" s="430">
        <v>13172</v>
      </c>
      <c r="F417" s="432">
        <v>3</v>
      </c>
      <c r="G417" s="433"/>
      <c r="H417" s="129">
        <f>G417</f>
        <v>0</v>
      </c>
      <c r="I417" s="102"/>
    </row>
    <row r="418" spans="1:8" ht="18">
      <c r="A418" s="683"/>
      <c r="B418" s="853" t="s">
        <v>114</v>
      </c>
      <c r="C418" s="854"/>
      <c r="D418" s="123">
        <f>SUM(D419:D423)</f>
        <v>0</v>
      </c>
      <c r="E418" s="27">
        <f>SUM(E419:E423)</f>
        <v>0</v>
      </c>
      <c r="F418" s="61"/>
      <c r="G418" s="27">
        <f>SUM(G419:G423)</f>
        <v>0</v>
      </c>
      <c r="H418" s="130">
        <f>SUM(H419:H423)</f>
        <v>0</v>
      </c>
    </row>
    <row r="419" spans="1:8" ht="18">
      <c r="A419" s="683"/>
      <c r="B419" s="855" t="s">
        <v>124</v>
      </c>
      <c r="C419" s="856"/>
      <c r="D419" s="859"/>
      <c r="E419" s="54">
        <v>0</v>
      </c>
      <c r="F419" s="55">
        <v>1</v>
      </c>
      <c r="G419" s="53">
        <f>E419*F419</f>
        <v>0</v>
      </c>
      <c r="H419" s="131">
        <f>G419+D419</f>
        <v>0</v>
      </c>
    </row>
    <row r="420" spans="1:8" ht="18">
      <c r="A420" s="683"/>
      <c r="B420" s="855" t="s">
        <v>125</v>
      </c>
      <c r="C420" s="856"/>
      <c r="D420" s="122">
        <v>0</v>
      </c>
      <c r="E420" s="29">
        <v>0</v>
      </c>
      <c r="F420" s="30">
        <v>1</v>
      </c>
      <c r="G420" s="28">
        <f>E420*F420</f>
        <v>0</v>
      </c>
      <c r="H420" s="129">
        <f>G420+D420</f>
        <v>0</v>
      </c>
    </row>
    <row r="421" spans="1:8" ht="18">
      <c r="A421" s="683"/>
      <c r="B421" s="855" t="s">
        <v>126</v>
      </c>
      <c r="C421" s="856"/>
      <c r="D421" s="122"/>
      <c r="E421" s="29"/>
      <c r="F421" s="30"/>
      <c r="G421" s="28"/>
      <c r="H421" s="129"/>
    </row>
    <row r="422" spans="1:8" ht="18">
      <c r="A422" s="683"/>
      <c r="B422" s="855" t="s">
        <v>127</v>
      </c>
      <c r="C422" s="856"/>
      <c r="D422" s="122">
        <v>0</v>
      </c>
      <c r="E422" s="29">
        <v>0</v>
      </c>
      <c r="F422" s="30">
        <v>1</v>
      </c>
      <c r="G422" s="28">
        <f>E422*F422</f>
        <v>0</v>
      </c>
      <c r="H422" s="129">
        <f>G422+D422</f>
        <v>0</v>
      </c>
    </row>
    <row r="423" spans="1:8" ht="18">
      <c r="A423" s="683"/>
      <c r="B423" s="855" t="s">
        <v>128</v>
      </c>
      <c r="C423" s="856"/>
      <c r="D423" s="122">
        <v>0</v>
      </c>
      <c r="E423" s="54">
        <v>0</v>
      </c>
      <c r="F423" s="55">
        <v>1</v>
      </c>
      <c r="G423" s="53">
        <f>E423*F423</f>
        <v>0</v>
      </c>
      <c r="H423" s="131">
        <f>G423+D423</f>
        <v>0</v>
      </c>
    </row>
    <row r="424" spans="1:8" s="110" customFormat="1" ht="18" thickBot="1">
      <c r="A424" s="684"/>
      <c r="B424" s="857" t="s">
        <v>43</v>
      </c>
      <c r="C424" s="858"/>
      <c r="D424" s="125">
        <f>SUM(D342,D354,D418)</f>
        <v>63013554.00901744</v>
      </c>
      <c r="E424" s="107">
        <f>SUM(E418,E354,E342)</f>
        <v>85111.2</v>
      </c>
      <c r="F424" s="108"/>
      <c r="G424" s="109">
        <f>SUM(G418,G354,G342)</f>
        <v>12169791.2</v>
      </c>
      <c r="H424" s="132">
        <f>SUM(H418,H354,H342)</f>
        <v>63019009.37036884</v>
      </c>
    </row>
    <row r="425" spans="1:9" ht="15.75" customHeight="1" thickBot="1">
      <c r="A425" s="638"/>
      <c r="B425" s="669" t="s">
        <v>115</v>
      </c>
      <c r="C425" s="670"/>
      <c r="D425" s="123">
        <f>SUM(D435:D436,D433,D427:D431)</f>
        <v>62557606.52927334</v>
      </c>
      <c r="E425" s="27">
        <f>SUM(E435:E436,E433,E427:E431)</f>
        <v>0</v>
      </c>
      <c r="F425" s="61"/>
      <c r="G425" s="27">
        <f>SUM(G435:G436,G433,G427:G431)</f>
        <v>0</v>
      </c>
      <c r="H425" s="130">
        <f>SUM(H435:H436,H433,H427:H431)</f>
        <v>62557606.52927334</v>
      </c>
      <c r="I425" s="4" t="s">
        <v>185</v>
      </c>
    </row>
    <row r="426" spans="1:26" ht="15.75" customHeight="1" thickBot="1">
      <c r="A426" s="639"/>
      <c r="B426" s="657" t="s">
        <v>56</v>
      </c>
      <c r="C426" s="658"/>
      <c r="D426" s="654"/>
      <c r="E426" s="655"/>
      <c r="F426" s="655"/>
      <c r="G426" s="655"/>
      <c r="H426" s="656"/>
      <c r="I426" s="215" t="s">
        <v>356</v>
      </c>
      <c r="J426" s="216">
        <v>26</v>
      </c>
      <c r="K426" s="671"/>
      <c r="L426" s="671"/>
      <c r="M426" s="671"/>
      <c r="N426" s="167"/>
      <c r="O426" s="167"/>
      <c r="P426" s="167"/>
      <c r="Q426" s="167"/>
      <c r="R426" s="167"/>
      <c r="S426" s="167"/>
      <c r="T426" s="167"/>
      <c r="U426" s="167"/>
      <c r="V426" s="167"/>
      <c r="W426" s="167"/>
      <c r="X426" s="167"/>
      <c r="Y426" s="167"/>
      <c r="Z426" s="167"/>
    </row>
    <row r="427" spans="1:26" ht="18">
      <c r="A427" s="639"/>
      <c r="B427" s="834" t="s">
        <v>57</v>
      </c>
      <c r="C427" s="835"/>
      <c r="D427" s="859">
        <f>+M436</f>
        <v>58630384.62192968</v>
      </c>
      <c r="E427" s="29"/>
      <c r="F427" s="30"/>
      <c r="G427" s="28"/>
      <c r="H427" s="129">
        <f>G427+D427</f>
        <v>58630384.62192968</v>
      </c>
      <c r="K427" s="17" t="s">
        <v>360</v>
      </c>
      <c r="L427" s="169"/>
      <c r="M427" s="168"/>
      <c r="N427" s="170"/>
      <c r="O427" s="170"/>
      <c r="P427" s="167"/>
      <c r="Q427" s="167"/>
      <c r="R427" s="167"/>
      <c r="S427" s="167"/>
      <c r="T427" s="167"/>
      <c r="U427" s="167"/>
      <c r="V427" s="167"/>
      <c r="W427" s="167"/>
      <c r="X427" s="167"/>
      <c r="Y427" s="167"/>
      <c r="Z427" s="167"/>
    </row>
    <row r="428" spans="1:26" ht="18">
      <c r="A428" s="639"/>
      <c r="B428" s="834" t="s">
        <v>181</v>
      </c>
      <c r="C428" s="835"/>
      <c r="D428" s="859">
        <f>P428</f>
        <v>1037000</v>
      </c>
      <c r="E428" s="29">
        <v>0</v>
      </c>
      <c r="F428" s="30">
        <v>1</v>
      </c>
      <c r="G428" s="28">
        <f>E428*F428</f>
        <v>0</v>
      </c>
      <c r="H428" s="129">
        <f>G428+D428</f>
        <v>1037000</v>
      </c>
      <c r="K428" s="649" t="s">
        <v>372</v>
      </c>
      <c r="L428" s="649"/>
      <c r="M428" s="649"/>
      <c r="O428" s="217" t="s">
        <v>228</v>
      </c>
      <c r="P428" s="218">
        <f>'[1]EDUCACIONAL'!$BH$98</f>
        <v>1037000</v>
      </c>
      <c r="Q428" s="170"/>
      <c r="R428" s="167"/>
      <c r="S428" s="167"/>
      <c r="T428" s="167"/>
      <c r="U428" s="167"/>
      <c r="V428" s="167"/>
      <c r="W428" s="167"/>
      <c r="X428" s="167"/>
      <c r="Y428" s="167"/>
      <c r="Z428" s="167"/>
    </row>
    <row r="429" spans="1:26" ht="18">
      <c r="A429" s="639"/>
      <c r="B429" s="837" t="s">
        <v>58</v>
      </c>
      <c r="C429" s="838"/>
      <c r="D429" s="849">
        <v>200000</v>
      </c>
      <c r="E429" s="29">
        <v>0</v>
      </c>
      <c r="F429" s="30">
        <v>1</v>
      </c>
      <c r="G429" s="28">
        <f>E429*F429</f>
        <v>0</v>
      </c>
      <c r="H429" s="129">
        <f>G429+D429</f>
        <v>200000</v>
      </c>
      <c r="K429" s="219" t="s">
        <v>229</v>
      </c>
      <c r="L429" s="220">
        <v>2</v>
      </c>
      <c r="M429" s="218">
        <f>'[1]EDUCACIONAL'!$BL$98</f>
        <v>16118940.235008001</v>
      </c>
      <c r="O429" s="102"/>
      <c r="Q429" s="167"/>
      <c r="R429" s="167"/>
      <c r="S429" s="167"/>
      <c r="T429" s="167"/>
      <c r="U429" s="167"/>
      <c r="V429" s="167"/>
      <c r="W429" s="167"/>
      <c r="X429" s="167"/>
      <c r="Y429" s="167"/>
      <c r="Z429" s="167"/>
    </row>
    <row r="430" spans="1:26" ht="18">
      <c r="A430" s="639"/>
      <c r="B430" s="834" t="s">
        <v>59</v>
      </c>
      <c r="C430" s="835"/>
      <c r="D430" s="859">
        <f>P433</f>
        <v>2103918.061124362</v>
      </c>
      <c r="E430" s="29">
        <v>0</v>
      </c>
      <c r="F430" s="30">
        <v>1</v>
      </c>
      <c r="G430" s="28">
        <f>E430*F430</f>
        <v>0</v>
      </c>
      <c r="H430" s="129">
        <f>D430</f>
        <v>2103918.061124362</v>
      </c>
      <c r="K430" s="219" t="s">
        <v>230</v>
      </c>
      <c r="L430" s="220">
        <v>4</v>
      </c>
      <c r="M430" s="218">
        <f>'[1]EDUCACIONAL'!$BL$95</f>
        <v>27450180.910574734</v>
      </c>
      <c r="O430" s="649" t="s">
        <v>231</v>
      </c>
      <c r="P430" s="649"/>
      <c r="Q430" s="167"/>
      <c r="R430" s="167"/>
      <c r="S430" s="167"/>
      <c r="T430" s="167"/>
      <c r="U430" s="167"/>
      <c r="V430" s="167"/>
      <c r="W430" s="167"/>
      <c r="X430" s="167"/>
      <c r="Y430" s="167"/>
      <c r="Z430" s="167"/>
    </row>
    <row r="431" spans="1:26" ht="16.5" customHeight="1">
      <c r="A431" s="639"/>
      <c r="B431" s="834" t="s">
        <v>129</v>
      </c>
      <c r="C431" s="835"/>
      <c r="D431" s="122">
        <v>0</v>
      </c>
      <c r="E431" s="29">
        <v>0</v>
      </c>
      <c r="F431" s="30">
        <v>1</v>
      </c>
      <c r="G431" s="28">
        <f>E431*F431</f>
        <v>0</v>
      </c>
      <c r="H431" s="129">
        <f>G431+D431</f>
        <v>0</v>
      </c>
      <c r="K431" s="219" t="s">
        <v>232</v>
      </c>
      <c r="L431" s="220">
        <v>2</v>
      </c>
      <c r="M431" s="218">
        <f>'[1]EDUCACIONAL'!$BL$90</f>
        <v>11085641.39102592</v>
      </c>
      <c r="O431" s="221" t="s">
        <v>233</v>
      </c>
      <c r="P431" s="218">
        <f>'[1]EDUCACIONAL'!$BF$98</f>
        <v>1101264.5381243618</v>
      </c>
      <c r="Q431" s="170"/>
      <c r="R431" s="167"/>
      <c r="S431" s="167"/>
      <c r="T431" s="167"/>
      <c r="U431" s="167"/>
      <c r="V431" s="167"/>
      <c r="W431" s="167"/>
      <c r="X431" s="167"/>
      <c r="Y431" s="167"/>
      <c r="Z431" s="167"/>
    </row>
    <row r="432" spans="1:26" ht="14.25" customHeight="1">
      <c r="A432" s="639"/>
      <c r="B432" s="657" t="s">
        <v>60</v>
      </c>
      <c r="C432" s="658"/>
      <c r="D432" s="654"/>
      <c r="E432" s="655"/>
      <c r="F432" s="655"/>
      <c r="G432" s="655"/>
      <c r="H432" s="656"/>
      <c r="I432" s="21"/>
      <c r="K432" s="219" t="s">
        <v>234</v>
      </c>
      <c r="L432" s="220">
        <v>1</v>
      </c>
      <c r="M432" s="218">
        <f>'[1]EDUCACIONAL'!$BL$86</f>
        <v>3975622.0853210296</v>
      </c>
      <c r="O432" s="221" t="s">
        <v>235</v>
      </c>
      <c r="P432" s="218">
        <f>'[1]EDUCACIONAL'!$BG$98</f>
        <v>1002653.5230000002</v>
      </c>
      <c r="Q432" s="170"/>
      <c r="R432" s="167"/>
      <c r="S432" s="167"/>
      <c r="T432" s="167"/>
      <c r="U432" s="167"/>
      <c r="V432" s="167"/>
      <c r="W432" s="167"/>
      <c r="X432" s="167"/>
      <c r="Y432" s="167"/>
      <c r="Z432" s="167"/>
    </row>
    <row r="433" spans="1:26" ht="15.75" customHeight="1">
      <c r="A433" s="639"/>
      <c r="B433" s="834" t="s">
        <v>61</v>
      </c>
      <c r="C433" s="835"/>
      <c r="D433" s="122">
        <f>+D427*0.01</f>
        <v>586303.8462192968</v>
      </c>
      <c r="E433" s="29">
        <v>0</v>
      </c>
      <c r="F433" s="30">
        <v>1</v>
      </c>
      <c r="G433" s="28">
        <f>E433*F433</f>
        <v>0</v>
      </c>
      <c r="H433" s="129">
        <f>G433+D433</f>
        <v>586303.8462192968</v>
      </c>
      <c r="I433" s="1" t="s">
        <v>565</v>
      </c>
      <c r="K433" s="653" t="s">
        <v>236</v>
      </c>
      <c r="L433" s="653"/>
      <c r="M433" s="218">
        <v>0</v>
      </c>
      <c r="O433" s="222" t="s">
        <v>237</v>
      </c>
      <c r="P433" s="223">
        <f>P432+P431</f>
        <v>2103918.061124362</v>
      </c>
      <c r="Q433" s="170"/>
      <c r="R433" s="167"/>
      <c r="S433" s="167"/>
      <c r="T433" s="167"/>
      <c r="U433" s="167"/>
      <c r="V433" s="167"/>
      <c r="W433" s="167"/>
      <c r="X433" s="167"/>
      <c r="Y433" s="167"/>
      <c r="Z433" s="167"/>
    </row>
    <row r="434" spans="1:26" ht="13.5" customHeight="1">
      <c r="A434" s="639"/>
      <c r="B434" s="657" t="s">
        <v>62</v>
      </c>
      <c r="C434" s="658"/>
      <c r="D434" s="654"/>
      <c r="E434" s="655"/>
      <c r="F434" s="655"/>
      <c r="G434" s="655"/>
      <c r="H434" s="656"/>
      <c r="I434" s="21"/>
      <c r="K434" s="653" t="s">
        <v>238</v>
      </c>
      <c r="L434" s="653"/>
      <c r="M434" s="218">
        <f>SUM(M429:M432)</f>
        <v>58630384.62192968</v>
      </c>
      <c r="O434" s="105"/>
      <c r="P434" s="106"/>
      <c r="Q434" s="167"/>
      <c r="R434" s="167"/>
      <c r="S434" s="167"/>
      <c r="T434" s="167"/>
      <c r="U434" s="167"/>
      <c r="V434" s="167"/>
      <c r="W434" s="167"/>
      <c r="X434" s="167"/>
      <c r="Y434" s="167"/>
      <c r="Z434" s="167"/>
    </row>
    <row r="435" spans="1:26" ht="16.5" customHeight="1">
      <c r="A435" s="639"/>
      <c r="B435" s="839" t="s">
        <v>63</v>
      </c>
      <c r="C435" s="840"/>
      <c r="D435" s="122"/>
      <c r="E435" s="29">
        <v>0</v>
      </c>
      <c r="F435" s="30">
        <v>1</v>
      </c>
      <c r="G435" s="28">
        <f>E435*F435</f>
        <v>0</v>
      </c>
      <c r="H435" s="129"/>
      <c r="I435" s="138" t="s">
        <v>606</v>
      </c>
      <c r="K435" s="653" t="s">
        <v>239</v>
      </c>
      <c r="L435" s="653"/>
      <c r="M435" s="224"/>
      <c r="Q435" s="167"/>
      <c r="R435" s="167"/>
      <c r="S435" s="167"/>
      <c r="T435" s="167"/>
      <c r="U435" s="167"/>
      <c r="V435" s="167"/>
      <c r="W435" s="167"/>
      <c r="X435" s="167"/>
      <c r="Y435" s="167"/>
      <c r="Z435" s="167"/>
    </row>
    <row r="436" spans="1:26" ht="17.25" customHeight="1">
      <c r="A436" s="639"/>
      <c r="B436" s="841" t="s">
        <v>64</v>
      </c>
      <c r="C436" s="840"/>
      <c r="D436" s="122">
        <v>0</v>
      </c>
      <c r="E436" s="29">
        <v>0</v>
      </c>
      <c r="F436" s="30">
        <v>1</v>
      </c>
      <c r="G436" s="28">
        <f>E436*F436</f>
        <v>0</v>
      </c>
      <c r="H436" s="129">
        <f>G436+D436</f>
        <v>0</v>
      </c>
      <c r="I436" s="21"/>
      <c r="K436" s="650" t="s">
        <v>440</v>
      </c>
      <c r="L436" s="650"/>
      <c r="M436" s="223">
        <f>+M434</f>
        <v>58630384.62192968</v>
      </c>
      <c r="Q436" s="167"/>
      <c r="R436" s="167"/>
      <c r="S436" s="167"/>
      <c r="T436" s="167"/>
      <c r="U436" s="167"/>
      <c r="V436" s="167"/>
      <c r="W436" s="167"/>
      <c r="X436" s="167"/>
      <c r="Y436" s="167"/>
      <c r="Z436" s="167"/>
    </row>
    <row r="437" spans="1:26" ht="13.5" customHeight="1">
      <c r="A437" s="639"/>
      <c r="B437" s="672" t="s">
        <v>65</v>
      </c>
      <c r="C437" s="673"/>
      <c r="D437" s="123">
        <f>SUM(D439:D440,D442:D444,D446:D447,D449:D460,D462:D470,D472:D478,D480:D482,D484:D489,D491:D492,D494:D497,D499:D500)</f>
        <v>22854305.595599998</v>
      </c>
      <c r="E437" s="27">
        <f>SUM(E439:E440,E442:E444,E446:E447,E449:E460,E462:E470,E472:E478,E480:E482,E484:E489,E491:E492,E494:E497,E499:E500)</f>
        <v>91219</v>
      </c>
      <c r="F437" s="61"/>
      <c r="G437" s="27">
        <f>SUM(G439:G440,G442:G444,G446:G447,G449:G460,G462:G470,G472:G478,G480:G482,G484:G489,G491:G492,G494:G497,G499:G500)</f>
        <v>10867990</v>
      </c>
      <c r="H437" s="130">
        <f>SUM(H439:H440,H442:H444,H446:H447,H449:H460,H462:H470,H472:H478,H480:H482,H484:H489,H491:H492,H494:H497,H499:H500)</f>
        <v>22509736.6388</v>
      </c>
      <c r="I437" s="21"/>
      <c r="K437" s="39"/>
      <c r="L437" s="39"/>
      <c r="M437" s="39"/>
      <c r="N437" s="167"/>
      <c r="O437" s="167"/>
      <c r="P437" s="167"/>
      <c r="Q437" s="167"/>
      <c r="R437" s="167"/>
      <c r="S437" s="167"/>
      <c r="T437" s="167"/>
      <c r="U437" s="167"/>
      <c r="V437" s="167"/>
      <c r="W437" s="167"/>
      <c r="X437" s="167"/>
      <c r="Y437" s="167"/>
      <c r="Z437" s="167"/>
    </row>
    <row r="438" spans="1:26" ht="16.5" customHeight="1">
      <c r="A438" s="639"/>
      <c r="B438" s="842" t="s">
        <v>66</v>
      </c>
      <c r="C438" s="843"/>
      <c r="D438" s="654"/>
      <c r="E438" s="655"/>
      <c r="F438" s="655"/>
      <c r="G438" s="655"/>
      <c r="H438" s="656"/>
      <c r="I438" s="21"/>
      <c r="K438" s="173"/>
      <c r="L438" s="174"/>
      <c r="M438" s="173"/>
      <c r="N438" s="167"/>
      <c r="O438" s="167"/>
      <c r="P438" s="167"/>
      <c r="Q438" s="167"/>
      <c r="R438" s="167"/>
      <c r="S438" s="167"/>
      <c r="T438" s="167"/>
      <c r="U438" s="167"/>
      <c r="V438" s="167"/>
      <c r="W438" s="167"/>
      <c r="X438" s="167"/>
      <c r="Y438" s="167"/>
      <c r="Z438" s="167"/>
    </row>
    <row r="439" spans="1:26" ht="15.75" customHeight="1">
      <c r="A439" s="639"/>
      <c r="B439" s="837" t="s">
        <v>67</v>
      </c>
      <c r="C439" s="838"/>
      <c r="D439" s="122">
        <v>5195190</v>
      </c>
      <c r="E439" s="29">
        <v>1680</v>
      </c>
      <c r="F439" s="30">
        <f>13*21*11</f>
        <v>3003</v>
      </c>
      <c r="G439" s="28">
        <f>E439*F439</f>
        <v>5045040</v>
      </c>
      <c r="H439" s="129">
        <f>G439</f>
        <v>5045040</v>
      </c>
      <c r="I439" s="431" t="s">
        <v>508</v>
      </c>
      <c r="K439" s="173"/>
      <c r="L439" s="442"/>
      <c r="M439" s="173"/>
      <c r="N439" s="167"/>
      <c r="O439" s="167"/>
      <c r="P439" s="167"/>
      <c r="Q439" s="167"/>
      <c r="R439" s="167"/>
      <c r="S439" s="167"/>
      <c r="T439" s="167"/>
      <c r="U439" s="167"/>
      <c r="V439" s="167"/>
      <c r="W439" s="167"/>
      <c r="X439" s="167"/>
      <c r="Y439" s="167"/>
      <c r="Z439" s="167"/>
    </row>
    <row r="440" spans="1:16" ht="14.25" customHeight="1">
      <c r="A440" s="639"/>
      <c r="B440" s="847" t="s">
        <v>117</v>
      </c>
      <c r="C440" s="848"/>
      <c r="D440" s="122">
        <v>4983660</v>
      </c>
      <c r="E440" s="29">
        <v>839</v>
      </c>
      <c r="F440" s="30">
        <f>26*11*20</f>
        <v>5720</v>
      </c>
      <c r="G440" s="28">
        <f>E440*F440</f>
        <v>4799080</v>
      </c>
      <c r="H440" s="129">
        <f>G440</f>
        <v>4799080</v>
      </c>
      <c r="I440" s="438" t="s">
        <v>528</v>
      </c>
      <c r="L440" s="498" t="s">
        <v>581</v>
      </c>
      <c r="M440" s="498"/>
      <c r="N440" s="498" t="s">
        <v>601</v>
      </c>
      <c r="O440" s="504" t="s">
        <v>602</v>
      </c>
      <c r="P440" s="498" t="s">
        <v>603</v>
      </c>
    </row>
    <row r="441" spans="1:17" ht="15" customHeight="1">
      <c r="A441" s="639"/>
      <c r="B441" s="842" t="s">
        <v>68</v>
      </c>
      <c r="C441" s="843"/>
      <c r="D441" s="654"/>
      <c r="E441" s="655"/>
      <c r="F441" s="655"/>
      <c r="G441" s="655"/>
      <c r="H441" s="656"/>
      <c r="I441" s="21"/>
      <c r="J441" s="119"/>
      <c r="L441" s="504" t="s">
        <v>130</v>
      </c>
      <c r="M441" s="498">
        <v>1369213.3199999998</v>
      </c>
      <c r="N441" s="498">
        <v>410763.9959999999</v>
      </c>
      <c r="O441" s="504">
        <v>821527.9919999999</v>
      </c>
      <c r="P441" s="498">
        <v>136921.332</v>
      </c>
      <c r="Q441" s="517"/>
    </row>
    <row r="442" spans="1:17" ht="15" customHeight="1">
      <c r="A442" s="639"/>
      <c r="B442" s="834" t="s">
        <v>116</v>
      </c>
      <c r="C442" s="835"/>
      <c r="D442" s="870"/>
      <c r="E442" s="29"/>
      <c r="F442" s="30"/>
      <c r="G442" s="28"/>
      <c r="H442" s="129">
        <f>+G442+D442</f>
        <v>0</v>
      </c>
      <c r="I442" s="21"/>
      <c r="L442" s="504" t="s">
        <v>40</v>
      </c>
      <c r="M442" s="498">
        <v>1229118.768</v>
      </c>
      <c r="N442" s="498">
        <v>368735.63039999997</v>
      </c>
      <c r="O442" s="504">
        <v>737471.2607999999</v>
      </c>
      <c r="P442" s="498">
        <v>122911.8768</v>
      </c>
      <c r="Q442" s="517"/>
    </row>
    <row r="443" spans="1:17" ht="15" customHeight="1">
      <c r="A443" s="639"/>
      <c r="B443" s="834" t="s">
        <v>69</v>
      </c>
      <c r="C443" s="835"/>
      <c r="D443" s="122">
        <f>G443</f>
        <v>113940</v>
      </c>
      <c r="E443" s="29">
        <v>18990</v>
      </c>
      <c r="F443" s="30">
        <v>6</v>
      </c>
      <c r="G443" s="28">
        <f>+E443*F443</f>
        <v>113940</v>
      </c>
      <c r="H443" s="129">
        <f>G443</f>
        <v>113940</v>
      </c>
      <c r="I443" s="21" t="s">
        <v>607</v>
      </c>
      <c r="L443" s="504" t="s">
        <v>41</v>
      </c>
      <c r="M443" s="498">
        <v>2936037.36</v>
      </c>
      <c r="N443" s="498">
        <v>880811.208</v>
      </c>
      <c r="O443" s="504">
        <v>1761622.416</v>
      </c>
      <c r="P443" s="498">
        <v>293603.736</v>
      </c>
      <c r="Q443" s="517"/>
    </row>
    <row r="444" spans="1:17" ht="16.5" customHeight="1">
      <c r="A444" s="639"/>
      <c r="B444" s="834" t="s">
        <v>70</v>
      </c>
      <c r="C444" s="835"/>
      <c r="D444" s="122">
        <v>40220</v>
      </c>
      <c r="E444" s="29">
        <v>20110</v>
      </c>
      <c r="F444" s="30">
        <v>3</v>
      </c>
      <c r="G444" s="28">
        <f>E444*F444</f>
        <v>60330</v>
      </c>
      <c r="H444" s="129">
        <f>G444</f>
        <v>60330</v>
      </c>
      <c r="I444" s="21" t="s">
        <v>431</v>
      </c>
      <c r="L444" s="498" t="s">
        <v>83</v>
      </c>
      <c r="M444" s="498">
        <v>0</v>
      </c>
      <c r="N444" s="498">
        <v>0</v>
      </c>
      <c r="O444" s="504"/>
      <c r="P444" s="498"/>
      <c r="Q444" s="517"/>
    </row>
    <row r="445" spans="1:17" ht="14.25" customHeight="1">
      <c r="A445" s="639"/>
      <c r="B445" s="842" t="s">
        <v>71</v>
      </c>
      <c r="C445" s="843"/>
      <c r="D445" s="666"/>
      <c r="E445" s="667"/>
      <c r="F445" s="667"/>
      <c r="G445" s="667"/>
      <c r="H445" s="668"/>
      <c r="L445" s="504" t="s">
        <v>84</v>
      </c>
      <c r="M445" s="498">
        <v>390554.93999999994</v>
      </c>
      <c r="N445" s="498">
        <v>117166.48199999999</v>
      </c>
      <c r="O445" s="504">
        <v>234332.96399999998</v>
      </c>
      <c r="P445" s="498">
        <v>39055.49399999999</v>
      </c>
      <c r="Q445" s="517"/>
    </row>
    <row r="446" spans="1:17" ht="16.5" customHeight="1">
      <c r="A446" s="639"/>
      <c r="B446" s="837" t="s">
        <v>72</v>
      </c>
      <c r="C446" s="838"/>
      <c r="D446" s="122">
        <v>0</v>
      </c>
      <c r="E446" s="29">
        <v>0</v>
      </c>
      <c r="F446" s="30">
        <v>1</v>
      </c>
      <c r="G446" s="28">
        <f>E446*F446</f>
        <v>0</v>
      </c>
      <c r="H446" s="129">
        <f>G446+D446</f>
        <v>0</v>
      </c>
      <c r="K446" s="871"/>
      <c r="L446" s="498" t="s">
        <v>85</v>
      </c>
      <c r="M446" s="498">
        <v>0</v>
      </c>
      <c r="N446" s="498"/>
      <c r="O446" s="504"/>
      <c r="P446" s="498"/>
      <c r="Q446" s="517"/>
    </row>
    <row r="447" spans="1:17" ht="18">
      <c r="A447" s="639"/>
      <c r="B447" s="834" t="s">
        <v>73</v>
      </c>
      <c r="C447" s="835"/>
      <c r="D447" s="122">
        <v>0</v>
      </c>
      <c r="E447" s="29">
        <v>0</v>
      </c>
      <c r="F447" s="30">
        <v>1</v>
      </c>
      <c r="G447" s="28">
        <f>E447*F447</f>
        <v>0</v>
      </c>
      <c r="H447" s="129">
        <f>G447+D447</f>
        <v>0</v>
      </c>
      <c r="K447" s="871"/>
      <c r="L447" s="504" t="s">
        <v>86</v>
      </c>
      <c r="M447" s="498">
        <v>372697.8</v>
      </c>
      <c r="N447" s="498">
        <v>111809.34</v>
      </c>
      <c r="O447" s="504">
        <v>223618.68</v>
      </c>
      <c r="P447" s="498">
        <v>37269.78</v>
      </c>
      <c r="Q447" s="517"/>
    </row>
    <row r="448" spans="1:17" ht="16.5" customHeight="1">
      <c r="A448" s="639"/>
      <c r="B448" s="842" t="s">
        <v>74</v>
      </c>
      <c r="C448" s="843"/>
      <c r="D448" s="654"/>
      <c r="E448" s="655"/>
      <c r="F448" s="655"/>
      <c r="G448" s="655"/>
      <c r="H448" s="656"/>
      <c r="K448" s="871"/>
      <c r="L448" s="504" t="s">
        <v>610</v>
      </c>
      <c r="M448" s="498">
        <v>477571.68399999995</v>
      </c>
      <c r="N448" s="498">
        <v>143271.50519999999</v>
      </c>
      <c r="O448" s="504">
        <v>286543.01039999997</v>
      </c>
      <c r="P448" s="498">
        <v>47757.168399999995</v>
      </c>
      <c r="Q448" s="517"/>
    </row>
    <row r="449" spans="1:17" ht="18">
      <c r="A449" s="639"/>
      <c r="B449" s="837" t="s">
        <v>176</v>
      </c>
      <c r="C449" s="838"/>
      <c r="D449" s="849">
        <f>O448</f>
        <v>286543.01039999997</v>
      </c>
      <c r="E449" s="29"/>
      <c r="F449" s="30"/>
      <c r="G449" s="28"/>
      <c r="H449" s="129">
        <f>D449</f>
        <v>286543.01039999997</v>
      </c>
      <c r="I449" s="1" t="s">
        <v>432</v>
      </c>
      <c r="K449" s="871"/>
      <c r="L449" s="504" t="s">
        <v>608</v>
      </c>
      <c r="M449" s="498">
        <v>829599.9999999999</v>
      </c>
      <c r="N449" s="498">
        <v>248879.99999999997</v>
      </c>
      <c r="O449" s="504">
        <v>497759.99999999994</v>
      </c>
      <c r="P449" s="498">
        <v>82959.99999999999</v>
      </c>
      <c r="Q449" s="517"/>
    </row>
    <row r="450" spans="1:17" ht="18">
      <c r="A450" s="639"/>
      <c r="B450" s="837" t="s">
        <v>75</v>
      </c>
      <c r="C450" s="838"/>
      <c r="D450" s="849">
        <f>O449</f>
        <v>497759.99999999994</v>
      </c>
      <c r="E450" s="29">
        <v>0</v>
      </c>
      <c r="F450" s="30">
        <v>1</v>
      </c>
      <c r="G450" s="28">
        <f aca="true" t="shared" si="32" ref="G450:G459">E450*F450</f>
        <v>0</v>
      </c>
      <c r="H450" s="129">
        <f aca="true" t="shared" si="33" ref="H450:H460">D450</f>
        <v>497759.99999999994</v>
      </c>
      <c r="I450" s="139" t="s">
        <v>433</v>
      </c>
      <c r="K450" s="871"/>
      <c r="L450" s="504" t="s">
        <v>609</v>
      </c>
      <c r="M450" s="498">
        <v>645221.3999999999</v>
      </c>
      <c r="N450" s="498">
        <v>193566.41999999995</v>
      </c>
      <c r="O450" s="504">
        <v>387132.8399999999</v>
      </c>
      <c r="P450" s="498">
        <v>64522.13999999999</v>
      </c>
      <c r="Q450" s="517"/>
    </row>
    <row r="451" spans="1:17" ht="18">
      <c r="A451" s="639"/>
      <c r="B451" s="837" t="s">
        <v>131</v>
      </c>
      <c r="C451" s="838"/>
      <c r="D451" s="122">
        <f>O450</f>
        <v>387132.8399999999</v>
      </c>
      <c r="E451" s="29">
        <v>40000</v>
      </c>
      <c r="F451" s="30">
        <v>15</v>
      </c>
      <c r="G451" s="28">
        <f t="shared" si="32"/>
        <v>600000</v>
      </c>
      <c r="H451" s="129">
        <f t="shared" si="33"/>
        <v>387132.8399999999</v>
      </c>
      <c r="K451" s="871"/>
      <c r="L451" s="504" t="s">
        <v>611</v>
      </c>
      <c r="M451" s="498">
        <v>56412.799999999996</v>
      </c>
      <c r="N451" s="498">
        <v>16923.839999999997</v>
      </c>
      <c r="O451" s="504">
        <v>33847.67999999999</v>
      </c>
      <c r="P451" s="498">
        <v>5641.28</v>
      </c>
      <c r="Q451" s="517"/>
    </row>
    <row r="452" spans="1:17" ht="18">
      <c r="A452" s="639"/>
      <c r="B452" s="837" t="s">
        <v>76</v>
      </c>
      <c r="C452" s="838"/>
      <c r="D452" s="849">
        <f>O451</f>
        <v>33847.67999999999</v>
      </c>
      <c r="E452" s="29">
        <v>0</v>
      </c>
      <c r="F452" s="30">
        <v>1</v>
      </c>
      <c r="G452" s="28">
        <f t="shared" si="32"/>
        <v>0</v>
      </c>
      <c r="H452" s="129">
        <f t="shared" si="33"/>
        <v>33847.67999999999</v>
      </c>
      <c r="I452" s="145"/>
      <c r="K452" s="314"/>
      <c r="L452" s="504" t="s">
        <v>612</v>
      </c>
      <c r="M452" s="498">
        <v>259592.21</v>
      </c>
      <c r="N452" s="498">
        <v>77877.663</v>
      </c>
      <c r="O452" s="504">
        <v>155755.326</v>
      </c>
      <c r="P452" s="498">
        <v>25959.221</v>
      </c>
      <c r="Q452" s="517"/>
    </row>
    <row r="453" spans="1:17" ht="18">
      <c r="A453" s="639"/>
      <c r="B453" s="837" t="s">
        <v>77</v>
      </c>
      <c r="C453" s="838"/>
      <c r="D453" s="849">
        <v>0</v>
      </c>
      <c r="E453" s="29">
        <v>0</v>
      </c>
      <c r="F453" s="30">
        <v>1</v>
      </c>
      <c r="G453" s="28">
        <f t="shared" si="32"/>
        <v>0</v>
      </c>
      <c r="H453" s="129">
        <f t="shared" si="33"/>
        <v>0</v>
      </c>
      <c r="L453" s="504" t="s">
        <v>613</v>
      </c>
      <c r="M453" s="498">
        <v>198461.06</v>
      </c>
      <c r="N453" s="498">
        <v>59538.318</v>
      </c>
      <c r="O453" s="504">
        <v>119076.636</v>
      </c>
      <c r="P453" s="498">
        <v>19846.106</v>
      </c>
      <c r="Q453" s="517"/>
    </row>
    <row r="454" spans="1:17" ht="18">
      <c r="A454" s="639"/>
      <c r="B454" s="837" t="s">
        <v>78</v>
      </c>
      <c r="C454" s="838"/>
      <c r="D454" s="849">
        <f>O452</f>
        <v>155755.326</v>
      </c>
      <c r="E454" s="29">
        <v>0</v>
      </c>
      <c r="F454" s="30">
        <v>1</v>
      </c>
      <c r="G454" s="28">
        <f t="shared" si="32"/>
        <v>0</v>
      </c>
      <c r="H454" s="129">
        <f t="shared" si="33"/>
        <v>155755.326</v>
      </c>
      <c r="L454" s="504" t="s">
        <v>614</v>
      </c>
      <c r="M454" s="498">
        <v>223890.37399999998</v>
      </c>
      <c r="N454" s="498">
        <v>67167.1122</v>
      </c>
      <c r="O454" s="504">
        <v>134334.2244</v>
      </c>
      <c r="P454" s="498">
        <v>22389.037399999997</v>
      </c>
      <c r="Q454" s="517"/>
    </row>
    <row r="455" spans="1:17" ht="18">
      <c r="A455" s="639"/>
      <c r="B455" s="837" t="s">
        <v>118</v>
      </c>
      <c r="C455" s="838"/>
      <c r="D455" s="122"/>
      <c r="E455" s="29">
        <v>0</v>
      </c>
      <c r="F455" s="30">
        <v>1</v>
      </c>
      <c r="G455" s="28">
        <f t="shared" si="32"/>
        <v>0</v>
      </c>
      <c r="H455" s="129">
        <f t="shared" si="33"/>
        <v>0</v>
      </c>
      <c r="I455" s="102"/>
      <c r="L455" s="504" t="s">
        <v>615</v>
      </c>
      <c r="M455" s="498">
        <v>269795.25299999997</v>
      </c>
      <c r="N455" s="498">
        <v>80938.5759</v>
      </c>
      <c r="O455" s="504">
        <v>161877.1518</v>
      </c>
      <c r="P455" s="498">
        <v>26979.525299999998</v>
      </c>
      <c r="Q455" s="517"/>
    </row>
    <row r="456" spans="1:17" ht="18">
      <c r="A456" s="639"/>
      <c r="B456" s="837" t="s">
        <v>123</v>
      </c>
      <c r="C456" s="838"/>
      <c r="D456" s="849">
        <f>O453</f>
        <v>119076.636</v>
      </c>
      <c r="E456" s="29"/>
      <c r="F456" s="30"/>
      <c r="G456" s="28"/>
      <c r="H456" s="129">
        <f t="shared" si="33"/>
        <v>119076.636</v>
      </c>
      <c r="L456" s="504" t="s">
        <v>616</v>
      </c>
      <c r="M456" s="498">
        <v>180455.629</v>
      </c>
      <c r="N456" s="498">
        <v>54136.68869999999</v>
      </c>
      <c r="O456" s="504">
        <v>108273.37739999998</v>
      </c>
      <c r="P456" s="498">
        <v>18045.562899999997</v>
      </c>
      <c r="Q456" s="517"/>
    </row>
    <row r="457" spans="1:17" ht="18">
      <c r="A457" s="639"/>
      <c r="B457" s="837" t="s">
        <v>79</v>
      </c>
      <c r="C457" s="838"/>
      <c r="D457" s="849">
        <f>O454</f>
        <v>134334.2244</v>
      </c>
      <c r="E457" s="29">
        <v>0</v>
      </c>
      <c r="F457" s="30">
        <v>1</v>
      </c>
      <c r="G457" s="28">
        <f t="shared" si="32"/>
        <v>0</v>
      </c>
      <c r="H457" s="129">
        <f t="shared" si="33"/>
        <v>134334.2244</v>
      </c>
      <c r="I457" s="139"/>
      <c r="L457" s="504" t="s">
        <v>617</v>
      </c>
      <c r="M457" s="498">
        <v>414799.99999999994</v>
      </c>
      <c r="N457" s="498">
        <v>124439.99999999999</v>
      </c>
      <c r="O457" s="504">
        <v>248879.99999999997</v>
      </c>
      <c r="P457" s="498">
        <v>41479.99999999999</v>
      </c>
      <c r="Q457" s="517"/>
    </row>
    <row r="458" spans="1:17" ht="18">
      <c r="A458" s="639"/>
      <c r="B458" s="837" t="s">
        <v>80</v>
      </c>
      <c r="C458" s="838"/>
      <c r="D458" s="849">
        <f>O455</f>
        <v>161877.1518</v>
      </c>
      <c r="E458" s="29">
        <v>0</v>
      </c>
      <c r="F458" s="30">
        <v>1</v>
      </c>
      <c r="G458" s="28">
        <f t="shared" si="32"/>
        <v>0</v>
      </c>
      <c r="H458" s="129">
        <f t="shared" si="33"/>
        <v>161877.1518</v>
      </c>
      <c r="L458" s="504" t="s">
        <v>618</v>
      </c>
      <c r="M458" s="498">
        <v>1249585</v>
      </c>
      <c r="N458" s="498">
        <v>374875.5</v>
      </c>
      <c r="O458" s="504">
        <v>749751</v>
      </c>
      <c r="P458" s="498">
        <v>124958.5</v>
      </c>
      <c r="Q458" s="517"/>
    </row>
    <row r="459" spans="1:17" ht="25.5" customHeight="1">
      <c r="A459" s="639"/>
      <c r="B459" s="837" t="s">
        <v>81</v>
      </c>
      <c r="C459" s="838"/>
      <c r="D459" s="849">
        <f>O456</f>
        <v>108273.37739999998</v>
      </c>
      <c r="E459" s="29">
        <v>0</v>
      </c>
      <c r="F459" s="30">
        <v>1</v>
      </c>
      <c r="G459" s="28">
        <f t="shared" si="32"/>
        <v>0</v>
      </c>
      <c r="H459" s="129">
        <f t="shared" si="33"/>
        <v>108273.37739999998</v>
      </c>
      <c r="K459" s="4"/>
      <c r="L459" s="504" t="s">
        <v>619</v>
      </c>
      <c r="M459" s="498">
        <v>1585514.9279999998</v>
      </c>
      <c r="N459" s="498">
        <v>475654.47839999996</v>
      </c>
      <c r="O459" s="504">
        <v>951308.9567999999</v>
      </c>
      <c r="P459" s="498">
        <v>158551.49279999998</v>
      </c>
      <c r="Q459" s="517"/>
    </row>
    <row r="460" spans="1:17" ht="18">
      <c r="A460" s="639"/>
      <c r="B460" s="837" t="s">
        <v>119</v>
      </c>
      <c r="C460" s="838"/>
      <c r="D460" s="122"/>
      <c r="E460" s="29"/>
      <c r="F460" s="30"/>
      <c r="G460" s="28"/>
      <c r="H460" s="129">
        <f t="shared" si="33"/>
        <v>0</v>
      </c>
      <c r="K460" s="4"/>
      <c r="L460" s="504" t="s">
        <v>620</v>
      </c>
      <c r="M460" s="498">
        <v>960353.2559999999</v>
      </c>
      <c r="N460" s="498">
        <v>288105.9768</v>
      </c>
      <c r="O460" s="504">
        <v>576211.9536</v>
      </c>
      <c r="P460" s="498">
        <v>96035.32559999998</v>
      </c>
      <c r="Q460" s="517"/>
    </row>
    <row r="461" spans="1:17" s="4" customFormat="1" ht="18">
      <c r="A461" s="639"/>
      <c r="B461" s="842" t="s">
        <v>82</v>
      </c>
      <c r="C461" s="843"/>
      <c r="D461" s="654"/>
      <c r="E461" s="655"/>
      <c r="F461" s="655"/>
      <c r="G461" s="655"/>
      <c r="H461" s="656"/>
      <c r="J461" s="705"/>
      <c r="K461" s="705"/>
      <c r="L461" s="497" t="s">
        <v>621</v>
      </c>
      <c r="M461" s="503">
        <v>506972.708</v>
      </c>
      <c r="N461" s="498">
        <v>152091.8124</v>
      </c>
      <c r="O461" s="504">
        <v>304183.6248</v>
      </c>
      <c r="P461" s="498">
        <v>50697.2708</v>
      </c>
      <c r="Q461" s="517"/>
    </row>
    <row r="462" spans="1:17" s="4" customFormat="1" ht="18">
      <c r="A462" s="639"/>
      <c r="B462" s="834" t="s">
        <v>130</v>
      </c>
      <c r="C462" s="835"/>
      <c r="D462" s="849">
        <f>O441</f>
        <v>821527.9919999999</v>
      </c>
      <c r="E462" s="29">
        <v>0</v>
      </c>
      <c r="F462" s="31">
        <v>1</v>
      </c>
      <c r="G462" s="28">
        <f>E462*F462</f>
        <v>0</v>
      </c>
      <c r="H462" s="129">
        <f>D462</f>
        <v>821527.9919999999</v>
      </c>
      <c r="J462" s="500"/>
      <c r="K462" s="500"/>
      <c r="L462" s="497" t="s">
        <v>622</v>
      </c>
      <c r="M462" s="498">
        <v>325024.83599999995</v>
      </c>
      <c r="N462" s="498">
        <v>97507.45079999998</v>
      </c>
      <c r="O462" s="504">
        <v>195014.90159999995</v>
      </c>
      <c r="P462" s="498">
        <v>32502.483599999992</v>
      </c>
      <c r="Q462" s="517"/>
    </row>
    <row r="463" spans="1:17" ht="18">
      <c r="A463" s="639"/>
      <c r="B463" s="834" t="s">
        <v>40</v>
      </c>
      <c r="C463" s="835"/>
      <c r="D463" s="849">
        <f>O442</f>
        <v>737471.2607999999</v>
      </c>
      <c r="E463" s="29">
        <v>0</v>
      </c>
      <c r="F463" s="30">
        <v>1</v>
      </c>
      <c r="G463" s="28">
        <f aca="true" t="shared" si="34" ref="G463:G470">E463*F463</f>
        <v>0</v>
      </c>
      <c r="H463" s="129">
        <f aca="true" t="shared" si="35" ref="H463:H470">D463</f>
        <v>737471.2607999999</v>
      </c>
      <c r="I463" s="4"/>
      <c r="J463" s="500"/>
      <c r="K463" s="500"/>
      <c r="L463" s="499" t="s">
        <v>623</v>
      </c>
      <c r="M463" s="498">
        <v>718496</v>
      </c>
      <c r="N463" s="498">
        <v>215548.8</v>
      </c>
      <c r="O463" s="504">
        <v>431097.6</v>
      </c>
      <c r="P463" s="498">
        <v>71849.6</v>
      </c>
      <c r="Q463" s="517"/>
    </row>
    <row r="464" spans="1:17" ht="18">
      <c r="A464" s="639"/>
      <c r="B464" s="834" t="s">
        <v>41</v>
      </c>
      <c r="C464" s="835"/>
      <c r="D464" s="849">
        <f>O443</f>
        <v>1761622.416</v>
      </c>
      <c r="E464" s="29">
        <v>0</v>
      </c>
      <c r="F464" s="30">
        <v>1</v>
      </c>
      <c r="G464" s="28">
        <f t="shared" si="34"/>
        <v>0</v>
      </c>
      <c r="H464" s="129">
        <f t="shared" si="35"/>
        <v>1761622.416</v>
      </c>
      <c r="I464" s="4"/>
      <c r="J464" s="500"/>
      <c r="K464" s="500"/>
      <c r="L464" s="497" t="s">
        <v>624</v>
      </c>
      <c r="M464" s="498">
        <v>226696</v>
      </c>
      <c r="N464" s="498">
        <v>68008.8</v>
      </c>
      <c r="O464" s="504">
        <v>136017.6</v>
      </c>
      <c r="P464" s="498">
        <v>22669.6</v>
      </c>
      <c r="Q464" s="517"/>
    </row>
    <row r="465" spans="1:16" ht="18">
      <c r="A465" s="639"/>
      <c r="B465" s="834" t="s">
        <v>83</v>
      </c>
      <c r="C465" s="835"/>
      <c r="D465" s="122"/>
      <c r="E465" s="29">
        <v>0</v>
      </c>
      <c r="F465" s="30">
        <v>1</v>
      </c>
      <c r="G465" s="28">
        <f t="shared" si="34"/>
        <v>0</v>
      </c>
      <c r="H465" s="129">
        <f t="shared" si="35"/>
        <v>0</v>
      </c>
      <c r="I465" s="102"/>
      <c r="J465" s="500"/>
      <c r="K465" s="500"/>
      <c r="L465" s="1" t="s">
        <v>632</v>
      </c>
      <c r="M465" s="1">
        <v>1633155</v>
      </c>
      <c r="N465" s="498">
        <v>489946.5</v>
      </c>
      <c r="O465" s="504">
        <v>979893</v>
      </c>
      <c r="P465" s="498">
        <v>163315.5</v>
      </c>
    </row>
    <row r="466" spans="1:16" ht="18">
      <c r="A466" s="639"/>
      <c r="B466" s="834" t="s">
        <v>84</v>
      </c>
      <c r="C466" s="835"/>
      <c r="D466" s="849">
        <f>O445</f>
        <v>234332.96399999998</v>
      </c>
      <c r="E466" s="29">
        <v>0</v>
      </c>
      <c r="F466" s="30">
        <v>1</v>
      </c>
      <c r="G466" s="28">
        <f t="shared" si="34"/>
        <v>0</v>
      </c>
      <c r="H466" s="129">
        <f t="shared" si="35"/>
        <v>234332.96399999998</v>
      </c>
      <c r="I466" s="4"/>
      <c r="J466" s="500"/>
      <c r="K466" s="500"/>
      <c r="L466" s="500" t="s">
        <v>633</v>
      </c>
      <c r="M466" s="500">
        <v>3384000</v>
      </c>
      <c r="N466" s="1">
        <v>1015200</v>
      </c>
      <c r="O466" s="1">
        <v>2030400</v>
      </c>
      <c r="P466" s="1">
        <v>338400</v>
      </c>
    </row>
    <row r="467" spans="1:13" ht="18">
      <c r="A467" s="639"/>
      <c r="B467" s="834" t="s">
        <v>85</v>
      </c>
      <c r="C467" s="835"/>
      <c r="D467" s="122"/>
      <c r="E467" s="29">
        <v>0</v>
      </c>
      <c r="F467" s="30">
        <v>1</v>
      </c>
      <c r="G467" s="28">
        <f t="shared" si="34"/>
        <v>0</v>
      </c>
      <c r="H467" s="129">
        <f t="shared" si="35"/>
        <v>0</v>
      </c>
      <c r="I467" s="4"/>
      <c r="J467" s="500"/>
      <c r="K467" s="501"/>
      <c r="L467" s="500"/>
      <c r="M467" s="500"/>
    </row>
    <row r="468" spans="1:13" ht="18">
      <c r="A468" s="639"/>
      <c r="B468" s="834" t="s">
        <v>86</v>
      </c>
      <c r="C468" s="835"/>
      <c r="D468" s="122">
        <f>O447</f>
        <v>223618.68</v>
      </c>
      <c r="E468" s="29">
        <v>0</v>
      </c>
      <c r="F468" s="30">
        <v>1</v>
      </c>
      <c r="G468" s="28">
        <f t="shared" si="34"/>
        <v>0</v>
      </c>
      <c r="H468" s="129">
        <f t="shared" si="35"/>
        <v>223618.68</v>
      </c>
      <c r="I468" s="4"/>
      <c r="J468" s="500"/>
      <c r="K468" s="500"/>
      <c r="L468" s="500"/>
      <c r="M468" s="500"/>
    </row>
    <row r="469" spans="1:13" ht="18">
      <c r="A469" s="639"/>
      <c r="B469" s="834" t="s">
        <v>87</v>
      </c>
      <c r="C469" s="835"/>
      <c r="D469" s="122">
        <v>0</v>
      </c>
      <c r="E469" s="29">
        <v>0</v>
      </c>
      <c r="F469" s="30">
        <v>1</v>
      </c>
      <c r="G469" s="28">
        <f t="shared" si="34"/>
        <v>0</v>
      </c>
      <c r="H469" s="129">
        <f t="shared" si="35"/>
        <v>0</v>
      </c>
      <c r="J469" s="20"/>
      <c r="K469" s="20"/>
      <c r="L469" s="20"/>
      <c r="M469" s="20"/>
    </row>
    <row r="470" spans="1:13" ht="18">
      <c r="A470" s="639"/>
      <c r="B470" s="834" t="s">
        <v>88</v>
      </c>
      <c r="C470" s="835"/>
      <c r="D470" s="122">
        <v>0</v>
      </c>
      <c r="E470" s="29">
        <v>0</v>
      </c>
      <c r="F470" s="30">
        <v>1</v>
      </c>
      <c r="G470" s="28">
        <f t="shared" si="34"/>
        <v>0</v>
      </c>
      <c r="H470" s="129">
        <f t="shared" si="35"/>
        <v>0</v>
      </c>
      <c r="J470" s="20"/>
      <c r="K470" s="502"/>
      <c r="L470" s="502"/>
      <c r="M470" s="502"/>
    </row>
    <row r="471" spans="1:11" ht="18">
      <c r="A471" s="639"/>
      <c r="B471" s="657" t="s">
        <v>89</v>
      </c>
      <c r="C471" s="658"/>
      <c r="D471" s="654"/>
      <c r="E471" s="655"/>
      <c r="F471" s="655"/>
      <c r="G471" s="655"/>
      <c r="H471" s="656"/>
      <c r="K471" s="163"/>
    </row>
    <row r="472" spans="1:8" ht="18">
      <c r="A472" s="639"/>
      <c r="B472" s="837" t="s">
        <v>90</v>
      </c>
      <c r="C472" s="838"/>
      <c r="D472" s="122">
        <f>O465</f>
        <v>979893</v>
      </c>
      <c r="E472" s="29"/>
      <c r="F472" s="30"/>
      <c r="G472" s="28"/>
      <c r="H472" s="129">
        <f>D472</f>
        <v>979893</v>
      </c>
    </row>
    <row r="473" spans="1:8" ht="18">
      <c r="A473" s="639"/>
      <c r="B473" s="837" t="s">
        <v>91</v>
      </c>
      <c r="C473" s="838"/>
      <c r="D473" s="122">
        <v>135460</v>
      </c>
      <c r="E473" s="29">
        <v>0</v>
      </c>
      <c r="F473" s="30">
        <v>1</v>
      </c>
      <c r="G473" s="28">
        <f aca="true" t="shared" si="36" ref="G473:G478">E473*F473</f>
        <v>0</v>
      </c>
      <c r="H473" s="129">
        <f aca="true" t="shared" si="37" ref="H473:H478">G473+D473</f>
        <v>135460</v>
      </c>
    </row>
    <row r="474" spans="1:8" ht="18">
      <c r="A474" s="639"/>
      <c r="B474" s="837" t="s">
        <v>92</v>
      </c>
      <c r="C474" s="838"/>
      <c r="D474" s="122">
        <v>0</v>
      </c>
      <c r="E474" s="29">
        <v>0</v>
      </c>
      <c r="F474" s="30">
        <v>1</v>
      </c>
      <c r="G474" s="28">
        <f t="shared" si="36"/>
        <v>0</v>
      </c>
      <c r="H474" s="129">
        <f t="shared" si="37"/>
        <v>0</v>
      </c>
    </row>
    <row r="475" spans="1:8" ht="18">
      <c r="A475" s="639"/>
      <c r="B475" s="837" t="s">
        <v>93</v>
      </c>
      <c r="C475" s="838"/>
      <c r="D475" s="849">
        <f>O457</f>
        <v>248879.99999999997</v>
      </c>
      <c r="E475" s="29">
        <v>0</v>
      </c>
      <c r="F475" s="30">
        <v>1</v>
      </c>
      <c r="G475" s="28">
        <f t="shared" si="36"/>
        <v>0</v>
      </c>
      <c r="H475" s="129">
        <v>188404</v>
      </c>
    </row>
    <row r="476" spans="1:8" ht="18">
      <c r="A476" s="639"/>
      <c r="B476" s="837" t="s">
        <v>94</v>
      </c>
      <c r="C476" s="838"/>
      <c r="D476" s="122"/>
      <c r="E476" s="29">
        <v>0</v>
      </c>
      <c r="F476" s="30">
        <v>1</v>
      </c>
      <c r="G476" s="28">
        <f t="shared" si="36"/>
        <v>0</v>
      </c>
      <c r="H476" s="129">
        <f t="shared" si="37"/>
        <v>0</v>
      </c>
    </row>
    <row r="477" spans="1:8" ht="18">
      <c r="A477" s="639"/>
      <c r="B477" s="837" t="s">
        <v>95</v>
      </c>
      <c r="C477" s="838"/>
      <c r="D477" s="122">
        <v>0</v>
      </c>
      <c r="E477" s="29">
        <v>0</v>
      </c>
      <c r="F477" s="30">
        <v>1</v>
      </c>
      <c r="G477" s="28">
        <f t="shared" si="36"/>
        <v>0</v>
      </c>
      <c r="H477" s="129">
        <f t="shared" si="37"/>
        <v>0</v>
      </c>
    </row>
    <row r="478" spans="1:8" ht="18">
      <c r="A478" s="639"/>
      <c r="B478" s="837" t="s">
        <v>96</v>
      </c>
      <c r="C478" s="838"/>
      <c r="D478" s="122">
        <f>O458</f>
        <v>749751</v>
      </c>
      <c r="E478" s="29">
        <v>0</v>
      </c>
      <c r="F478" s="30">
        <v>1</v>
      </c>
      <c r="G478" s="28">
        <f t="shared" si="36"/>
        <v>0</v>
      </c>
      <c r="H478" s="129">
        <f t="shared" si="37"/>
        <v>749751</v>
      </c>
    </row>
    <row r="479" spans="1:8" ht="18">
      <c r="A479" s="639"/>
      <c r="B479" s="657" t="s">
        <v>97</v>
      </c>
      <c r="C479" s="658"/>
      <c r="D479" s="654"/>
      <c r="E479" s="655"/>
      <c r="F479" s="655"/>
      <c r="G479" s="655"/>
      <c r="H479" s="656"/>
    </row>
    <row r="480" spans="1:8" ht="18">
      <c r="A480" s="639"/>
      <c r="B480" s="834" t="s">
        <v>98</v>
      </c>
      <c r="C480" s="835"/>
      <c r="D480" s="122">
        <v>0</v>
      </c>
      <c r="E480" s="29">
        <v>0</v>
      </c>
      <c r="F480" s="30">
        <v>1</v>
      </c>
      <c r="G480" s="28">
        <f>E480*F480</f>
        <v>0</v>
      </c>
      <c r="H480" s="129">
        <f>G480+D480</f>
        <v>0</v>
      </c>
    </row>
    <row r="481" spans="1:10" ht="18">
      <c r="A481" s="639"/>
      <c r="B481" s="834" t="s">
        <v>99</v>
      </c>
      <c r="C481" s="835"/>
      <c r="D481" s="122">
        <f>G481</f>
        <v>83200</v>
      </c>
      <c r="E481" s="29">
        <v>3200</v>
      </c>
      <c r="F481" s="30">
        <v>26</v>
      </c>
      <c r="G481" s="28">
        <f>E481*F481</f>
        <v>83200</v>
      </c>
      <c r="H481" s="129">
        <f>G481</f>
        <v>83200</v>
      </c>
      <c r="I481" s="1" t="s">
        <v>434</v>
      </c>
      <c r="J481" s="244"/>
    </row>
    <row r="482" spans="1:8" ht="18">
      <c r="A482" s="639"/>
      <c r="B482" s="834" t="s">
        <v>100</v>
      </c>
      <c r="C482" s="835"/>
      <c r="D482" s="122">
        <v>0</v>
      </c>
      <c r="E482" s="29">
        <v>0</v>
      </c>
      <c r="F482" s="30">
        <v>1</v>
      </c>
      <c r="G482" s="28">
        <f>E482*F482</f>
        <v>0</v>
      </c>
      <c r="H482" s="129">
        <f>G482+D482</f>
        <v>0</v>
      </c>
    </row>
    <row r="483" spans="1:8" ht="18">
      <c r="A483" s="639"/>
      <c r="B483" s="657" t="s">
        <v>42</v>
      </c>
      <c r="C483" s="658"/>
      <c r="D483" s="654"/>
      <c r="E483" s="655"/>
      <c r="F483" s="655"/>
      <c r="G483" s="655"/>
      <c r="H483" s="656"/>
    </row>
    <row r="484" spans="1:8" ht="18">
      <c r="A484" s="639"/>
      <c r="B484" s="837" t="s">
        <v>132</v>
      </c>
      <c r="C484" s="838"/>
      <c r="D484" s="122"/>
      <c r="E484" s="29"/>
      <c r="F484" s="30">
        <v>0</v>
      </c>
      <c r="G484" s="28">
        <f>E484*F484</f>
        <v>0</v>
      </c>
      <c r="H484" s="129">
        <f>G484+D484</f>
        <v>0</v>
      </c>
    </row>
    <row r="485" spans="1:9" ht="18">
      <c r="A485" s="639"/>
      <c r="B485" s="834" t="s">
        <v>101</v>
      </c>
      <c r="C485" s="835"/>
      <c r="D485" s="122">
        <f>O459</f>
        <v>951308.9567999999</v>
      </c>
      <c r="E485" s="29">
        <v>0</v>
      </c>
      <c r="F485" s="30">
        <v>1</v>
      </c>
      <c r="G485" s="28">
        <f>E485*F485</f>
        <v>0</v>
      </c>
      <c r="H485" s="129">
        <v>815436</v>
      </c>
      <c r="I485" s="138"/>
    </row>
    <row r="486" spans="1:9" ht="18">
      <c r="A486" s="639"/>
      <c r="B486" s="834" t="s">
        <v>102</v>
      </c>
      <c r="C486" s="835"/>
      <c r="D486" s="122">
        <f>O460</f>
        <v>576211.9536</v>
      </c>
      <c r="E486" s="29">
        <v>0</v>
      </c>
      <c r="F486" s="30">
        <v>1</v>
      </c>
      <c r="G486" s="28">
        <f>E486*F486</f>
        <v>0</v>
      </c>
      <c r="H486" s="129">
        <f>G486+D486</f>
        <v>576211.9536</v>
      </c>
      <c r="I486" s="138"/>
    </row>
    <row r="487" spans="1:9" ht="18">
      <c r="A487" s="639"/>
      <c r="B487" s="834" t="s">
        <v>103</v>
      </c>
      <c r="C487" s="835"/>
      <c r="D487" s="122">
        <f>O461</f>
        <v>304183.6248</v>
      </c>
      <c r="E487" s="29">
        <v>0</v>
      </c>
      <c r="F487" s="30">
        <v>1</v>
      </c>
      <c r="G487" s="28">
        <f>E487*F487</f>
        <v>0</v>
      </c>
      <c r="H487" s="129">
        <f>G487+D487</f>
        <v>304183.6248</v>
      </c>
      <c r="I487" s="138"/>
    </row>
    <row r="488" spans="1:8" ht="18">
      <c r="A488" s="639"/>
      <c r="B488" s="834" t="s">
        <v>104</v>
      </c>
      <c r="C488" s="835"/>
      <c r="D488" s="122"/>
      <c r="E488" s="29">
        <v>0</v>
      </c>
      <c r="F488" s="30">
        <v>1</v>
      </c>
      <c r="G488" s="28">
        <f>E488*F488</f>
        <v>0</v>
      </c>
      <c r="H488" s="129">
        <f>G488+D488</f>
        <v>0</v>
      </c>
    </row>
    <row r="489" spans="1:10" ht="18">
      <c r="A489" s="639"/>
      <c r="B489" s="834" t="s">
        <v>105</v>
      </c>
      <c r="C489" s="835"/>
      <c r="D489" s="122"/>
      <c r="E489" s="29"/>
      <c r="F489" s="30"/>
      <c r="G489" s="28"/>
      <c r="H489" s="129"/>
      <c r="I489" s="138"/>
      <c r="J489" s="244"/>
    </row>
    <row r="490" spans="1:8" ht="18">
      <c r="A490" s="639"/>
      <c r="B490" s="657" t="s">
        <v>106</v>
      </c>
      <c r="C490" s="658"/>
      <c r="D490" s="654"/>
      <c r="E490" s="655"/>
      <c r="F490" s="655"/>
      <c r="G490" s="655"/>
      <c r="H490" s="656"/>
    </row>
    <row r="491" spans="1:9" ht="18">
      <c r="A491" s="639"/>
      <c r="B491" s="834" t="s">
        <v>121</v>
      </c>
      <c r="C491" s="835"/>
      <c r="D491" s="122">
        <f>O462</f>
        <v>195014.90159999995</v>
      </c>
      <c r="E491" s="29">
        <v>0</v>
      </c>
      <c r="F491" s="30">
        <v>1</v>
      </c>
      <c r="G491" s="28">
        <f>F491*E491</f>
        <v>0</v>
      </c>
      <c r="H491" s="129">
        <f>G491+D491</f>
        <v>195014.90159999995</v>
      </c>
      <c r="I491" s="138"/>
    </row>
    <row r="492" spans="1:12" ht="18">
      <c r="A492" s="639"/>
      <c r="B492" s="834" t="s">
        <v>122</v>
      </c>
      <c r="C492" s="835"/>
      <c r="D492" s="849"/>
      <c r="E492" s="29">
        <v>6400</v>
      </c>
      <c r="F492" s="30">
        <v>26</v>
      </c>
      <c r="G492" s="28">
        <f>F492*E492</f>
        <v>166400</v>
      </c>
      <c r="H492" s="129">
        <f>G492+D492</f>
        <v>166400</v>
      </c>
      <c r="I492" s="1" t="s">
        <v>480</v>
      </c>
      <c r="K492" s="102"/>
      <c r="L492" s="244"/>
    </row>
    <row r="493" spans="1:8" ht="18">
      <c r="A493" s="639"/>
      <c r="B493" s="657" t="s">
        <v>107</v>
      </c>
      <c r="C493" s="658"/>
      <c r="D493" s="654"/>
      <c r="E493" s="655"/>
      <c r="F493" s="655"/>
      <c r="G493" s="655"/>
      <c r="H493" s="656"/>
    </row>
    <row r="494" spans="1:9" ht="18">
      <c r="A494" s="639"/>
      <c r="B494" s="834" t="s">
        <v>108</v>
      </c>
      <c r="C494" s="835"/>
      <c r="D494" s="849">
        <f>O463</f>
        <v>431097.6</v>
      </c>
      <c r="E494" s="29">
        <v>0</v>
      </c>
      <c r="F494" s="30">
        <v>1</v>
      </c>
      <c r="G494" s="28">
        <f>E494*F494</f>
        <v>0</v>
      </c>
      <c r="H494" s="129">
        <f>G494+D494</f>
        <v>431097.6</v>
      </c>
      <c r="I494" s="102" t="s">
        <v>519</v>
      </c>
    </row>
    <row r="495" spans="1:8" ht="18">
      <c r="A495" s="639"/>
      <c r="B495" s="834" t="s">
        <v>109</v>
      </c>
      <c r="C495" s="835"/>
      <c r="D495" s="122">
        <v>0</v>
      </c>
      <c r="E495" s="29">
        <v>0</v>
      </c>
      <c r="F495" s="30">
        <v>1</v>
      </c>
      <c r="G495" s="28">
        <f>E495*F495</f>
        <v>0</v>
      </c>
      <c r="H495" s="129">
        <f>G495+D495</f>
        <v>0</v>
      </c>
    </row>
    <row r="496" spans="1:8" ht="18">
      <c r="A496" s="639"/>
      <c r="B496" s="834" t="s">
        <v>110</v>
      </c>
      <c r="C496" s="835"/>
      <c r="D496" s="122">
        <v>0</v>
      </c>
      <c r="E496" s="29">
        <v>0</v>
      </c>
      <c r="F496" s="30">
        <v>1</v>
      </c>
      <c r="G496" s="28">
        <f>E496*F496</f>
        <v>0</v>
      </c>
      <c r="H496" s="129">
        <f>G496+D496</f>
        <v>0</v>
      </c>
    </row>
    <row r="497" spans="1:9" ht="18">
      <c r="A497" s="639"/>
      <c r="B497" s="837" t="s">
        <v>111</v>
      </c>
      <c r="C497" s="838"/>
      <c r="D497" s="124">
        <v>172721</v>
      </c>
      <c r="E497" s="54">
        <v>0</v>
      </c>
      <c r="F497" s="55">
        <v>1</v>
      </c>
      <c r="G497" s="28">
        <f>E497*F497</f>
        <v>0</v>
      </c>
      <c r="H497" s="131">
        <f>G497+D497</f>
        <v>172721</v>
      </c>
      <c r="I497" s="102" t="s">
        <v>527</v>
      </c>
    </row>
    <row r="498" spans="1:8" ht="18">
      <c r="A498" s="639"/>
      <c r="B498" s="657" t="s">
        <v>112</v>
      </c>
      <c r="C498" s="658"/>
      <c r="D498" s="663"/>
      <c r="E498" s="664"/>
      <c r="F498" s="664"/>
      <c r="G498" s="664"/>
      <c r="H498" s="665"/>
    </row>
    <row r="499" spans="1:8" ht="18">
      <c r="A499" s="639"/>
      <c r="B499" s="837" t="s">
        <v>113</v>
      </c>
      <c r="C499" s="838"/>
      <c r="D499" s="849">
        <f>O466</f>
        <v>2030400</v>
      </c>
      <c r="E499" s="29"/>
      <c r="F499" s="30"/>
      <c r="G499" s="28"/>
      <c r="H499" s="129">
        <f>D499</f>
        <v>2030400</v>
      </c>
    </row>
    <row r="500" spans="1:8" ht="18">
      <c r="A500" s="639"/>
      <c r="B500" s="837" t="s">
        <v>120</v>
      </c>
      <c r="C500" s="838"/>
      <c r="D500" s="849"/>
      <c r="E500" s="29">
        <v>0</v>
      </c>
      <c r="F500" s="30">
        <v>1</v>
      </c>
      <c r="G500" s="28">
        <f>E500*F500</f>
        <v>0</v>
      </c>
      <c r="H500" s="129">
        <f>G500+D500</f>
        <v>0</v>
      </c>
    </row>
    <row r="501" spans="1:8" ht="18">
      <c r="A501" s="639"/>
      <c r="B501" s="853" t="s">
        <v>114</v>
      </c>
      <c r="C501" s="854"/>
      <c r="D501" s="123">
        <f>SUM(D502:D506)</f>
        <v>440000</v>
      </c>
      <c r="E501" s="27">
        <f>SUM(E502:E506)</f>
        <v>0</v>
      </c>
      <c r="F501" s="61"/>
      <c r="G501" s="27">
        <f>SUM(G502:G506)</f>
        <v>0</v>
      </c>
      <c r="H501" s="130">
        <f>SUM(H502:H506)</f>
        <v>440000</v>
      </c>
    </row>
    <row r="502" spans="1:8" ht="18">
      <c r="A502" s="639"/>
      <c r="B502" s="855" t="s">
        <v>124</v>
      </c>
      <c r="C502" s="856"/>
      <c r="D502" s="122">
        <v>0</v>
      </c>
      <c r="E502" s="54">
        <v>0</v>
      </c>
      <c r="F502" s="55">
        <v>1</v>
      </c>
      <c r="G502" s="53">
        <f>E502*F502</f>
        <v>0</v>
      </c>
      <c r="H502" s="131">
        <f>G502+D502</f>
        <v>0</v>
      </c>
    </row>
    <row r="503" spans="1:8" ht="18">
      <c r="A503" s="639"/>
      <c r="B503" s="855" t="s">
        <v>125</v>
      </c>
      <c r="C503" s="856"/>
      <c r="D503" s="122">
        <v>280000</v>
      </c>
      <c r="E503" s="29">
        <v>0</v>
      </c>
      <c r="F503" s="30">
        <v>1</v>
      </c>
      <c r="G503" s="28">
        <f>E503*F503</f>
        <v>0</v>
      </c>
      <c r="H503" s="129">
        <v>280000</v>
      </c>
    </row>
    <row r="504" spans="1:8" ht="18">
      <c r="A504" s="639"/>
      <c r="B504" s="855" t="s">
        <v>126</v>
      </c>
      <c r="C504" s="856"/>
      <c r="D504" s="122">
        <v>160000</v>
      </c>
      <c r="E504" s="29"/>
      <c r="F504" s="30"/>
      <c r="G504" s="28"/>
      <c r="H504" s="129">
        <v>160000</v>
      </c>
    </row>
    <row r="505" spans="1:8" ht="18">
      <c r="A505" s="639"/>
      <c r="B505" s="855" t="s">
        <v>127</v>
      </c>
      <c r="C505" s="856"/>
      <c r="D505" s="122">
        <v>0</v>
      </c>
      <c r="E505" s="29">
        <v>0</v>
      </c>
      <c r="F505" s="30">
        <v>1</v>
      </c>
      <c r="G505" s="28">
        <f>E505*F505</f>
        <v>0</v>
      </c>
      <c r="H505" s="129">
        <f>G505+D505</f>
        <v>0</v>
      </c>
    </row>
    <row r="506" spans="1:8" ht="18">
      <c r="A506" s="639"/>
      <c r="B506" s="855" t="s">
        <v>128</v>
      </c>
      <c r="C506" s="856"/>
      <c r="D506" s="122">
        <v>0</v>
      </c>
      <c r="E506" s="54">
        <v>0</v>
      </c>
      <c r="F506" s="55">
        <v>1</v>
      </c>
      <c r="G506" s="53">
        <f>E506*F506</f>
        <v>0</v>
      </c>
      <c r="H506" s="131">
        <f>G506+D506</f>
        <v>0</v>
      </c>
    </row>
    <row r="507" spans="1:8" s="110" customFormat="1" ht="18" thickBot="1">
      <c r="A507" s="640"/>
      <c r="B507" s="857" t="s">
        <v>43</v>
      </c>
      <c r="C507" s="858"/>
      <c r="D507" s="125">
        <f>SUM(D425,D437,D501)</f>
        <v>85851912.12487334</v>
      </c>
      <c r="E507" s="107">
        <f>SUM(E501,E437,E425)</f>
        <v>91219</v>
      </c>
      <c r="F507" s="108"/>
      <c r="G507" s="109">
        <f>SUM(G501,G437,G425)</f>
        <v>10867990</v>
      </c>
      <c r="H507" s="132">
        <f>SUM(H501,H437,H425)</f>
        <v>85507343.16807334</v>
      </c>
    </row>
    <row r="508" spans="1:9" s="20" customFormat="1" ht="18" customHeight="1" thickBot="1">
      <c r="A508" s="660" t="s">
        <v>186</v>
      </c>
      <c r="B508" s="669" t="s">
        <v>115</v>
      </c>
      <c r="C508" s="670"/>
      <c r="D508" s="123">
        <f>SUM(D518:D519,D516,D510:D514)</f>
        <v>24040179.99441631</v>
      </c>
      <c r="E508" s="27">
        <f>SUM(E518:E519,E516,E510:E514)</f>
        <v>0</v>
      </c>
      <c r="F508" s="61"/>
      <c r="G508" s="27">
        <f>SUM(G518:G519,G516,G510:G514)</f>
        <v>0</v>
      </c>
      <c r="H508" s="130">
        <f>SUM(H518:H519,H516,H510:H514)</f>
        <v>24040179.99441631</v>
      </c>
      <c r="I508" s="8" t="s">
        <v>186</v>
      </c>
    </row>
    <row r="509" spans="1:20" s="20" customFormat="1" ht="24" thickBot="1">
      <c r="A509" s="661"/>
      <c r="B509" s="657" t="s">
        <v>56</v>
      </c>
      <c r="C509" s="658"/>
      <c r="D509" s="654"/>
      <c r="E509" s="655"/>
      <c r="F509" s="655"/>
      <c r="G509" s="655"/>
      <c r="H509" s="656"/>
      <c r="I509" s="215" t="s">
        <v>356</v>
      </c>
      <c r="J509" s="439">
        <v>6</v>
      </c>
      <c r="K509" s="659"/>
      <c r="L509" s="659"/>
      <c r="M509" s="659"/>
      <c r="N509" s="167"/>
      <c r="O509" s="17"/>
      <c r="P509" s="172"/>
      <c r="Q509" s="167"/>
      <c r="R509" s="167"/>
      <c r="S509" s="167"/>
      <c r="T509" s="167"/>
    </row>
    <row r="510" spans="1:20" s="20" customFormat="1" ht="18">
      <c r="A510" s="661"/>
      <c r="B510" s="834" t="s">
        <v>57</v>
      </c>
      <c r="C510" s="835"/>
      <c r="D510" s="859">
        <f>+M519</f>
        <v>22824729.53109044</v>
      </c>
      <c r="E510" s="29"/>
      <c r="F510" s="30"/>
      <c r="G510" s="28"/>
      <c r="H510" s="129">
        <f>G510+D510</f>
        <v>22824729.53109044</v>
      </c>
      <c r="K510" s="17"/>
      <c r="L510" s="258"/>
      <c r="M510" s="168"/>
      <c r="N510" s="170"/>
      <c r="O510" s="170"/>
      <c r="P510" s="167"/>
      <c r="Q510" s="167"/>
      <c r="R510" s="167"/>
      <c r="S510" s="167"/>
      <c r="T510" s="167"/>
    </row>
    <row r="511" spans="1:20" s="20" customFormat="1" ht="18">
      <c r="A511" s="661"/>
      <c r="B511" s="834" t="s">
        <v>181</v>
      </c>
      <c r="C511" s="835"/>
      <c r="D511" s="859">
        <f>+P511</f>
        <v>290360</v>
      </c>
      <c r="E511" s="29">
        <v>0</v>
      </c>
      <c r="F511" s="30">
        <v>1</v>
      </c>
      <c r="G511" s="28">
        <f>E511*F511</f>
        <v>0</v>
      </c>
      <c r="H511" s="129">
        <f>G511+D511</f>
        <v>290360</v>
      </c>
      <c r="K511" s="652" t="s">
        <v>380</v>
      </c>
      <c r="L511" s="652"/>
      <c r="M511" s="652"/>
      <c r="N511" s="102"/>
      <c r="O511" s="217" t="s">
        <v>228</v>
      </c>
      <c r="P511" s="218">
        <f>'[1]EDUCACIONAL'!$BH$104</f>
        <v>290360</v>
      </c>
      <c r="Q511" s="167"/>
      <c r="R511" s="167"/>
      <c r="S511" s="167"/>
      <c r="T511" s="167"/>
    </row>
    <row r="512" spans="1:20" s="20" customFormat="1" ht="18">
      <c r="A512" s="661"/>
      <c r="B512" s="837" t="s">
        <v>58</v>
      </c>
      <c r="C512" s="838"/>
      <c r="D512" s="849">
        <v>0</v>
      </c>
      <c r="E512" s="29">
        <v>0</v>
      </c>
      <c r="F512" s="30">
        <v>1</v>
      </c>
      <c r="G512" s="28">
        <f>E512*F512</f>
        <v>0</v>
      </c>
      <c r="H512" s="129">
        <f>G512+D512</f>
        <v>0</v>
      </c>
      <c r="J512" s="390"/>
      <c r="K512" s="219" t="s">
        <v>229</v>
      </c>
      <c r="L512" s="220">
        <v>1</v>
      </c>
      <c r="M512" s="218">
        <f>'[1]EDUCACIONAL'!$BL$103</f>
        <v>7677564</v>
      </c>
      <c r="N512" s="102"/>
      <c r="O512" s="1"/>
      <c r="P512" s="1"/>
      <c r="Q512" s="167"/>
      <c r="R512" s="167"/>
      <c r="S512" s="167"/>
      <c r="T512" s="167"/>
    </row>
    <row r="513" spans="1:20" s="20" customFormat="1" ht="18">
      <c r="A513" s="661"/>
      <c r="B513" s="834" t="s">
        <v>59</v>
      </c>
      <c r="C513" s="835"/>
      <c r="D513" s="859">
        <f>+P516</f>
        <v>696843.1680149703</v>
      </c>
      <c r="E513" s="29">
        <v>0</v>
      </c>
      <c r="F513" s="30">
        <v>1</v>
      </c>
      <c r="G513" s="28">
        <f>E513*F513</f>
        <v>0</v>
      </c>
      <c r="H513" s="129">
        <f>G513+D513</f>
        <v>696843.1680149703</v>
      </c>
      <c r="K513" s="219" t="s">
        <v>230</v>
      </c>
      <c r="L513" s="220">
        <v>2</v>
      </c>
      <c r="M513" s="218">
        <f>'[1]EDUCACIONAL'!$BL$102</f>
        <v>15147165.531090438</v>
      </c>
      <c r="N513" s="102"/>
      <c r="O513" s="649" t="s">
        <v>231</v>
      </c>
      <c r="P513" s="649"/>
      <c r="Q513" s="167"/>
      <c r="R513" s="167"/>
      <c r="S513" s="167"/>
      <c r="T513" s="167"/>
    </row>
    <row r="514" spans="1:20" s="20" customFormat="1" ht="18">
      <c r="A514" s="661"/>
      <c r="B514" s="834" t="s">
        <v>129</v>
      </c>
      <c r="C514" s="835"/>
      <c r="D514" s="122">
        <v>0</v>
      </c>
      <c r="E514" s="29">
        <v>0</v>
      </c>
      <c r="F514" s="30">
        <v>1</v>
      </c>
      <c r="G514" s="28">
        <f>E514*F514</f>
        <v>0</v>
      </c>
      <c r="H514" s="129">
        <f>G514+D514</f>
        <v>0</v>
      </c>
      <c r="K514" s="219" t="s">
        <v>232</v>
      </c>
      <c r="L514" s="220">
        <v>0</v>
      </c>
      <c r="M514" s="218"/>
      <c r="N514" s="102"/>
      <c r="O514" s="221" t="s">
        <v>233</v>
      </c>
      <c r="P514" s="218">
        <f>'[1]EDUCACIONAL'!$BF$104</f>
        <v>362625.32701497024</v>
      </c>
      <c r="Q514" s="167"/>
      <c r="R514" s="167"/>
      <c r="S514" s="167"/>
      <c r="T514" s="167"/>
    </row>
    <row r="515" spans="1:20" s="20" customFormat="1" ht="18">
      <c r="A515" s="661"/>
      <c r="B515" s="657" t="s">
        <v>60</v>
      </c>
      <c r="C515" s="658"/>
      <c r="D515" s="654"/>
      <c r="E515" s="655"/>
      <c r="F515" s="655"/>
      <c r="G515" s="655"/>
      <c r="H515" s="656"/>
      <c r="K515" s="219" t="s">
        <v>234</v>
      </c>
      <c r="L515" s="220">
        <v>0</v>
      </c>
      <c r="M515" s="218"/>
      <c r="N515" s="102"/>
      <c r="O515" s="221" t="s">
        <v>235</v>
      </c>
      <c r="P515" s="218">
        <f>'[1]EDUCACIONAL'!$BG$104</f>
        <v>334217.841</v>
      </c>
      <c r="Q515" s="167"/>
      <c r="R515" s="167"/>
      <c r="S515" s="167"/>
      <c r="T515" s="167"/>
    </row>
    <row r="516" spans="1:20" s="20" customFormat="1" ht="18">
      <c r="A516" s="661"/>
      <c r="B516" s="834" t="s">
        <v>61</v>
      </c>
      <c r="C516" s="835"/>
      <c r="D516" s="122">
        <f>+D510*1%</f>
        <v>228247.2953109044</v>
      </c>
      <c r="E516" s="29">
        <v>0</v>
      </c>
      <c r="F516" s="30">
        <v>1</v>
      </c>
      <c r="G516" s="28">
        <f>E516*F516</f>
        <v>0</v>
      </c>
      <c r="H516" s="129">
        <f>G516+D516</f>
        <v>228247.2953109044</v>
      </c>
      <c r="I516" s="1" t="s">
        <v>565</v>
      </c>
      <c r="K516" s="653" t="s">
        <v>236</v>
      </c>
      <c r="L516" s="653"/>
      <c r="M516" s="218"/>
      <c r="N516" s="102"/>
      <c r="O516" s="222" t="s">
        <v>237</v>
      </c>
      <c r="P516" s="223">
        <f>SUM(P514:P515)</f>
        <v>696843.1680149703</v>
      </c>
      <c r="Q516" s="167"/>
      <c r="R516" s="167"/>
      <c r="S516" s="167"/>
      <c r="T516" s="167"/>
    </row>
    <row r="517" spans="1:20" s="20" customFormat="1" ht="18">
      <c r="A517" s="661"/>
      <c r="B517" s="657" t="s">
        <v>62</v>
      </c>
      <c r="C517" s="658"/>
      <c r="D517" s="654"/>
      <c r="E517" s="655"/>
      <c r="F517" s="655"/>
      <c r="G517" s="655"/>
      <c r="H517" s="656"/>
      <c r="K517" s="653" t="s">
        <v>238</v>
      </c>
      <c r="L517" s="653"/>
      <c r="M517" s="218">
        <f>SUM(M512:M515)</f>
        <v>22824729.53109044</v>
      </c>
      <c r="N517" s="102"/>
      <c r="O517" s="105"/>
      <c r="P517" s="105"/>
      <c r="Q517" s="167"/>
      <c r="R517" s="167"/>
      <c r="S517" s="167"/>
      <c r="T517" s="167"/>
    </row>
    <row r="518" spans="1:20" s="20" customFormat="1" ht="13.5">
      <c r="A518" s="661"/>
      <c r="B518" s="839" t="s">
        <v>63</v>
      </c>
      <c r="C518" s="840"/>
      <c r="D518" s="122"/>
      <c r="E518" s="29">
        <v>0</v>
      </c>
      <c r="F518" s="30">
        <v>1</v>
      </c>
      <c r="G518" s="28">
        <f>E518*F518</f>
        <v>0</v>
      </c>
      <c r="H518" s="129">
        <f>G518+D518</f>
        <v>0</v>
      </c>
      <c r="K518" s="653" t="s">
        <v>239</v>
      </c>
      <c r="L518" s="653"/>
      <c r="M518" s="224"/>
      <c r="N518" s="102"/>
      <c r="O518" s="1"/>
      <c r="P518" s="1"/>
      <c r="Q518" s="167"/>
      <c r="R518" s="167"/>
      <c r="S518" s="167"/>
      <c r="T518" s="167"/>
    </row>
    <row r="519" spans="1:20" s="20" customFormat="1" ht="13.5">
      <c r="A519" s="661"/>
      <c r="B519" s="841" t="s">
        <v>64</v>
      </c>
      <c r="C519" s="840"/>
      <c r="D519" s="122">
        <v>0</v>
      </c>
      <c r="E519" s="29">
        <v>0</v>
      </c>
      <c r="F519" s="30">
        <v>1</v>
      </c>
      <c r="G519" s="28">
        <f>E519*F519</f>
        <v>0</v>
      </c>
      <c r="H519" s="129">
        <f>G519+D519</f>
        <v>0</v>
      </c>
      <c r="K519" s="650" t="s">
        <v>440</v>
      </c>
      <c r="L519" s="650"/>
      <c r="M519" s="223">
        <f>+M517</f>
        <v>22824729.53109044</v>
      </c>
      <c r="N519" s="1"/>
      <c r="O519" s="1"/>
      <c r="P519" s="1"/>
      <c r="Q519" s="167"/>
      <c r="R519" s="167"/>
      <c r="S519" s="167"/>
      <c r="T519" s="167"/>
    </row>
    <row r="520" spans="1:20" s="20" customFormat="1" ht="18">
      <c r="A520" s="661"/>
      <c r="B520" s="672" t="s">
        <v>65</v>
      </c>
      <c r="C520" s="673"/>
      <c r="D520" s="123">
        <f>SUM(D522:D523,D525:D527,D529:D530,D532:D543,D545:D553,D555:D561,D563:D565,D567:D572,D574:D575,D577:D580,D582:D583)</f>
        <v>2200700.9697000002</v>
      </c>
      <c r="E520" s="27">
        <f>SUM(E522:E523,E525:E527,E529:E530,E532:E543,E545:E553,E555:E561,E563:E565,E567:E572,E574:E575,E577:E580,E582:E583)</f>
        <v>19550</v>
      </c>
      <c r="F520" s="61"/>
      <c r="G520" s="27">
        <f>SUM(G522:G523,G525:G527,G529:G530,G532:G543,G545:G553,G555:G561,G563:G565,G567:G572,G574:G575,G577:G580,G582:G583)</f>
        <v>223800</v>
      </c>
      <c r="H520" s="130">
        <f>SUM(H522:H523,H525:H527,H529:H530,H532:H543,H545:H553,H555:H561,H563:H565,H567:H572,H574:H575,H577:H580,H582:H583)</f>
        <v>2092381.9696999998</v>
      </c>
      <c r="K520" s="167" t="s">
        <v>516</v>
      </c>
      <c r="L520" s="167"/>
      <c r="M520" s="167"/>
      <c r="N520" s="167"/>
      <c r="O520" s="167"/>
      <c r="P520" s="167"/>
      <c r="Q520" s="167"/>
      <c r="R520" s="167"/>
      <c r="S520" s="167"/>
      <c r="T520" s="167"/>
    </row>
    <row r="521" spans="1:20" s="20" customFormat="1" ht="18">
      <c r="A521" s="661"/>
      <c r="B521" s="842" t="s">
        <v>66</v>
      </c>
      <c r="C521" s="843"/>
      <c r="D521" s="654"/>
      <c r="E521" s="655"/>
      <c r="F521" s="655"/>
      <c r="G521" s="655"/>
      <c r="H521" s="656"/>
      <c r="K521" s="167"/>
      <c r="L521" s="167"/>
      <c r="M521" s="167"/>
      <c r="N521" s="167"/>
      <c r="O521" s="167"/>
      <c r="P521" s="167"/>
      <c r="Q521" s="167"/>
      <c r="R521" s="167"/>
      <c r="S521" s="167"/>
      <c r="T521" s="167"/>
    </row>
    <row r="522" spans="1:20" s="20" customFormat="1" ht="18">
      <c r="A522" s="661"/>
      <c r="B522" s="837" t="s">
        <v>67</v>
      </c>
      <c r="C522" s="838"/>
      <c r="D522" s="122">
        <v>0</v>
      </c>
      <c r="E522" s="113"/>
      <c r="F522" s="30">
        <v>440</v>
      </c>
      <c r="G522" s="28">
        <f>E522*F522</f>
        <v>0</v>
      </c>
      <c r="H522" s="129">
        <f>G522+D522</f>
        <v>0</v>
      </c>
      <c r="I522" s="166"/>
      <c r="K522" s="167"/>
      <c r="L522" s="167"/>
      <c r="M522" s="167"/>
      <c r="N522" s="167"/>
      <c r="O522" s="167"/>
      <c r="P522" s="167"/>
      <c r="Q522" s="167"/>
      <c r="R522" s="167"/>
      <c r="S522" s="167"/>
      <c r="T522" s="167"/>
    </row>
    <row r="523" spans="1:9" s="20" customFormat="1" ht="13.5">
      <c r="A523" s="661"/>
      <c r="B523" s="847" t="s">
        <v>117</v>
      </c>
      <c r="C523" s="848"/>
      <c r="D523" s="122">
        <v>147840</v>
      </c>
      <c r="E523" s="29">
        <v>560</v>
      </c>
      <c r="F523" s="30">
        <f>6*11*4</f>
        <v>264</v>
      </c>
      <c r="G523" s="28">
        <f>E523*F523</f>
        <v>147840</v>
      </c>
      <c r="H523" s="129">
        <v>147840</v>
      </c>
      <c r="I523" s="166" t="s">
        <v>502</v>
      </c>
    </row>
    <row r="524" spans="1:16" s="20" customFormat="1" ht="18">
      <c r="A524" s="661"/>
      <c r="B524" s="842" t="s">
        <v>68</v>
      </c>
      <c r="C524" s="843"/>
      <c r="D524" s="654"/>
      <c r="E524" s="655"/>
      <c r="F524" s="655"/>
      <c r="G524" s="655"/>
      <c r="H524" s="656"/>
      <c r="I524" s="166"/>
      <c r="L524" s="508" t="s">
        <v>581</v>
      </c>
      <c r="M524" s="508"/>
      <c r="N524" s="508" t="s">
        <v>601</v>
      </c>
      <c r="O524" s="508" t="s">
        <v>602</v>
      </c>
      <c r="P524" s="509" t="s">
        <v>603</v>
      </c>
    </row>
    <row r="525" spans="1:17" s="20" customFormat="1" ht="18">
      <c r="A525" s="661"/>
      <c r="B525" s="834" t="s">
        <v>116</v>
      </c>
      <c r="C525" s="835"/>
      <c r="D525" s="870"/>
      <c r="E525" s="29"/>
      <c r="F525" s="30"/>
      <c r="G525" s="28"/>
      <c r="H525" s="129">
        <f>+D525+G525</f>
        <v>0</v>
      </c>
      <c r="I525" s="21"/>
      <c r="J525" s="871"/>
      <c r="L525" s="506" t="s">
        <v>130</v>
      </c>
      <c r="M525" s="266">
        <v>1369213.3199999998</v>
      </c>
      <c r="N525" s="266">
        <v>410763.9959999999</v>
      </c>
      <c r="O525" s="266">
        <v>821527.9919999999</v>
      </c>
      <c r="P525" s="506">
        <v>136921.332</v>
      </c>
      <c r="Q525" s="502"/>
    </row>
    <row r="526" spans="1:17" s="20" customFormat="1" ht="18">
      <c r="A526" s="661"/>
      <c r="B526" s="834" t="s">
        <v>69</v>
      </c>
      <c r="C526" s="835"/>
      <c r="D526" s="849">
        <v>189900</v>
      </c>
      <c r="E526" s="29">
        <v>18990</v>
      </c>
      <c r="F526" s="30">
        <v>4</v>
      </c>
      <c r="G526" s="28">
        <f>+E526*F526</f>
        <v>75960</v>
      </c>
      <c r="H526" s="129">
        <f>+G526</f>
        <v>75960</v>
      </c>
      <c r="I526" s="20" t="s">
        <v>435</v>
      </c>
      <c r="L526" s="506" t="s">
        <v>40</v>
      </c>
      <c r="M526" s="266">
        <v>1229118.768</v>
      </c>
      <c r="N526" s="266">
        <v>368735.63039999997</v>
      </c>
      <c r="O526" s="266">
        <v>737471.2607999999</v>
      </c>
      <c r="P526" s="506">
        <v>122911.8768</v>
      </c>
      <c r="Q526" s="502"/>
    </row>
    <row r="527" spans="1:17" s="20" customFormat="1" ht="18">
      <c r="A527" s="661"/>
      <c r="B527" s="834" t="s">
        <v>70</v>
      </c>
      <c r="C527" s="835"/>
      <c r="D527" s="849"/>
      <c r="E527" s="29">
        <v>0</v>
      </c>
      <c r="F527" s="30">
        <v>1</v>
      </c>
      <c r="G527" s="28">
        <f>E527*F527</f>
        <v>0</v>
      </c>
      <c r="H527" s="129">
        <f>G527+D527</f>
        <v>0</v>
      </c>
      <c r="L527" s="506" t="s">
        <v>41</v>
      </c>
      <c r="M527" s="266">
        <v>2936037.36</v>
      </c>
      <c r="N527" s="266">
        <v>880811.208</v>
      </c>
      <c r="O527" s="266">
        <v>1761622.416</v>
      </c>
      <c r="P527" s="506">
        <v>293603.736</v>
      </c>
      <c r="Q527" s="502"/>
    </row>
    <row r="528" spans="1:17" s="20" customFormat="1" ht="18">
      <c r="A528" s="661"/>
      <c r="B528" s="842" t="s">
        <v>71</v>
      </c>
      <c r="C528" s="843"/>
      <c r="D528" s="666"/>
      <c r="E528" s="667"/>
      <c r="F528" s="667"/>
      <c r="G528" s="667"/>
      <c r="H528" s="668"/>
      <c r="L528" s="506" t="s">
        <v>83</v>
      </c>
      <c r="M528" s="266">
        <v>0</v>
      </c>
      <c r="N528" s="266">
        <v>0</v>
      </c>
      <c r="O528" s="266"/>
      <c r="P528" s="506"/>
      <c r="Q528" s="502"/>
    </row>
    <row r="529" spans="1:17" s="20" customFormat="1" ht="18">
      <c r="A529" s="661"/>
      <c r="B529" s="837" t="s">
        <v>72</v>
      </c>
      <c r="C529" s="838"/>
      <c r="D529" s="122">
        <v>0</v>
      </c>
      <c r="E529" s="29">
        <v>0</v>
      </c>
      <c r="F529" s="30">
        <v>1</v>
      </c>
      <c r="G529" s="28">
        <f>E529*F529</f>
        <v>0</v>
      </c>
      <c r="H529" s="129">
        <f>G529+D529</f>
        <v>0</v>
      </c>
      <c r="J529" s="21"/>
      <c r="K529" s="871"/>
      <c r="L529" s="506" t="s">
        <v>84</v>
      </c>
      <c r="M529" s="266">
        <v>390554.93999999994</v>
      </c>
      <c r="N529" s="266">
        <v>117166.48199999999</v>
      </c>
      <c r="O529" s="266">
        <v>234332.96399999998</v>
      </c>
      <c r="P529" s="506">
        <v>39055.49399999999</v>
      </c>
      <c r="Q529" s="502"/>
    </row>
    <row r="530" spans="1:17" s="20" customFormat="1" ht="18">
      <c r="A530" s="661"/>
      <c r="B530" s="834" t="s">
        <v>73</v>
      </c>
      <c r="C530" s="835"/>
      <c r="D530" s="122">
        <v>0</v>
      </c>
      <c r="E530" s="29">
        <v>0</v>
      </c>
      <c r="F530" s="30">
        <v>1</v>
      </c>
      <c r="G530" s="28">
        <f>E530*F530</f>
        <v>0</v>
      </c>
      <c r="H530" s="129">
        <f>G530+D530</f>
        <v>0</v>
      </c>
      <c r="J530" s="21"/>
      <c r="K530" s="871"/>
      <c r="L530" s="506" t="s">
        <v>85</v>
      </c>
      <c r="M530" s="266">
        <v>0</v>
      </c>
      <c r="N530" s="266"/>
      <c r="O530" s="266"/>
      <c r="P530" s="506"/>
      <c r="Q530" s="502"/>
    </row>
    <row r="531" spans="1:17" s="20" customFormat="1" ht="18">
      <c r="A531" s="661"/>
      <c r="B531" s="842" t="s">
        <v>74</v>
      </c>
      <c r="C531" s="843"/>
      <c r="D531" s="654"/>
      <c r="E531" s="655"/>
      <c r="F531" s="655"/>
      <c r="G531" s="655"/>
      <c r="H531" s="656"/>
      <c r="J531" s="1"/>
      <c r="K531" s="871"/>
      <c r="L531" s="506" t="s">
        <v>86</v>
      </c>
      <c r="M531" s="266">
        <v>372697.8</v>
      </c>
      <c r="N531" s="266">
        <v>111809.34</v>
      </c>
      <c r="O531" s="266">
        <v>223618.68</v>
      </c>
      <c r="P531" s="506">
        <v>37269.78</v>
      </c>
      <c r="Q531" s="502"/>
    </row>
    <row r="532" spans="1:17" s="20" customFormat="1" ht="18">
      <c r="A532" s="661"/>
      <c r="B532" s="837" t="s">
        <v>176</v>
      </c>
      <c r="C532" s="838"/>
      <c r="D532" s="122">
        <f>P532</f>
        <v>47757.168399999995</v>
      </c>
      <c r="E532" s="29">
        <v>0</v>
      </c>
      <c r="F532" s="30">
        <v>1</v>
      </c>
      <c r="G532" s="28">
        <f>E532*F532</f>
        <v>0</v>
      </c>
      <c r="H532" s="129">
        <f>D532</f>
        <v>47757.168399999995</v>
      </c>
      <c r="K532" s="871"/>
      <c r="L532" s="506" t="s">
        <v>610</v>
      </c>
      <c r="M532" s="266">
        <v>477571.68399999995</v>
      </c>
      <c r="N532" s="266">
        <v>143271.50519999999</v>
      </c>
      <c r="O532" s="266">
        <v>286543.01039999997</v>
      </c>
      <c r="P532" s="506">
        <v>47757.168399999995</v>
      </c>
      <c r="Q532" s="502"/>
    </row>
    <row r="533" spans="1:17" s="20" customFormat="1" ht="18">
      <c r="A533" s="661"/>
      <c r="B533" s="837" t="s">
        <v>75</v>
      </c>
      <c r="C533" s="838"/>
      <c r="D533" s="849">
        <f>P533</f>
        <v>82959.99999999999</v>
      </c>
      <c r="E533" s="29">
        <v>0</v>
      </c>
      <c r="F533" s="30">
        <v>1</v>
      </c>
      <c r="G533" s="28">
        <f aca="true" t="shared" si="38" ref="G533:G542">E533*F533</f>
        <v>0</v>
      </c>
      <c r="H533" s="129">
        <f aca="true" t="shared" si="39" ref="H533:H543">D533</f>
        <v>82959.99999999999</v>
      </c>
      <c r="K533" s="871"/>
      <c r="L533" s="506" t="s">
        <v>608</v>
      </c>
      <c r="M533" s="266">
        <v>829599.9999999999</v>
      </c>
      <c r="N533" s="266">
        <v>248879.99999999997</v>
      </c>
      <c r="O533" s="266">
        <v>497759.99999999994</v>
      </c>
      <c r="P533" s="506">
        <v>82959.99999999999</v>
      </c>
      <c r="Q533" s="502"/>
    </row>
    <row r="534" spans="1:17" s="20" customFormat="1" ht="13.5">
      <c r="A534" s="661"/>
      <c r="B534" s="847" t="s">
        <v>131</v>
      </c>
      <c r="C534" s="848"/>
      <c r="D534" s="122">
        <f>P534</f>
        <v>64522.13999999999</v>
      </c>
      <c r="E534" s="29">
        <v>0</v>
      </c>
      <c r="F534" s="30">
        <v>1</v>
      </c>
      <c r="G534" s="28">
        <f t="shared" si="38"/>
        <v>0</v>
      </c>
      <c r="H534" s="129">
        <f t="shared" si="39"/>
        <v>64522.13999999999</v>
      </c>
      <c r="K534" s="871"/>
      <c r="L534" s="506" t="s">
        <v>609</v>
      </c>
      <c r="M534" s="266">
        <v>645221.3999999999</v>
      </c>
      <c r="N534" s="266">
        <v>193566.41999999995</v>
      </c>
      <c r="O534" s="266">
        <v>387132.8399999999</v>
      </c>
      <c r="P534" s="506">
        <v>64522.13999999999</v>
      </c>
      <c r="Q534" s="502"/>
    </row>
    <row r="535" spans="1:17" s="20" customFormat="1" ht="18">
      <c r="A535" s="661"/>
      <c r="B535" s="837" t="s">
        <v>76</v>
      </c>
      <c r="C535" s="838"/>
      <c r="D535" s="849">
        <f>P535</f>
        <v>5641.28</v>
      </c>
      <c r="E535" s="29">
        <v>0</v>
      </c>
      <c r="F535" s="30">
        <v>1</v>
      </c>
      <c r="G535" s="28">
        <f t="shared" si="38"/>
        <v>0</v>
      </c>
      <c r="H535" s="129">
        <f t="shared" si="39"/>
        <v>5641.28</v>
      </c>
      <c r="K535" s="871"/>
      <c r="L535" s="506" t="s">
        <v>611</v>
      </c>
      <c r="M535" s="266">
        <v>56412.799999999996</v>
      </c>
      <c r="N535" s="266">
        <v>16923.839999999997</v>
      </c>
      <c r="O535" s="266">
        <v>33847.67999999999</v>
      </c>
      <c r="P535" s="506">
        <v>5641.28</v>
      </c>
      <c r="Q535" s="502"/>
    </row>
    <row r="536" spans="1:17" s="20" customFormat="1" ht="18">
      <c r="A536" s="661"/>
      <c r="B536" s="837" t="s">
        <v>77</v>
      </c>
      <c r="C536" s="838"/>
      <c r="D536" s="849">
        <v>0</v>
      </c>
      <c r="E536" s="29">
        <v>0</v>
      </c>
      <c r="F536" s="30">
        <v>1</v>
      </c>
      <c r="G536" s="28">
        <f t="shared" si="38"/>
        <v>0</v>
      </c>
      <c r="H536" s="129">
        <f t="shared" si="39"/>
        <v>0</v>
      </c>
      <c r="L536" s="506" t="s">
        <v>612</v>
      </c>
      <c r="M536" s="266">
        <v>259592.21</v>
      </c>
      <c r="N536" s="266">
        <v>77877.663</v>
      </c>
      <c r="O536" s="266">
        <v>155755.326</v>
      </c>
      <c r="P536" s="506">
        <v>25959.221</v>
      </c>
      <c r="Q536" s="502"/>
    </row>
    <row r="537" spans="1:17" s="20" customFormat="1" ht="13.5">
      <c r="A537" s="661"/>
      <c r="B537" s="847" t="s">
        <v>78</v>
      </c>
      <c r="C537" s="848"/>
      <c r="D537" s="122">
        <f>P536</f>
        <v>25959.221</v>
      </c>
      <c r="E537" s="29">
        <v>0</v>
      </c>
      <c r="F537" s="30">
        <v>1</v>
      </c>
      <c r="G537" s="28">
        <f t="shared" si="38"/>
        <v>0</v>
      </c>
      <c r="H537" s="129">
        <f t="shared" si="39"/>
        <v>25959.221</v>
      </c>
      <c r="L537" s="506" t="s">
        <v>613</v>
      </c>
      <c r="M537" s="266">
        <v>198461.06</v>
      </c>
      <c r="N537" s="266">
        <v>59538.318</v>
      </c>
      <c r="O537" s="266">
        <v>119076.636</v>
      </c>
      <c r="P537" s="506">
        <v>19846.106</v>
      </c>
      <c r="Q537" s="502"/>
    </row>
    <row r="538" spans="1:17" s="20" customFormat="1" ht="18">
      <c r="A538" s="661"/>
      <c r="B538" s="837" t="s">
        <v>118</v>
      </c>
      <c r="C538" s="838"/>
      <c r="D538" s="122"/>
      <c r="E538" s="29">
        <v>0</v>
      </c>
      <c r="F538" s="30">
        <v>1</v>
      </c>
      <c r="G538" s="28">
        <f t="shared" si="38"/>
        <v>0</v>
      </c>
      <c r="H538" s="129">
        <f t="shared" si="39"/>
        <v>0</v>
      </c>
      <c r="L538" s="506" t="s">
        <v>614</v>
      </c>
      <c r="M538" s="266">
        <v>223890.37399999998</v>
      </c>
      <c r="N538" s="266">
        <v>67167.1122</v>
      </c>
      <c r="O538" s="266">
        <v>134334.2244</v>
      </c>
      <c r="P538" s="506">
        <v>22389.037399999997</v>
      </c>
      <c r="Q538" s="502"/>
    </row>
    <row r="539" spans="1:17" s="20" customFormat="1" ht="18">
      <c r="A539" s="661"/>
      <c r="B539" s="837" t="s">
        <v>123</v>
      </c>
      <c r="C539" s="838"/>
      <c r="D539" s="849">
        <f>P537</f>
        <v>19846.106</v>
      </c>
      <c r="E539" s="29"/>
      <c r="F539" s="30"/>
      <c r="G539" s="28"/>
      <c r="H539" s="129">
        <f t="shared" si="39"/>
        <v>19846.106</v>
      </c>
      <c r="I539" s="1"/>
      <c r="L539" s="506" t="s">
        <v>615</v>
      </c>
      <c r="M539" s="266">
        <v>269795.25299999997</v>
      </c>
      <c r="N539" s="266">
        <v>80938.5759</v>
      </c>
      <c r="O539" s="266">
        <v>161877.1518</v>
      </c>
      <c r="P539" s="506">
        <v>26979.525299999998</v>
      </c>
      <c r="Q539" s="502"/>
    </row>
    <row r="540" spans="1:17" s="20" customFormat="1" ht="18">
      <c r="A540" s="661"/>
      <c r="B540" s="837" t="s">
        <v>79</v>
      </c>
      <c r="C540" s="838"/>
      <c r="D540" s="849">
        <f>P538</f>
        <v>22389.037399999997</v>
      </c>
      <c r="E540" s="29">
        <v>0</v>
      </c>
      <c r="F540" s="30">
        <v>1</v>
      </c>
      <c r="G540" s="28">
        <f t="shared" si="38"/>
        <v>0</v>
      </c>
      <c r="H540" s="129">
        <f t="shared" si="39"/>
        <v>22389.037399999997</v>
      </c>
      <c r="L540" s="506" t="s">
        <v>616</v>
      </c>
      <c r="M540" s="266">
        <v>180455.629</v>
      </c>
      <c r="N540" s="266">
        <v>54136.68869999999</v>
      </c>
      <c r="O540" s="266">
        <v>108273.37739999998</v>
      </c>
      <c r="P540" s="506">
        <v>18045.562899999997</v>
      </c>
      <c r="Q540" s="502"/>
    </row>
    <row r="541" spans="1:17" s="20" customFormat="1" ht="18">
      <c r="A541" s="661"/>
      <c r="B541" s="837" t="s">
        <v>80</v>
      </c>
      <c r="C541" s="838"/>
      <c r="D541" s="849">
        <f>P539</f>
        <v>26979.525299999998</v>
      </c>
      <c r="E541" s="29">
        <v>0</v>
      </c>
      <c r="F541" s="30">
        <v>1</v>
      </c>
      <c r="G541" s="28">
        <f t="shared" si="38"/>
        <v>0</v>
      </c>
      <c r="H541" s="129">
        <f t="shared" si="39"/>
        <v>26979.525299999998</v>
      </c>
      <c r="I541" s="20" t="s">
        <v>495</v>
      </c>
      <c r="L541" s="506" t="s">
        <v>617</v>
      </c>
      <c r="M541" s="266">
        <v>414799.99999999994</v>
      </c>
      <c r="N541" s="266">
        <v>124439.99999999999</v>
      </c>
      <c r="O541" s="266">
        <v>248879.99999999997</v>
      </c>
      <c r="P541" s="506">
        <v>41479.99999999999</v>
      </c>
      <c r="Q541" s="502"/>
    </row>
    <row r="542" spans="1:17" s="20" customFormat="1" ht="18">
      <c r="A542" s="661"/>
      <c r="B542" s="837" t="s">
        <v>81</v>
      </c>
      <c r="C542" s="838"/>
      <c r="D542" s="849"/>
      <c r="E542" s="29">
        <v>0</v>
      </c>
      <c r="F542" s="30">
        <v>1</v>
      </c>
      <c r="G542" s="28">
        <f t="shared" si="38"/>
        <v>0</v>
      </c>
      <c r="H542" s="129">
        <f t="shared" si="39"/>
        <v>0</v>
      </c>
      <c r="L542" s="506" t="s">
        <v>618</v>
      </c>
      <c r="M542" s="266">
        <v>1249585</v>
      </c>
      <c r="N542" s="266">
        <v>374875.5</v>
      </c>
      <c r="O542" s="266">
        <v>749751</v>
      </c>
      <c r="P542" s="506">
        <v>124958.5</v>
      </c>
      <c r="Q542" s="502"/>
    </row>
    <row r="543" spans="1:17" s="20" customFormat="1" ht="18">
      <c r="A543" s="661"/>
      <c r="B543" s="837" t="s">
        <v>119</v>
      </c>
      <c r="C543" s="838"/>
      <c r="D543" s="122"/>
      <c r="E543" s="29"/>
      <c r="F543" s="30"/>
      <c r="G543" s="28"/>
      <c r="H543" s="129">
        <f t="shared" si="39"/>
        <v>0</v>
      </c>
      <c r="L543" s="506" t="s">
        <v>619</v>
      </c>
      <c r="M543" s="266">
        <v>1585514.9279999998</v>
      </c>
      <c r="N543" s="266">
        <v>475654.47839999996</v>
      </c>
      <c r="O543" s="266">
        <v>951308.9567999999</v>
      </c>
      <c r="P543" s="506">
        <v>158551.49279999998</v>
      </c>
      <c r="Q543" s="502"/>
    </row>
    <row r="544" spans="1:17" s="20" customFormat="1" ht="18">
      <c r="A544" s="661"/>
      <c r="B544" s="842" t="s">
        <v>82</v>
      </c>
      <c r="C544" s="843"/>
      <c r="D544" s="654"/>
      <c r="E544" s="655"/>
      <c r="F544" s="655"/>
      <c r="G544" s="655"/>
      <c r="H544" s="656"/>
      <c r="L544" s="506" t="s">
        <v>620</v>
      </c>
      <c r="M544" s="266">
        <v>960353.2559999999</v>
      </c>
      <c r="N544" s="266">
        <v>288105.9768</v>
      </c>
      <c r="O544" s="266">
        <v>576211.9536</v>
      </c>
      <c r="P544" s="506">
        <v>96035.32559999998</v>
      </c>
      <c r="Q544" s="502"/>
    </row>
    <row r="545" spans="1:17" s="20" customFormat="1" ht="18">
      <c r="A545" s="661"/>
      <c r="B545" s="834" t="s">
        <v>130</v>
      </c>
      <c r="C545" s="835"/>
      <c r="D545" s="849">
        <f>P525</f>
        <v>136921.332</v>
      </c>
      <c r="E545" s="29">
        <v>0</v>
      </c>
      <c r="F545" s="31">
        <v>1</v>
      </c>
      <c r="G545" s="28">
        <f>E545*F545</f>
        <v>0</v>
      </c>
      <c r="H545" s="129">
        <f>D545</f>
        <v>136921.332</v>
      </c>
      <c r="I545" s="4"/>
      <c r="J545" s="705"/>
      <c r="K545" s="705"/>
      <c r="L545" s="511" t="s">
        <v>621</v>
      </c>
      <c r="M545" s="507">
        <v>506972.708</v>
      </c>
      <c r="N545" s="266">
        <v>152091.8124</v>
      </c>
      <c r="O545" s="266">
        <v>304183.6248</v>
      </c>
      <c r="P545" s="506">
        <v>50697.2708</v>
      </c>
      <c r="Q545" s="502"/>
    </row>
    <row r="546" spans="1:17" s="20" customFormat="1" ht="18">
      <c r="A546" s="661"/>
      <c r="B546" s="834" t="s">
        <v>40</v>
      </c>
      <c r="C546" s="835"/>
      <c r="D546" s="849">
        <f>P526</f>
        <v>122911.8768</v>
      </c>
      <c r="E546" s="29">
        <v>0</v>
      </c>
      <c r="F546" s="30">
        <v>1</v>
      </c>
      <c r="G546" s="28">
        <f aca="true" t="shared" si="40" ref="G546:G553">E546*F546</f>
        <v>0</v>
      </c>
      <c r="H546" s="129">
        <f aca="true" t="shared" si="41" ref="H546:H553">D546</f>
        <v>122911.8768</v>
      </c>
      <c r="I546" s="4"/>
      <c r="J546" s="500"/>
      <c r="K546" s="500"/>
      <c r="L546" s="506" t="s">
        <v>622</v>
      </c>
      <c r="M546" s="266">
        <v>325024.83599999995</v>
      </c>
      <c r="N546" s="266">
        <v>97507.45079999998</v>
      </c>
      <c r="O546" s="266">
        <v>195014.90159999995</v>
      </c>
      <c r="P546" s="506">
        <v>32502.483599999992</v>
      </c>
      <c r="Q546" s="502"/>
    </row>
    <row r="547" spans="1:17" s="20" customFormat="1" ht="18">
      <c r="A547" s="661"/>
      <c r="B547" s="834" t="s">
        <v>41</v>
      </c>
      <c r="C547" s="835"/>
      <c r="D547" s="849">
        <f>P527</f>
        <v>293603.736</v>
      </c>
      <c r="E547" s="29">
        <v>0</v>
      </c>
      <c r="F547" s="30">
        <v>1</v>
      </c>
      <c r="G547" s="28">
        <f t="shared" si="40"/>
        <v>0</v>
      </c>
      <c r="H547" s="129">
        <f t="shared" si="41"/>
        <v>293603.736</v>
      </c>
      <c r="I547" s="4"/>
      <c r="J547" s="500"/>
      <c r="K547" s="500"/>
      <c r="L547" s="266" t="s">
        <v>623</v>
      </c>
      <c r="M547" s="266">
        <v>718496</v>
      </c>
      <c r="N547" s="266">
        <v>215548.8</v>
      </c>
      <c r="O547" s="266">
        <v>431097.6</v>
      </c>
      <c r="P547" s="506">
        <v>71849.6</v>
      </c>
      <c r="Q547" s="502"/>
    </row>
    <row r="548" spans="1:17" s="20" customFormat="1" ht="18">
      <c r="A548" s="661"/>
      <c r="B548" s="834" t="s">
        <v>83</v>
      </c>
      <c r="C548" s="835"/>
      <c r="D548" s="122">
        <v>0</v>
      </c>
      <c r="E548" s="29">
        <v>0</v>
      </c>
      <c r="F548" s="30">
        <v>1</v>
      </c>
      <c r="G548" s="28">
        <f t="shared" si="40"/>
        <v>0</v>
      </c>
      <c r="H548" s="129">
        <f t="shared" si="41"/>
        <v>0</v>
      </c>
      <c r="J548" s="500"/>
      <c r="K548" s="500"/>
      <c r="L548" s="266" t="s">
        <v>624</v>
      </c>
      <c r="M548" s="266">
        <v>226696</v>
      </c>
      <c r="N548" s="266">
        <v>68008.8</v>
      </c>
      <c r="O548" s="266">
        <v>136017.6</v>
      </c>
      <c r="P548" s="506">
        <v>22669.6</v>
      </c>
      <c r="Q548" s="502"/>
    </row>
    <row r="549" spans="1:16" s="20" customFormat="1" ht="18">
      <c r="A549" s="661"/>
      <c r="B549" s="834" t="s">
        <v>84</v>
      </c>
      <c r="C549" s="835"/>
      <c r="D549" s="849">
        <f>P529</f>
        <v>39055.49399999999</v>
      </c>
      <c r="E549" s="29">
        <v>0</v>
      </c>
      <c r="F549" s="30">
        <v>1</v>
      </c>
      <c r="G549" s="28">
        <f t="shared" si="40"/>
        <v>0</v>
      </c>
      <c r="H549" s="129">
        <f t="shared" si="41"/>
        <v>39055.49399999999</v>
      </c>
      <c r="I549" s="4"/>
      <c r="J549" s="500"/>
      <c r="K549" s="500"/>
      <c r="L549" s="266" t="s">
        <v>632</v>
      </c>
      <c r="M549" s="266">
        <v>1633155</v>
      </c>
      <c r="N549" s="266">
        <v>489946.5</v>
      </c>
      <c r="O549" s="266">
        <v>979893</v>
      </c>
      <c r="P549" s="506">
        <v>163315.5</v>
      </c>
    </row>
    <row r="550" spans="1:16" s="20" customFormat="1" ht="18">
      <c r="A550" s="661"/>
      <c r="B550" s="834" t="s">
        <v>85</v>
      </c>
      <c r="C550" s="835"/>
      <c r="D550" s="122">
        <f>M551</f>
        <v>0</v>
      </c>
      <c r="E550" s="29">
        <v>0</v>
      </c>
      <c r="F550" s="30">
        <v>1</v>
      </c>
      <c r="G550" s="28">
        <f t="shared" si="40"/>
        <v>0</v>
      </c>
      <c r="H550" s="129">
        <f t="shared" si="41"/>
        <v>0</v>
      </c>
      <c r="J550" s="500"/>
      <c r="K550" s="500"/>
      <c r="L550" s="500" t="s">
        <v>633</v>
      </c>
      <c r="M550" s="500">
        <v>3384000</v>
      </c>
      <c r="N550" s="20">
        <v>1015200</v>
      </c>
      <c r="O550" s="20">
        <v>2030400</v>
      </c>
      <c r="P550" s="510">
        <v>338400</v>
      </c>
    </row>
    <row r="551" spans="1:13" s="20" customFormat="1" ht="18">
      <c r="A551" s="661"/>
      <c r="B551" s="834" t="s">
        <v>86</v>
      </c>
      <c r="C551" s="835"/>
      <c r="D551" s="122">
        <f>P531</f>
        <v>37269.78</v>
      </c>
      <c r="E551" s="29">
        <v>0</v>
      </c>
      <c r="F551" s="30">
        <v>1</v>
      </c>
      <c r="G551" s="28">
        <f t="shared" si="40"/>
        <v>0</v>
      </c>
      <c r="H551" s="129">
        <f t="shared" si="41"/>
        <v>37269.78</v>
      </c>
      <c r="J551" s="500"/>
      <c r="K551" s="500"/>
      <c r="L551" s="500"/>
      <c r="M551" s="500"/>
    </row>
    <row r="552" spans="1:13" s="20" customFormat="1" ht="18">
      <c r="A552" s="661"/>
      <c r="B552" s="834" t="s">
        <v>87</v>
      </c>
      <c r="C552" s="835"/>
      <c r="D552" s="122">
        <v>0</v>
      </c>
      <c r="E552" s="29">
        <v>0</v>
      </c>
      <c r="F552" s="30">
        <v>1</v>
      </c>
      <c r="G552" s="28">
        <f t="shared" si="40"/>
        <v>0</v>
      </c>
      <c r="H552" s="129">
        <f t="shared" si="41"/>
        <v>0</v>
      </c>
      <c r="J552" s="500"/>
      <c r="K552" s="500"/>
      <c r="L552" s="500"/>
      <c r="M552" s="500"/>
    </row>
    <row r="553" spans="1:8" s="20" customFormat="1" ht="18">
      <c r="A553" s="661"/>
      <c r="B553" s="834" t="s">
        <v>88</v>
      </c>
      <c r="C553" s="835"/>
      <c r="D553" s="122">
        <v>0</v>
      </c>
      <c r="E553" s="29">
        <v>0</v>
      </c>
      <c r="F553" s="30">
        <v>1</v>
      </c>
      <c r="G553" s="28">
        <f t="shared" si="40"/>
        <v>0</v>
      </c>
      <c r="H553" s="129">
        <f t="shared" si="41"/>
        <v>0</v>
      </c>
    </row>
    <row r="554" spans="1:13" s="20" customFormat="1" ht="18">
      <c r="A554" s="661"/>
      <c r="B554" s="657" t="s">
        <v>89</v>
      </c>
      <c r="C554" s="658"/>
      <c r="D554" s="654"/>
      <c r="E554" s="655"/>
      <c r="F554" s="655"/>
      <c r="G554" s="655"/>
      <c r="H554" s="656"/>
      <c r="K554" s="502"/>
      <c r="L554" s="502"/>
      <c r="M554" s="502"/>
    </row>
    <row r="555" spans="1:9" s="20" customFormat="1" ht="18">
      <c r="A555" s="661"/>
      <c r="B555" s="837" t="s">
        <v>90</v>
      </c>
      <c r="C555" s="838"/>
      <c r="D555" s="122"/>
      <c r="E555" s="29"/>
      <c r="F555" s="30"/>
      <c r="G555" s="28"/>
      <c r="H555" s="129"/>
      <c r="I555" s="1"/>
    </row>
    <row r="556" spans="1:8" s="20" customFormat="1" ht="18">
      <c r="A556" s="661"/>
      <c r="B556" s="837" t="s">
        <v>91</v>
      </c>
      <c r="C556" s="838"/>
      <c r="D556" s="122"/>
      <c r="E556" s="29">
        <v>0</v>
      </c>
      <c r="F556" s="30">
        <v>1</v>
      </c>
      <c r="G556" s="28">
        <f aca="true" t="shared" si="42" ref="G556:G561">E556*F556</f>
        <v>0</v>
      </c>
      <c r="H556" s="129">
        <f aca="true" t="shared" si="43" ref="H556:H561">G556+D556</f>
        <v>0</v>
      </c>
    </row>
    <row r="557" spans="1:8" s="20" customFormat="1" ht="18">
      <c r="A557" s="661"/>
      <c r="B557" s="837" t="s">
        <v>92</v>
      </c>
      <c r="C557" s="838"/>
      <c r="D557" s="122">
        <v>0</v>
      </c>
      <c r="E557" s="29">
        <v>0</v>
      </c>
      <c r="F557" s="30">
        <v>1</v>
      </c>
      <c r="G557" s="28">
        <f t="shared" si="42"/>
        <v>0</v>
      </c>
      <c r="H557" s="129">
        <f t="shared" si="43"/>
        <v>0</v>
      </c>
    </row>
    <row r="558" spans="1:9" s="20" customFormat="1" ht="18">
      <c r="A558" s="661"/>
      <c r="B558" s="837" t="s">
        <v>93</v>
      </c>
      <c r="C558" s="838"/>
      <c r="D558" s="849">
        <f>P541</f>
        <v>41479.99999999999</v>
      </c>
      <c r="E558" s="29">
        <v>0</v>
      </c>
      <c r="F558" s="30">
        <v>1</v>
      </c>
      <c r="G558" s="28">
        <f t="shared" si="42"/>
        <v>0</v>
      </c>
      <c r="H558" s="129">
        <v>47101</v>
      </c>
      <c r="I558" s="1"/>
    </row>
    <row r="559" spans="1:8" s="20" customFormat="1" ht="18">
      <c r="A559" s="661"/>
      <c r="B559" s="837" t="s">
        <v>94</v>
      </c>
      <c r="C559" s="838"/>
      <c r="D559" s="122">
        <v>0</v>
      </c>
      <c r="E559" s="29">
        <v>0</v>
      </c>
      <c r="F559" s="30">
        <v>1</v>
      </c>
      <c r="G559" s="28">
        <f t="shared" si="42"/>
        <v>0</v>
      </c>
      <c r="H559" s="129">
        <f t="shared" si="43"/>
        <v>0</v>
      </c>
    </row>
    <row r="560" spans="1:8" s="20" customFormat="1" ht="18">
      <c r="A560" s="661"/>
      <c r="B560" s="837" t="s">
        <v>95</v>
      </c>
      <c r="C560" s="838"/>
      <c r="D560" s="122">
        <v>0</v>
      </c>
      <c r="E560" s="29">
        <v>0</v>
      </c>
      <c r="F560" s="30">
        <v>1</v>
      </c>
      <c r="G560" s="28">
        <f t="shared" si="42"/>
        <v>0</v>
      </c>
      <c r="H560" s="129">
        <f t="shared" si="43"/>
        <v>0</v>
      </c>
    </row>
    <row r="561" spans="1:8" s="20" customFormat="1" ht="18">
      <c r="A561" s="661"/>
      <c r="B561" s="837" t="s">
        <v>96</v>
      </c>
      <c r="C561" s="838"/>
      <c r="D561" s="122">
        <f>P542</f>
        <v>124958.5</v>
      </c>
      <c r="E561" s="29">
        <v>0</v>
      </c>
      <c r="F561" s="30">
        <v>1</v>
      </c>
      <c r="G561" s="28">
        <f t="shared" si="42"/>
        <v>0</v>
      </c>
      <c r="H561" s="129">
        <f t="shared" si="43"/>
        <v>124958.5</v>
      </c>
    </row>
    <row r="562" spans="1:8" s="20" customFormat="1" ht="18">
      <c r="A562" s="661"/>
      <c r="B562" s="657" t="s">
        <v>97</v>
      </c>
      <c r="C562" s="658"/>
      <c r="D562" s="654"/>
      <c r="E562" s="655"/>
      <c r="F562" s="655"/>
      <c r="G562" s="655"/>
      <c r="H562" s="656"/>
    </row>
    <row r="563" spans="1:8" s="20" customFormat="1" ht="18">
      <c r="A563" s="661"/>
      <c r="B563" s="834" t="s">
        <v>98</v>
      </c>
      <c r="C563" s="835"/>
      <c r="D563" s="122">
        <v>0</v>
      </c>
      <c r="E563" s="29">
        <v>0</v>
      </c>
      <c r="F563" s="30">
        <v>1</v>
      </c>
      <c r="G563" s="28">
        <f>E563*F563</f>
        <v>0</v>
      </c>
      <c r="H563" s="129">
        <f>G563+D563</f>
        <v>0</v>
      </c>
    </row>
    <row r="564" spans="1:8" s="20" customFormat="1" ht="18">
      <c r="A564" s="661"/>
      <c r="B564" s="834" t="s">
        <v>99</v>
      </c>
      <c r="C564" s="835"/>
      <c r="D564" s="122"/>
      <c r="E564" s="29">
        <v>0</v>
      </c>
      <c r="F564" s="30">
        <v>1</v>
      </c>
      <c r="G564" s="28">
        <f>E564*F564</f>
        <v>0</v>
      </c>
      <c r="H564" s="129">
        <f>G564+D564</f>
        <v>0</v>
      </c>
    </row>
    <row r="565" spans="1:8" s="20" customFormat="1" ht="18">
      <c r="A565" s="661"/>
      <c r="B565" s="834" t="s">
        <v>100</v>
      </c>
      <c r="C565" s="835"/>
      <c r="D565" s="122">
        <v>0</v>
      </c>
      <c r="E565" s="29">
        <v>0</v>
      </c>
      <c r="F565" s="30">
        <v>1</v>
      </c>
      <c r="G565" s="28">
        <f>E565*F565</f>
        <v>0</v>
      </c>
      <c r="H565" s="129">
        <f>G565+D565</f>
        <v>0</v>
      </c>
    </row>
    <row r="566" spans="1:8" s="20" customFormat="1" ht="18">
      <c r="A566" s="661"/>
      <c r="B566" s="657" t="s">
        <v>42</v>
      </c>
      <c r="C566" s="658"/>
      <c r="D566" s="654"/>
      <c r="E566" s="655"/>
      <c r="F566" s="655"/>
      <c r="G566" s="655"/>
      <c r="H566" s="656"/>
    </row>
    <row r="567" spans="1:8" s="20" customFormat="1" ht="18">
      <c r="A567" s="661"/>
      <c r="B567" s="837" t="s">
        <v>132</v>
      </c>
      <c r="C567" s="838"/>
      <c r="D567" s="122"/>
      <c r="E567" s="29">
        <v>0</v>
      </c>
      <c r="F567" s="30">
        <v>1</v>
      </c>
      <c r="G567" s="28">
        <f aca="true" t="shared" si="44" ref="G567:G572">E567*F567</f>
        <v>0</v>
      </c>
      <c r="H567" s="129">
        <f aca="true" t="shared" si="45" ref="H567:H572">G567+D567</f>
        <v>0</v>
      </c>
    </row>
    <row r="568" spans="1:9" s="20" customFormat="1" ht="18">
      <c r="A568" s="661"/>
      <c r="B568" s="834" t="s">
        <v>101</v>
      </c>
      <c r="C568" s="835"/>
      <c r="D568" s="122">
        <f>P543</f>
        <v>158551.49279999998</v>
      </c>
      <c r="E568" s="29">
        <v>0</v>
      </c>
      <c r="F568" s="30">
        <v>1</v>
      </c>
      <c r="G568" s="28">
        <f t="shared" si="44"/>
        <v>0</v>
      </c>
      <c r="H568" s="129">
        <f t="shared" si="45"/>
        <v>158551.49279999998</v>
      </c>
      <c r="I568" s="138"/>
    </row>
    <row r="569" spans="1:9" s="20" customFormat="1" ht="18">
      <c r="A569" s="661"/>
      <c r="B569" s="834" t="s">
        <v>102</v>
      </c>
      <c r="C569" s="835"/>
      <c r="D569" s="122">
        <f>P544</f>
        <v>96035.32559999998</v>
      </c>
      <c r="E569" s="29">
        <v>0</v>
      </c>
      <c r="F569" s="30">
        <v>1</v>
      </c>
      <c r="G569" s="28">
        <f t="shared" si="44"/>
        <v>0</v>
      </c>
      <c r="H569" s="129">
        <f t="shared" si="45"/>
        <v>96035.32559999998</v>
      </c>
      <c r="I569" s="138"/>
    </row>
    <row r="570" spans="1:9" s="20" customFormat="1" ht="18">
      <c r="A570" s="661"/>
      <c r="B570" s="834" t="s">
        <v>103</v>
      </c>
      <c r="C570" s="835"/>
      <c r="D570" s="122">
        <f>P545</f>
        <v>50697.2708</v>
      </c>
      <c r="E570" s="29"/>
      <c r="F570" s="30">
        <v>1</v>
      </c>
      <c r="G570" s="28">
        <f t="shared" si="44"/>
        <v>0</v>
      </c>
      <c r="H570" s="129">
        <f t="shared" si="45"/>
        <v>50697.2708</v>
      </c>
      <c r="I570" s="138"/>
    </row>
    <row r="571" spans="1:8" s="20" customFormat="1" ht="18">
      <c r="A571" s="661"/>
      <c r="B571" s="834" t="s">
        <v>104</v>
      </c>
      <c r="C571" s="835"/>
      <c r="D571" s="122"/>
      <c r="E571" s="29">
        <v>0</v>
      </c>
      <c r="F571" s="30">
        <v>1</v>
      </c>
      <c r="G571" s="28">
        <f t="shared" si="44"/>
        <v>0</v>
      </c>
      <c r="H571" s="129">
        <f t="shared" si="45"/>
        <v>0</v>
      </c>
    </row>
    <row r="572" spans="1:8" s="20" customFormat="1" ht="18">
      <c r="A572" s="661"/>
      <c r="B572" s="834" t="s">
        <v>177</v>
      </c>
      <c r="C572" s="835"/>
      <c r="D572" s="122"/>
      <c r="E572" s="29">
        <v>0</v>
      </c>
      <c r="F572" s="30">
        <v>1</v>
      </c>
      <c r="G572" s="28">
        <f t="shared" si="44"/>
        <v>0</v>
      </c>
      <c r="H572" s="129">
        <f t="shared" si="45"/>
        <v>0</v>
      </c>
    </row>
    <row r="573" spans="1:8" s="20" customFormat="1" ht="18">
      <c r="A573" s="661"/>
      <c r="B573" s="657" t="s">
        <v>106</v>
      </c>
      <c r="C573" s="658"/>
      <c r="D573" s="654"/>
      <c r="E573" s="655"/>
      <c r="F573" s="655"/>
      <c r="G573" s="655"/>
      <c r="H573" s="656"/>
    </row>
    <row r="574" spans="1:9" s="20" customFormat="1" ht="18">
      <c r="A574" s="661"/>
      <c r="B574" s="834" t="s">
        <v>121</v>
      </c>
      <c r="C574" s="835"/>
      <c r="D574" s="122">
        <f>P546</f>
        <v>32502.483599999992</v>
      </c>
      <c r="E574" s="29">
        <v>0</v>
      </c>
      <c r="F574" s="30">
        <v>1</v>
      </c>
      <c r="G574" s="28">
        <f>F574*E574</f>
        <v>0</v>
      </c>
      <c r="H574" s="129">
        <f>G574+D574</f>
        <v>32502.483599999992</v>
      </c>
      <c r="I574" s="138"/>
    </row>
    <row r="575" spans="1:11" s="20" customFormat="1" ht="18">
      <c r="A575" s="661"/>
      <c r="B575" s="834" t="s">
        <v>122</v>
      </c>
      <c r="C575" s="835"/>
      <c r="D575" s="849"/>
      <c r="E575" s="29">
        <v>0</v>
      </c>
      <c r="F575" s="30">
        <v>1</v>
      </c>
      <c r="G575" s="28">
        <f>F575*E575</f>
        <v>0</v>
      </c>
      <c r="H575" s="129">
        <f>G575+D575</f>
        <v>0</v>
      </c>
      <c r="I575" s="102"/>
      <c r="J575" s="102"/>
      <c r="K575" s="244"/>
    </row>
    <row r="576" spans="1:8" s="20" customFormat="1" ht="18">
      <c r="A576" s="661"/>
      <c r="B576" s="657" t="s">
        <v>107</v>
      </c>
      <c r="C576" s="658"/>
      <c r="D576" s="654"/>
      <c r="E576" s="655"/>
      <c r="F576" s="655"/>
      <c r="G576" s="655"/>
      <c r="H576" s="656"/>
    </row>
    <row r="577" spans="1:8" s="20" customFormat="1" ht="18">
      <c r="A577" s="661"/>
      <c r="B577" s="834" t="s">
        <v>108</v>
      </c>
      <c r="C577" s="835"/>
      <c r="D577" s="849">
        <f>P547</f>
        <v>71849.6</v>
      </c>
      <c r="E577" s="29">
        <v>0</v>
      </c>
      <c r="F577" s="30">
        <v>1</v>
      </c>
      <c r="G577" s="28">
        <f>E577*F577</f>
        <v>0</v>
      </c>
      <c r="H577" s="129">
        <f>G577+D577</f>
        <v>71849.6</v>
      </c>
    </row>
    <row r="578" spans="1:8" s="20" customFormat="1" ht="18">
      <c r="A578" s="661"/>
      <c r="B578" s="834" t="s">
        <v>109</v>
      </c>
      <c r="C578" s="835"/>
      <c r="D578" s="122">
        <v>0</v>
      </c>
      <c r="E578" s="29">
        <v>0</v>
      </c>
      <c r="F578" s="30">
        <v>1</v>
      </c>
      <c r="G578" s="28">
        <f>E578*F578</f>
        <v>0</v>
      </c>
      <c r="H578" s="129">
        <f>G578+D578</f>
        <v>0</v>
      </c>
    </row>
    <row r="579" spans="1:8" s="20" customFormat="1" ht="18">
      <c r="A579" s="661"/>
      <c r="B579" s="834" t="s">
        <v>110</v>
      </c>
      <c r="C579" s="835"/>
      <c r="D579" s="122">
        <v>0</v>
      </c>
      <c r="E579" s="29">
        <v>0</v>
      </c>
      <c r="F579" s="30">
        <v>1</v>
      </c>
      <c r="G579" s="28">
        <f>E579*F579</f>
        <v>0</v>
      </c>
      <c r="H579" s="129">
        <f>G579+D579</f>
        <v>0</v>
      </c>
    </row>
    <row r="580" spans="1:8" s="20" customFormat="1" ht="18">
      <c r="A580" s="661"/>
      <c r="B580" s="837" t="s">
        <v>111</v>
      </c>
      <c r="C580" s="838"/>
      <c r="D580" s="124">
        <f>P548</f>
        <v>22669.6</v>
      </c>
      <c r="E580" s="54">
        <v>0</v>
      </c>
      <c r="F580" s="55">
        <v>1</v>
      </c>
      <c r="G580" s="28">
        <f>E580*F580</f>
        <v>0</v>
      </c>
      <c r="H580" s="131">
        <f>G580+D580</f>
        <v>22669.6</v>
      </c>
    </row>
    <row r="581" spans="1:8" s="20" customFormat="1" ht="18">
      <c r="A581" s="661"/>
      <c r="B581" s="657" t="s">
        <v>112</v>
      </c>
      <c r="C581" s="658"/>
      <c r="D581" s="663"/>
      <c r="E581" s="664"/>
      <c r="F581" s="664"/>
      <c r="G581" s="664"/>
      <c r="H581" s="665"/>
    </row>
    <row r="582" spans="1:9" s="20" customFormat="1" ht="18">
      <c r="A582" s="661"/>
      <c r="B582" s="837" t="s">
        <v>113</v>
      </c>
      <c r="C582" s="838"/>
      <c r="D582" s="849">
        <f>P550</f>
        <v>338400</v>
      </c>
      <c r="E582" s="29"/>
      <c r="F582" s="30"/>
      <c r="G582" s="28">
        <f>E582*F582</f>
        <v>0</v>
      </c>
      <c r="H582" s="129">
        <f>D582</f>
        <v>338400</v>
      </c>
      <c r="I582" s="20" t="s">
        <v>592</v>
      </c>
    </row>
    <row r="583" spans="1:8" s="20" customFormat="1" ht="18">
      <c r="A583" s="661"/>
      <c r="B583" s="837" t="s">
        <v>120</v>
      </c>
      <c r="C583" s="838"/>
      <c r="D583" s="849"/>
      <c r="E583" s="29">
        <v>0</v>
      </c>
      <c r="F583" s="30">
        <v>1</v>
      </c>
      <c r="G583" s="28">
        <f>E583*F583</f>
        <v>0</v>
      </c>
      <c r="H583" s="129">
        <f>G583+D583</f>
        <v>0</v>
      </c>
    </row>
    <row r="584" spans="1:8" s="20" customFormat="1" ht="18">
      <c r="A584" s="661"/>
      <c r="B584" s="853" t="s">
        <v>114</v>
      </c>
      <c r="C584" s="854"/>
      <c r="D584" s="123">
        <f>SUM(D585:D589)</f>
        <v>110000</v>
      </c>
      <c r="E584" s="27">
        <f>SUM(E585:E589)</f>
        <v>0</v>
      </c>
      <c r="F584" s="61"/>
      <c r="G584" s="27">
        <f>SUM(G585:G589)</f>
        <v>0</v>
      </c>
      <c r="H584" s="130">
        <f>SUM(H585:H589)</f>
        <v>110000</v>
      </c>
    </row>
    <row r="585" spans="1:8" s="20" customFormat="1" ht="18">
      <c r="A585" s="661"/>
      <c r="B585" s="855" t="s">
        <v>124</v>
      </c>
      <c r="C585" s="856"/>
      <c r="D585" s="122">
        <v>0</v>
      </c>
      <c r="E585" s="54">
        <v>0</v>
      </c>
      <c r="F585" s="55">
        <v>1</v>
      </c>
      <c r="G585" s="53">
        <f>E585*F585</f>
        <v>0</v>
      </c>
      <c r="H585" s="131">
        <f>G585+D585</f>
        <v>0</v>
      </c>
    </row>
    <row r="586" spans="1:9" s="20" customFormat="1" ht="18">
      <c r="A586" s="661"/>
      <c r="B586" s="855" t="s">
        <v>125</v>
      </c>
      <c r="C586" s="856"/>
      <c r="D586" s="122">
        <v>70000</v>
      </c>
      <c r="E586" s="29">
        <v>0</v>
      </c>
      <c r="F586" s="30">
        <v>1</v>
      </c>
      <c r="G586" s="28">
        <f>E586*F586</f>
        <v>0</v>
      </c>
      <c r="H586" s="129">
        <v>70000</v>
      </c>
      <c r="I586" s="1" t="s">
        <v>484</v>
      </c>
    </row>
    <row r="587" spans="1:17" s="20" customFormat="1" ht="18">
      <c r="A587" s="661"/>
      <c r="B587" s="855" t="s">
        <v>126</v>
      </c>
      <c r="C587" s="856"/>
      <c r="D587" s="122">
        <v>40000</v>
      </c>
      <c r="E587" s="29"/>
      <c r="F587" s="30"/>
      <c r="G587" s="28"/>
      <c r="H587" s="129">
        <v>40000</v>
      </c>
      <c r="I587" s="1" t="s">
        <v>485</v>
      </c>
      <c r="K587" s="167"/>
      <c r="L587" s="167"/>
      <c r="M587" s="167"/>
      <c r="N587" s="167"/>
      <c r="O587" s="167"/>
      <c r="P587" s="167"/>
      <c r="Q587" s="167"/>
    </row>
    <row r="588" spans="1:17" s="20" customFormat="1" ht="18">
      <c r="A588" s="661"/>
      <c r="B588" s="855" t="s">
        <v>127</v>
      </c>
      <c r="C588" s="856"/>
      <c r="D588" s="122">
        <v>0</v>
      </c>
      <c r="E588" s="29">
        <v>0</v>
      </c>
      <c r="F588" s="30">
        <v>1</v>
      </c>
      <c r="G588" s="28">
        <f>E588*F588</f>
        <v>0</v>
      </c>
      <c r="H588" s="129">
        <f>G588+D588</f>
        <v>0</v>
      </c>
      <c r="K588" s="167"/>
      <c r="L588" s="167"/>
      <c r="M588" s="167"/>
      <c r="N588" s="167"/>
      <c r="O588" s="167"/>
      <c r="P588" s="167"/>
      <c r="Q588" s="167"/>
    </row>
    <row r="589" spans="1:17" s="20" customFormat="1" ht="18">
      <c r="A589" s="661"/>
      <c r="B589" s="855" t="s">
        <v>128</v>
      </c>
      <c r="C589" s="856"/>
      <c r="D589" s="122">
        <v>0</v>
      </c>
      <c r="E589" s="54">
        <v>0</v>
      </c>
      <c r="F589" s="55">
        <v>1</v>
      </c>
      <c r="G589" s="53">
        <f>E589*F589</f>
        <v>0</v>
      </c>
      <c r="H589" s="131">
        <f>G589+D589</f>
        <v>0</v>
      </c>
      <c r="K589" s="167"/>
      <c r="L589" s="167"/>
      <c r="M589" s="167"/>
      <c r="N589" s="167"/>
      <c r="O589" s="167"/>
      <c r="P589" s="167"/>
      <c r="Q589" s="167"/>
    </row>
    <row r="590" spans="1:17" s="20" customFormat="1" ht="18" thickBot="1">
      <c r="A590" s="662"/>
      <c r="B590" s="857" t="s">
        <v>43</v>
      </c>
      <c r="C590" s="858"/>
      <c r="D590" s="125">
        <f>SUM(D508,D520,D584)</f>
        <v>26350880.964116313</v>
      </c>
      <c r="E590" s="107">
        <f>SUM(E584,E520,E508)</f>
        <v>19550</v>
      </c>
      <c r="F590" s="108"/>
      <c r="G590" s="109">
        <f>SUM(G584,G520,G508)</f>
        <v>223800</v>
      </c>
      <c r="H590" s="132">
        <f>SUM(H584,H520,H508)</f>
        <v>26242561.964116313</v>
      </c>
      <c r="K590" s="167"/>
      <c r="L590" s="167"/>
      <c r="M590" s="167"/>
      <c r="N590" s="167"/>
      <c r="O590" s="167"/>
      <c r="P590" s="167"/>
      <c r="Q590" s="167"/>
    </row>
    <row r="591" spans="1:24" ht="15.75" customHeight="1" thickBot="1">
      <c r="A591" s="629" t="s">
        <v>182</v>
      </c>
      <c r="B591" s="669" t="s">
        <v>115</v>
      </c>
      <c r="C591" s="670"/>
      <c r="D591" s="123">
        <f>SUM(D601:D602,D599,D593:D597)</f>
        <v>164969578.10909703</v>
      </c>
      <c r="E591" s="27">
        <f>SUM(E601:E602,E599,E593:E597)</f>
        <v>0</v>
      </c>
      <c r="F591" s="61"/>
      <c r="G591" s="27">
        <f>SUM(G601:G602,G599,G593:G597)</f>
        <v>0</v>
      </c>
      <c r="H591" s="246">
        <f>SUM(H601:H602,H599,H593:H597)</f>
        <v>164969578.10909703</v>
      </c>
      <c r="I591" s="249" t="s">
        <v>182</v>
      </c>
      <c r="J591" s="247"/>
      <c r="K591" s="248"/>
      <c r="L591" s="248"/>
      <c r="M591" s="248"/>
      <c r="N591" s="248"/>
      <c r="O591" s="248"/>
      <c r="P591" s="248"/>
      <c r="Q591" s="248"/>
      <c r="R591" s="247"/>
      <c r="S591" s="247"/>
      <c r="T591" s="247"/>
      <c r="U591" s="247"/>
      <c r="V591" s="247"/>
      <c r="W591" s="247"/>
      <c r="X591" s="247"/>
    </row>
    <row r="592" spans="1:17" ht="24" thickBot="1">
      <c r="A592" s="630"/>
      <c r="B592" s="657" t="s">
        <v>56</v>
      </c>
      <c r="C592" s="658"/>
      <c r="D592" s="654"/>
      <c r="E592" s="655"/>
      <c r="F592" s="655"/>
      <c r="G592" s="655"/>
      <c r="H592" s="656"/>
      <c r="I592" s="215" t="s">
        <v>356</v>
      </c>
      <c r="J592" s="216">
        <v>81</v>
      </c>
      <c r="K592" s="659"/>
      <c r="L592" s="659"/>
      <c r="M592" s="659"/>
      <c r="N592" s="170"/>
      <c r="O592" s="170"/>
      <c r="P592" s="167"/>
      <c r="Q592" s="167"/>
    </row>
    <row r="593" spans="1:17" ht="18">
      <c r="A593" s="630"/>
      <c r="B593" s="834" t="s">
        <v>57</v>
      </c>
      <c r="C593" s="835"/>
      <c r="D593" s="859">
        <f>+M601</f>
        <v>155350992.58890796</v>
      </c>
      <c r="E593" s="29"/>
      <c r="F593" s="30"/>
      <c r="G593" s="28"/>
      <c r="H593" s="129">
        <f>G593+D593</f>
        <v>155350992.58890796</v>
      </c>
      <c r="K593" s="652" t="s">
        <v>654</v>
      </c>
      <c r="L593" s="652"/>
      <c r="M593" s="652"/>
      <c r="N593" s="170"/>
      <c r="O593" s="217" t="s">
        <v>228</v>
      </c>
      <c r="P593" s="218">
        <f>'[1]EDUCACIONAL'!$BH$132</f>
        <v>2447320</v>
      </c>
      <c r="Q593" s="167"/>
    </row>
    <row r="594" spans="1:17" ht="18">
      <c r="A594" s="630"/>
      <c r="B594" s="834" t="s">
        <v>181</v>
      </c>
      <c r="C594" s="835"/>
      <c r="D594" s="859">
        <f>+P593</f>
        <v>2447320</v>
      </c>
      <c r="E594" s="29">
        <v>0</v>
      </c>
      <c r="F594" s="30">
        <v>1</v>
      </c>
      <c r="G594" s="28">
        <f>E594*F594</f>
        <v>0</v>
      </c>
      <c r="H594" s="129">
        <f>G594+D594</f>
        <v>2447320</v>
      </c>
      <c r="K594" s="219" t="s">
        <v>229</v>
      </c>
      <c r="L594" s="220">
        <v>6</v>
      </c>
      <c r="M594" s="218">
        <f>'[1]EDUCACIONAL'!$BL$132</f>
        <v>48993084.03534</v>
      </c>
      <c r="N594" s="170"/>
      <c r="Q594" s="167"/>
    </row>
    <row r="595" spans="1:17" ht="18">
      <c r="A595" s="630"/>
      <c r="B595" s="837" t="s">
        <v>58</v>
      </c>
      <c r="C595" s="838"/>
      <c r="D595" s="849">
        <v>0</v>
      </c>
      <c r="E595" s="29">
        <v>0</v>
      </c>
      <c r="F595" s="30">
        <v>1</v>
      </c>
      <c r="G595" s="28">
        <f>E595*F595</f>
        <v>0</v>
      </c>
      <c r="H595" s="129">
        <v>0</v>
      </c>
      <c r="K595" s="219" t="s">
        <v>230</v>
      </c>
      <c r="L595" s="220">
        <v>13</v>
      </c>
      <c r="M595" s="218">
        <f>'[1]EDUCACIONAL'!$BL$125</f>
        <v>83037288.58200002</v>
      </c>
      <c r="N595" s="170"/>
      <c r="O595" s="649" t="s">
        <v>231</v>
      </c>
      <c r="P595" s="649"/>
      <c r="Q595" s="167"/>
    </row>
    <row r="596" spans="1:17" ht="18">
      <c r="A596" s="630"/>
      <c r="B596" s="834" t="s">
        <v>59</v>
      </c>
      <c r="C596" s="835"/>
      <c r="D596" s="859">
        <f>+P598</f>
        <v>5382718.594300002</v>
      </c>
      <c r="E596" s="29">
        <v>0</v>
      </c>
      <c r="F596" s="30">
        <v>1</v>
      </c>
      <c r="G596" s="28">
        <f>E596*F596</f>
        <v>0</v>
      </c>
      <c r="H596" s="129">
        <f>G596+D596</f>
        <v>5382718.594300002</v>
      </c>
      <c r="K596" s="219" t="s">
        <v>232</v>
      </c>
      <c r="L596" s="220">
        <v>3</v>
      </c>
      <c r="M596" s="218">
        <f>'[1]EDUCACIONAL'!$BL$111</f>
        <v>19423271.97156792</v>
      </c>
      <c r="N596" s="170"/>
      <c r="O596" s="221" t="s">
        <v>233</v>
      </c>
      <c r="P596" s="218">
        <f>'[1]EDUCACIONAL'!$BF$132</f>
        <v>2820381.813300001</v>
      </c>
      <c r="Q596" s="167"/>
    </row>
    <row r="597" spans="1:17" ht="15.75" customHeight="1">
      <c r="A597" s="630"/>
      <c r="B597" s="834" t="s">
        <v>129</v>
      </c>
      <c r="C597" s="835"/>
      <c r="D597" s="849">
        <v>0</v>
      </c>
      <c r="E597" s="29">
        <v>0</v>
      </c>
      <c r="F597" s="30">
        <v>1</v>
      </c>
      <c r="G597" s="28">
        <f>E597*F597</f>
        <v>0</v>
      </c>
      <c r="H597" s="129">
        <f>G597+D597</f>
        <v>0</v>
      </c>
      <c r="K597" s="219" t="s">
        <v>234</v>
      </c>
      <c r="L597" s="220">
        <v>1</v>
      </c>
      <c r="M597" s="218">
        <f>'[1]EDUCACIONAL'!$BL$106</f>
        <v>3897348</v>
      </c>
      <c r="N597" s="170"/>
      <c r="O597" s="221" t="s">
        <v>235</v>
      </c>
      <c r="P597" s="218">
        <f>'[1]EDUCACIONAL'!$BG$132</f>
        <v>2562336.7810000004</v>
      </c>
      <c r="Q597" s="167"/>
    </row>
    <row r="598" spans="1:17" ht="12.75" customHeight="1">
      <c r="A598" s="630"/>
      <c r="B598" s="657" t="s">
        <v>60</v>
      </c>
      <c r="C598" s="658"/>
      <c r="D598" s="654"/>
      <c r="E598" s="655"/>
      <c r="F598" s="655"/>
      <c r="G598" s="655"/>
      <c r="H598" s="656"/>
      <c r="I598" s="21"/>
      <c r="K598" s="653" t="s">
        <v>236</v>
      </c>
      <c r="L598" s="653"/>
      <c r="M598" s="218"/>
      <c r="N598" s="170"/>
      <c r="O598" s="222" t="s">
        <v>237</v>
      </c>
      <c r="P598" s="223">
        <f>SUM(P596:P597)</f>
        <v>5382718.594300002</v>
      </c>
      <c r="Q598" s="167"/>
    </row>
    <row r="599" spans="1:17" ht="16.5" customHeight="1">
      <c r="A599" s="630"/>
      <c r="B599" s="834" t="s">
        <v>61</v>
      </c>
      <c r="C599" s="835"/>
      <c r="D599" s="849">
        <f>+D593*1%</f>
        <v>1553509.9258890797</v>
      </c>
      <c r="E599" s="29">
        <v>0</v>
      </c>
      <c r="F599" s="30">
        <v>1</v>
      </c>
      <c r="G599" s="28">
        <f>E599*F599</f>
        <v>0</v>
      </c>
      <c r="H599" s="129">
        <f>G599+D599</f>
        <v>1553509.9258890797</v>
      </c>
      <c r="I599" s="1" t="s">
        <v>565</v>
      </c>
      <c r="K599" s="653" t="s">
        <v>238</v>
      </c>
      <c r="L599" s="653"/>
      <c r="M599" s="218">
        <f>SUM(M594:M597)</f>
        <v>155350992.58890796</v>
      </c>
      <c r="N599" s="170"/>
      <c r="O599" s="105"/>
      <c r="P599" s="105"/>
      <c r="Q599" s="167"/>
    </row>
    <row r="600" spans="1:17" ht="12.75" customHeight="1">
      <c r="A600" s="630"/>
      <c r="B600" s="657" t="s">
        <v>62</v>
      </c>
      <c r="C600" s="658"/>
      <c r="D600" s="654"/>
      <c r="E600" s="655"/>
      <c r="F600" s="655"/>
      <c r="G600" s="655"/>
      <c r="H600" s="656"/>
      <c r="I600" s="21"/>
      <c r="K600" s="653" t="s">
        <v>239</v>
      </c>
      <c r="L600" s="653"/>
      <c r="M600" s="224"/>
      <c r="N600" s="170"/>
      <c r="O600" s="102"/>
      <c r="P600" s="102"/>
      <c r="Q600" s="167"/>
    </row>
    <row r="601" spans="1:17" ht="15.75" customHeight="1">
      <c r="A601" s="630"/>
      <c r="B601" s="839" t="s">
        <v>63</v>
      </c>
      <c r="C601" s="840"/>
      <c r="D601" s="122">
        <v>235037</v>
      </c>
      <c r="E601" s="29">
        <v>0</v>
      </c>
      <c r="F601" s="30">
        <v>1</v>
      </c>
      <c r="G601" s="28">
        <f>E601*F601</f>
        <v>0</v>
      </c>
      <c r="H601" s="129">
        <f>G601+D601</f>
        <v>235037</v>
      </c>
      <c r="I601" s="138" t="s">
        <v>449</v>
      </c>
      <c r="K601" s="650" t="s">
        <v>440</v>
      </c>
      <c r="L601" s="650"/>
      <c r="M601" s="223">
        <f>+M599</f>
        <v>155350992.58890796</v>
      </c>
      <c r="N601" s="170"/>
      <c r="O601" s="102"/>
      <c r="P601" s="102"/>
      <c r="Q601" s="167"/>
    </row>
    <row r="602" spans="1:17" ht="15.75" customHeight="1">
      <c r="A602" s="630"/>
      <c r="B602" s="841" t="s">
        <v>64</v>
      </c>
      <c r="C602" s="840"/>
      <c r="D602" s="849">
        <v>0</v>
      </c>
      <c r="E602" s="29">
        <v>0</v>
      </c>
      <c r="F602" s="30">
        <v>1</v>
      </c>
      <c r="G602" s="28">
        <f>E602*F602</f>
        <v>0</v>
      </c>
      <c r="H602" s="129">
        <f>G602+D602</f>
        <v>0</v>
      </c>
      <c r="I602" s="145"/>
      <c r="K602" s="167"/>
      <c r="L602" s="167"/>
      <c r="M602" s="167"/>
      <c r="N602" s="170"/>
      <c r="O602" s="167"/>
      <c r="P602" s="167"/>
      <c r="Q602" s="167"/>
    </row>
    <row r="603" spans="1:17" ht="12.75" customHeight="1">
      <c r="A603" s="630"/>
      <c r="B603" s="672" t="s">
        <v>65</v>
      </c>
      <c r="C603" s="673"/>
      <c r="D603" s="123">
        <f>SUM(D605:D606,D608:D610,D612:D613,D615:D626,D628:D636,D638:D644,D646:D648,D650:D655,D657:D658,D660:D663,D665:D666)</f>
        <v>48762849</v>
      </c>
      <c r="E603" s="27">
        <f>SUM(E605:E606,E608:E610,E612:E613,E615:E626,E628:E636,E638:E644,E646:E648,E650:E655,E657:E658,E660:E663,E665:E666)</f>
        <v>392685</v>
      </c>
      <c r="F603" s="61"/>
      <c r="G603" s="27">
        <f>SUM(G605:G606,G608:G610,G612:G613,G615:G626,G628:G636,G638:G644,G646:G648,G650:G655,G657:G658,G660:G663,G665:G666)</f>
        <v>25703410</v>
      </c>
      <c r="H603" s="130">
        <f>SUM(H605:H606,H608:H610,H612:H613,H615:H626,H628:H636,H638:H644,H646:H648,H650:H655,H657:H658,H660:H663,H665:H666)</f>
        <v>48374982</v>
      </c>
      <c r="I603" s="21"/>
      <c r="K603" s="671"/>
      <c r="L603" s="671"/>
      <c r="M603" s="671"/>
      <c r="N603" s="170"/>
      <c r="O603" s="167"/>
      <c r="P603" s="167"/>
      <c r="Q603" s="167"/>
    </row>
    <row r="604" spans="1:17" ht="15.75" customHeight="1">
      <c r="A604" s="630"/>
      <c r="B604" s="842" t="s">
        <v>66</v>
      </c>
      <c r="C604" s="843"/>
      <c r="D604" s="654"/>
      <c r="E604" s="655"/>
      <c r="F604" s="655"/>
      <c r="G604" s="655"/>
      <c r="H604" s="656"/>
      <c r="I604" s="21"/>
      <c r="K604" s="39"/>
      <c r="L604" s="39"/>
      <c r="M604" s="39"/>
      <c r="N604" s="170"/>
      <c r="O604" s="167"/>
      <c r="P604" s="167"/>
      <c r="Q604" s="167"/>
    </row>
    <row r="605" spans="1:17" ht="15" customHeight="1">
      <c r="A605" s="630"/>
      <c r="B605" s="837" t="s">
        <v>67</v>
      </c>
      <c r="C605" s="838"/>
      <c r="D605" s="122">
        <v>9161118</v>
      </c>
      <c r="E605" s="29">
        <v>1730</v>
      </c>
      <c r="F605" s="30">
        <f>22*21*11</f>
        <v>5082</v>
      </c>
      <c r="G605" s="28">
        <f>E605*F605</f>
        <v>8791860</v>
      </c>
      <c r="H605" s="176">
        <v>9161118</v>
      </c>
      <c r="I605" s="394" t="s">
        <v>496</v>
      </c>
      <c r="K605" s="173"/>
      <c r="L605" s="174"/>
      <c r="M605" s="173"/>
      <c r="N605" s="170"/>
      <c r="O605" s="167"/>
      <c r="P605" s="167"/>
      <c r="Q605" s="167"/>
    </row>
    <row r="606" spans="1:17" ht="15" customHeight="1">
      <c r="A606" s="630"/>
      <c r="B606" s="847" t="s">
        <v>117</v>
      </c>
      <c r="C606" s="848"/>
      <c r="D606" s="849">
        <v>12956790</v>
      </c>
      <c r="E606" s="29">
        <v>790</v>
      </c>
      <c r="F606" s="30">
        <f>71*21*11</f>
        <v>16401</v>
      </c>
      <c r="G606" s="28">
        <f>E606*F606</f>
        <v>12956790</v>
      </c>
      <c r="H606" s="129">
        <v>12956790</v>
      </c>
      <c r="I606" s="385" t="s">
        <v>478</v>
      </c>
      <c r="K606" s="173"/>
      <c r="L606" s="174"/>
      <c r="M606" s="173"/>
      <c r="N606" s="167"/>
      <c r="O606" s="167"/>
      <c r="P606" s="167"/>
      <c r="Q606" s="167"/>
    </row>
    <row r="607" spans="1:17" ht="12.75" customHeight="1">
      <c r="A607" s="630"/>
      <c r="B607" s="842" t="s">
        <v>68</v>
      </c>
      <c r="C607" s="843"/>
      <c r="D607" s="654"/>
      <c r="E607" s="655"/>
      <c r="F607" s="655"/>
      <c r="G607" s="655"/>
      <c r="H607" s="656"/>
      <c r="I607" s="21"/>
      <c r="K607" s="167"/>
      <c r="L607" s="167"/>
      <c r="M607" s="167"/>
      <c r="N607" s="167"/>
      <c r="O607" s="167"/>
      <c r="P607" s="167"/>
      <c r="Q607" s="167"/>
    </row>
    <row r="608" spans="1:10" ht="15.75" customHeight="1">
      <c r="A608" s="630"/>
      <c r="B608" s="834" t="s">
        <v>116</v>
      </c>
      <c r="C608" s="835"/>
      <c r="D608" s="870">
        <v>500000</v>
      </c>
      <c r="E608" s="29">
        <v>10000</v>
      </c>
      <c r="F608" s="30">
        <v>50</v>
      </c>
      <c r="G608" s="28"/>
      <c r="H608" s="129">
        <f>+D608+G608</f>
        <v>500000</v>
      </c>
      <c r="I608" s="111" t="s">
        <v>441</v>
      </c>
      <c r="J608" s="102"/>
    </row>
    <row r="609" spans="1:10" ht="15.75" customHeight="1">
      <c r="A609" s="630"/>
      <c r="B609" s="834" t="s">
        <v>69</v>
      </c>
      <c r="C609" s="835"/>
      <c r="D609" s="849">
        <v>641720</v>
      </c>
      <c r="E609" s="29">
        <v>18990</v>
      </c>
      <c r="F609" s="432">
        <v>24</v>
      </c>
      <c r="G609" s="28">
        <f>E609*F609+110000</f>
        <v>565760</v>
      </c>
      <c r="H609" s="129">
        <v>641720</v>
      </c>
      <c r="I609" s="111" t="s">
        <v>443</v>
      </c>
      <c r="J609" s="102"/>
    </row>
    <row r="610" spans="1:10" ht="17.25" customHeight="1">
      <c r="A610" s="630"/>
      <c r="B610" s="834" t="s">
        <v>70</v>
      </c>
      <c r="C610" s="835"/>
      <c r="D610" s="849">
        <v>80440</v>
      </c>
      <c r="E610" s="29">
        <v>20110</v>
      </c>
      <c r="F610" s="30">
        <v>4</v>
      </c>
      <c r="G610" s="28">
        <f>E610*F610</f>
        <v>80440</v>
      </c>
      <c r="H610" s="129">
        <f>G610</f>
        <v>80440</v>
      </c>
      <c r="I610" s="111" t="s">
        <v>444</v>
      </c>
      <c r="J610" s="102"/>
    </row>
    <row r="611" spans="1:12" ht="12.75" customHeight="1">
      <c r="A611" s="630"/>
      <c r="B611" s="842" t="s">
        <v>71</v>
      </c>
      <c r="C611" s="843"/>
      <c r="D611" s="666"/>
      <c r="E611" s="667"/>
      <c r="F611" s="667"/>
      <c r="G611" s="667"/>
      <c r="H611" s="668"/>
      <c r="K611" s="871"/>
      <c r="L611" s="871"/>
    </row>
    <row r="612" spans="1:12" ht="16.5" customHeight="1">
      <c r="A612" s="630"/>
      <c r="B612" s="837" t="s">
        <v>72</v>
      </c>
      <c r="C612" s="838"/>
      <c r="D612" s="122">
        <v>0</v>
      </c>
      <c r="E612" s="29">
        <v>0</v>
      </c>
      <c r="F612" s="30">
        <v>1</v>
      </c>
      <c r="G612" s="28">
        <f>E612*F612</f>
        <v>0</v>
      </c>
      <c r="H612" s="129">
        <f>G612+D612</f>
        <v>0</v>
      </c>
      <c r="K612" s="871"/>
      <c r="L612" s="871"/>
    </row>
    <row r="613" spans="1:12" ht="18">
      <c r="A613" s="630"/>
      <c r="B613" s="834" t="s">
        <v>73</v>
      </c>
      <c r="C613" s="835"/>
      <c r="D613" s="122">
        <v>0</v>
      </c>
      <c r="E613" s="29">
        <v>0</v>
      </c>
      <c r="F613" s="30">
        <v>1</v>
      </c>
      <c r="G613" s="28">
        <f>E613*F613</f>
        <v>0</v>
      </c>
      <c r="H613" s="129">
        <f>G613+D613</f>
        <v>0</v>
      </c>
      <c r="K613" s="871"/>
      <c r="L613" s="871"/>
    </row>
    <row r="614" spans="1:12" ht="18">
      <c r="A614" s="630"/>
      <c r="B614" s="842" t="s">
        <v>74</v>
      </c>
      <c r="C614" s="843"/>
      <c r="D614" s="654"/>
      <c r="E614" s="655"/>
      <c r="F614" s="655"/>
      <c r="G614" s="655"/>
      <c r="H614" s="656"/>
      <c r="K614" s="871"/>
      <c r="L614" s="871"/>
    </row>
    <row r="615" spans="1:13" ht="18">
      <c r="A615" s="630"/>
      <c r="B615" s="837" t="s">
        <v>176</v>
      </c>
      <c r="C615" s="838"/>
      <c r="D615" s="122">
        <v>600000</v>
      </c>
      <c r="E615" s="29"/>
      <c r="F615" s="30"/>
      <c r="G615" s="28"/>
      <c r="H615" s="129">
        <v>600000</v>
      </c>
      <c r="I615" s="1" t="s">
        <v>219</v>
      </c>
      <c r="K615" s="871"/>
      <c r="L615" s="871"/>
      <c r="M615" s="119"/>
    </row>
    <row r="616" spans="1:9" ht="18">
      <c r="A616" s="630"/>
      <c r="B616" s="837" t="s">
        <v>75</v>
      </c>
      <c r="C616" s="838"/>
      <c r="D616" s="849">
        <v>408974</v>
      </c>
      <c r="E616" s="29">
        <v>0</v>
      </c>
      <c r="F616" s="30">
        <v>1</v>
      </c>
      <c r="G616" s="28">
        <f aca="true" t="shared" si="46" ref="G616:G626">E616*F616</f>
        <v>0</v>
      </c>
      <c r="H616" s="129">
        <v>408974</v>
      </c>
      <c r="I616" s="1" t="s">
        <v>436</v>
      </c>
    </row>
    <row r="617" spans="1:13" ht="13.5">
      <c r="A617" s="630"/>
      <c r="B617" s="847" t="s">
        <v>131</v>
      </c>
      <c r="C617" s="848"/>
      <c r="D617" s="122">
        <v>0</v>
      </c>
      <c r="E617" s="29">
        <v>0</v>
      </c>
      <c r="F617" s="30">
        <v>1</v>
      </c>
      <c r="G617" s="28">
        <f t="shared" si="46"/>
        <v>0</v>
      </c>
      <c r="H617" s="129">
        <f aca="true" t="shared" si="47" ref="H617:H626">G617+D617</f>
        <v>0</v>
      </c>
      <c r="M617" s="119"/>
    </row>
    <row r="618" spans="1:9" ht="18">
      <c r="A618" s="630"/>
      <c r="B618" s="837" t="s">
        <v>76</v>
      </c>
      <c r="C618" s="838"/>
      <c r="D618" s="122">
        <v>68021</v>
      </c>
      <c r="E618" s="29">
        <v>10880</v>
      </c>
      <c r="F618" s="30">
        <v>6</v>
      </c>
      <c r="G618" s="28">
        <f t="shared" si="46"/>
        <v>65280</v>
      </c>
      <c r="H618" s="129">
        <v>68021</v>
      </c>
      <c r="I618" s="1" t="s">
        <v>503</v>
      </c>
    </row>
    <row r="619" spans="1:8" ht="18">
      <c r="A619" s="630"/>
      <c r="B619" s="837" t="s">
        <v>77</v>
      </c>
      <c r="C619" s="838"/>
      <c r="D619" s="122">
        <v>0</v>
      </c>
      <c r="E619" s="29">
        <v>0</v>
      </c>
      <c r="F619" s="30">
        <v>1</v>
      </c>
      <c r="G619" s="28">
        <f t="shared" si="46"/>
        <v>0</v>
      </c>
      <c r="H619" s="129">
        <f t="shared" si="47"/>
        <v>0</v>
      </c>
    </row>
    <row r="620" spans="1:9" ht="13.5">
      <c r="A620" s="630"/>
      <c r="B620" s="847" t="s">
        <v>78</v>
      </c>
      <c r="C620" s="848"/>
      <c r="D620" s="862">
        <v>519176</v>
      </c>
      <c r="E620" s="29">
        <v>0</v>
      </c>
      <c r="F620" s="30">
        <v>1</v>
      </c>
      <c r="G620" s="28">
        <f t="shared" si="46"/>
        <v>0</v>
      </c>
      <c r="H620" s="129">
        <v>519176</v>
      </c>
      <c r="I620" s="1" t="s">
        <v>497</v>
      </c>
    </row>
    <row r="621" spans="1:8" ht="18">
      <c r="A621" s="630"/>
      <c r="B621" s="837" t="s">
        <v>118</v>
      </c>
      <c r="C621" s="838"/>
      <c r="D621" s="122">
        <v>0</v>
      </c>
      <c r="E621" s="29">
        <v>0</v>
      </c>
      <c r="F621" s="30">
        <v>1</v>
      </c>
      <c r="G621" s="28">
        <f t="shared" si="46"/>
        <v>0</v>
      </c>
      <c r="H621" s="129">
        <f t="shared" si="47"/>
        <v>0</v>
      </c>
    </row>
    <row r="622" spans="1:9" ht="18">
      <c r="A622" s="630"/>
      <c r="B622" s="837" t="s">
        <v>123</v>
      </c>
      <c r="C622" s="838"/>
      <c r="D622" s="849">
        <v>291259</v>
      </c>
      <c r="E622" s="29"/>
      <c r="F622" s="30"/>
      <c r="G622" s="28"/>
      <c r="H622" s="129">
        <v>291259</v>
      </c>
      <c r="I622" s="1" t="s">
        <v>430</v>
      </c>
    </row>
    <row r="623" spans="1:9" ht="18">
      <c r="A623" s="630"/>
      <c r="B623" s="837" t="s">
        <v>79</v>
      </c>
      <c r="C623" s="838"/>
      <c r="D623" s="849">
        <v>2473114</v>
      </c>
      <c r="E623" s="29">
        <v>0</v>
      </c>
      <c r="F623" s="30">
        <v>1</v>
      </c>
      <c r="G623" s="28">
        <f t="shared" si="46"/>
        <v>0</v>
      </c>
      <c r="H623" s="129">
        <f t="shared" si="47"/>
        <v>2473114</v>
      </c>
      <c r="I623" s="1" t="s">
        <v>202</v>
      </c>
    </row>
    <row r="624" spans="1:9" ht="18">
      <c r="A624" s="630"/>
      <c r="B624" s="837" t="s">
        <v>80</v>
      </c>
      <c r="C624" s="838"/>
      <c r="D624" s="849">
        <v>518457</v>
      </c>
      <c r="E624" s="29">
        <v>0</v>
      </c>
      <c r="F624" s="30">
        <v>1</v>
      </c>
      <c r="G624" s="28">
        <f t="shared" si="46"/>
        <v>0</v>
      </c>
      <c r="H624" s="129">
        <f t="shared" si="47"/>
        <v>518457</v>
      </c>
      <c r="I624" s="1" t="s">
        <v>437</v>
      </c>
    </row>
    <row r="625" spans="1:13" ht="18">
      <c r="A625" s="630"/>
      <c r="B625" s="837" t="s">
        <v>81</v>
      </c>
      <c r="C625" s="838"/>
      <c r="D625" s="849">
        <v>589460</v>
      </c>
      <c r="E625" s="29">
        <v>0</v>
      </c>
      <c r="F625" s="30">
        <v>1</v>
      </c>
      <c r="G625" s="28">
        <f t="shared" si="46"/>
        <v>0</v>
      </c>
      <c r="H625" s="129">
        <f t="shared" si="47"/>
        <v>589460</v>
      </c>
      <c r="I625" s="1" t="s">
        <v>504</v>
      </c>
      <c r="K625" s="4"/>
      <c r="L625" s="4"/>
      <c r="M625" s="4"/>
    </row>
    <row r="626" spans="1:13" ht="18">
      <c r="A626" s="630"/>
      <c r="B626" s="837" t="s">
        <v>119</v>
      </c>
      <c r="C626" s="838"/>
      <c r="D626" s="122"/>
      <c r="E626" s="29">
        <v>0</v>
      </c>
      <c r="F626" s="30">
        <v>1</v>
      </c>
      <c r="G626" s="28">
        <f t="shared" si="46"/>
        <v>0</v>
      </c>
      <c r="H626" s="129">
        <f t="shared" si="47"/>
        <v>0</v>
      </c>
      <c r="K626" s="4"/>
      <c r="L626" s="4"/>
      <c r="M626" s="4"/>
    </row>
    <row r="627" spans="1:13" s="4" customFormat="1" ht="18">
      <c r="A627" s="630"/>
      <c r="B627" s="842" t="s">
        <v>82</v>
      </c>
      <c r="C627" s="843"/>
      <c r="D627" s="654"/>
      <c r="E627" s="655"/>
      <c r="F627" s="655"/>
      <c r="G627" s="655"/>
      <c r="H627" s="656"/>
      <c r="J627" s="706" t="s">
        <v>604</v>
      </c>
      <c r="K627" s="707"/>
      <c r="L627" s="440" t="s">
        <v>509</v>
      </c>
      <c r="M627" s="440" t="s">
        <v>510</v>
      </c>
    </row>
    <row r="628" spans="1:13" s="4" customFormat="1" ht="18">
      <c r="A628" s="630"/>
      <c r="B628" s="834" t="s">
        <v>130</v>
      </c>
      <c r="C628" s="835"/>
      <c r="D628" s="849">
        <f>+L628</f>
        <v>2250289.9999999995</v>
      </c>
      <c r="E628" s="29">
        <v>0</v>
      </c>
      <c r="F628" s="30">
        <v>1</v>
      </c>
      <c r="G628" s="28">
        <f>E628*F628</f>
        <v>0</v>
      </c>
      <c r="H628" s="129">
        <f>G628+D628</f>
        <v>2250289.9999999995</v>
      </c>
      <c r="J628" s="266" t="s">
        <v>130</v>
      </c>
      <c r="K628" s="266">
        <f>3100000*1.037</f>
        <v>3214699.9999999995</v>
      </c>
      <c r="L628" s="434">
        <f>+K628*0.7</f>
        <v>2250289.9999999995</v>
      </c>
      <c r="M628" s="434">
        <f>+K628*0.3</f>
        <v>964409.9999999998</v>
      </c>
    </row>
    <row r="629" spans="1:13" ht="18">
      <c r="A629" s="630"/>
      <c r="B629" s="834" t="s">
        <v>40</v>
      </c>
      <c r="C629" s="835"/>
      <c r="D629" s="849">
        <f>+L629</f>
        <v>2032519.9999999998</v>
      </c>
      <c r="E629" s="29">
        <v>0</v>
      </c>
      <c r="F629" s="30">
        <v>1</v>
      </c>
      <c r="G629" s="28">
        <f aca="true" t="shared" si="48" ref="G629:G636">E629*F629</f>
        <v>0</v>
      </c>
      <c r="H629" s="129">
        <f aca="true" t="shared" si="49" ref="H629:H636">G629+D629</f>
        <v>2032519.9999999998</v>
      </c>
      <c r="J629" s="266" t="s">
        <v>40</v>
      </c>
      <c r="K629" s="266">
        <f>2800000*1.037</f>
        <v>2903600</v>
      </c>
      <c r="L629" s="434">
        <f aca="true" t="shared" si="50" ref="L629:L634">+K629*0.7</f>
        <v>2032519.9999999998</v>
      </c>
      <c r="M629" s="434">
        <f aca="true" t="shared" si="51" ref="M629:M634">+K629*0.3</f>
        <v>871080</v>
      </c>
    </row>
    <row r="630" spans="1:13" ht="18">
      <c r="A630" s="630"/>
      <c r="B630" s="834" t="s">
        <v>41</v>
      </c>
      <c r="C630" s="835"/>
      <c r="D630" s="849">
        <f>H630</f>
        <v>1088849.9999999998</v>
      </c>
      <c r="E630" s="29">
        <v>0</v>
      </c>
      <c r="F630" s="30">
        <v>1</v>
      </c>
      <c r="G630" s="28">
        <f t="shared" si="48"/>
        <v>0</v>
      </c>
      <c r="H630" s="129">
        <f>L630</f>
        <v>1088849.9999999998</v>
      </c>
      <c r="J630" s="266" t="s">
        <v>41</v>
      </c>
      <c r="K630" s="266">
        <f>1500000*1.037</f>
        <v>1555499.9999999998</v>
      </c>
      <c r="L630" s="434">
        <f t="shared" si="50"/>
        <v>1088849.9999999998</v>
      </c>
      <c r="M630" s="434">
        <f t="shared" si="51"/>
        <v>466649.99999999994</v>
      </c>
    </row>
    <row r="631" spans="1:13" ht="18">
      <c r="A631" s="630"/>
      <c r="B631" s="834" t="s">
        <v>83</v>
      </c>
      <c r="C631" s="835"/>
      <c r="D631" s="122">
        <v>0</v>
      </c>
      <c r="E631" s="29">
        <v>0</v>
      </c>
      <c r="F631" s="30">
        <v>1</v>
      </c>
      <c r="G631" s="28">
        <f t="shared" si="48"/>
        <v>0</v>
      </c>
      <c r="H631" s="129">
        <f t="shared" si="49"/>
        <v>0</v>
      </c>
      <c r="J631" s="266" t="s">
        <v>83</v>
      </c>
      <c r="K631" s="266">
        <v>0</v>
      </c>
      <c r="L631" s="434">
        <f t="shared" si="50"/>
        <v>0</v>
      </c>
      <c r="M631" s="434">
        <f t="shared" si="51"/>
        <v>0</v>
      </c>
    </row>
    <row r="632" spans="1:13" ht="18">
      <c r="A632" s="630"/>
      <c r="B632" s="834" t="s">
        <v>84</v>
      </c>
      <c r="C632" s="835"/>
      <c r="D632" s="849">
        <f>+L632</f>
        <v>595237.9999999999</v>
      </c>
      <c r="E632" s="29">
        <v>0</v>
      </c>
      <c r="F632" s="30">
        <v>1</v>
      </c>
      <c r="G632" s="28">
        <f t="shared" si="48"/>
        <v>0</v>
      </c>
      <c r="H632" s="129">
        <f>L632</f>
        <v>595237.9999999999</v>
      </c>
      <c r="J632" s="266" t="s">
        <v>84</v>
      </c>
      <c r="K632" s="266">
        <f>820000*1.037</f>
        <v>850339.9999999999</v>
      </c>
      <c r="L632" s="434">
        <f t="shared" si="50"/>
        <v>595237.9999999999</v>
      </c>
      <c r="M632" s="434">
        <f t="shared" si="51"/>
        <v>255101.99999999994</v>
      </c>
    </row>
    <row r="633" spans="1:13" ht="18">
      <c r="A633" s="630"/>
      <c r="B633" s="834" t="s">
        <v>85</v>
      </c>
      <c r="C633" s="835"/>
      <c r="D633" s="122"/>
      <c r="E633" s="29">
        <v>0</v>
      </c>
      <c r="F633" s="30">
        <v>1</v>
      </c>
      <c r="G633" s="28">
        <f t="shared" si="48"/>
        <v>0</v>
      </c>
      <c r="H633" s="129">
        <f t="shared" si="49"/>
        <v>0</v>
      </c>
      <c r="J633" s="266" t="s">
        <v>85</v>
      </c>
      <c r="K633" s="266">
        <v>0</v>
      </c>
      <c r="L633" s="434">
        <f t="shared" si="50"/>
        <v>0</v>
      </c>
      <c r="M633" s="434">
        <f t="shared" si="51"/>
        <v>0</v>
      </c>
    </row>
    <row r="634" spans="1:13" ht="18">
      <c r="A634" s="630"/>
      <c r="B634" s="834" t="s">
        <v>86</v>
      </c>
      <c r="C634" s="835"/>
      <c r="D634" s="122">
        <f>+L634</f>
        <v>348431.99999999994</v>
      </c>
      <c r="E634" s="29">
        <v>0</v>
      </c>
      <c r="F634" s="30">
        <v>1</v>
      </c>
      <c r="G634" s="28">
        <f t="shared" si="48"/>
        <v>0</v>
      </c>
      <c r="H634" s="129">
        <f t="shared" si="49"/>
        <v>348431.99999999994</v>
      </c>
      <c r="J634" s="266" t="s">
        <v>86</v>
      </c>
      <c r="K634" s="528">
        <f>480000*1.037</f>
        <v>497759.99999999994</v>
      </c>
      <c r="L634" s="434">
        <f t="shared" si="50"/>
        <v>348431.99999999994</v>
      </c>
      <c r="M634" s="434">
        <f t="shared" si="51"/>
        <v>149327.99999999997</v>
      </c>
    </row>
    <row r="635" spans="1:13" ht="18">
      <c r="A635" s="630"/>
      <c r="B635" s="834" t="s">
        <v>87</v>
      </c>
      <c r="C635" s="835"/>
      <c r="D635" s="122">
        <v>0</v>
      </c>
      <c r="E635" s="29">
        <v>0</v>
      </c>
      <c r="F635" s="30">
        <v>1</v>
      </c>
      <c r="G635" s="28">
        <f t="shared" si="48"/>
        <v>0</v>
      </c>
      <c r="H635" s="129">
        <f t="shared" si="49"/>
        <v>0</v>
      </c>
      <c r="K635" s="266">
        <f>+K632+K634</f>
        <v>1348099.9999999998</v>
      </c>
      <c r="L635" s="434">
        <f>+K635*0.7</f>
        <v>943669.9999999998</v>
      </c>
      <c r="M635" s="434">
        <f>+K635*0.3</f>
        <v>404429.99999999994</v>
      </c>
    </row>
    <row r="636" spans="1:8" ht="18">
      <c r="A636" s="630"/>
      <c r="B636" s="834" t="s">
        <v>88</v>
      </c>
      <c r="C636" s="835"/>
      <c r="D636" s="122">
        <v>0</v>
      </c>
      <c r="E636" s="29">
        <v>0</v>
      </c>
      <c r="F636" s="30">
        <v>1</v>
      </c>
      <c r="G636" s="28">
        <f t="shared" si="48"/>
        <v>0</v>
      </c>
      <c r="H636" s="129">
        <f t="shared" si="49"/>
        <v>0</v>
      </c>
    </row>
    <row r="637" spans="1:8" ht="18">
      <c r="A637" s="630"/>
      <c r="B637" s="657" t="s">
        <v>89</v>
      </c>
      <c r="C637" s="658"/>
      <c r="D637" s="654"/>
      <c r="E637" s="655"/>
      <c r="F637" s="655"/>
      <c r="G637" s="655"/>
      <c r="H637" s="656"/>
    </row>
    <row r="638" spans="1:9" ht="18">
      <c r="A638" s="630"/>
      <c r="B638" s="837" t="s">
        <v>90</v>
      </c>
      <c r="C638" s="838"/>
      <c r="D638" s="122">
        <v>2676429</v>
      </c>
      <c r="E638" s="29"/>
      <c r="F638" s="30"/>
      <c r="G638" s="28"/>
      <c r="H638" s="129">
        <v>2676429</v>
      </c>
      <c r="I638" s="1" t="s">
        <v>488</v>
      </c>
    </row>
    <row r="639" spans="1:11" ht="18">
      <c r="A639" s="630"/>
      <c r="B639" s="837" t="s">
        <v>91</v>
      </c>
      <c r="C639" s="838"/>
      <c r="D639" s="122">
        <v>300000</v>
      </c>
      <c r="E639" s="29">
        <v>0</v>
      </c>
      <c r="F639" s="30">
        <v>1</v>
      </c>
      <c r="G639" s="28">
        <f aca="true" t="shared" si="52" ref="G639:G644">E639*F639</f>
        <v>0</v>
      </c>
      <c r="H639" s="129">
        <f>G639+D639</f>
        <v>300000</v>
      </c>
      <c r="K639" s="1" t="s">
        <v>605</v>
      </c>
    </row>
    <row r="640" spans="1:9" ht="18">
      <c r="A640" s="630"/>
      <c r="B640" s="837" t="s">
        <v>92</v>
      </c>
      <c r="C640" s="838"/>
      <c r="D640" s="122">
        <v>300000</v>
      </c>
      <c r="E640" s="29">
        <v>0</v>
      </c>
      <c r="F640" s="30">
        <v>1</v>
      </c>
      <c r="G640" s="28">
        <f t="shared" si="52"/>
        <v>0</v>
      </c>
      <c r="H640" s="129">
        <f>G640+D640</f>
        <v>300000</v>
      </c>
      <c r="I640" s="1" t="s">
        <v>489</v>
      </c>
    </row>
    <row r="641" spans="1:8" ht="18">
      <c r="A641" s="630"/>
      <c r="B641" s="837" t="s">
        <v>93</v>
      </c>
      <c r="C641" s="838"/>
      <c r="D641" s="122">
        <v>0</v>
      </c>
      <c r="E641" s="29">
        <v>0</v>
      </c>
      <c r="F641" s="30">
        <v>1</v>
      </c>
      <c r="G641" s="28">
        <f t="shared" si="52"/>
        <v>0</v>
      </c>
      <c r="H641" s="129">
        <f>G641+D641</f>
        <v>0</v>
      </c>
    </row>
    <row r="642" spans="1:8" ht="18">
      <c r="A642" s="630"/>
      <c r="B642" s="837" t="s">
        <v>94</v>
      </c>
      <c r="C642" s="838"/>
      <c r="D642" s="122"/>
      <c r="E642" s="29">
        <v>0</v>
      </c>
      <c r="F642" s="30">
        <v>1</v>
      </c>
      <c r="G642" s="28">
        <f t="shared" si="52"/>
        <v>0</v>
      </c>
      <c r="H642" s="129">
        <f>G642+D642</f>
        <v>0</v>
      </c>
    </row>
    <row r="643" spans="1:8" ht="18">
      <c r="A643" s="630"/>
      <c r="B643" s="837" t="s">
        <v>95</v>
      </c>
      <c r="C643" s="838"/>
      <c r="D643" s="122">
        <v>0</v>
      </c>
      <c r="E643" s="29">
        <v>0</v>
      </c>
      <c r="F643" s="30">
        <v>1</v>
      </c>
      <c r="G643" s="28">
        <f t="shared" si="52"/>
        <v>0</v>
      </c>
      <c r="H643" s="129">
        <f>G643+D643</f>
        <v>0</v>
      </c>
    </row>
    <row r="644" spans="1:9" ht="18">
      <c r="A644" s="630"/>
      <c r="B644" s="837" t="s">
        <v>96</v>
      </c>
      <c r="C644" s="838"/>
      <c r="D644" s="122">
        <v>1500000</v>
      </c>
      <c r="E644" s="29">
        <v>0</v>
      </c>
      <c r="F644" s="30">
        <v>1</v>
      </c>
      <c r="G644" s="28">
        <f t="shared" si="52"/>
        <v>0</v>
      </c>
      <c r="H644" s="129">
        <v>1050000</v>
      </c>
      <c r="I644" s="1" t="s">
        <v>492</v>
      </c>
    </row>
    <row r="645" spans="1:8" ht="18">
      <c r="A645" s="630"/>
      <c r="B645" s="657" t="s">
        <v>97</v>
      </c>
      <c r="C645" s="658"/>
      <c r="D645" s="654"/>
      <c r="E645" s="655"/>
      <c r="F645" s="655"/>
      <c r="G645" s="655"/>
      <c r="H645" s="656"/>
    </row>
    <row r="646" spans="1:8" ht="18">
      <c r="A646" s="630"/>
      <c r="B646" s="834" t="s">
        <v>98</v>
      </c>
      <c r="C646" s="835"/>
      <c r="D646" s="122">
        <v>0</v>
      </c>
      <c r="E646" s="29">
        <v>0</v>
      </c>
      <c r="F646" s="30">
        <v>1</v>
      </c>
      <c r="G646" s="28">
        <f>E646*F646</f>
        <v>0</v>
      </c>
      <c r="H646" s="129">
        <f>G646+D646</f>
        <v>0</v>
      </c>
    </row>
    <row r="647" spans="1:9" ht="18">
      <c r="A647" s="630"/>
      <c r="B647" s="834" t="s">
        <v>99</v>
      </c>
      <c r="C647" s="835"/>
      <c r="D647" s="122">
        <v>256000</v>
      </c>
      <c r="E647" s="29">
        <v>3200</v>
      </c>
      <c r="F647" s="30">
        <v>81</v>
      </c>
      <c r="G647" s="28">
        <f>E647*F647</f>
        <v>259200</v>
      </c>
      <c r="H647" s="129">
        <f>+G647</f>
        <v>259200</v>
      </c>
      <c r="I647" s="138" t="s">
        <v>498</v>
      </c>
    </row>
    <row r="648" spans="1:8" ht="18">
      <c r="A648" s="630"/>
      <c r="B648" s="834" t="s">
        <v>100</v>
      </c>
      <c r="C648" s="835"/>
      <c r="D648" s="122">
        <v>0</v>
      </c>
      <c r="E648" s="29">
        <v>0</v>
      </c>
      <c r="F648" s="30">
        <v>1</v>
      </c>
      <c r="G648" s="28">
        <f>E648*F648</f>
        <v>0</v>
      </c>
      <c r="H648" s="129">
        <f>G648+D648</f>
        <v>0</v>
      </c>
    </row>
    <row r="649" spans="1:8" ht="18">
      <c r="A649" s="630"/>
      <c r="B649" s="657" t="s">
        <v>42</v>
      </c>
      <c r="C649" s="658"/>
      <c r="D649" s="654"/>
      <c r="E649" s="655"/>
      <c r="F649" s="655"/>
      <c r="G649" s="655"/>
      <c r="H649" s="656"/>
    </row>
    <row r="650" spans="1:8" ht="18">
      <c r="A650" s="630"/>
      <c r="B650" s="837" t="s">
        <v>132</v>
      </c>
      <c r="C650" s="838"/>
      <c r="D650" s="122">
        <v>0</v>
      </c>
      <c r="E650" s="29">
        <v>0</v>
      </c>
      <c r="F650" s="30">
        <v>1</v>
      </c>
      <c r="G650" s="28">
        <f aca="true" t="shared" si="53" ref="G650:G655">E650*F650</f>
        <v>0</v>
      </c>
      <c r="H650" s="129">
        <f aca="true" t="shared" si="54" ref="H650:H655">G650+D650</f>
        <v>0</v>
      </c>
    </row>
    <row r="651" spans="1:9" ht="18">
      <c r="A651" s="630"/>
      <c r="B651" s="834" t="s">
        <v>101</v>
      </c>
      <c r="C651" s="835"/>
      <c r="D651" s="849">
        <v>4204341</v>
      </c>
      <c r="E651" s="29">
        <v>0</v>
      </c>
      <c r="F651" s="30">
        <v>1</v>
      </c>
      <c r="G651" s="28">
        <f t="shared" si="53"/>
        <v>0</v>
      </c>
      <c r="H651" s="129">
        <f t="shared" si="54"/>
        <v>4204341</v>
      </c>
      <c r="I651" s="1" t="s">
        <v>505</v>
      </c>
    </row>
    <row r="652" spans="1:8" ht="18">
      <c r="A652" s="630"/>
      <c r="B652" s="834" t="s">
        <v>102</v>
      </c>
      <c r="C652" s="835"/>
      <c r="D652" s="122">
        <v>0</v>
      </c>
      <c r="E652" s="29">
        <v>0</v>
      </c>
      <c r="F652" s="30">
        <v>1</v>
      </c>
      <c r="G652" s="28">
        <f t="shared" si="53"/>
        <v>0</v>
      </c>
      <c r="H652" s="129">
        <f t="shared" si="54"/>
        <v>0</v>
      </c>
    </row>
    <row r="653" spans="1:9" ht="18">
      <c r="A653" s="630"/>
      <c r="B653" s="834" t="s">
        <v>103</v>
      </c>
      <c r="C653" s="835"/>
      <c r="D653" s="122">
        <v>1335100</v>
      </c>
      <c r="E653" s="29">
        <v>0</v>
      </c>
      <c r="F653" s="30">
        <v>1</v>
      </c>
      <c r="G653" s="28">
        <f t="shared" si="53"/>
        <v>0</v>
      </c>
      <c r="H653" s="129">
        <f t="shared" si="54"/>
        <v>1335100</v>
      </c>
      <c r="I653" s="1" t="s">
        <v>486</v>
      </c>
    </row>
    <row r="654" spans="1:8" ht="18">
      <c r="A654" s="630"/>
      <c r="B654" s="834" t="s">
        <v>104</v>
      </c>
      <c r="C654" s="835"/>
      <c r="D654" s="849"/>
      <c r="E654" s="29">
        <v>0</v>
      </c>
      <c r="F654" s="30">
        <v>1</v>
      </c>
      <c r="G654" s="28">
        <f t="shared" si="53"/>
        <v>0</v>
      </c>
      <c r="H654" s="129">
        <f t="shared" si="54"/>
        <v>0</v>
      </c>
    </row>
    <row r="655" spans="1:10" ht="13.5">
      <c r="A655" s="630"/>
      <c r="B655" s="847" t="s">
        <v>177</v>
      </c>
      <c r="C655" s="852"/>
      <c r="D655" s="122">
        <v>0</v>
      </c>
      <c r="E655" s="29">
        <v>0</v>
      </c>
      <c r="F655" s="30">
        <v>1</v>
      </c>
      <c r="G655" s="28">
        <f t="shared" si="53"/>
        <v>0</v>
      </c>
      <c r="H655" s="129">
        <f t="shared" si="54"/>
        <v>0</v>
      </c>
      <c r="I655" s="112"/>
      <c r="J655" s="102"/>
    </row>
    <row r="656" spans="1:10" ht="18">
      <c r="A656" s="630"/>
      <c r="B656" s="657" t="s">
        <v>106</v>
      </c>
      <c r="C656" s="658"/>
      <c r="D656" s="654"/>
      <c r="E656" s="655"/>
      <c r="F656" s="655"/>
      <c r="G656" s="655"/>
      <c r="H656" s="656"/>
      <c r="I656" s="102"/>
      <c r="J656" s="102"/>
    </row>
    <row r="657" spans="1:12" ht="18">
      <c r="A657" s="630"/>
      <c r="B657" s="834" t="s">
        <v>121</v>
      </c>
      <c r="C657" s="835"/>
      <c r="D657" s="122">
        <v>125371</v>
      </c>
      <c r="E657" s="29">
        <v>0</v>
      </c>
      <c r="F657" s="30">
        <v>1</v>
      </c>
      <c r="G657" s="28">
        <f>F657*E657</f>
        <v>0</v>
      </c>
      <c r="H657" s="129">
        <v>120332</v>
      </c>
      <c r="J657" s="264"/>
      <c r="K657" s="264"/>
      <c r="L657" s="163"/>
    </row>
    <row r="658" spans="1:12" ht="18">
      <c r="A658" s="630"/>
      <c r="B658" s="834" t="s">
        <v>122</v>
      </c>
      <c r="C658" s="835"/>
      <c r="D658" s="849">
        <v>454400</v>
      </c>
      <c r="E658" s="29">
        <v>6400</v>
      </c>
      <c r="F658" s="30">
        <v>81</v>
      </c>
      <c r="G658" s="28">
        <f>F658*E658</f>
        <v>518400</v>
      </c>
      <c r="H658" s="129">
        <f>G658</f>
        <v>518400</v>
      </c>
      <c r="I658" s="1" t="s">
        <v>499</v>
      </c>
      <c r="L658" s="264"/>
    </row>
    <row r="659" spans="1:10" ht="18">
      <c r="A659" s="630"/>
      <c r="B659" s="657" t="s">
        <v>107</v>
      </c>
      <c r="C659" s="658"/>
      <c r="D659" s="654"/>
      <c r="E659" s="655"/>
      <c r="F659" s="655"/>
      <c r="G659" s="655"/>
      <c r="H659" s="656"/>
      <c r="I659" s="102"/>
      <c r="J659" s="102"/>
    </row>
    <row r="660" spans="1:10" ht="18">
      <c r="A660" s="630"/>
      <c r="B660" s="834" t="s">
        <v>108</v>
      </c>
      <c r="C660" s="835"/>
      <c r="D660" s="849">
        <v>298325</v>
      </c>
      <c r="E660" s="29">
        <v>0</v>
      </c>
      <c r="F660" s="30">
        <v>1</v>
      </c>
      <c r="G660" s="28">
        <f>E660*F660</f>
        <v>0</v>
      </c>
      <c r="H660" s="129">
        <v>298325</v>
      </c>
      <c r="I660" s="102" t="s">
        <v>526</v>
      </c>
      <c r="J660" s="102"/>
    </row>
    <row r="661" spans="1:8" ht="18">
      <c r="A661" s="630"/>
      <c r="B661" s="834" t="s">
        <v>109</v>
      </c>
      <c r="C661" s="835"/>
      <c r="D661" s="122">
        <v>0</v>
      </c>
      <c r="E661" s="29">
        <v>0</v>
      </c>
      <c r="F661" s="30">
        <v>1</v>
      </c>
      <c r="G661" s="28">
        <f>E661*F661</f>
        <v>0</v>
      </c>
      <c r="H661" s="129">
        <f>G661+D661</f>
        <v>0</v>
      </c>
    </row>
    <row r="662" spans="1:9" ht="13.5">
      <c r="A662" s="630"/>
      <c r="B662" s="851" t="s">
        <v>110</v>
      </c>
      <c r="C662" s="852"/>
      <c r="D662" s="122">
        <v>300000</v>
      </c>
      <c r="E662" s="29">
        <v>0</v>
      </c>
      <c r="F662" s="30">
        <v>1</v>
      </c>
      <c r="G662" s="28">
        <f>E662*F662</f>
        <v>0</v>
      </c>
      <c r="H662" s="129">
        <f>G662+D662</f>
        <v>300000</v>
      </c>
      <c r="I662" s="1" t="s">
        <v>445</v>
      </c>
    </row>
    <row r="663" spans="1:9" ht="18">
      <c r="A663" s="630"/>
      <c r="B663" s="837" t="s">
        <v>111</v>
      </c>
      <c r="C663" s="838"/>
      <c r="D663" s="849">
        <v>278548</v>
      </c>
      <c r="E663" s="54">
        <v>33000</v>
      </c>
      <c r="F663" s="55">
        <v>5</v>
      </c>
      <c r="G663" s="28">
        <f>E663*F663</f>
        <v>165000</v>
      </c>
      <c r="H663" s="131">
        <f>D663</f>
        <v>278548</v>
      </c>
      <c r="I663" s="1" t="s">
        <v>511</v>
      </c>
    </row>
    <row r="664" spans="1:8" ht="18">
      <c r="A664" s="630"/>
      <c r="B664" s="657" t="s">
        <v>112</v>
      </c>
      <c r="C664" s="658"/>
      <c r="D664" s="663"/>
      <c r="E664" s="664"/>
      <c r="F664" s="664"/>
      <c r="G664" s="664"/>
      <c r="H664" s="665"/>
    </row>
    <row r="665" spans="1:10" ht="18">
      <c r="A665" s="630"/>
      <c r="B665" s="837" t="s">
        <v>113</v>
      </c>
      <c r="C665" s="838"/>
      <c r="D665" s="122">
        <v>1610476</v>
      </c>
      <c r="E665" s="29">
        <v>287585</v>
      </c>
      <c r="F665" s="30">
        <v>8</v>
      </c>
      <c r="G665" s="28">
        <f>E665*F665</f>
        <v>2300680</v>
      </c>
      <c r="H665" s="129">
        <v>1610448</v>
      </c>
      <c r="I665" s="116" t="s">
        <v>481</v>
      </c>
      <c r="J665" s="116"/>
    </row>
    <row r="666" spans="1:8" ht="13.5">
      <c r="A666" s="630"/>
      <c r="B666" s="847" t="s">
        <v>120</v>
      </c>
      <c r="C666" s="848"/>
      <c r="D666" s="122">
        <v>0</v>
      </c>
      <c r="E666" s="29">
        <v>0</v>
      </c>
      <c r="F666" s="30">
        <v>1</v>
      </c>
      <c r="G666" s="28">
        <f>E666*F666</f>
        <v>0</v>
      </c>
      <c r="H666" s="129">
        <f>G666+D666</f>
        <v>0</v>
      </c>
    </row>
    <row r="667" spans="1:8" ht="18">
      <c r="A667" s="630"/>
      <c r="B667" s="853" t="s">
        <v>114</v>
      </c>
      <c r="C667" s="854"/>
      <c r="D667" s="123">
        <f>SUM(D668:D672)</f>
        <v>319700</v>
      </c>
      <c r="E667" s="27">
        <f>SUM(E668:E672)</f>
        <v>0</v>
      </c>
      <c r="F667" s="61"/>
      <c r="G667" s="27">
        <f>SUM(G668:G672)</f>
        <v>0</v>
      </c>
      <c r="H667" s="130">
        <f>SUM(H668:H672)</f>
        <v>319700</v>
      </c>
    </row>
    <row r="668" spans="1:8" ht="18">
      <c r="A668" s="630"/>
      <c r="B668" s="855" t="s">
        <v>124</v>
      </c>
      <c r="C668" s="856"/>
      <c r="D668" s="122"/>
      <c r="E668" s="54">
        <v>0</v>
      </c>
      <c r="F668" s="55">
        <v>1</v>
      </c>
      <c r="G668" s="53">
        <f>E668*F668</f>
        <v>0</v>
      </c>
      <c r="H668" s="131">
        <f>G668+D668</f>
        <v>0</v>
      </c>
    </row>
    <row r="669" spans="1:8" ht="18">
      <c r="A669" s="630"/>
      <c r="B669" s="855" t="s">
        <v>125</v>
      </c>
      <c r="C669" s="856"/>
      <c r="D669" s="122"/>
      <c r="E669" s="29">
        <v>0</v>
      </c>
      <c r="F669" s="30">
        <v>1</v>
      </c>
      <c r="G669" s="28">
        <f>E669*F669</f>
        <v>0</v>
      </c>
      <c r="H669" s="129">
        <f>G669+D669</f>
        <v>0</v>
      </c>
    </row>
    <row r="670" spans="1:9" ht="18">
      <c r="A670" s="630"/>
      <c r="B670" s="855" t="s">
        <v>126</v>
      </c>
      <c r="C670" s="856"/>
      <c r="D670" s="122">
        <v>319700</v>
      </c>
      <c r="E670" s="29"/>
      <c r="F670" s="30"/>
      <c r="G670" s="28"/>
      <c r="H670" s="129">
        <v>319700</v>
      </c>
      <c r="I670" s="1" t="s">
        <v>386</v>
      </c>
    </row>
    <row r="671" spans="1:8" ht="18">
      <c r="A671" s="630"/>
      <c r="B671" s="855" t="s">
        <v>127</v>
      </c>
      <c r="C671" s="856"/>
      <c r="D671" s="122">
        <v>0</v>
      </c>
      <c r="E671" s="29">
        <v>0</v>
      </c>
      <c r="F671" s="30">
        <v>1</v>
      </c>
      <c r="G671" s="28">
        <f>E671*F671</f>
        <v>0</v>
      </c>
      <c r="H671" s="129">
        <f>G671+D671</f>
        <v>0</v>
      </c>
    </row>
    <row r="672" spans="1:21" ht="18">
      <c r="A672" s="677"/>
      <c r="B672" s="872" t="s">
        <v>128</v>
      </c>
      <c r="C672" s="856"/>
      <c r="D672" s="124">
        <v>0</v>
      </c>
      <c r="E672" s="54">
        <v>0</v>
      </c>
      <c r="F672" s="55">
        <v>1</v>
      </c>
      <c r="G672" s="53">
        <f>E672*F672</f>
        <v>0</v>
      </c>
      <c r="H672" s="131">
        <f>G672+D672</f>
        <v>0</v>
      </c>
      <c r="I672" s="20"/>
      <c r="J672" s="20"/>
      <c r="K672" s="20"/>
      <c r="L672" s="20"/>
      <c r="M672" s="20"/>
      <c r="N672" s="20"/>
      <c r="O672" s="20"/>
      <c r="P672" s="20"/>
      <c r="Q672" s="20"/>
      <c r="R672" s="20"/>
      <c r="S672" s="20"/>
      <c r="T672" s="20"/>
      <c r="U672" s="20"/>
    </row>
    <row r="673" spans="1:36" ht="18" thickBot="1">
      <c r="A673" s="678"/>
      <c r="B673" s="873" t="s">
        <v>43</v>
      </c>
      <c r="C673" s="858"/>
      <c r="D673" s="125">
        <f>SUM(D591,D603,D667)</f>
        <v>214052127.10909703</v>
      </c>
      <c r="E673" s="107">
        <f>SUM(E667,E603,E591)</f>
        <v>392685</v>
      </c>
      <c r="F673" s="108"/>
      <c r="G673" s="109">
        <f>SUM(G667,G603,G591)</f>
        <v>25703410</v>
      </c>
      <c r="H673" s="132">
        <f>SUM(H667,H603,H591)</f>
        <v>213664260.10909703</v>
      </c>
      <c r="I673" s="141"/>
      <c r="J673" s="110"/>
      <c r="K673" s="110"/>
      <c r="L673" s="110"/>
      <c r="M673" s="110"/>
      <c r="N673" s="110"/>
      <c r="O673" s="110"/>
      <c r="P673" s="110"/>
      <c r="Q673" s="110"/>
      <c r="R673" s="110"/>
      <c r="S673" s="110"/>
      <c r="T673" s="110"/>
      <c r="U673" s="110"/>
      <c r="V673" s="140"/>
      <c r="W673" s="140"/>
      <c r="X673" s="140"/>
      <c r="Y673" s="140"/>
      <c r="Z673" s="140"/>
      <c r="AA673" s="140"/>
      <c r="AB673" s="140"/>
      <c r="AC673" s="140"/>
      <c r="AD673" s="140"/>
      <c r="AE673" s="140"/>
      <c r="AF673" s="140"/>
      <c r="AG673" s="140"/>
      <c r="AH673" s="140"/>
      <c r="AI673" s="140"/>
      <c r="AJ673" s="140"/>
    </row>
    <row r="674" spans="1:9" ht="18" thickBot="1">
      <c r="A674" s="674" t="s">
        <v>183</v>
      </c>
      <c r="B674" s="669" t="s">
        <v>115</v>
      </c>
      <c r="C674" s="670"/>
      <c r="D674" s="123">
        <f>SUM(D684:D685,D682,D676:D680)</f>
        <v>49227646.08840584</v>
      </c>
      <c r="E674" s="27">
        <f>SUM(E684:E685,E682,E676:E680)</f>
        <v>0</v>
      </c>
      <c r="F674" s="61"/>
      <c r="G674" s="27">
        <f>SUM(G684:G685,G682,G676:G680)</f>
        <v>0</v>
      </c>
      <c r="H674" s="130">
        <f>SUM(H684:H685,H682,H676:H680)</f>
        <v>49227646.08840584</v>
      </c>
      <c r="I674" s="4" t="s">
        <v>183</v>
      </c>
    </row>
    <row r="675" spans="1:16" ht="24" thickBot="1">
      <c r="A675" s="675"/>
      <c r="B675" s="657" t="s">
        <v>56</v>
      </c>
      <c r="C675" s="658"/>
      <c r="D675" s="654"/>
      <c r="E675" s="655"/>
      <c r="F675" s="655"/>
      <c r="G675" s="655"/>
      <c r="H675" s="656"/>
      <c r="I675" s="215" t="s">
        <v>356</v>
      </c>
      <c r="J675" s="216">
        <v>18</v>
      </c>
      <c r="K675" s="659"/>
      <c r="L675" s="659"/>
      <c r="M675" s="659"/>
      <c r="N675" s="170"/>
      <c r="O675" s="170"/>
      <c r="P675" s="167"/>
    </row>
    <row r="676" spans="1:16" ht="18">
      <c r="A676" s="675"/>
      <c r="B676" s="834" t="s">
        <v>57</v>
      </c>
      <c r="C676" s="835"/>
      <c r="D676" s="859">
        <f>M684</f>
        <v>46726625.02524489</v>
      </c>
      <c r="E676" s="29"/>
      <c r="F676" s="30"/>
      <c r="G676" s="28"/>
      <c r="H676" s="129">
        <f>G676+D676</f>
        <v>46726625.02524489</v>
      </c>
      <c r="K676" s="649" t="s">
        <v>385</v>
      </c>
      <c r="L676" s="649"/>
      <c r="M676" s="649"/>
      <c r="N676" s="102"/>
      <c r="O676" s="217" t="s">
        <v>228</v>
      </c>
      <c r="P676" s="218">
        <f>'[1]EDUCACIONAL'!$BH$141</f>
        <v>580720</v>
      </c>
    </row>
    <row r="677" spans="1:14" ht="18">
      <c r="A677" s="675"/>
      <c r="B677" s="834" t="s">
        <v>181</v>
      </c>
      <c r="C677" s="835"/>
      <c r="D677" s="859">
        <f>P676</f>
        <v>580720</v>
      </c>
      <c r="E677" s="29">
        <v>0</v>
      </c>
      <c r="F677" s="30">
        <v>1</v>
      </c>
      <c r="G677" s="28">
        <f>E677*F677</f>
        <v>0</v>
      </c>
      <c r="H677" s="129">
        <f>G677+D677</f>
        <v>580720</v>
      </c>
      <c r="K677" s="219" t="s">
        <v>229</v>
      </c>
      <c r="L677" s="220">
        <v>2</v>
      </c>
      <c r="M677" s="218">
        <f>'[1]EDUCACIONAL'!$BL$141</f>
        <v>16384874.622072</v>
      </c>
      <c r="N677" s="102"/>
    </row>
    <row r="678" spans="1:16" ht="18">
      <c r="A678" s="675"/>
      <c r="B678" s="837" t="s">
        <v>58</v>
      </c>
      <c r="C678" s="838"/>
      <c r="D678" s="849">
        <v>0</v>
      </c>
      <c r="E678" s="29">
        <v>0</v>
      </c>
      <c r="F678" s="30">
        <v>1</v>
      </c>
      <c r="G678" s="28">
        <f>E678*F678</f>
        <v>0</v>
      </c>
      <c r="H678" s="129">
        <f>G678+D678</f>
        <v>0</v>
      </c>
      <c r="K678" s="219" t="s">
        <v>230</v>
      </c>
      <c r="L678" s="220">
        <v>4</v>
      </c>
      <c r="M678" s="218">
        <f>'[1]EDUCACIONAL'!$BL$138</f>
        <v>30341750.403172895</v>
      </c>
      <c r="N678" s="102"/>
      <c r="O678" s="649" t="s">
        <v>231</v>
      </c>
      <c r="P678" s="649"/>
    </row>
    <row r="679" spans="1:16" ht="18">
      <c r="A679" s="675"/>
      <c r="B679" s="834" t="s">
        <v>59</v>
      </c>
      <c r="C679" s="835"/>
      <c r="D679" s="859">
        <f>P681</f>
        <v>1403034.8129084972</v>
      </c>
      <c r="E679" s="29">
        <v>0</v>
      </c>
      <c r="F679" s="30">
        <v>1</v>
      </c>
      <c r="G679" s="28">
        <f>E679*F679</f>
        <v>0</v>
      </c>
      <c r="H679" s="129">
        <f>G679+D679</f>
        <v>1403034.8129084972</v>
      </c>
      <c r="K679" s="219" t="s">
        <v>232</v>
      </c>
      <c r="L679" s="220">
        <v>0</v>
      </c>
      <c r="M679" s="218"/>
      <c r="N679" s="102"/>
      <c r="O679" s="221" t="s">
        <v>233</v>
      </c>
      <c r="P679" s="218">
        <f>'[1]EDUCACIONAL'!$BF$141</f>
        <v>734599.1309084971</v>
      </c>
    </row>
    <row r="680" spans="1:16" ht="18">
      <c r="A680" s="675"/>
      <c r="B680" s="834" t="s">
        <v>129</v>
      </c>
      <c r="C680" s="835"/>
      <c r="D680" s="849">
        <v>0</v>
      </c>
      <c r="E680" s="29">
        <v>0</v>
      </c>
      <c r="F680" s="30">
        <v>1</v>
      </c>
      <c r="G680" s="28">
        <f>E680*F680</f>
        <v>0</v>
      </c>
      <c r="H680" s="129">
        <f>G680+D680</f>
        <v>0</v>
      </c>
      <c r="K680" s="219" t="s">
        <v>234</v>
      </c>
      <c r="L680" s="220">
        <v>0</v>
      </c>
      <c r="M680" s="218"/>
      <c r="N680" s="102"/>
      <c r="O680" s="221" t="s">
        <v>235</v>
      </c>
      <c r="P680" s="218">
        <f>'[1]EDUCACIONAL'!$BG$141</f>
        <v>668435.682</v>
      </c>
    </row>
    <row r="681" spans="1:16" ht="18">
      <c r="A681" s="675"/>
      <c r="B681" s="657" t="s">
        <v>60</v>
      </c>
      <c r="C681" s="658"/>
      <c r="D681" s="654"/>
      <c r="E681" s="655"/>
      <c r="F681" s="655"/>
      <c r="G681" s="655"/>
      <c r="H681" s="656"/>
      <c r="K681" s="653" t="s">
        <v>236</v>
      </c>
      <c r="L681" s="653"/>
      <c r="M681" s="218"/>
      <c r="N681" s="102"/>
      <c r="O681" s="222" t="s">
        <v>237</v>
      </c>
      <c r="P681" s="223">
        <f>SUM(P679:P680)</f>
        <v>1403034.8129084972</v>
      </c>
    </row>
    <row r="682" spans="1:16" ht="18">
      <c r="A682" s="675"/>
      <c r="B682" s="834" t="s">
        <v>61</v>
      </c>
      <c r="C682" s="835"/>
      <c r="D682" s="849">
        <f>+D676*1%</f>
        <v>467266.25025244895</v>
      </c>
      <c r="E682" s="29">
        <v>0</v>
      </c>
      <c r="F682" s="30">
        <v>1</v>
      </c>
      <c r="G682" s="28">
        <f>E682*F682</f>
        <v>0</v>
      </c>
      <c r="H682" s="129">
        <f>G682+D682</f>
        <v>467266.25025244895</v>
      </c>
      <c r="I682" s="1" t="s">
        <v>565</v>
      </c>
      <c r="K682" s="653" t="s">
        <v>238</v>
      </c>
      <c r="L682" s="653"/>
      <c r="M682" s="218">
        <f>SUM(M677:M680)</f>
        <v>46726625.02524489</v>
      </c>
      <c r="N682" s="102"/>
      <c r="O682" s="105"/>
      <c r="P682" s="105"/>
    </row>
    <row r="683" spans="1:16" ht="18">
      <c r="A683" s="675"/>
      <c r="B683" s="657" t="s">
        <v>62</v>
      </c>
      <c r="C683" s="658"/>
      <c r="D683" s="654"/>
      <c r="E683" s="655"/>
      <c r="F683" s="655"/>
      <c r="G683" s="655"/>
      <c r="H683" s="656"/>
      <c r="K683" s="653" t="s">
        <v>239</v>
      </c>
      <c r="L683" s="653"/>
      <c r="M683" s="224"/>
      <c r="N683" s="102"/>
      <c r="O683" s="102"/>
      <c r="P683" s="102"/>
    </row>
    <row r="684" spans="1:16" ht="13.5">
      <c r="A684" s="675"/>
      <c r="B684" s="839" t="s">
        <v>63</v>
      </c>
      <c r="C684" s="840"/>
      <c r="D684" s="122">
        <v>50000</v>
      </c>
      <c r="E684" s="29">
        <v>0</v>
      </c>
      <c r="F684" s="30">
        <v>1</v>
      </c>
      <c r="G684" s="28">
        <f>E684*F684</f>
        <v>0</v>
      </c>
      <c r="H684" s="129">
        <f>G684+D684</f>
        <v>50000</v>
      </c>
      <c r="I684" s="1" t="s">
        <v>477</v>
      </c>
      <c r="K684" s="650" t="s">
        <v>542</v>
      </c>
      <c r="L684" s="650"/>
      <c r="M684" s="223">
        <f>+M682</f>
        <v>46726625.02524489</v>
      </c>
      <c r="N684" s="102"/>
      <c r="O684" s="102"/>
      <c r="P684" s="102"/>
    </row>
    <row r="685" spans="1:14" ht="13.5">
      <c r="A685" s="675"/>
      <c r="B685" s="841" t="s">
        <v>64</v>
      </c>
      <c r="C685" s="840"/>
      <c r="D685" s="849">
        <v>0</v>
      </c>
      <c r="E685" s="29">
        <v>0</v>
      </c>
      <c r="F685" s="30">
        <v>1</v>
      </c>
      <c r="G685" s="28">
        <f>E685*F685</f>
        <v>0</v>
      </c>
      <c r="H685" s="129">
        <f>G685+D685</f>
        <v>0</v>
      </c>
      <c r="N685" s="102"/>
    </row>
    <row r="686" spans="1:8" ht="18">
      <c r="A686" s="675"/>
      <c r="B686" s="672" t="s">
        <v>65</v>
      </c>
      <c r="C686" s="673"/>
      <c r="D686" s="123">
        <f>SUM(D688:D689,D691:D693,D695:D696,D698:D709,D711:D719,D721:D727,D729:D731,D733:D738,D740:D741,D743:D746,D748:D749)</f>
        <v>9998670.019000001</v>
      </c>
      <c r="E686" s="27">
        <f>SUM(E688:E689,E691:E693,E695:E696,E698:E709,E711:E719,E721:E727,E729:E731,E733:E738,E740:E741,E743:E746,E748:E749)</f>
        <v>31280</v>
      </c>
      <c r="F686" s="61"/>
      <c r="G686" s="27">
        <f>SUM(G688:G689,G691:G693,G695:G696,G698:G709,G711:G719,G721:G727,G729:G731,G733:G738,G740:G741,G743:G746,G748:G749)</f>
        <v>2326560</v>
      </c>
      <c r="H686" s="130">
        <f>SUM(H688:H689,H691:H693,H695:H696,H698:H709,H711:H719,H721:H727,H729:H731,H733:H738,H740:H741,H743:H746,H748:H749)</f>
        <v>9998670.019000001</v>
      </c>
    </row>
    <row r="687" spans="1:8" ht="18">
      <c r="A687" s="675"/>
      <c r="B687" s="842" t="s">
        <v>66</v>
      </c>
      <c r="C687" s="843"/>
      <c r="D687" s="654"/>
      <c r="E687" s="655"/>
      <c r="F687" s="655"/>
      <c r="G687" s="655"/>
      <c r="H687" s="656"/>
    </row>
    <row r="688" spans="1:9" ht="18">
      <c r="A688" s="675"/>
      <c r="B688" s="837" t="s">
        <v>67</v>
      </c>
      <c r="C688" s="838"/>
      <c r="D688" s="122">
        <v>1141800</v>
      </c>
      <c r="E688" s="29">
        <v>1730</v>
      </c>
      <c r="F688" s="30">
        <f>6*10*11</f>
        <v>660</v>
      </c>
      <c r="G688" s="28">
        <f>E688*F688</f>
        <v>1141800</v>
      </c>
      <c r="H688" s="129">
        <f>G688</f>
        <v>1141800</v>
      </c>
      <c r="I688" s="264" t="s">
        <v>466</v>
      </c>
    </row>
    <row r="689" spans="1:9" ht="13.5">
      <c r="A689" s="675"/>
      <c r="B689" s="847" t="s">
        <v>117</v>
      </c>
      <c r="C689" s="848"/>
      <c r="D689" s="849">
        <v>1108800</v>
      </c>
      <c r="E689" s="29">
        <v>560</v>
      </c>
      <c r="F689" s="30">
        <f>18*10*11</f>
        <v>1980</v>
      </c>
      <c r="G689" s="28">
        <f>E689*F689</f>
        <v>1108800</v>
      </c>
      <c r="H689" s="129">
        <f>G689</f>
        <v>1108800</v>
      </c>
      <c r="I689" s="290" t="s">
        <v>467</v>
      </c>
    </row>
    <row r="690" spans="1:9" ht="18">
      <c r="A690" s="675"/>
      <c r="B690" s="842" t="s">
        <v>68</v>
      </c>
      <c r="C690" s="843"/>
      <c r="D690" s="654"/>
      <c r="E690" s="655"/>
      <c r="F690" s="655"/>
      <c r="G690" s="655"/>
      <c r="H690" s="656"/>
      <c r="I690" s="21"/>
    </row>
    <row r="691" spans="1:9" ht="18">
      <c r="A691" s="675"/>
      <c r="B691" s="834" t="s">
        <v>116</v>
      </c>
      <c r="C691" s="835"/>
      <c r="D691" s="859">
        <v>100000</v>
      </c>
      <c r="E691" s="29">
        <v>10000</v>
      </c>
      <c r="F691" s="30">
        <v>10</v>
      </c>
      <c r="G691" s="28"/>
      <c r="H691" s="129">
        <f>+D691+G691</f>
        <v>100000</v>
      </c>
      <c r="I691" s="111" t="s">
        <v>218</v>
      </c>
    </row>
    <row r="692" spans="1:9" ht="18">
      <c r="A692" s="675"/>
      <c r="B692" s="834" t="s">
        <v>69</v>
      </c>
      <c r="C692" s="835"/>
      <c r="D692" s="849">
        <v>75960</v>
      </c>
      <c r="E692" s="29">
        <v>18990</v>
      </c>
      <c r="F692" s="30">
        <v>4</v>
      </c>
      <c r="G692" s="28">
        <f>E692*F692</f>
        <v>75960</v>
      </c>
      <c r="H692" s="129">
        <f>+G692</f>
        <v>75960</v>
      </c>
      <c r="I692" s="111" t="s">
        <v>465</v>
      </c>
    </row>
    <row r="693" spans="1:8" ht="18">
      <c r="A693" s="675"/>
      <c r="B693" s="834" t="s">
        <v>70</v>
      </c>
      <c r="C693" s="835"/>
      <c r="D693" s="849"/>
      <c r="E693" s="29">
        <v>0</v>
      </c>
      <c r="F693" s="30">
        <v>1</v>
      </c>
      <c r="G693" s="28">
        <f>E693*F693</f>
        <v>0</v>
      </c>
      <c r="H693" s="129">
        <f>G693+D693</f>
        <v>0</v>
      </c>
    </row>
    <row r="694" spans="1:8" ht="18">
      <c r="A694" s="675"/>
      <c r="B694" s="842" t="s">
        <v>71</v>
      </c>
      <c r="C694" s="843"/>
      <c r="D694" s="666"/>
      <c r="E694" s="667"/>
      <c r="F694" s="667"/>
      <c r="G694" s="667"/>
      <c r="H694" s="668"/>
    </row>
    <row r="695" spans="1:8" ht="18">
      <c r="A695" s="675"/>
      <c r="B695" s="837" t="s">
        <v>72</v>
      </c>
      <c r="C695" s="838"/>
      <c r="D695" s="122">
        <v>0</v>
      </c>
      <c r="E695" s="29">
        <v>0</v>
      </c>
      <c r="F695" s="30">
        <v>1</v>
      </c>
      <c r="G695" s="28">
        <f>E695*F695</f>
        <v>0</v>
      </c>
      <c r="H695" s="129">
        <f>G695+D695</f>
        <v>0</v>
      </c>
    </row>
    <row r="696" spans="1:8" ht="18">
      <c r="A696" s="675"/>
      <c r="B696" s="834" t="s">
        <v>73</v>
      </c>
      <c r="C696" s="835"/>
      <c r="D696" s="122">
        <v>0</v>
      </c>
      <c r="E696" s="29">
        <v>0</v>
      </c>
      <c r="F696" s="30">
        <v>1</v>
      </c>
      <c r="G696" s="28">
        <f>E696*F696</f>
        <v>0</v>
      </c>
      <c r="H696" s="129">
        <f>G696+D696</f>
        <v>0</v>
      </c>
    </row>
    <row r="697" spans="1:8" ht="18">
      <c r="A697" s="675"/>
      <c r="B697" s="842" t="s">
        <v>74</v>
      </c>
      <c r="C697" s="843"/>
      <c r="D697" s="654"/>
      <c r="E697" s="655"/>
      <c r="F697" s="655"/>
      <c r="G697" s="655"/>
      <c r="H697" s="656"/>
    </row>
    <row r="698" spans="1:8" ht="18">
      <c r="A698" s="675"/>
      <c r="B698" s="837" t="s">
        <v>176</v>
      </c>
      <c r="C698" s="838"/>
      <c r="D698" s="122">
        <v>0</v>
      </c>
      <c r="E698" s="29">
        <v>0</v>
      </c>
      <c r="F698" s="30">
        <v>1</v>
      </c>
      <c r="G698" s="28">
        <f>E698*F698</f>
        <v>0</v>
      </c>
      <c r="H698" s="129">
        <f>G698+D698</f>
        <v>0</v>
      </c>
    </row>
    <row r="699" spans="1:9" ht="18">
      <c r="A699" s="675"/>
      <c r="B699" s="837" t="s">
        <v>75</v>
      </c>
      <c r="C699" s="838"/>
      <c r="D699" s="849">
        <v>106162</v>
      </c>
      <c r="E699" s="29">
        <v>0</v>
      </c>
      <c r="F699" s="30">
        <v>1</v>
      </c>
      <c r="G699" s="28">
        <f aca="true" t="shared" si="55" ref="G699:G709">E699*F699</f>
        <v>0</v>
      </c>
      <c r="H699" s="129">
        <f aca="true" t="shared" si="56" ref="H699:H709">G699+D699</f>
        <v>106162</v>
      </c>
      <c r="I699" s="1" t="s">
        <v>512</v>
      </c>
    </row>
    <row r="700" spans="1:8" ht="13.5">
      <c r="A700" s="675"/>
      <c r="B700" s="847" t="s">
        <v>131</v>
      </c>
      <c r="C700" s="848"/>
      <c r="D700" s="122">
        <v>0</v>
      </c>
      <c r="E700" s="29">
        <v>0</v>
      </c>
      <c r="F700" s="30">
        <v>1</v>
      </c>
      <c r="G700" s="28">
        <f t="shared" si="55"/>
        <v>0</v>
      </c>
      <c r="H700" s="129">
        <f t="shared" si="56"/>
        <v>0</v>
      </c>
    </row>
    <row r="701" spans="1:8" ht="18">
      <c r="A701" s="675"/>
      <c r="B701" s="837" t="s">
        <v>76</v>
      </c>
      <c r="C701" s="838"/>
      <c r="D701" s="122"/>
      <c r="E701" s="29">
        <v>0</v>
      </c>
      <c r="F701" s="30">
        <v>1</v>
      </c>
      <c r="G701" s="28">
        <f t="shared" si="55"/>
        <v>0</v>
      </c>
      <c r="H701" s="129">
        <f t="shared" si="56"/>
        <v>0</v>
      </c>
    </row>
    <row r="702" spans="1:8" ht="18">
      <c r="A702" s="675"/>
      <c r="B702" s="837" t="s">
        <v>77</v>
      </c>
      <c r="C702" s="838"/>
      <c r="D702" s="122">
        <v>0</v>
      </c>
      <c r="E702" s="29">
        <v>0</v>
      </c>
      <c r="F702" s="30">
        <v>1</v>
      </c>
      <c r="G702" s="28">
        <f t="shared" si="55"/>
        <v>0</v>
      </c>
      <c r="H702" s="129">
        <f t="shared" si="56"/>
        <v>0</v>
      </c>
    </row>
    <row r="703" spans="1:9" ht="13.5">
      <c r="A703" s="675"/>
      <c r="B703" s="847" t="s">
        <v>78</v>
      </c>
      <c r="C703" s="848"/>
      <c r="D703" s="849">
        <v>36000</v>
      </c>
      <c r="E703" s="29"/>
      <c r="F703" s="30">
        <v>1</v>
      </c>
      <c r="G703" s="28">
        <f t="shared" si="55"/>
        <v>0</v>
      </c>
      <c r="H703" s="129">
        <f t="shared" si="56"/>
        <v>36000</v>
      </c>
      <c r="I703" s="1" t="s">
        <v>513</v>
      </c>
    </row>
    <row r="704" spans="1:8" ht="18">
      <c r="A704" s="675"/>
      <c r="B704" s="837" t="s">
        <v>118</v>
      </c>
      <c r="C704" s="838"/>
      <c r="D704" s="122">
        <v>0</v>
      </c>
      <c r="E704" s="29">
        <v>0</v>
      </c>
      <c r="F704" s="30">
        <v>1</v>
      </c>
      <c r="G704" s="28">
        <f t="shared" si="55"/>
        <v>0</v>
      </c>
      <c r="H704" s="129">
        <f t="shared" si="56"/>
        <v>0</v>
      </c>
    </row>
    <row r="705" spans="1:8" ht="18">
      <c r="A705" s="675"/>
      <c r="B705" s="837" t="s">
        <v>123</v>
      </c>
      <c r="C705" s="838"/>
      <c r="D705" s="849"/>
      <c r="E705" s="29">
        <v>0</v>
      </c>
      <c r="F705" s="30">
        <v>1</v>
      </c>
      <c r="G705" s="28">
        <f t="shared" si="55"/>
        <v>0</v>
      </c>
      <c r="H705" s="129">
        <f t="shared" si="56"/>
        <v>0</v>
      </c>
    </row>
    <row r="706" spans="1:9" ht="18">
      <c r="A706" s="675"/>
      <c r="B706" s="837" t="s">
        <v>79</v>
      </c>
      <c r="C706" s="838"/>
      <c r="D706" s="849">
        <v>195370</v>
      </c>
      <c r="E706" s="29">
        <v>0</v>
      </c>
      <c r="F706" s="30">
        <v>1</v>
      </c>
      <c r="G706" s="28">
        <f t="shared" si="55"/>
        <v>0</v>
      </c>
      <c r="H706" s="129">
        <f t="shared" si="56"/>
        <v>195370</v>
      </c>
      <c r="I706" s="1" t="s">
        <v>514</v>
      </c>
    </row>
    <row r="707" spans="1:8" ht="18">
      <c r="A707" s="675"/>
      <c r="B707" s="837" t="s">
        <v>80</v>
      </c>
      <c r="C707" s="838"/>
      <c r="D707" s="849">
        <v>0</v>
      </c>
      <c r="E707" s="29">
        <v>0</v>
      </c>
      <c r="F707" s="30">
        <v>1</v>
      </c>
      <c r="G707" s="28">
        <f t="shared" si="55"/>
        <v>0</v>
      </c>
      <c r="H707" s="129">
        <f t="shared" si="56"/>
        <v>0</v>
      </c>
    </row>
    <row r="708" spans="1:8" ht="18">
      <c r="A708" s="675"/>
      <c r="B708" s="837" t="s">
        <v>81</v>
      </c>
      <c r="C708" s="838"/>
      <c r="D708" s="849"/>
      <c r="E708" s="29">
        <v>0</v>
      </c>
      <c r="F708" s="30">
        <v>1</v>
      </c>
      <c r="G708" s="28">
        <f t="shared" si="55"/>
        <v>0</v>
      </c>
      <c r="H708" s="129">
        <f t="shared" si="56"/>
        <v>0</v>
      </c>
    </row>
    <row r="709" spans="1:8" ht="18">
      <c r="A709" s="675"/>
      <c r="B709" s="837" t="s">
        <v>119</v>
      </c>
      <c r="C709" s="838"/>
      <c r="D709" s="122"/>
      <c r="E709" s="29">
        <v>0</v>
      </c>
      <c r="F709" s="30">
        <v>1</v>
      </c>
      <c r="G709" s="28">
        <f t="shared" si="55"/>
        <v>0</v>
      </c>
      <c r="H709" s="129">
        <f t="shared" si="56"/>
        <v>0</v>
      </c>
    </row>
    <row r="710" spans="1:8" ht="18">
      <c r="A710" s="675"/>
      <c r="B710" s="842" t="s">
        <v>82</v>
      </c>
      <c r="C710" s="843"/>
      <c r="D710" s="654"/>
      <c r="E710" s="655"/>
      <c r="F710" s="655"/>
      <c r="G710" s="655"/>
      <c r="H710" s="656"/>
    </row>
    <row r="711" spans="1:14" ht="18">
      <c r="A711" s="675"/>
      <c r="B711" s="834" t="s">
        <v>130</v>
      </c>
      <c r="C711" s="835"/>
      <c r="D711" s="849">
        <f>+N712</f>
        <v>879167.0445</v>
      </c>
      <c r="E711" s="29">
        <v>0</v>
      </c>
      <c r="F711" s="31">
        <v>1</v>
      </c>
      <c r="G711" s="28">
        <f>E711*F711</f>
        <v>0</v>
      </c>
      <c r="H711" s="129">
        <f>+N712</f>
        <v>879167.0445</v>
      </c>
      <c r="I711" s="1" t="s">
        <v>539</v>
      </c>
      <c r="K711" s="651" t="s">
        <v>604</v>
      </c>
      <c r="L711" s="651"/>
      <c r="M711" s="267" t="s">
        <v>509</v>
      </c>
      <c r="N711" s="267" t="s">
        <v>510</v>
      </c>
    </row>
    <row r="712" spans="1:14" ht="18">
      <c r="A712" s="675"/>
      <c r="B712" s="834" t="s">
        <v>40</v>
      </c>
      <c r="C712" s="835"/>
      <c r="D712" s="849">
        <f>+N713</f>
        <v>696225.0005999999</v>
      </c>
      <c r="E712" s="29">
        <v>0</v>
      </c>
      <c r="F712" s="30">
        <v>1</v>
      </c>
      <c r="G712" s="28">
        <f aca="true" t="shared" si="57" ref="G712:G719">E712*F712</f>
        <v>0</v>
      </c>
      <c r="H712" s="129">
        <f>+N713</f>
        <v>696225.0005999999</v>
      </c>
      <c r="I712" s="1" t="s">
        <v>539</v>
      </c>
      <c r="K712" s="266" t="s">
        <v>130</v>
      </c>
      <c r="L712" s="266">
        <f>2825995*1.037</f>
        <v>2930556.815</v>
      </c>
      <c r="M712" s="266">
        <f>+L712*0.7</f>
        <v>2051389.7704999999</v>
      </c>
      <c r="N712" s="266">
        <f>+L712*0.3</f>
        <v>879167.0445</v>
      </c>
    </row>
    <row r="713" spans="1:14" ht="18">
      <c r="A713" s="675"/>
      <c r="B713" s="834" t="s">
        <v>41</v>
      </c>
      <c r="C713" s="835"/>
      <c r="D713" s="849">
        <f>+N714</f>
        <v>391960.8008999999</v>
      </c>
      <c r="E713" s="29">
        <v>0</v>
      </c>
      <c r="F713" s="30">
        <v>1</v>
      </c>
      <c r="G713" s="28">
        <f t="shared" si="57"/>
        <v>0</v>
      </c>
      <c r="H713" s="129">
        <f>+N714</f>
        <v>391960.8008999999</v>
      </c>
      <c r="I713" s="1" t="s">
        <v>539</v>
      </c>
      <c r="K713" s="266" t="s">
        <v>40</v>
      </c>
      <c r="L713" s="266">
        <f>2237946*1.037</f>
        <v>2320750.002</v>
      </c>
      <c r="M713" s="266">
        <f aca="true" t="shared" si="58" ref="M713:M718">+L713*0.7</f>
        <v>1624525.0013999997</v>
      </c>
      <c r="N713" s="266">
        <f aca="true" t="shared" si="59" ref="N713:N718">+L713*0.3</f>
        <v>696225.0005999999</v>
      </c>
    </row>
    <row r="714" spans="1:14" ht="18">
      <c r="A714" s="675"/>
      <c r="B714" s="834" t="s">
        <v>83</v>
      </c>
      <c r="C714" s="835"/>
      <c r="D714" s="122">
        <v>0</v>
      </c>
      <c r="E714" s="29">
        <v>0</v>
      </c>
      <c r="F714" s="30">
        <v>1</v>
      </c>
      <c r="G714" s="28">
        <f t="shared" si="57"/>
        <v>0</v>
      </c>
      <c r="H714" s="129">
        <f aca="true" t="shared" si="60" ref="H714:H719">G714+D714</f>
        <v>0</v>
      </c>
      <c r="K714" s="266" t="s">
        <v>41</v>
      </c>
      <c r="L714" s="266">
        <f>1259919*1.037</f>
        <v>1306536.0029999998</v>
      </c>
      <c r="M714" s="266">
        <f t="shared" si="58"/>
        <v>914575.2020999998</v>
      </c>
      <c r="N714" s="266">
        <f t="shared" si="59"/>
        <v>391960.8008999999</v>
      </c>
    </row>
    <row r="715" spans="1:14" ht="18">
      <c r="A715" s="675"/>
      <c r="B715" s="834" t="s">
        <v>84</v>
      </c>
      <c r="C715" s="835"/>
      <c r="D715" s="849">
        <f>+N716</f>
        <v>225216.17849999998</v>
      </c>
      <c r="E715" s="29">
        <v>0</v>
      </c>
      <c r="F715" s="30">
        <v>1</v>
      </c>
      <c r="G715" s="28">
        <f t="shared" si="57"/>
        <v>0</v>
      </c>
      <c r="H715" s="129">
        <f>N716</f>
        <v>225216.17849999998</v>
      </c>
      <c r="I715" s="1" t="s">
        <v>539</v>
      </c>
      <c r="K715" s="266" t="s">
        <v>83</v>
      </c>
      <c r="L715" s="266">
        <v>0</v>
      </c>
      <c r="M715" s="266">
        <f t="shared" si="58"/>
        <v>0</v>
      </c>
      <c r="N715" s="266">
        <f t="shared" si="59"/>
        <v>0</v>
      </c>
    </row>
    <row r="716" spans="1:14" ht="18">
      <c r="A716" s="675"/>
      <c r="B716" s="834" t="s">
        <v>85</v>
      </c>
      <c r="C716" s="835"/>
      <c r="D716" s="122"/>
      <c r="E716" s="29">
        <v>0</v>
      </c>
      <c r="F716" s="30">
        <v>1</v>
      </c>
      <c r="G716" s="28">
        <f t="shared" si="57"/>
        <v>0</v>
      </c>
      <c r="H716" s="129">
        <f t="shared" si="60"/>
        <v>0</v>
      </c>
      <c r="K716" s="266" t="s">
        <v>84</v>
      </c>
      <c r="L716" s="266">
        <f>723935*1.037</f>
        <v>750720.595</v>
      </c>
      <c r="M716" s="266">
        <f t="shared" si="58"/>
        <v>525504.4164999999</v>
      </c>
      <c r="N716" s="266">
        <f t="shared" si="59"/>
        <v>225216.17849999998</v>
      </c>
    </row>
    <row r="717" spans="1:14" ht="18">
      <c r="A717" s="675"/>
      <c r="B717" s="834" t="s">
        <v>86</v>
      </c>
      <c r="C717" s="835"/>
      <c r="D717" s="122">
        <f>+N718</f>
        <v>37485.99449999999</v>
      </c>
      <c r="E717" s="29">
        <v>0</v>
      </c>
      <c r="F717" s="30">
        <v>1</v>
      </c>
      <c r="G717" s="28">
        <f t="shared" si="57"/>
        <v>0</v>
      </c>
      <c r="H717" s="129">
        <f t="shared" si="60"/>
        <v>37485.99449999999</v>
      </c>
      <c r="I717" s="1" t="s">
        <v>539</v>
      </c>
      <c r="K717" s="266" t="s">
        <v>85</v>
      </c>
      <c r="L717" s="266">
        <v>0</v>
      </c>
      <c r="M717" s="266">
        <f t="shared" si="58"/>
        <v>0</v>
      </c>
      <c r="N717" s="266">
        <f t="shared" si="59"/>
        <v>0</v>
      </c>
    </row>
    <row r="718" spans="1:14" ht="18">
      <c r="A718" s="675"/>
      <c r="B718" s="834" t="s">
        <v>87</v>
      </c>
      <c r="C718" s="835"/>
      <c r="D718" s="122">
        <v>0</v>
      </c>
      <c r="E718" s="29">
        <v>0</v>
      </c>
      <c r="F718" s="30">
        <v>1</v>
      </c>
      <c r="G718" s="28">
        <f t="shared" si="57"/>
        <v>0</v>
      </c>
      <c r="H718" s="129">
        <f t="shared" si="60"/>
        <v>0</v>
      </c>
      <c r="K718" s="266" t="s">
        <v>86</v>
      </c>
      <c r="L718" s="266">
        <f>120495*1.037</f>
        <v>124953.31499999999</v>
      </c>
      <c r="M718" s="266">
        <f t="shared" si="58"/>
        <v>87467.32049999999</v>
      </c>
      <c r="N718" s="266">
        <f t="shared" si="59"/>
        <v>37485.99449999999</v>
      </c>
    </row>
    <row r="719" spans="1:14" ht="18">
      <c r="A719" s="675"/>
      <c r="B719" s="834" t="s">
        <v>88</v>
      </c>
      <c r="C719" s="835"/>
      <c r="D719" s="122">
        <v>0</v>
      </c>
      <c r="E719" s="29">
        <v>0</v>
      </c>
      <c r="F719" s="30">
        <v>1</v>
      </c>
      <c r="G719" s="28">
        <f t="shared" si="57"/>
        <v>0</v>
      </c>
      <c r="H719" s="129">
        <f t="shared" si="60"/>
        <v>0</v>
      </c>
      <c r="L719" s="266">
        <f>+L716+L718</f>
        <v>875673.9099999999</v>
      </c>
      <c r="M719" s="266">
        <f>+L719*0.7</f>
        <v>612971.7369999998</v>
      </c>
      <c r="N719" s="266">
        <f>+L719*0.3</f>
        <v>262702.17299999995</v>
      </c>
    </row>
    <row r="720" spans="1:8" ht="18">
      <c r="A720" s="675"/>
      <c r="B720" s="657" t="s">
        <v>89</v>
      </c>
      <c r="C720" s="658"/>
      <c r="D720" s="654"/>
      <c r="E720" s="655"/>
      <c r="F720" s="655"/>
      <c r="G720" s="655"/>
      <c r="H720" s="656"/>
    </row>
    <row r="721" spans="1:9" ht="18">
      <c r="A721" s="675"/>
      <c r="B721" s="837" t="s">
        <v>90</v>
      </c>
      <c r="C721" s="838"/>
      <c r="D721" s="122">
        <v>1147041</v>
      </c>
      <c r="E721" s="29"/>
      <c r="F721" s="30"/>
      <c r="G721" s="28"/>
      <c r="H721" s="129">
        <v>1147041</v>
      </c>
      <c r="I721" s="1" t="s">
        <v>584</v>
      </c>
    </row>
    <row r="722" spans="1:8" ht="18">
      <c r="A722" s="675"/>
      <c r="B722" s="837" t="s">
        <v>91</v>
      </c>
      <c r="C722" s="838"/>
      <c r="D722" s="122">
        <v>0</v>
      </c>
      <c r="E722" s="29">
        <v>0</v>
      </c>
      <c r="F722" s="30">
        <v>1</v>
      </c>
      <c r="G722" s="28">
        <f aca="true" t="shared" si="61" ref="G722:G727">E722*F722</f>
        <v>0</v>
      </c>
      <c r="H722" s="129">
        <f>G722+D722</f>
        <v>0</v>
      </c>
    </row>
    <row r="723" spans="1:9" ht="18">
      <c r="A723" s="675"/>
      <c r="B723" s="837" t="s">
        <v>92</v>
      </c>
      <c r="C723" s="838"/>
      <c r="D723" s="122">
        <v>90000</v>
      </c>
      <c r="E723" s="29">
        <v>0</v>
      </c>
      <c r="F723" s="30">
        <v>1</v>
      </c>
      <c r="G723" s="28">
        <f t="shared" si="61"/>
        <v>0</v>
      </c>
      <c r="H723" s="129">
        <f>G723+D723</f>
        <v>90000</v>
      </c>
      <c r="I723" s="1" t="s">
        <v>490</v>
      </c>
    </row>
    <row r="724" spans="1:8" ht="18">
      <c r="A724" s="675"/>
      <c r="B724" s="837" t="s">
        <v>93</v>
      </c>
      <c r="C724" s="838"/>
      <c r="D724" s="122">
        <v>0</v>
      </c>
      <c r="E724" s="29">
        <v>0</v>
      </c>
      <c r="F724" s="30">
        <v>1</v>
      </c>
      <c r="G724" s="28">
        <f t="shared" si="61"/>
        <v>0</v>
      </c>
      <c r="H724" s="129">
        <v>0</v>
      </c>
    </row>
    <row r="725" spans="1:8" ht="18">
      <c r="A725" s="675"/>
      <c r="B725" s="837" t="s">
        <v>94</v>
      </c>
      <c r="C725" s="838"/>
      <c r="D725" s="122"/>
      <c r="E725" s="29">
        <v>0</v>
      </c>
      <c r="F725" s="30">
        <v>1</v>
      </c>
      <c r="G725" s="28">
        <f t="shared" si="61"/>
        <v>0</v>
      </c>
      <c r="H725" s="129">
        <f>G725+D725</f>
        <v>0</v>
      </c>
    </row>
    <row r="726" spans="1:8" ht="18">
      <c r="A726" s="675"/>
      <c r="B726" s="837" t="s">
        <v>95</v>
      </c>
      <c r="C726" s="838"/>
      <c r="D726" s="122">
        <v>0</v>
      </c>
      <c r="E726" s="29">
        <v>0</v>
      </c>
      <c r="F726" s="30">
        <v>1</v>
      </c>
      <c r="G726" s="28">
        <f t="shared" si="61"/>
        <v>0</v>
      </c>
      <c r="H726" s="129">
        <f>G726+D726</f>
        <v>0</v>
      </c>
    </row>
    <row r="727" spans="1:9" ht="18">
      <c r="A727" s="675"/>
      <c r="B727" s="837" t="s">
        <v>96</v>
      </c>
      <c r="C727" s="838"/>
      <c r="D727" s="122">
        <v>450000</v>
      </c>
      <c r="E727" s="29">
        <v>0</v>
      </c>
      <c r="F727" s="30">
        <v>1</v>
      </c>
      <c r="G727" s="28">
        <f t="shared" si="61"/>
        <v>0</v>
      </c>
      <c r="H727" s="129">
        <v>450000</v>
      </c>
      <c r="I727" s="1" t="s">
        <v>491</v>
      </c>
    </row>
    <row r="728" spans="1:8" ht="18">
      <c r="A728" s="675"/>
      <c r="B728" s="657" t="s">
        <v>97</v>
      </c>
      <c r="C728" s="658"/>
      <c r="D728" s="654"/>
      <c r="E728" s="655"/>
      <c r="F728" s="655"/>
      <c r="G728" s="655"/>
      <c r="H728" s="656"/>
    </row>
    <row r="729" spans="1:8" ht="18">
      <c r="A729" s="675"/>
      <c r="B729" s="834" t="s">
        <v>98</v>
      </c>
      <c r="C729" s="835"/>
      <c r="D729" s="122">
        <v>0</v>
      </c>
      <c r="E729" s="29">
        <v>0</v>
      </c>
      <c r="F729" s="30">
        <v>1</v>
      </c>
      <c r="G729" s="28">
        <f>E729*F729</f>
        <v>0</v>
      </c>
      <c r="H729" s="129">
        <f>G729+D729</f>
        <v>0</v>
      </c>
    </row>
    <row r="730" spans="1:8" ht="18">
      <c r="A730" s="675"/>
      <c r="B730" s="834" t="s">
        <v>99</v>
      </c>
      <c r="C730" s="835"/>
      <c r="D730" s="122">
        <v>0</v>
      </c>
      <c r="E730" s="29">
        <v>0</v>
      </c>
      <c r="F730" s="30">
        <v>1</v>
      </c>
      <c r="G730" s="28">
        <f>E730*F730</f>
        <v>0</v>
      </c>
      <c r="H730" s="129">
        <f>G730+D730</f>
        <v>0</v>
      </c>
    </row>
    <row r="731" spans="1:8" ht="18">
      <c r="A731" s="675"/>
      <c r="B731" s="834" t="s">
        <v>100</v>
      </c>
      <c r="C731" s="835"/>
      <c r="D731" s="122">
        <v>0</v>
      </c>
      <c r="E731" s="29">
        <v>0</v>
      </c>
      <c r="F731" s="30">
        <v>1</v>
      </c>
      <c r="G731" s="28">
        <f>E731*F731</f>
        <v>0</v>
      </c>
      <c r="H731" s="129">
        <f>G731+D731</f>
        <v>0</v>
      </c>
    </row>
    <row r="732" spans="1:8" ht="18">
      <c r="A732" s="675"/>
      <c r="B732" s="657" t="s">
        <v>42</v>
      </c>
      <c r="C732" s="658"/>
      <c r="D732" s="654"/>
      <c r="E732" s="655"/>
      <c r="F732" s="655"/>
      <c r="G732" s="655"/>
      <c r="H732" s="656"/>
    </row>
    <row r="733" spans="1:8" ht="18">
      <c r="A733" s="675"/>
      <c r="B733" s="837" t="s">
        <v>132</v>
      </c>
      <c r="C733" s="838"/>
      <c r="D733" s="122">
        <v>0</v>
      </c>
      <c r="E733" s="29">
        <v>0</v>
      </c>
      <c r="F733" s="30">
        <v>1</v>
      </c>
      <c r="G733" s="28">
        <f aca="true" t="shared" si="62" ref="G733:G738">E733*F733</f>
        <v>0</v>
      </c>
      <c r="H733" s="129">
        <f aca="true" t="shared" si="63" ref="H733:H738">G733+D733</f>
        <v>0</v>
      </c>
    </row>
    <row r="734" spans="1:9" ht="18">
      <c r="A734" s="675"/>
      <c r="B734" s="834" t="s">
        <v>101</v>
      </c>
      <c r="C734" s="835"/>
      <c r="D734" s="849">
        <v>1801860</v>
      </c>
      <c r="E734" s="29">
        <v>0</v>
      </c>
      <c r="F734" s="30">
        <v>1</v>
      </c>
      <c r="G734" s="28">
        <f t="shared" si="62"/>
        <v>0</v>
      </c>
      <c r="H734" s="129">
        <v>1801860</v>
      </c>
      <c r="I734" s="1" t="s">
        <v>585</v>
      </c>
    </row>
    <row r="735" spans="1:8" ht="18">
      <c r="A735" s="675"/>
      <c r="B735" s="834" t="s">
        <v>102</v>
      </c>
      <c r="C735" s="835"/>
      <c r="D735" s="122">
        <v>0</v>
      </c>
      <c r="E735" s="29">
        <v>0</v>
      </c>
      <c r="F735" s="30">
        <v>1</v>
      </c>
      <c r="G735" s="28">
        <f t="shared" si="62"/>
        <v>0</v>
      </c>
      <c r="H735" s="129">
        <f t="shared" si="63"/>
        <v>0</v>
      </c>
    </row>
    <row r="736" spans="1:9" ht="18">
      <c r="A736" s="675"/>
      <c r="B736" s="834" t="s">
        <v>103</v>
      </c>
      <c r="C736" s="835"/>
      <c r="D736" s="122">
        <v>572180</v>
      </c>
      <c r="E736" s="29">
        <v>0</v>
      </c>
      <c r="F736" s="30">
        <v>1</v>
      </c>
      <c r="G736" s="28">
        <f t="shared" si="62"/>
        <v>0</v>
      </c>
      <c r="H736" s="129">
        <f t="shared" si="63"/>
        <v>572180</v>
      </c>
      <c r="I736" s="1" t="s">
        <v>438</v>
      </c>
    </row>
    <row r="737" spans="1:8" ht="18">
      <c r="A737" s="675"/>
      <c r="B737" s="834" t="s">
        <v>104</v>
      </c>
      <c r="C737" s="835"/>
      <c r="D737" s="849"/>
      <c r="E737" s="29">
        <v>0</v>
      </c>
      <c r="F737" s="30">
        <v>1</v>
      </c>
      <c r="G737" s="28">
        <f t="shared" si="62"/>
        <v>0</v>
      </c>
      <c r="H737" s="129">
        <f t="shared" si="63"/>
        <v>0</v>
      </c>
    </row>
    <row r="738" spans="1:10" ht="13.5">
      <c r="A738" s="675"/>
      <c r="B738" s="847" t="s">
        <v>177</v>
      </c>
      <c r="C738" s="852"/>
      <c r="D738" s="122"/>
      <c r="E738" s="29">
        <v>0</v>
      </c>
      <c r="F738" s="30">
        <v>1</v>
      </c>
      <c r="G738" s="28">
        <f t="shared" si="62"/>
        <v>0</v>
      </c>
      <c r="H738" s="129">
        <f t="shared" si="63"/>
        <v>0</v>
      </c>
      <c r="I738" s="112"/>
      <c r="J738" s="102"/>
    </row>
    <row r="739" spans="1:10" ht="18">
      <c r="A739" s="675"/>
      <c r="B739" s="657" t="s">
        <v>106</v>
      </c>
      <c r="C739" s="658"/>
      <c r="D739" s="654"/>
      <c r="E739" s="655"/>
      <c r="F739" s="655"/>
      <c r="G739" s="655"/>
      <c r="H739" s="656"/>
      <c r="I739" s="102"/>
      <c r="J739" s="102"/>
    </row>
    <row r="740" spans="1:12" ht="18">
      <c r="A740" s="675"/>
      <c r="B740" s="834" t="s">
        <v>121</v>
      </c>
      <c r="C740" s="835"/>
      <c r="D740" s="122">
        <v>125385</v>
      </c>
      <c r="E740" s="29">
        <v>0</v>
      </c>
      <c r="F740" s="30">
        <v>1</v>
      </c>
      <c r="G740" s="28">
        <f>F740*E740</f>
        <v>0</v>
      </c>
      <c r="H740" s="129">
        <v>125385</v>
      </c>
      <c r="J740" s="119"/>
      <c r="K740" s="119"/>
      <c r="L740" s="163"/>
    </row>
    <row r="741" spans="1:12" ht="18">
      <c r="A741" s="675"/>
      <c r="B741" s="834" t="s">
        <v>122</v>
      </c>
      <c r="C741" s="835"/>
      <c r="D741" s="849"/>
      <c r="E741" s="29">
        <v>0</v>
      </c>
      <c r="F741" s="30">
        <v>1</v>
      </c>
      <c r="G741" s="28">
        <f>F741*E741</f>
        <v>0</v>
      </c>
      <c r="H741" s="129">
        <f>G741+D741</f>
        <v>0</v>
      </c>
      <c r="I741" s="165"/>
      <c r="J741" s="102"/>
      <c r="K741" s="102"/>
      <c r="L741" s="244"/>
    </row>
    <row r="742" spans="1:10" ht="18">
      <c r="A742" s="675"/>
      <c r="B742" s="657" t="s">
        <v>107</v>
      </c>
      <c r="C742" s="658"/>
      <c r="D742" s="654"/>
      <c r="E742" s="655"/>
      <c r="F742" s="655"/>
      <c r="G742" s="655"/>
      <c r="H742" s="656"/>
      <c r="I742" s="102"/>
      <c r="J742" s="102"/>
    </row>
    <row r="743" spans="1:10" ht="18">
      <c r="A743" s="675"/>
      <c r="B743" s="834" t="s">
        <v>108</v>
      </c>
      <c r="C743" s="835"/>
      <c r="D743" s="849">
        <v>127853</v>
      </c>
      <c r="E743" s="29">
        <v>0</v>
      </c>
      <c r="F743" s="30">
        <v>1</v>
      </c>
      <c r="G743" s="28">
        <f>E743*F743</f>
        <v>0</v>
      </c>
      <c r="H743" s="129">
        <v>127853</v>
      </c>
      <c r="I743" s="1" t="s">
        <v>493</v>
      </c>
      <c r="J743" s="102"/>
    </row>
    <row r="744" spans="1:8" ht="18">
      <c r="A744" s="675"/>
      <c r="B744" s="834" t="s">
        <v>109</v>
      </c>
      <c r="C744" s="835"/>
      <c r="D744" s="122">
        <v>0</v>
      </c>
      <c r="E744" s="29">
        <v>0</v>
      </c>
      <c r="F744" s="30">
        <v>1</v>
      </c>
      <c r="G744" s="28">
        <f>E744*F744</f>
        <v>0</v>
      </c>
      <c r="H744" s="129">
        <f>G744+D744</f>
        <v>0</v>
      </c>
    </row>
    <row r="745" spans="1:8" ht="13.5">
      <c r="A745" s="675"/>
      <c r="B745" s="851" t="s">
        <v>110</v>
      </c>
      <c r="C745" s="852"/>
      <c r="D745" s="122">
        <v>0</v>
      </c>
      <c r="E745" s="29">
        <v>0</v>
      </c>
      <c r="F745" s="30">
        <v>1</v>
      </c>
      <c r="G745" s="28">
        <f>E745*F745</f>
        <v>0</v>
      </c>
      <c r="H745" s="129">
        <f>G745+D745</f>
        <v>0</v>
      </c>
    </row>
    <row r="746" spans="1:8" ht="18">
      <c r="A746" s="675"/>
      <c r="B746" s="837" t="s">
        <v>111</v>
      </c>
      <c r="C746" s="838"/>
      <c r="D746" s="849"/>
      <c r="E746" s="54">
        <v>0</v>
      </c>
      <c r="F746" s="55">
        <v>1</v>
      </c>
      <c r="G746" s="28">
        <f>E746*F746</f>
        <v>0</v>
      </c>
      <c r="H746" s="131">
        <f>G746+D746</f>
        <v>0</v>
      </c>
    </row>
    <row r="747" spans="1:8" ht="18">
      <c r="A747" s="675"/>
      <c r="B747" s="657" t="s">
        <v>112</v>
      </c>
      <c r="C747" s="658"/>
      <c r="D747" s="663"/>
      <c r="E747" s="664"/>
      <c r="F747" s="664"/>
      <c r="G747" s="664"/>
      <c r="H747" s="665"/>
    </row>
    <row r="748" spans="1:10" ht="18">
      <c r="A748" s="675"/>
      <c r="B748" s="837" t="s">
        <v>113</v>
      </c>
      <c r="C748" s="838"/>
      <c r="D748" s="122">
        <v>690204</v>
      </c>
      <c r="E748" s="29">
        <v>0</v>
      </c>
      <c r="F748" s="30">
        <v>1</v>
      </c>
      <c r="G748" s="28">
        <f>E748*F748</f>
        <v>0</v>
      </c>
      <c r="H748" s="129">
        <v>690204</v>
      </c>
      <c r="I748" s="116" t="s">
        <v>482</v>
      </c>
      <c r="J748" s="116"/>
    </row>
    <row r="749" spans="1:8" ht="13.5">
      <c r="A749" s="675"/>
      <c r="B749" s="847" t="s">
        <v>120</v>
      </c>
      <c r="C749" s="848"/>
      <c r="D749" s="122">
        <v>0</v>
      </c>
      <c r="E749" s="29">
        <v>0</v>
      </c>
      <c r="F749" s="30">
        <v>1</v>
      </c>
      <c r="G749" s="28">
        <f>E749*F749</f>
        <v>0</v>
      </c>
      <c r="H749" s="129">
        <f>G749+D749</f>
        <v>0</v>
      </c>
    </row>
    <row r="750" spans="1:8" ht="18">
      <c r="A750" s="675"/>
      <c r="B750" s="853" t="s">
        <v>114</v>
      </c>
      <c r="C750" s="854"/>
      <c r="D750" s="123">
        <f>SUM(D751:D755)</f>
        <v>201300</v>
      </c>
      <c r="E750" s="27">
        <f>SUM(E751:E755)</f>
        <v>0</v>
      </c>
      <c r="F750" s="61"/>
      <c r="G750" s="27">
        <f>SUM(G751:G755)</f>
        <v>0</v>
      </c>
      <c r="H750" s="130">
        <f>SUM(H751:H755)</f>
        <v>201300</v>
      </c>
    </row>
    <row r="751" spans="1:8" ht="18">
      <c r="A751" s="675"/>
      <c r="B751" s="855" t="s">
        <v>124</v>
      </c>
      <c r="C751" s="856"/>
      <c r="D751" s="122">
        <v>0</v>
      </c>
      <c r="E751" s="54">
        <v>0</v>
      </c>
      <c r="F751" s="55">
        <v>1</v>
      </c>
      <c r="G751" s="53">
        <f>E751*F751</f>
        <v>0</v>
      </c>
      <c r="H751" s="131">
        <f>G751+D751</f>
        <v>0</v>
      </c>
    </row>
    <row r="752" spans="1:8" ht="18">
      <c r="A752" s="675"/>
      <c r="B752" s="855" t="s">
        <v>125</v>
      </c>
      <c r="C752" s="856"/>
      <c r="D752" s="122">
        <v>0</v>
      </c>
      <c r="E752" s="29">
        <v>0</v>
      </c>
      <c r="F752" s="30">
        <v>1</v>
      </c>
      <c r="G752" s="28">
        <f>E752*F752</f>
        <v>0</v>
      </c>
      <c r="H752" s="129">
        <f>G752+D752</f>
        <v>0</v>
      </c>
    </row>
    <row r="753" spans="1:9" ht="18">
      <c r="A753" s="675"/>
      <c r="B753" s="855" t="s">
        <v>126</v>
      </c>
      <c r="C753" s="856"/>
      <c r="D753" s="122">
        <v>201300</v>
      </c>
      <c r="E753" s="29"/>
      <c r="F753" s="30"/>
      <c r="G753" s="28"/>
      <c r="H753" s="129">
        <v>201300</v>
      </c>
      <c r="I753" s="1" t="s">
        <v>414</v>
      </c>
    </row>
    <row r="754" spans="1:8" ht="18">
      <c r="A754" s="675"/>
      <c r="B754" s="855" t="s">
        <v>127</v>
      </c>
      <c r="C754" s="856"/>
      <c r="D754" s="122">
        <v>0</v>
      </c>
      <c r="E754" s="29">
        <v>0</v>
      </c>
      <c r="F754" s="30">
        <v>1</v>
      </c>
      <c r="G754" s="28">
        <f>E754*F754</f>
        <v>0</v>
      </c>
      <c r="H754" s="129">
        <f>G754+D754</f>
        <v>0</v>
      </c>
    </row>
    <row r="755" spans="1:12" ht="18">
      <c r="A755" s="675"/>
      <c r="B755" s="855" t="s">
        <v>128</v>
      </c>
      <c r="C755" s="856"/>
      <c r="D755" s="124">
        <v>0</v>
      </c>
      <c r="E755" s="54">
        <v>0</v>
      </c>
      <c r="F755" s="55">
        <v>1</v>
      </c>
      <c r="G755" s="53">
        <f>E755*F755</f>
        <v>0</v>
      </c>
      <c r="H755" s="131">
        <f>G755+D755</f>
        <v>0</v>
      </c>
      <c r="I755" s="20"/>
      <c r="J755" s="20"/>
      <c r="K755" s="20"/>
      <c r="L755" s="20"/>
    </row>
    <row r="756" spans="1:12" ht="18" thickBot="1">
      <c r="A756" s="676"/>
      <c r="B756" s="874" t="s">
        <v>43</v>
      </c>
      <c r="C756" s="875"/>
      <c r="D756" s="126">
        <f>SUM(D674,D686,D750)</f>
        <v>59427616.10740584</v>
      </c>
      <c r="E756" s="58">
        <f>SUM(E750,E686,E674)</f>
        <v>31280</v>
      </c>
      <c r="F756" s="60"/>
      <c r="G756" s="59">
        <f>SUM(G750,G686,G674)</f>
        <v>2326560</v>
      </c>
      <c r="H756" s="492">
        <f>SUM(H750,H686,H674)</f>
        <v>59427616.10740584</v>
      </c>
      <c r="I756" s="141"/>
      <c r="J756" s="110"/>
      <c r="K756" s="110"/>
      <c r="L756" s="110"/>
    </row>
  </sheetData>
  <sheetProtection password="C581" sheet="1" objects="1" scenarios="1"/>
  <mergeCells count="917">
    <mergeCell ref="B274:C274"/>
    <mergeCell ref="B323:C323"/>
    <mergeCell ref="B334:C334"/>
    <mergeCell ref="B74:C74"/>
    <mergeCell ref="B108:C108"/>
    <mergeCell ref="B119:C119"/>
    <mergeCell ref="B122:C122"/>
    <mergeCell ref="B202:C202"/>
    <mergeCell ref="B205:C205"/>
    <mergeCell ref="B76:C76"/>
    <mergeCell ref="B387:C387"/>
    <mergeCell ref="B386:C386"/>
    <mergeCell ref="J545:K545"/>
    <mergeCell ref="K593:M593"/>
    <mergeCell ref="K601:L601"/>
    <mergeCell ref="J627:K627"/>
    <mergeCell ref="D396:H396"/>
    <mergeCell ref="D400:H400"/>
    <mergeCell ref="B402:C402"/>
    <mergeCell ref="B401:C401"/>
    <mergeCell ref="J46:K46"/>
    <mergeCell ref="J129:K129"/>
    <mergeCell ref="J212:K212"/>
    <mergeCell ref="J295:K295"/>
    <mergeCell ref="J378:K378"/>
    <mergeCell ref="J461:K461"/>
    <mergeCell ref="K101:L101"/>
    <mergeCell ref="K102:L102"/>
    <mergeCell ref="K436:L436"/>
    <mergeCell ref="K94:M94"/>
    <mergeCell ref="D75:H75"/>
    <mergeCell ref="B45:C45"/>
    <mergeCell ref="B46:C46"/>
    <mergeCell ref="B47:C47"/>
    <mergeCell ref="B48:C48"/>
    <mergeCell ref="B49:C49"/>
    <mergeCell ref="B50:C50"/>
    <mergeCell ref="B68:C68"/>
    <mergeCell ref="B70:C70"/>
    <mergeCell ref="B53:C53"/>
    <mergeCell ref="B26:C26"/>
    <mergeCell ref="B27:C27"/>
    <mergeCell ref="B28:C28"/>
    <mergeCell ref="B29:C29"/>
    <mergeCell ref="B30:C30"/>
    <mergeCell ref="B31:C31"/>
    <mergeCell ref="B34:C34"/>
    <mergeCell ref="B42:C42"/>
    <mergeCell ref="B32:C32"/>
    <mergeCell ref="B10:C10"/>
    <mergeCell ref="B12:C12"/>
    <mergeCell ref="B13:C13"/>
    <mergeCell ref="B14:C14"/>
    <mergeCell ref="B22:C22"/>
    <mergeCell ref="B16:C16"/>
    <mergeCell ref="B17:C17"/>
    <mergeCell ref="B15:C15"/>
    <mergeCell ref="B18:C18"/>
    <mergeCell ref="B24:C24"/>
    <mergeCell ref="D68:H68"/>
    <mergeCell ref="B1:G1"/>
    <mergeCell ref="B2:G2"/>
    <mergeCell ref="B3:G3"/>
    <mergeCell ref="D5:E5"/>
    <mergeCell ref="E7:F7"/>
    <mergeCell ref="B8:C8"/>
    <mergeCell ref="B9:C9"/>
    <mergeCell ref="B33:C33"/>
    <mergeCell ref="B44:C44"/>
    <mergeCell ref="D56:H56"/>
    <mergeCell ref="B56:C56"/>
    <mergeCell ref="B35:C35"/>
    <mergeCell ref="B37:C37"/>
    <mergeCell ref="B38:C38"/>
    <mergeCell ref="B40:C40"/>
    <mergeCell ref="B41:C41"/>
    <mergeCell ref="D46:H46"/>
    <mergeCell ref="B66:C66"/>
    <mergeCell ref="B63:C63"/>
    <mergeCell ref="B58:C58"/>
    <mergeCell ref="B55:C55"/>
    <mergeCell ref="B61:C61"/>
    <mergeCell ref="B65:C65"/>
    <mergeCell ref="B60:C60"/>
    <mergeCell ref="B51:C51"/>
    <mergeCell ref="B43:C43"/>
    <mergeCell ref="D64:H64"/>
    <mergeCell ref="B69:C69"/>
    <mergeCell ref="B54:C54"/>
    <mergeCell ref="B57:C57"/>
    <mergeCell ref="B64:C64"/>
    <mergeCell ref="B67:C67"/>
    <mergeCell ref="B62:C62"/>
    <mergeCell ref="B59:C59"/>
    <mergeCell ref="B52:C52"/>
    <mergeCell ref="B75:C75"/>
    <mergeCell ref="B71:C71"/>
    <mergeCell ref="C6:D6"/>
    <mergeCell ref="D10:H10"/>
    <mergeCell ref="D17:H17"/>
    <mergeCell ref="D19:H19"/>
    <mergeCell ref="D23:H23"/>
    <mergeCell ref="D26:H26"/>
    <mergeCell ref="B23:C23"/>
    <mergeCell ref="B19:C19"/>
    <mergeCell ref="D30:H30"/>
    <mergeCell ref="D33:H33"/>
    <mergeCell ref="B72:C72"/>
    <mergeCell ref="B92:C92"/>
    <mergeCell ref="A9:A92"/>
    <mergeCell ref="B86:C86"/>
    <mergeCell ref="B87:C87"/>
    <mergeCell ref="B88:C88"/>
    <mergeCell ref="B89:C89"/>
    <mergeCell ref="B90:C90"/>
    <mergeCell ref="B78:C78"/>
    <mergeCell ref="B73:C73"/>
    <mergeCell ref="B129:C129"/>
    <mergeCell ref="B79:C79"/>
    <mergeCell ref="D78:H78"/>
    <mergeCell ref="D83:H83"/>
    <mergeCell ref="B80:C80"/>
    <mergeCell ref="B82:C82"/>
    <mergeCell ref="B83:C83"/>
    <mergeCell ref="B77:C77"/>
    <mergeCell ref="B84:C84"/>
    <mergeCell ref="A93:A175"/>
    <mergeCell ref="B93:C93"/>
    <mergeCell ref="B94:C94"/>
    <mergeCell ref="B98:C98"/>
    <mergeCell ref="B99:C99"/>
    <mergeCell ref="B91:C91"/>
    <mergeCell ref="B140:C140"/>
    <mergeCell ref="B131:C131"/>
    <mergeCell ref="B138:C138"/>
    <mergeCell ref="D100:H100"/>
    <mergeCell ref="B101:C101"/>
    <mergeCell ref="B102:C102"/>
    <mergeCell ref="D102:H102"/>
    <mergeCell ref="B100:C100"/>
    <mergeCell ref="D94:H94"/>
    <mergeCell ref="B95:C95"/>
    <mergeCell ref="B96:C96"/>
    <mergeCell ref="B97:C97"/>
    <mergeCell ref="D109:H109"/>
    <mergeCell ref="B111:C111"/>
    <mergeCell ref="B112:C112"/>
    <mergeCell ref="B113:C113"/>
    <mergeCell ref="B127:C127"/>
    <mergeCell ref="D113:H113"/>
    <mergeCell ref="B114:C114"/>
    <mergeCell ref="B115:C115"/>
    <mergeCell ref="B116:C116"/>
    <mergeCell ref="D116:H116"/>
    <mergeCell ref="D129:H129"/>
    <mergeCell ref="B117:C117"/>
    <mergeCell ref="B118:C118"/>
    <mergeCell ref="B120:C120"/>
    <mergeCell ref="B105:C105"/>
    <mergeCell ref="B106:C106"/>
    <mergeCell ref="D106:H106"/>
    <mergeCell ref="B107:C107"/>
    <mergeCell ref="B109:C109"/>
    <mergeCell ref="B110:C110"/>
    <mergeCell ref="B121:C121"/>
    <mergeCell ref="B123:C123"/>
    <mergeCell ref="B128:C128"/>
    <mergeCell ref="D147:H147"/>
    <mergeCell ref="B148:C148"/>
    <mergeCell ref="D139:H139"/>
    <mergeCell ref="B124:C124"/>
    <mergeCell ref="B125:C125"/>
    <mergeCell ref="B130:C130"/>
    <mergeCell ref="B147:C147"/>
    <mergeCell ref="B132:C132"/>
    <mergeCell ref="B133:C133"/>
    <mergeCell ref="B126:C126"/>
    <mergeCell ref="B145:C145"/>
    <mergeCell ref="B146:C146"/>
    <mergeCell ref="B134:C134"/>
    <mergeCell ref="B135:C135"/>
    <mergeCell ref="B136:C136"/>
    <mergeCell ref="B137:C137"/>
    <mergeCell ref="B158:C158"/>
    <mergeCell ref="B163:C163"/>
    <mergeCell ref="B149:C149"/>
    <mergeCell ref="B139:C139"/>
    <mergeCell ref="B141:C141"/>
    <mergeCell ref="B142:C142"/>
    <mergeCell ref="B143:C143"/>
    <mergeCell ref="B144:C144"/>
    <mergeCell ref="B150:C150"/>
    <mergeCell ref="D151:H151"/>
    <mergeCell ref="B153:C153"/>
    <mergeCell ref="B152:C152"/>
    <mergeCell ref="B162:C162"/>
    <mergeCell ref="B154:C154"/>
    <mergeCell ref="B155:C155"/>
    <mergeCell ref="D158:H158"/>
    <mergeCell ref="D161:H161"/>
    <mergeCell ref="B151:C151"/>
    <mergeCell ref="B156:C156"/>
    <mergeCell ref="B165:C165"/>
    <mergeCell ref="B166:C166"/>
    <mergeCell ref="B172:C172"/>
    <mergeCell ref="B173:C173"/>
    <mergeCell ref="B167:C167"/>
    <mergeCell ref="B159:C159"/>
    <mergeCell ref="B160:C160"/>
    <mergeCell ref="B161:C161"/>
    <mergeCell ref="B171:C171"/>
    <mergeCell ref="B175:C175"/>
    <mergeCell ref="D166:H166"/>
    <mergeCell ref="B181:C181"/>
    <mergeCell ref="B182:C182"/>
    <mergeCell ref="B183:C183"/>
    <mergeCell ref="B170:C170"/>
    <mergeCell ref="B180:C180"/>
    <mergeCell ref="D183:H183"/>
    <mergeCell ref="B169:C169"/>
    <mergeCell ref="B174:C174"/>
    <mergeCell ref="B188:C188"/>
    <mergeCell ref="B189:C189"/>
    <mergeCell ref="D189:H189"/>
    <mergeCell ref="B184:C184"/>
    <mergeCell ref="B185:C185"/>
    <mergeCell ref="D185:H185"/>
    <mergeCell ref="A176:A258"/>
    <mergeCell ref="B176:C176"/>
    <mergeCell ref="B177:C177"/>
    <mergeCell ref="D177:H177"/>
    <mergeCell ref="B178:C178"/>
    <mergeCell ref="B179:C179"/>
    <mergeCell ref="D199:H199"/>
    <mergeCell ref="B190:C190"/>
    <mergeCell ref="B192:C192"/>
    <mergeCell ref="D192:H192"/>
    <mergeCell ref="B193:C193"/>
    <mergeCell ref="B194:C194"/>
    <mergeCell ref="B195:C195"/>
    <mergeCell ref="B196:C196"/>
    <mergeCell ref="D196:H196"/>
    <mergeCell ref="D212:H212"/>
    <mergeCell ref="B200:C200"/>
    <mergeCell ref="B201:C201"/>
    <mergeCell ref="B203:C203"/>
    <mergeCell ref="B204:C204"/>
    <mergeCell ref="B206:C206"/>
    <mergeCell ref="B207:C207"/>
    <mergeCell ref="B208:C208"/>
    <mergeCell ref="B209:C209"/>
    <mergeCell ref="B210:C210"/>
    <mergeCell ref="B211:C211"/>
    <mergeCell ref="B197:C197"/>
    <mergeCell ref="B198:C198"/>
    <mergeCell ref="B199:C199"/>
    <mergeCell ref="B212:C212"/>
    <mergeCell ref="B226:C226"/>
    <mergeCell ref="B220:C220"/>
    <mergeCell ref="B221:C221"/>
    <mergeCell ref="B222:C222"/>
    <mergeCell ref="B224:C224"/>
    <mergeCell ref="B225:C225"/>
    <mergeCell ref="D222:H222"/>
    <mergeCell ref="B223:C223"/>
    <mergeCell ref="B213:C213"/>
    <mergeCell ref="B214:C214"/>
    <mergeCell ref="B215:C215"/>
    <mergeCell ref="B216:C216"/>
    <mergeCell ref="B217:C217"/>
    <mergeCell ref="B218:C218"/>
    <mergeCell ref="B219:C219"/>
    <mergeCell ref="B227:C227"/>
    <mergeCell ref="B233:C233"/>
    <mergeCell ref="B230:C230"/>
    <mergeCell ref="D230:H230"/>
    <mergeCell ref="B231:C231"/>
    <mergeCell ref="B232:C232"/>
    <mergeCell ref="D234:H234"/>
    <mergeCell ref="B236:C236"/>
    <mergeCell ref="B235:C235"/>
    <mergeCell ref="B228:C228"/>
    <mergeCell ref="B229:C229"/>
    <mergeCell ref="B237:C237"/>
    <mergeCell ref="B238:C238"/>
    <mergeCell ref="B255:C255"/>
    <mergeCell ref="B234:C234"/>
    <mergeCell ref="B239:C239"/>
    <mergeCell ref="B241:C241"/>
    <mergeCell ref="B246:C246"/>
    <mergeCell ref="B245:C245"/>
    <mergeCell ref="B248:C248"/>
    <mergeCell ref="B249:C249"/>
    <mergeCell ref="B240:C240"/>
    <mergeCell ref="D241:H241"/>
    <mergeCell ref="B242:C242"/>
    <mergeCell ref="B243:C243"/>
    <mergeCell ref="B244:C244"/>
    <mergeCell ref="D244:H244"/>
    <mergeCell ref="D249:H249"/>
    <mergeCell ref="B263:C263"/>
    <mergeCell ref="D266:H266"/>
    <mergeCell ref="B252:C252"/>
    <mergeCell ref="B271:C271"/>
    <mergeCell ref="B256:C256"/>
    <mergeCell ref="B250:C250"/>
    <mergeCell ref="B253:C253"/>
    <mergeCell ref="B254:C254"/>
    <mergeCell ref="B251:C251"/>
    <mergeCell ref="B272:C272"/>
    <mergeCell ref="D272:H272"/>
    <mergeCell ref="B267:C267"/>
    <mergeCell ref="B268:C268"/>
    <mergeCell ref="D268:H268"/>
    <mergeCell ref="B257:C257"/>
    <mergeCell ref="B258:C258"/>
    <mergeCell ref="B264:C264"/>
    <mergeCell ref="B265:C265"/>
    <mergeCell ref="B266:C266"/>
    <mergeCell ref="A259:A341"/>
    <mergeCell ref="B259:C259"/>
    <mergeCell ref="B260:C260"/>
    <mergeCell ref="D260:H260"/>
    <mergeCell ref="B261:C261"/>
    <mergeCell ref="B262:C262"/>
    <mergeCell ref="D282:H282"/>
    <mergeCell ref="B273:C273"/>
    <mergeCell ref="B275:C275"/>
    <mergeCell ref="D275:H275"/>
    <mergeCell ref="B276:C276"/>
    <mergeCell ref="B277:C277"/>
    <mergeCell ref="B278:C278"/>
    <mergeCell ref="B279:C279"/>
    <mergeCell ref="D279:H279"/>
    <mergeCell ref="D295:H295"/>
    <mergeCell ref="B283:C283"/>
    <mergeCell ref="B284:C284"/>
    <mergeCell ref="B286:C286"/>
    <mergeCell ref="B287:C287"/>
    <mergeCell ref="B289:C289"/>
    <mergeCell ref="B290:C290"/>
    <mergeCell ref="B291:C291"/>
    <mergeCell ref="B292:C292"/>
    <mergeCell ref="B293:C293"/>
    <mergeCell ref="B294:C294"/>
    <mergeCell ref="B280:C280"/>
    <mergeCell ref="B281:C281"/>
    <mergeCell ref="B282:C282"/>
    <mergeCell ref="B295:C295"/>
    <mergeCell ref="B309:C309"/>
    <mergeCell ref="B303:C303"/>
    <mergeCell ref="B304:C304"/>
    <mergeCell ref="B305:C305"/>
    <mergeCell ref="B307:C307"/>
    <mergeCell ref="B308:C308"/>
    <mergeCell ref="D305:H305"/>
    <mergeCell ref="B306:C306"/>
    <mergeCell ref="B296:C296"/>
    <mergeCell ref="B297:C297"/>
    <mergeCell ref="B298:C298"/>
    <mergeCell ref="B299:C299"/>
    <mergeCell ref="B300:C300"/>
    <mergeCell ref="B301:C301"/>
    <mergeCell ref="B302:C302"/>
    <mergeCell ref="B310:C310"/>
    <mergeCell ref="B316:C316"/>
    <mergeCell ref="B313:C313"/>
    <mergeCell ref="D313:H313"/>
    <mergeCell ref="B314:C314"/>
    <mergeCell ref="B315:C315"/>
    <mergeCell ref="D317:H317"/>
    <mergeCell ref="B319:C319"/>
    <mergeCell ref="B318:C318"/>
    <mergeCell ref="B311:C311"/>
    <mergeCell ref="B312:C312"/>
    <mergeCell ref="B320:C320"/>
    <mergeCell ref="B321:C321"/>
    <mergeCell ref="B338:C338"/>
    <mergeCell ref="B317:C317"/>
    <mergeCell ref="B322:C322"/>
    <mergeCell ref="B324:C324"/>
    <mergeCell ref="B329:C329"/>
    <mergeCell ref="B328:C328"/>
    <mergeCell ref="B331:C331"/>
    <mergeCell ref="B332:C332"/>
    <mergeCell ref="D324:H324"/>
    <mergeCell ref="B325:C325"/>
    <mergeCell ref="B326:C326"/>
    <mergeCell ref="B327:C327"/>
    <mergeCell ref="D327:H327"/>
    <mergeCell ref="D332:H332"/>
    <mergeCell ref="B346:C346"/>
    <mergeCell ref="D349:H349"/>
    <mergeCell ref="B335:C335"/>
    <mergeCell ref="B354:C354"/>
    <mergeCell ref="B339:C339"/>
    <mergeCell ref="B333:C333"/>
    <mergeCell ref="B336:C336"/>
    <mergeCell ref="B337:C337"/>
    <mergeCell ref="B355:C355"/>
    <mergeCell ref="D355:H355"/>
    <mergeCell ref="B350:C350"/>
    <mergeCell ref="B351:C351"/>
    <mergeCell ref="D351:H351"/>
    <mergeCell ref="B340:C340"/>
    <mergeCell ref="B341:C341"/>
    <mergeCell ref="B347:C347"/>
    <mergeCell ref="B348:C348"/>
    <mergeCell ref="B349:C349"/>
    <mergeCell ref="A342:A424"/>
    <mergeCell ref="B342:C342"/>
    <mergeCell ref="B343:C343"/>
    <mergeCell ref="D343:H343"/>
    <mergeCell ref="B344:C344"/>
    <mergeCell ref="B345:C345"/>
    <mergeCell ref="D365:H365"/>
    <mergeCell ref="B356:C356"/>
    <mergeCell ref="B358:C358"/>
    <mergeCell ref="D358:H358"/>
    <mergeCell ref="B359:C359"/>
    <mergeCell ref="B360:C360"/>
    <mergeCell ref="B361:C361"/>
    <mergeCell ref="B362:C362"/>
    <mergeCell ref="D362:H362"/>
    <mergeCell ref="D378:H378"/>
    <mergeCell ref="B366:C366"/>
    <mergeCell ref="B367:C367"/>
    <mergeCell ref="B369:C369"/>
    <mergeCell ref="B370:C370"/>
    <mergeCell ref="B382:C382"/>
    <mergeCell ref="B372:C372"/>
    <mergeCell ref="B373:C373"/>
    <mergeCell ref="B374:C374"/>
    <mergeCell ref="B375:C375"/>
    <mergeCell ref="B376:C376"/>
    <mergeCell ref="B377:C377"/>
    <mergeCell ref="B394:C394"/>
    <mergeCell ref="B363:C363"/>
    <mergeCell ref="B364:C364"/>
    <mergeCell ref="B365:C365"/>
    <mergeCell ref="B378:C378"/>
    <mergeCell ref="D388:H388"/>
    <mergeCell ref="B389:C389"/>
    <mergeCell ref="B379:C379"/>
    <mergeCell ref="B380:C380"/>
    <mergeCell ref="B381:C381"/>
    <mergeCell ref="B415:C415"/>
    <mergeCell ref="B383:C383"/>
    <mergeCell ref="B384:C384"/>
    <mergeCell ref="B385:C385"/>
    <mergeCell ref="B388:C388"/>
    <mergeCell ref="B393:C393"/>
    <mergeCell ref="B399:C399"/>
    <mergeCell ref="B396:C396"/>
    <mergeCell ref="B397:C397"/>
    <mergeCell ref="B398:C398"/>
    <mergeCell ref="B410:C410"/>
    <mergeCell ref="D410:H410"/>
    <mergeCell ref="B404:C404"/>
    <mergeCell ref="B421:C421"/>
    <mergeCell ref="B400:C400"/>
    <mergeCell ref="B405:C405"/>
    <mergeCell ref="B407:C407"/>
    <mergeCell ref="B412:C412"/>
    <mergeCell ref="B411:C411"/>
    <mergeCell ref="B414:C414"/>
    <mergeCell ref="D415:H415"/>
    <mergeCell ref="B395:C395"/>
    <mergeCell ref="B403:C403"/>
    <mergeCell ref="B391:C391"/>
    <mergeCell ref="B390:C390"/>
    <mergeCell ref="B429:C429"/>
    <mergeCell ref="B392:C392"/>
    <mergeCell ref="D407:H407"/>
    <mergeCell ref="B408:C408"/>
    <mergeCell ref="B409:C409"/>
    <mergeCell ref="D432:H432"/>
    <mergeCell ref="B418:C418"/>
    <mergeCell ref="B437:C437"/>
    <mergeCell ref="B422:C422"/>
    <mergeCell ref="B416:C416"/>
    <mergeCell ref="B419:C419"/>
    <mergeCell ref="B420:C420"/>
    <mergeCell ref="B438:C438"/>
    <mergeCell ref="D438:H438"/>
    <mergeCell ref="B433:C433"/>
    <mergeCell ref="B434:C434"/>
    <mergeCell ref="D434:H434"/>
    <mergeCell ref="B423:C423"/>
    <mergeCell ref="B424:C424"/>
    <mergeCell ref="B430:C430"/>
    <mergeCell ref="B431:C431"/>
    <mergeCell ref="B432:C432"/>
    <mergeCell ref="A425:A507"/>
    <mergeCell ref="B425:C425"/>
    <mergeCell ref="B426:C426"/>
    <mergeCell ref="D426:H426"/>
    <mergeCell ref="B427:C427"/>
    <mergeCell ref="B428:C428"/>
    <mergeCell ref="D448:H448"/>
    <mergeCell ref="B439:C439"/>
    <mergeCell ref="B441:C441"/>
    <mergeCell ref="D441:H441"/>
    <mergeCell ref="B443:C443"/>
    <mergeCell ref="B444:C444"/>
    <mergeCell ref="B445:C445"/>
    <mergeCell ref="D445:H445"/>
    <mergeCell ref="D461:H461"/>
    <mergeCell ref="B449:C449"/>
    <mergeCell ref="B450:C450"/>
    <mergeCell ref="B452:C452"/>
    <mergeCell ref="B453:C453"/>
    <mergeCell ref="B455:C455"/>
    <mergeCell ref="B456:C456"/>
    <mergeCell ref="B457:C457"/>
    <mergeCell ref="B458:C458"/>
    <mergeCell ref="B459:C459"/>
    <mergeCell ref="B460:C460"/>
    <mergeCell ref="B461:C461"/>
    <mergeCell ref="B475:C475"/>
    <mergeCell ref="B469:C469"/>
    <mergeCell ref="B470:C470"/>
    <mergeCell ref="B471:C471"/>
    <mergeCell ref="B473:C473"/>
    <mergeCell ref="B474:C474"/>
    <mergeCell ref="D471:H471"/>
    <mergeCell ref="B472:C472"/>
    <mergeCell ref="B462:C462"/>
    <mergeCell ref="B463:C463"/>
    <mergeCell ref="B464:C464"/>
    <mergeCell ref="B465:C465"/>
    <mergeCell ref="B466:C466"/>
    <mergeCell ref="B467:C467"/>
    <mergeCell ref="B468:C468"/>
    <mergeCell ref="B476:C476"/>
    <mergeCell ref="B482:C482"/>
    <mergeCell ref="B479:C479"/>
    <mergeCell ref="D479:H479"/>
    <mergeCell ref="B480:C480"/>
    <mergeCell ref="B481:C481"/>
    <mergeCell ref="D483:H483"/>
    <mergeCell ref="B485:C485"/>
    <mergeCell ref="B484:C484"/>
    <mergeCell ref="B477:C477"/>
    <mergeCell ref="B478:C478"/>
    <mergeCell ref="B486:C486"/>
    <mergeCell ref="B487:C487"/>
    <mergeCell ref="B504:C504"/>
    <mergeCell ref="B483:C483"/>
    <mergeCell ref="B488:C488"/>
    <mergeCell ref="B490:C490"/>
    <mergeCell ref="B495:C495"/>
    <mergeCell ref="B494:C494"/>
    <mergeCell ref="B497:C497"/>
    <mergeCell ref="B498:C498"/>
    <mergeCell ref="D490:H490"/>
    <mergeCell ref="B491:C491"/>
    <mergeCell ref="B492:C492"/>
    <mergeCell ref="B493:C493"/>
    <mergeCell ref="D493:H493"/>
    <mergeCell ref="D498:H498"/>
    <mergeCell ref="B595:C595"/>
    <mergeCell ref="D598:H598"/>
    <mergeCell ref="B501:C501"/>
    <mergeCell ref="B603:C603"/>
    <mergeCell ref="B505:C505"/>
    <mergeCell ref="B499:C499"/>
    <mergeCell ref="B502:C502"/>
    <mergeCell ref="B503:C503"/>
    <mergeCell ref="B520:C520"/>
    <mergeCell ref="D524:H524"/>
    <mergeCell ref="B604:C604"/>
    <mergeCell ref="D604:H604"/>
    <mergeCell ref="B599:C599"/>
    <mergeCell ref="B600:C600"/>
    <mergeCell ref="D600:H600"/>
    <mergeCell ref="B506:C506"/>
    <mergeCell ref="B507:C507"/>
    <mergeCell ref="B596:C596"/>
    <mergeCell ref="B597:C597"/>
    <mergeCell ref="B598:C598"/>
    <mergeCell ref="A591:A673"/>
    <mergeCell ref="B591:C591"/>
    <mergeCell ref="B592:C592"/>
    <mergeCell ref="D592:H592"/>
    <mergeCell ref="B593:C593"/>
    <mergeCell ref="B594:C594"/>
    <mergeCell ref="D614:H614"/>
    <mergeCell ref="B605:C605"/>
    <mergeCell ref="B607:C607"/>
    <mergeCell ref="D607:H607"/>
    <mergeCell ref="D611:H611"/>
    <mergeCell ref="D627:H627"/>
    <mergeCell ref="B615:C615"/>
    <mergeCell ref="B616:C616"/>
    <mergeCell ref="B618:C618"/>
    <mergeCell ref="B619:C619"/>
    <mergeCell ref="B625:C625"/>
    <mergeCell ref="B626:C626"/>
    <mergeCell ref="B614:C614"/>
    <mergeCell ref="B627:C627"/>
    <mergeCell ref="B628:C628"/>
    <mergeCell ref="B629:C629"/>
    <mergeCell ref="B630:C630"/>
    <mergeCell ref="B631:C631"/>
    <mergeCell ref="B608:C608"/>
    <mergeCell ref="B609:C609"/>
    <mergeCell ref="B610:C610"/>
    <mergeCell ref="B611:C611"/>
    <mergeCell ref="B612:C612"/>
    <mergeCell ref="B613:C613"/>
    <mergeCell ref="B635:C635"/>
    <mergeCell ref="B636:C636"/>
    <mergeCell ref="B637:C637"/>
    <mergeCell ref="B634:C634"/>
    <mergeCell ref="B621:C621"/>
    <mergeCell ref="B622:C622"/>
    <mergeCell ref="B623:C623"/>
    <mergeCell ref="B624:C624"/>
    <mergeCell ref="B632:C632"/>
    <mergeCell ref="B633:C633"/>
    <mergeCell ref="D637:H637"/>
    <mergeCell ref="B638:C638"/>
    <mergeCell ref="B641:C641"/>
    <mergeCell ref="B640:C640"/>
    <mergeCell ref="B643:C643"/>
    <mergeCell ref="B644:C644"/>
    <mergeCell ref="B642:C642"/>
    <mergeCell ref="B639:C639"/>
    <mergeCell ref="B645:C645"/>
    <mergeCell ref="B653:C653"/>
    <mergeCell ref="D664:H664"/>
    <mergeCell ref="B654:C654"/>
    <mergeCell ref="B656:C656"/>
    <mergeCell ref="D649:H649"/>
    <mergeCell ref="B651:C651"/>
    <mergeCell ref="D645:H645"/>
    <mergeCell ref="B646:C646"/>
    <mergeCell ref="B647:C647"/>
    <mergeCell ref="B658:C658"/>
    <mergeCell ref="B659:C659"/>
    <mergeCell ref="D659:H659"/>
    <mergeCell ref="B660:C660"/>
    <mergeCell ref="B648:C648"/>
    <mergeCell ref="B649:C649"/>
    <mergeCell ref="D656:H656"/>
    <mergeCell ref="B669:C669"/>
    <mergeCell ref="B670:C670"/>
    <mergeCell ref="B671:C671"/>
    <mergeCell ref="B665:C665"/>
    <mergeCell ref="B650:C650"/>
    <mergeCell ref="B667:C667"/>
    <mergeCell ref="B652:C652"/>
    <mergeCell ref="B663:C663"/>
    <mergeCell ref="B664:C664"/>
    <mergeCell ref="B657:C657"/>
    <mergeCell ref="K19:M19"/>
    <mergeCell ref="K96:M96"/>
    <mergeCell ref="O10:P10"/>
    <mergeCell ref="K270:M270"/>
    <mergeCell ref="K592:M592"/>
    <mergeCell ref="K598:L598"/>
    <mergeCell ref="K433:L433"/>
    <mergeCell ref="K435:L435"/>
    <mergeCell ref="K511:M511"/>
    <mergeCell ref="O513:P513"/>
    <mergeCell ref="K428:M428"/>
    <mergeCell ref="K267:L267"/>
    <mergeCell ref="K269:L269"/>
    <mergeCell ref="K345:M345"/>
    <mergeCell ref="K352:L352"/>
    <mergeCell ref="K8:M8"/>
    <mergeCell ref="K14:L14"/>
    <mergeCell ref="K15:L15"/>
    <mergeCell ref="K16:L16"/>
    <mergeCell ref="K17:L17"/>
    <mergeCell ref="K177:M177"/>
    <mergeCell ref="K426:M426"/>
    <mergeCell ref="K350:L350"/>
    <mergeCell ref="K260:M260"/>
    <mergeCell ref="K353:L353"/>
    <mergeCell ref="K186:L186"/>
    <mergeCell ref="K180:M180"/>
    <mergeCell ref="O263:P263"/>
    <mergeCell ref="K185:L185"/>
    <mergeCell ref="K187:L187"/>
    <mergeCell ref="K188:L188"/>
    <mergeCell ref="K261:M261"/>
    <mergeCell ref="O595:P595"/>
    <mergeCell ref="K434:L434"/>
    <mergeCell ref="K351:L351"/>
    <mergeCell ref="K268:L268"/>
    <mergeCell ref="K343:M343"/>
    <mergeCell ref="B683:C683"/>
    <mergeCell ref="D683:H683"/>
    <mergeCell ref="B686:C686"/>
    <mergeCell ref="K518:L518"/>
    <mergeCell ref="A674:A756"/>
    <mergeCell ref="B674:C674"/>
    <mergeCell ref="B675:C675"/>
    <mergeCell ref="D675:H675"/>
    <mergeCell ref="B676:C676"/>
    <mergeCell ref="B677:C677"/>
    <mergeCell ref="B687:C687"/>
    <mergeCell ref="D687:H687"/>
    <mergeCell ref="B688:C688"/>
    <mergeCell ref="B690:C690"/>
    <mergeCell ref="D690:H690"/>
    <mergeCell ref="B691:C691"/>
    <mergeCell ref="B692:C692"/>
    <mergeCell ref="B693:C693"/>
    <mergeCell ref="B694:C694"/>
    <mergeCell ref="D694:H694"/>
    <mergeCell ref="B695:C695"/>
    <mergeCell ref="B696:C696"/>
    <mergeCell ref="B697:C697"/>
    <mergeCell ref="D697:H697"/>
    <mergeCell ref="B698:C698"/>
    <mergeCell ref="B699:C699"/>
    <mergeCell ref="B701:C701"/>
    <mergeCell ref="B702:C702"/>
    <mergeCell ref="B704:C704"/>
    <mergeCell ref="B705:C705"/>
    <mergeCell ref="B706:C706"/>
    <mergeCell ref="B707:C707"/>
    <mergeCell ref="B708:C708"/>
    <mergeCell ref="B709:C709"/>
    <mergeCell ref="B710:C710"/>
    <mergeCell ref="D710:H710"/>
    <mergeCell ref="B711:C711"/>
    <mergeCell ref="B712:C712"/>
    <mergeCell ref="B713:C713"/>
    <mergeCell ref="B714:C714"/>
    <mergeCell ref="B715:C715"/>
    <mergeCell ref="B716:C716"/>
    <mergeCell ref="B717:C717"/>
    <mergeCell ref="B718:C718"/>
    <mergeCell ref="B719:C719"/>
    <mergeCell ref="B720:C720"/>
    <mergeCell ref="D720:H720"/>
    <mergeCell ref="B721:C721"/>
    <mergeCell ref="B722:C722"/>
    <mergeCell ref="B723:C723"/>
    <mergeCell ref="B724:C724"/>
    <mergeCell ref="B725:C725"/>
    <mergeCell ref="B726:C726"/>
    <mergeCell ref="B727:C727"/>
    <mergeCell ref="B728:C728"/>
    <mergeCell ref="D728:H728"/>
    <mergeCell ref="B729:C729"/>
    <mergeCell ref="B730:C730"/>
    <mergeCell ref="D732:H732"/>
    <mergeCell ref="B743:C743"/>
    <mergeCell ref="B733:C733"/>
    <mergeCell ref="B734:C734"/>
    <mergeCell ref="B735:C735"/>
    <mergeCell ref="B736:C736"/>
    <mergeCell ref="B737:C737"/>
    <mergeCell ref="B739:C739"/>
    <mergeCell ref="B752:C752"/>
    <mergeCell ref="B753:C753"/>
    <mergeCell ref="B754:C754"/>
    <mergeCell ref="B755:C755"/>
    <mergeCell ref="B756:C756"/>
    <mergeCell ref="B744:C744"/>
    <mergeCell ref="B746:C746"/>
    <mergeCell ref="B747:C747"/>
    <mergeCell ref="B748:C748"/>
    <mergeCell ref="B750:C750"/>
    <mergeCell ref="K683:L683"/>
    <mergeCell ref="B751:C751"/>
    <mergeCell ref="D747:H747"/>
    <mergeCell ref="D739:H739"/>
    <mergeCell ref="B740:C740"/>
    <mergeCell ref="B741:C741"/>
    <mergeCell ref="B742:C742"/>
    <mergeCell ref="D742:H742"/>
    <mergeCell ref="B731:C731"/>
    <mergeCell ref="B732:C732"/>
    <mergeCell ref="K681:L681"/>
    <mergeCell ref="K682:L682"/>
    <mergeCell ref="B681:C681"/>
    <mergeCell ref="D681:H681"/>
    <mergeCell ref="B682:C682"/>
    <mergeCell ref="B678:C678"/>
    <mergeCell ref="B679:C679"/>
    <mergeCell ref="B680:C680"/>
    <mergeCell ref="B508:C508"/>
    <mergeCell ref="B510:C510"/>
    <mergeCell ref="K675:M675"/>
    <mergeCell ref="K603:M603"/>
    <mergeCell ref="K599:L599"/>
    <mergeCell ref="K600:L600"/>
    <mergeCell ref="B672:C672"/>
    <mergeCell ref="B673:C673"/>
    <mergeCell ref="B661:C661"/>
    <mergeCell ref="B668:C668"/>
    <mergeCell ref="B514:C514"/>
    <mergeCell ref="D517:H517"/>
    <mergeCell ref="B513:C513"/>
    <mergeCell ref="B512:C512"/>
    <mergeCell ref="B511:C511"/>
    <mergeCell ref="B509:C509"/>
    <mergeCell ref="B525:C525"/>
    <mergeCell ref="B524:C524"/>
    <mergeCell ref="B522:C522"/>
    <mergeCell ref="B521:C521"/>
    <mergeCell ref="D521:H521"/>
    <mergeCell ref="B517:C517"/>
    <mergeCell ref="B530:C530"/>
    <mergeCell ref="B529:C529"/>
    <mergeCell ref="B528:C528"/>
    <mergeCell ref="D528:H528"/>
    <mergeCell ref="B527:C527"/>
    <mergeCell ref="B526:C526"/>
    <mergeCell ref="B539:C539"/>
    <mergeCell ref="B538:C538"/>
    <mergeCell ref="B536:C536"/>
    <mergeCell ref="B535:C535"/>
    <mergeCell ref="B533:C533"/>
    <mergeCell ref="B532:C532"/>
    <mergeCell ref="B545:C545"/>
    <mergeCell ref="B544:C544"/>
    <mergeCell ref="B543:C543"/>
    <mergeCell ref="B542:C542"/>
    <mergeCell ref="B541:C541"/>
    <mergeCell ref="B540:C540"/>
    <mergeCell ref="B551:C551"/>
    <mergeCell ref="B550:C550"/>
    <mergeCell ref="B549:C549"/>
    <mergeCell ref="B548:C548"/>
    <mergeCell ref="B547:C547"/>
    <mergeCell ref="B546:C546"/>
    <mergeCell ref="B557:C557"/>
    <mergeCell ref="B556:C556"/>
    <mergeCell ref="B555:C555"/>
    <mergeCell ref="B554:C554"/>
    <mergeCell ref="B553:C553"/>
    <mergeCell ref="B552:C552"/>
    <mergeCell ref="B563:C563"/>
    <mergeCell ref="B562:C562"/>
    <mergeCell ref="B561:C561"/>
    <mergeCell ref="B560:C560"/>
    <mergeCell ref="B559:C559"/>
    <mergeCell ref="B558:C558"/>
    <mergeCell ref="B570:C570"/>
    <mergeCell ref="B568:C568"/>
    <mergeCell ref="B567:C567"/>
    <mergeCell ref="B566:C566"/>
    <mergeCell ref="B565:C565"/>
    <mergeCell ref="B564:C564"/>
    <mergeCell ref="B576:C576"/>
    <mergeCell ref="B573:C573"/>
    <mergeCell ref="B578:C578"/>
    <mergeCell ref="B577:C577"/>
    <mergeCell ref="D573:H573"/>
    <mergeCell ref="B571:C571"/>
    <mergeCell ref="A508:A590"/>
    <mergeCell ref="D509:H509"/>
    <mergeCell ref="B515:C515"/>
    <mergeCell ref="D515:H515"/>
    <mergeCell ref="B516:C516"/>
    <mergeCell ref="B587:C587"/>
    <mergeCell ref="B586:C586"/>
    <mergeCell ref="B585:C585"/>
    <mergeCell ref="B580:C580"/>
    <mergeCell ref="D581:H581"/>
    <mergeCell ref="B590:C590"/>
    <mergeCell ref="K509:M509"/>
    <mergeCell ref="K516:L516"/>
    <mergeCell ref="K517:L517"/>
    <mergeCell ref="B569:C569"/>
    <mergeCell ref="D576:H576"/>
    <mergeCell ref="B588:C588"/>
    <mergeCell ref="B531:C531"/>
    <mergeCell ref="D531:H531"/>
    <mergeCell ref="D544:H544"/>
    <mergeCell ref="O182:P182"/>
    <mergeCell ref="O347:P347"/>
    <mergeCell ref="O430:P430"/>
    <mergeCell ref="K266:L266"/>
    <mergeCell ref="B589:C589"/>
    <mergeCell ref="D554:H554"/>
    <mergeCell ref="D562:H562"/>
    <mergeCell ref="D566:H566"/>
    <mergeCell ref="B581:C581"/>
    <mergeCell ref="B584:C584"/>
    <mergeCell ref="B25:C25"/>
    <mergeCell ref="B85:C85"/>
    <mergeCell ref="K676:M676"/>
    <mergeCell ref="O678:P678"/>
    <mergeCell ref="K684:L684"/>
    <mergeCell ref="K711:L711"/>
    <mergeCell ref="K519:L519"/>
    <mergeCell ref="O98:P98"/>
    <mergeCell ref="K103:L103"/>
    <mergeCell ref="K104:L104"/>
    <mergeCell ref="B368:C368"/>
    <mergeCell ref="B371:C371"/>
    <mergeCell ref="B406:C406"/>
    <mergeCell ref="B413:C413"/>
    <mergeCell ref="B417:C417"/>
    <mergeCell ref="B451:C451"/>
    <mergeCell ref="B446:C446"/>
    <mergeCell ref="B447:C447"/>
    <mergeCell ref="B448:C448"/>
    <mergeCell ref="B442:C442"/>
    <mergeCell ref="B583:C583"/>
    <mergeCell ref="B454:C454"/>
    <mergeCell ref="B500:C500"/>
    <mergeCell ref="B496:C496"/>
    <mergeCell ref="B489:C489"/>
    <mergeCell ref="B579:C579"/>
    <mergeCell ref="B572:C572"/>
    <mergeCell ref="B582:C582"/>
    <mergeCell ref="B575:C575"/>
    <mergeCell ref="B574:C574"/>
  </mergeCells>
  <printOptions/>
  <pageMargins left="0.2362204724409449" right="0.2362204724409449" top="0.7480314960629921" bottom="0.7480314960629921" header="0.31496062992125984" footer="0.31496062992125984"/>
  <pageSetup fitToHeight="18" horizontalDpi="300" verticalDpi="300" orientation="portrait" paperSize="9" scale="65" r:id="rId3"/>
  <headerFooter alignWithMargins="0">
    <oddHeader>&amp;LSEPT - 2004&amp;CDIRECTIVA D.B.S.A.
ORDINARIO&amp;R01-BS/0305/04</oddHeader>
    <oddFooter>&amp;LDEPARTAMENTO 
RRHH Y GESTION&amp;C01-BS&amp;RPAG &amp;P</oddFooter>
  </headerFooter>
  <legacyDrawing r:id="rId2"/>
</worksheet>
</file>

<file path=xl/worksheets/sheet3.xml><?xml version="1.0" encoding="utf-8"?>
<worksheet xmlns="http://schemas.openxmlformats.org/spreadsheetml/2006/main" xmlns:r="http://schemas.openxmlformats.org/officeDocument/2006/relationships">
  <sheetPr codeName="Hoja4">
    <pageSetUpPr fitToPage="1"/>
  </sheetPr>
  <dimension ref="A1:C95"/>
  <sheetViews>
    <sheetView showGridLines="0" zoomScale="90" zoomScaleNormal="90" zoomScalePageLayoutView="0" workbookViewId="0" topLeftCell="A1">
      <selection activeCell="B5" sqref="B5"/>
    </sheetView>
  </sheetViews>
  <sheetFormatPr defaultColWidth="11.421875" defaultRowHeight="12.75"/>
  <cols>
    <col min="1" max="1" width="97.28125" style="1" customWidth="1"/>
    <col min="2" max="2" width="20.57421875" style="1" customWidth="1"/>
    <col min="3" max="3" width="13.140625" style="32" customWidth="1"/>
    <col min="4" max="4" width="22.28125" style="1" customWidth="1"/>
    <col min="5" max="16384" width="11.421875" style="1" customWidth="1"/>
  </cols>
  <sheetData>
    <row r="1" spans="1:3" ht="13.5">
      <c r="A1" s="600" t="s">
        <v>0</v>
      </c>
      <c r="B1" s="600"/>
      <c r="C1" s="3"/>
    </row>
    <row r="2" spans="1:3" ht="13.5">
      <c r="A2" s="600" t="s">
        <v>27</v>
      </c>
      <c r="B2" s="600"/>
      <c r="C2" s="3"/>
    </row>
    <row r="3" spans="1:3" ht="13.5">
      <c r="A3" s="600" t="s">
        <v>44</v>
      </c>
      <c r="B3" s="600"/>
      <c r="C3" s="4"/>
    </row>
    <row r="4" ht="6.75" customHeight="1">
      <c r="A4" s="4"/>
    </row>
    <row r="5" spans="1:3" ht="13.5">
      <c r="A5" s="5" t="s">
        <v>45</v>
      </c>
      <c r="B5" s="24" t="str">
        <f>'Ap. 2 Ingresos C. Benef.'!$I$5</f>
        <v>BIENVALP</v>
      </c>
      <c r="C5" s="33"/>
    </row>
    <row r="6" ht="13.5">
      <c r="A6" s="4"/>
    </row>
    <row r="7" spans="1:3" ht="13.5">
      <c r="A7" s="34"/>
      <c r="B7" s="25" t="s">
        <v>46</v>
      </c>
      <c r="C7" s="1"/>
    </row>
    <row r="8" spans="1:3" ht="13.5">
      <c r="A8" s="35" t="s">
        <v>47</v>
      </c>
      <c r="B8" s="36" t="s">
        <v>36</v>
      </c>
      <c r="C8" s="1"/>
    </row>
    <row r="9" spans="1:3" ht="13.5">
      <c r="A9" s="56" t="s">
        <v>43</v>
      </c>
      <c r="B9" s="478">
        <f>SUM(B20,B10)</f>
        <v>33303232.604564525</v>
      </c>
      <c r="C9" s="1"/>
    </row>
    <row r="10" spans="1:3" ht="13.5">
      <c r="A10" s="67" t="s">
        <v>115</v>
      </c>
      <c r="B10" s="68">
        <f>SUM(B11:B19)</f>
        <v>33303232.604564525</v>
      </c>
      <c r="C10" s="1"/>
    </row>
    <row r="11" spans="1:3" ht="13.5">
      <c r="A11" s="69" t="s">
        <v>134</v>
      </c>
      <c r="B11" s="876">
        <f>+'Ap. 6 Remuneraciones'!O32</f>
        <v>33303232.604564525</v>
      </c>
      <c r="C11" s="102" t="s">
        <v>366</v>
      </c>
    </row>
    <row r="12" spans="1:3" ht="13.5">
      <c r="A12" s="69" t="s">
        <v>135</v>
      </c>
      <c r="B12" s="876">
        <v>0</v>
      </c>
      <c r="C12" s="1"/>
    </row>
    <row r="13" spans="1:3" ht="13.5">
      <c r="A13" s="69" t="s">
        <v>136</v>
      </c>
      <c r="B13" s="876">
        <v>0</v>
      </c>
      <c r="C13" s="1"/>
    </row>
    <row r="14" spans="1:3" ht="13.5">
      <c r="A14" s="69" t="s">
        <v>137</v>
      </c>
      <c r="B14" s="876">
        <v>0</v>
      </c>
      <c r="C14" s="1"/>
    </row>
    <row r="15" spans="1:3" ht="13.5">
      <c r="A15" s="877" t="s">
        <v>133</v>
      </c>
      <c r="B15" s="876">
        <v>0</v>
      </c>
      <c r="C15" s="1"/>
    </row>
    <row r="16" spans="1:3" ht="13.5">
      <c r="A16" s="69" t="s">
        <v>138</v>
      </c>
      <c r="B16" s="876">
        <v>0</v>
      </c>
      <c r="C16" s="1"/>
    </row>
    <row r="17" spans="1:3" ht="13.5">
      <c r="A17" s="69" t="s">
        <v>139</v>
      </c>
      <c r="B17" s="876">
        <v>0</v>
      </c>
      <c r="C17" s="1"/>
    </row>
    <row r="18" spans="1:3" ht="13.5">
      <c r="A18" s="69" t="s">
        <v>140</v>
      </c>
      <c r="B18" s="876"/>
      <c r="C18" s="1"/>
    </row>
    <row r="19" spans="1:3" ht="13.5">
      <c r="A19" s="69" t="s">
        <v>187</v>
      </c>
      <c r="B19" s="876"/>
      <c r="C19" s="1"/>
    </row>
    <row r="20" spans="1:3" ht="13.5">
      <c r="A20" s="70" t="s">
        <v>65</v>
      </c>
      <c r="B20" s="68">
        <v>0</v>
      </c>
      <c r="C20" s="1"/>
    </row>
    <row r="21" spans="1:3" ht="13.5">
      <c r="A21" s="878" t="s">
        <v>66</v>
      </c>
      <c r="B21" s="879"/>
      <c r="C21" s="1"/>
    </row>
    <row r="22" spans="1:3" ht="13.5">
      <c r="A22" s="69" t="s">
        <v>141</v>
      </c>
      <c r="B22" s="876">
        <v>0</v>
      </c>
      <c r="C22" s="1"/>
    </row>
    <row r="23" spans="1:3" ht="13.5">
      <c r="A23" s="878" t="s">
        <v>68</v>
      </c>
      <c r="B23" s="879"/>
      <c r="C23" s="1"/>
    </row>
    <row r="24" spans="1:3" ht="13.5">
      <c r="A24" s="69" t="s">
        <v>142</v>
      </c>
      <c r="B24" s="876">
        <v>0</v>
      </c>
      <c r="C24" s="1"/>
    </row>
    <row r="25" spans="1:3" ht="13.5">
      <c r="A25" s="878" t="s">
        <v>71</v>
      </c>
      <c r="B25" s="879"/>
      <c r="C25" s="1"/>
    </row>
    <row r="26" spans="1:3" ht="13.5">
      <c r="A26" s="71" t="s">
        <v>143</v>
      </c>
      <c r="B26" s="880">
        <v>0</v>
      </c>
      <c r="C26" s="1"/>
    </row>
    <row r="27" spans="1:3" ht="13.5">
      <c r="A27" s="708" t="s">
        <v>107</v>
      </c>
      <c r="B27" s="709"/>
      <c r="C27" s="1"/>
    </row>
    <row r="28" spans="1:3" ht="13.5">
      <c r="A28" s="69" t="s">
        <v>144</v>
      </c>
      <c r="B28" s="876">
        <v>0</v>
      </c>
      <c r="C28" s="1"/>
    </row>
    <row r="29" spans="1:3" ht="13.5">
      <c r="A29" s="69" t="s">
        <v>145</v>
      </c>
      <c r="B29" s="876">
        <v>0</v>
      </c>
      <c r="C29" s="1"/>
    </row>
    <row r="30" spans="1:3" ht="13.5">
      <c r="A30" s="69" t="s">
        <v>146</v>
      </c>
      <c r="B30" s="876">
        <v>0</v>
      </c>
      <c r="C30" s="1"/>
    </row>
    <row r="31" spans="1:3" ht="13.5">
      <c r="A31" s="69" t="s">
        <v>147</v>
      </c>
      <c r="B31" s="876">
        <v>0</v>
      </c>
      <c r="C31" s="1"/>
    </row>
    <row r="32" spans="1:3" ht="13.5">
      <c r="A32" s="708" t="s">
        <v>112</v>
      </c>
      <c r="B32" s="709"/>
      <c r="C32" s="1"/>
    </row>
    <row r="33" spans="1:3" ht="13.5">
      <c r="A33" s="69" t="s">
        <v>148</v>
      </c>
      <c r="B33" s="876">
        <v>0</v>
      </c>
      <c r="C33" s="1"/>
    </row>
    <row r="34" spans="1:3" ht="13.5">
      <c r="A34" s="881" t="s">
        <v>120</v>
      </c>
      <c r="B34" s="876">
        <v>0</v>
      </c>
      <c r="C34" s="1"/>
    </row>
    <row r="35" spans="1:3" ht="13.5">
      <c r="A35" s="878" t="s">
        <v>74</v>
      </c>
      <c r="B35" s="879"/>
      <c r="C35" s="1"/>
    </row>
    <row r="36" spans="1:3" ht="13.5">
      <c r="A36" s="69" t="s">
        <v>149</v>
      </c>
      <c r="B36" s="876">
        <v>0</v>
      </c>
      <c r="C36" s="1"/>
    </row>
    <row r="37" spans="1:3" ht="13.5">
      <c r="A37" s="69" t="s">
        <v>150</v>
      </c>
      <c r="B37" s="876">
        <v>0</v>
      </c>
      <c r="C37" s="1"/>
    </row>
    <row r="38" spans="1:3" ht="13.5">
      <c r="A38" s="69" t="s">
        <v>151</v>
      </c>
      <c r="B38" s="876">
        <v>0</v>
      </c>
      <c r="C38" s="1"/>
    </row>
    <row r="39" spans="1:3" ht="13.5">
      <c r="A39" s="69" t="s">
        <v>152</v>
      </c>
      <c r="B39" s="876">
        <v>0</v>
      </c>
      <c r="C39" s="1"/>
    </row>
    <row r="40" spans="1:3" ht="13.5">
      <c r="A40" s="878" t="s">
        <v>82</v>
      </c>
      <c r="B40" s="879"/>
      <c r="C40" s="1"/>
    </row>
    <row r="41" spans="1:3" ht="13.5">
      <c r="A41" s="69" t="s">
        <v>153</v>
      </c>
      <c r="B41" s="876">
        <v>0</v>
      </c>
      <c r="C41" s="1"/>
    </row>
    <row r="42" spans="1:3" ht="13.5">
      <c r="A42" s="69" t="s">
        <v>154</v>
      </c>
      <c r="B42" s="876">
        <v>0</v>
      </c>
      <c r="C42" s="1"/>
    </row>
    <row r="43" spans="1:3" ht="13.5">
      <c r="A43" s="69" t="s">
        <v>155</v>
      </c>
      <c r="B43" s="876">
        <v>0</v>
      </c>
      <c r="C43" s="1"/>
    </row>
    <row r="44" spans="1:3" ht="13.5">
      <c r="A44" s="69" t="s">
        <v>156</v>
      </c>
      <c r="B44" s="876">
        <v>0</v>
      </c>
      <c r="C44" s="1"/>
    </row>
    <row r="45" spans="1:3" ht="13.5">
      <c r="A45" s="69" t="s">
        <v>157</v>
      </c>
      <c r="B45" s="876">
        <v>0</v>
      </c>
      <c r="C45" s="1"/>
    </row>
    <row r="46" spans="1:3" ht="13.5">
      <c r="A46" s="69" t="s">
        <v>158</v>
      </c>
      <c r="B46" s="876"/>
      <c r="C46" s="1"/>
    </row>
    <row r="47" spans="1:3" ht="13.5">
      <c r="A47" s="69" t="s">
        <v>159</v>
      </c>
      <c r="B47" s="876">
        <v>0</v>
      </c>
      <c r="C47" s="1"/>
    </row>
    <row r="48" spans="1:3" ht="13.5">
      <c r="A48" s="69" t="s">
        <v>160</v>
      </c>
      <c r="B48" s="876">
        <v>0</v>
      </c>
      <c r="C48" s="1"/>
    </row>
    <row r="49" spans="1:3" ht="13.5">
      <c r="A49" s="69" t="s">
        <v>161</v>
      </c>
      <c r="B49" s="876">
        <v>0</v>
      </c>
      <c r="C49" s="1"/>
    </row>
    <row r="50" spans="1:3" ht="13.5">
      <c r="A50" s="708" t="s">
        <v>97</v>
      </c>
      <c r="B50" s="709"/>
      <c r="C50" s="1"/>
    </row>
    <row r="51" spans="1:3" ht="13.5">
      <c r="A51" s="69" t="s">
        <v>162</v>
      </c>
      <c r="B51" s="876">
        <v>0</v>
      </c>
      <c r="C51" s="1"/>
    </row>
    <row r="52" spans="1:3" ht="13.5">
      <c r="A52" s="69" t="s">
        <v>163</v>
      </c>
      <c r="B52" s="876">
        <v>0</v>
      </c>
      <c r="C52" s="1"/>
    </row>
    <row r="53" spans="1:2" ht="13.5">
      <c r="A53" s="69" t="s">
        <v>164</v>
      </c>
      <c r="B53" s="876">
        <v>0</v>
      </c>
    </row>
    <row r="54" spans="1:2" ht="13.5">
      <c r="A54" s="34"/>
      <c r="B54" s="882"/>
    </row>
    <row r="55" spans="1:2" ht="13.5">
      <c r="A55" s="72"/>
      <c r="B55" s="882"/>
    </row>
    <row r="56" spans="1:2" ht="13.5">
      <c r="A56" s="73"/>
      <c r="B56" s="73"/>
    </row>
    <row r="57" spans="1:2" ht="13.5">
      <c r="A57" s="73"/>
      <c r="B57" s="73"/>
    </row>
    <row r="58" spans="1:2" ht="13.5">
      <c r="A58" s="73"/>
      <c r="B58" s="73"/>
    </row>
    <row r="59" spans="1:2" ht="13.5">
      <c r="A59" s="73"/>
      <c r="B59" s="73"/>
    </row>
    <row r="60" spans="1:2" ht="13.5">
      <c r="A60" s="73"/>
      <c r="B60" s="73"/>
    </row>
    <row r="61" spans="1:2" ht="13.5">
      <c r="A61" s="73"/>
      <c r="B61" s="73"/>
    </row>
    <row r="62" spans="1:2" ht="13.5">
      <c r="A62" s="73"/>
      <c r="B62" s="73"/>
    </row>
    <row r="63" spans="1:2" ht="13.5">
      <c r="A63" s="73"/>
      <c r="B63" s="73"/>
    </row>
    <row r="64" spans="1:2" ht="13.5">
      <c r="A64" s="73"/>
      <c r="B64" s="73"/>
    </row>
    <row r="65" spans="1:2" ht="13.5">
      <c r="A65" s="73"/>
      <c r="B65" s="73"/>
    </row>
    <row r="66" spans="1:2" ht="13.5">
      <c r="A66" s="73"/>
      <c r="B66" s="73"/>
    </row>
    <row r="67" spans="1:2" ht="13.5">
      <c r="A67" s="73"/>
      <c r="B67" s="73"/>
    </row>
    <row r="68" spans="1:2" ht="13.5">
      <c r="A68" s="73"/>
      <c r="B68" s="73"/>
    </row>
    <row r="69" spans="1:2" ht="13.5">
      <c r="A69" s="73"/>
      <c r="B69" s="73"/>
    </row>
    <row r="70" spans="1:2" ht="13.5">
      <c r="A70" s="73"/>
      <c r="B70" s="73"/>
    </row>
    <row r="71" spans="1:2" ht="13.5">
      <c r="A71" s="73"/>
      <c r="B71" s="73"/>
    </row>
    <row r="72" spans="1:2" ht="13.5">
      <c r="A72" s="73"/>
      <c r="B72" s="73"/>
    </row>
    <row r="73" spans="1:2" ht="13.5">
      <c r="A73" s="73"/>
      <c r="B73" s="73"/>
    </row>
    <row r="74" spans="1:2" ht="13.5">
      <c r="A74" s="73"/>
      <c r="B74" s="73"/>
    </row>
    <row r="75" spans="1:2" ht="13.5">
      <c r="A75" s="73"/>
      <c r="B75" s="73"/>
    </row>
    <row r="76" spans="1:2" ht="13.5">
      <c r="A76" s="73"/>
      <c r="B76" s="73"/>
    </row>
    <row r="77" spans="1:2" ht="13.5">
      <c r="A77" s="73"/>
      <c r="B77" s="73"/>
    </row>
    <row r="78" spans="1:2" ht="13.5">
      <c r="A78" s="73"/>
      <c r="B78" s="73"/>
    </row>
    <row r="79" spans="1:2" ht="13.5">
      <c r="A79" s="73"/>
      <c r="B79" s="73"/>
    </row>
    <row r="80" spans="1:2" ht="13.5">
      <c r="A80" s="73"/>
      <c r="B80" s="73"/>
    </row>
    <row r="81" spans="1:2" ht="13.5">
      <c r="A81" s="73"/>
      <c r="B81" s="73"/>
    </row>
    <row r="82" spans="1:2" ht="13.5">
      <c r="A82" s="73"/>
      <c r="B82" s="73"/>
    </row>
    <row r="83" spans="1:2" ht="13.5">
      <c r="A83" s="73"/>
      <c r="B83" s="73"/>
    </row>
    <row r="84" spans="1:2" ht="13.5">
      <c r="A84" s="73"/>
      <c r="B84" s="73"/>
    </row>
    <row r="85" spans="1:2" ht="13.5">
      <c r="A85" s="73"/>
      <c r="B85" s="73"/>
    </row>
    <row r="86" spans="1:2" ht="13.5">
      <c r="A86" s="73"/>
      <c r="B86" s="73"/>
    </row>
    <row r="87" spans="1:2" ht="13.5">
      <c r="A87" s="73"/>
      <c r="B87" s="73"/>
    </row>
    <row r="88" spans="1:2" ht="13.5">
      <c r="A88" s="73"/>
      <c r="B88" s="73"/>
    </row>
    <row r="89" spans="1:2" ht="13.5">
      <c r="A89" s="73"/>
      <c r="B89" s="73"/>
    </row>
    <row r="90" spans="1:2" ht="13.5">
      <c r="A90" s="73"/>
      <c r="B90" s="73"/>
    </row>
    <row r="91" spans="1:2" ht="13.5">
      <c r="A91" s="73"/>
      <c r="B91" s="73"/>
    </row>
    <row r="92" spans="1:2" ht="13.5">
      <c r="A92" s="73"/>
      <c r="B92" s="73"/>
    </row>
    <row r="93" spans="1:2" ht="13.5">
      <c r="A93" s="73"/>
      <c r="B93" s="73"/>
    </row>
    <row r="94" spans="1:2" ht="13.5">
      <c r="A94" s="73"/>
      <c r="B94" s="73"/>
    </row>
    <row r="95" spans="1:2" ht="13.5">
      <c r="A95" s="73"/>
      <c r="B95" s="73"/>
    </row>
  </sheetData>
  <sheetProtection password="C581" sheet="1" objects="1" scenarios="1"/>
  <mergeCells count="11">
    <mergeCell ref="A1:B1"/>
    <mergeCell ref="A2:B2"/>
    <mergeCell ref="A3:B3"/>
    <mergeCell ref="A35:B35"/>
    <mergeCell ref="A40:B40"/>
    <mergeCell ref="A50:B50"/>
    <mergeCell ref="A21:B21"/>
    <mergeCell ref="A23:B23"/>
    <mergeCell ref="A25:B25"/>
    <mergeCell ref="A27:B27"/>
    <mergeCell ref="A32:B32"/>
  </mergeCells>
  <printOptions/>
  <pageMargins left="1.4097222222222223" right="0.5701388888888889" top="0.8604166666666666" bottom="0.8298611111111112" header="0.4201388888888889" footer="0"/>
  <pageSetup fitToHeight="1" fitToWidth="1" horizontalDpi="300" verticalDpi="300" orientation="portrait" r:id="rId1"/>
  <headerFooter alignWithMargins="0">
    <oddHeader>&amp;LSEPT-2004&amp;CDIRECTIVA D.B.S.A.
ORDINARIO&amp;R01-BS/0305/04</oddHeader>
    <oddFooter>&amp;LDEPARTAMENTO
RRHH Y GESTION&amp;C01-BS&amp;RPAG &amp;P</oddFooter>
  </headerFooter>
</worksheet>
</file>

<file path=xl/worksheets/sheet4.xml><?xml version="1.0" encoding="utf-8"?>
<worksheet xmlns="http://schemas.openxmlformats.org/spreadsheetml/2006/main" xmlns:r="http://schemas.openxmlformats.org/officeDocument/2006/relationships">
  <dimension ref="A1:IR22"/>
  <sheetViews>
    <sheetView showGridLines="0" zoomScale="80" zoomScaleNormal="80" zoomScalePageLayoutView="0" workbookViewId="0" topLeftCell="A1">
      <selection activeCell="C5" sqref="C5"/>
    </sheetView>
  </sheetViews>
  <sheetFormatPr defaultColWidth="11.421875" defaultRowHeight="12.75"/>
  <cols>
    <col min="1" max="1" width="30.00390625" style="1" customWidth="1"/>
    <col min="2" max="2" width="43.8515625" style="1" bestFit="1" customWidth="1"/>
    <col min="3" max="5" width="16.28125" style="1" customWidth="1"/>
    <col min="6" max="6" width="17.140625" style="1" customWidth="1"/>
    <col min="7" max="7" width="16.28125" style="1" customWidth="1"/>
    <col min="8" max="16384" width="11.421875" style="1" customWidth="1"/>
  </cols>
  <sheetData>
    <row r="1" spans="1:252" s="4" customFormat="1" ht="13.5">
      <c r="A1" s="600" t="s">
        <v>0</v>
      </c>
      <c r="B1" s="600"/>
      <c r="C1" s="600"/>
      <c r="D1" s="2"/>
      <c r="E1" s="2"/>
      <c r="F1" s="2"/>
      <c r="G1" s="3"/>
      <c r="IK1" s="1"/>
      <c r="IL1" s="1"/>
      <c r="IM1" s="1"/>
      <c r="IN1" s="1"/>
      <c r="IO1" s="1"/>
      <c r="IP1" s="1"/>
      <c r="IQ1" s="1"/>
      <c r="IR1" s="1"/>
    </row>
    <row r="2" spans="1:252" s="4" customFormat="1" ht="15.75" customHeight="1">
      <c r="A2" s="600" t="s">
        <v>48</v>
      </c>
      <c r="B2" s="600"/>
      <c r="C2" s="600"/>
      <c r="D2" s="2"/>
      <c r="E2" s="2"/>
      <c r="F2" s="2"/>
      <c r="G2" s="3"/>
      <c r="IK2" s="1"/>
      <c r="IL2" s="1"/>
      <c r="IM2" s="1"/>
      <c r="IN2" s="1"/>
      <c r="IO2" s="1"/>
      <c r="IP2" s="1"/>
      <c r="IQ2" s="1"/>
      <c r="IR2" s="1"/>
    </row>
    <row r="3" spans="1:252" s="4" customFormat="1" ht="18" customHeight="1">
      <c r="A3" s="600" t="s">
        <v>49</v>
      </c>
      <c r="B3" s="600"/>
      <c r="C3" s="600"/>
      <c r="D3" s="2"/>
      <c r="E3" s="2"/>
      <c r="F3" s="2"/>
      <c r="G3" s="3"/>
      <c r="IK3" s="1"/>
      <c r="IL3" s="1"/>
      <c r="IM3" s="1"/>
      <c r="IN3" s="1"/>
      <c r="IO3" s="1"/>
      <c r="IP3" s="1"/>
      <c r="IQ3" s="1"/>
      <c r="IR3" s="1"/>
    </row>
    <row r="4" spans="1:252" s="4" customFormat="1" ht="11.25" customHeight="1">
      <c r="A4" s="1"/>
      <c r="B4" s="1"/>
      <c r="IK4" s="1"/>
      <c r="IL4" s="1"/>
      <c r="IM4" s="1"/>
      <c r="IN4" s="1"/>
      <c r="IO4" s="1"/>
      <c r="IP4" s="1"/>
      <c r="IQ4" s="1"/>
      <c r="IR4" s="1"/>
    </row>
    <row r="5" spans="1:252" s="4" customFormat="1" ht="12" customHeight="1">
      <c r="A5" s="7" t="s">
        <v>3</v>
      </c>
      <c r="C5" s="588" t="s">
        <v>165</v>
      </c>
      <c r="D5" s="1"/>
      <c r="E5" s="3"/>
      <c r="IJ5" s="1"/>
      <c r="IK5" s="1"/>
      <c r="IL5" s="1"/>
      <c r="IM5" s="1"/>
      <c r="IN5" s="1"/>
      <c r="IO5" s="1"/>
      <c r="IP5" s="1"/>
      <c r="IQ5" s="1"/>
      <c r="IR5" s="1"/>
    </row>
    <row r="6" spans="1:252" s="4" customFormat="1" ht="12" customHeight="1">
      <c r="A6" s="1"/>
      <c r="B6" s="1"/>
      <c r="C6" s="8"/>
      <c r="D6" s="8"/>
      <c r="E6" s="8"/>
      <c r="IK6" s="1"/>
      <c r="IL6" s="1"/>
      <c r="IM6" s="1"/>
      <c r="IN6" s="1"/>
      <c r="IO6" s="1"/>
      <c r="IP6" s="1"/>
      <c r="IQ6" s="1"/>
      <c r="IR6" s="1"/>
    </row>
    <row r="7" spans="1:252" s="19" customFormat="1" ht="16.5" customHeight="1">
      <c r="A7" s="17"/>
      <c r="B7" s="17"/>
      <c r="C7" s="18"/>
      <c r="D7" s="522">
        <v>2018</v>
      </c>
      <c r="E7" s="18"/>
      <c r="H7" s="19">
        <v>2017</v>
      </c>
      <c r="IK7" s="21"/>
      <c r="IL7" s="21"/>
      <c r="IM7" s="21"/>
      <c r="IN7" s="21"/>
      <c r="IO7" s="21"/>
      <c r="IP7" s="21"/>
      <c r="IQ7" s="21"/>
      <c r="IR7" s="21"/>
    </row>
    <row r="8" spans="1:14" ht="12.75" customHeight="1">
      <c r="A8" s="710" t="str">
        <f>'[2]Ap. 2 Ingresos C. Benef.'!A22</f>
        <v>JARDÍN INFANTIL "LOBITO MARINO"</v>
      </c>
      <c r="B8" s="710" t="str">
        <f>'[2]Ap. 2 Ingresos C. Benef.'!B22</f>
        <v>Jardín [Media Jornada] 91 Matrícula proyectada 91</v>
      </c>
      <c r="C8" s="712" t="str">
        <f>'[2]Ap. 2 Ingresos C. Benef.'!H20</f>
        <v>Mensualidad</v>
      </c>
      <c r="D8" s="712"/>
      <c r="E8" s="712"/>
      <c r="F8" s="712"/>
      <c r="G8" s="718" t="s">
        <v>16</v>
      </c>
      <c r="H8" s="718"/>
      <c r="I8" s="718"/>
      <c r="J8" s="718"/>
      <c r="K8" s="719" t="s">
        <v>652</v>
      </c>
      <c r="L8" s="719"/>
      <c r="M8" s="719"/>
      <c r="N8" s="719"/>
    </row>
    <row r="9" spans="1:14" ht="27">
      <c r="A9" s="711">
        <f>'[2]Ap. 2 Ingresos C. Benef.'!A23</f>
        <v>0</v>
      </c>
      <c r="B9" s="711">
        <f>'[2]Ap. 2 Ingresos C. Benef.'!B23</f>
        <v>0</v>
      </c>
      <c r="C9" s="52" t="str">
        <f>'[2]Ap. 2 Ingresos C. Benef.'!H21</f>
        <v>Personal Servicio Activo</v>
      </c>
      <c r="D9" s="52" t="str">
        <f>'[2]Ap. 2 Ingresos C. Benef.'!I21</f>
        <v>Otras Ramas</v>
      </c>
      <c r="E9" s="52" t="str">
        <f>'[2]Ap. 2 Ingresos C. Benef.'!J21</f>
        <v>Personal en Retiro</v>
      </c>
      <c r="F9" s="52" t="str">
        <f>'[2]Ap. 2 Ingresos C. Benef.'!K21</f>
        <v>Casos Especiales</v>
      </c>
      <c r="G9" s="52" t="s">
        <v>637</v>
      </c>
      <c r="H9" s="52" t="s">
        <v>638</v>
      </c>
      <c r="I9" s="52" t="s">
        <v>55</v>
      </c>
      <c r="J9" s="52" t="s">
        <v>17</v>
      </c>
      <c r="K9" s="52" t="s">
        <v>637</v>
      </c>
      <c r="L9" s="52" t="s">
        <v>638</v>
      </c>
      <c r="M9" s="52" t="s">
        <v>55</v>
      </c>
      <c r="N9" s="52" t="s">
        <v>17</v>
      </c>
    </row>
    <row r="10" spans="1:14" ht="31.5" customHeight="1">
      <c r="A10" s="714" t="str">
        <f>'[2]Ap. 2 Ingresos C. Benef.'!$A$22</f>
        <v>JARDÍN INFANTIL "LOBITO MARINO"</v>
      </c>
      <c r="B10" s="521" t="s">
        <v>641</v>
      </c>
      <c r="C10" s="37">
        <f>'Ap. 2 Ingresos C. Benef.'!H29</f>
        <v>66000</v>
      </c>
      <c r="D10" s="37">
        <f>'Ap. 2 Ingresos C. Benef.'!I29</f>
        <v>79200</v>
      </c>
      <c r="E10" s="37">
        <f>'Ap. 2 Ingresos C. Benef.'!J29</f>
        <v>88500</v>
      </c>
      <c r="F10" s="37">
        <f>'Ap. 2 Ingresos C. Benef.'!K29</f>
        <v>130200</v>
      </c>
      <c r="G10" s="523">
        <f>'Ap. 2 Ingresos C. Benef.'!J93</f>
        <v>61600</v>
      </c>
      <c r="H10" s="523">
        <f>'Ap. 2 Ingresos C. Benef.'!K93</f>
        <v>74000</v>
      </c>
      <c r="I10" s="523">
        <f>'Ap. 2 Ingresos C. Benef.'!L93</f>
        <v>82700</v>
      </c>
      <c r="J10" s="523">
        <f>'Ap. 2 Ingresos C. Benef.'!M93</f>
        <v>121600</v>
      </c>
      <c r="K10" s="524">
        <f>C10-G10</f>
        <v>4400</v>
      </c>
      <c r="L10" s="524">
        <f>D10-H10</f>
        <v>5200</v>
      </c>
      <c r="M10" s="524">
        <f>E10-I10</f>
        <v>5800</v>
      </c>
      <c r="N10" s="524">
        <f>F10-J10</f>
        <v>8600</v>
      </c>
    </row>
    <row r="11" spans="1:14" ht="31.5" customHeight="1">
      <c r="A11" s="717"/>
      <c r="B11" s="521" t="s">
        <v>642</v>
      </c>
      <c r="C11" s="37">
        <f>'Ap. 2 Ingresos C. Benef.'!H33</f>
        <v>107900</v>
      </c>
      <c r="D11" s="37">
        <f>'Ap. 2 Ingresos C. Benef.'!I33</f>
        <v>124600</v>
      </c>
      <c r="E11" s="37">
        <f>'Ap. 2 Ingresos C. Benef.'!J33</f>
        <v>177100</v>
      </c>
      <c r="F11" s="37">
        <f>'Ap. 2 Ingresos C. Benef.'!K33</f>
        <v>271700</v>
      </c>
      <c r="G11" s="523">
        <f>'Ap. 2 Ingresos C. Benef.'!J94</f>
        <v>100800</v>
      </c>
      <c r="H11" s="523">
        <f>'Ap. 2 Ingresos C. Benef.'!K94</f>
        <v>120900</v>
      </c>
      <c r="I11" s="523">
        <f>'Ap. 2 Ingresos C. Benef.'!L94</f>
        <v>0</v>
      </c>
      <c r="J11" s="523">
        <f>'Ap. 2 Ingresos C. Benef.'!M94</f>
        <v>253000</v>
      </c>
      <c r="K11" s="524">
        <f aca="true" t="shared" si="0" ref="K11:K22">C11-G11</f>
        <v>7100</v>
      </c>
      <c r="L11" s="524">
        <f aca="true" t="shared" si="1" ref="L11:L22">D11-H11</f>
        <v>3700</v>
      </c>
      <c r="M11" s="524">
        <f aca="true" t="shared" si="2" ref="M11:M22">E11-I11</f>
        <v>177100</v>
      </c>
      <c r="N11" s="524">
        <f aca="true" t="shared" si="3" ref="N11:N22">F11-J11</f>
        <v>18700</v>
      </c>
    </row>
    <row r="12" spans="1:14" ht="31.5" customHeight="1">
      <c r="A12" s="74" t="str">
        <f>'[2]Ap. 2 Ingresos C. Benef.'!$A$26</f>
        <v>JARDIN INFANTIL "LOS DELFINES"</v>
      </c>
      <c r="B12" s="521" t="s">
        <v>643</v>
      </c>
      <c r="C12" s="37">
        <f>'Ap. 2 Ingresos C. Benef.'!H38</f>
        <v>107900</v>
      </c>
      <c r="D12" s="37">
        <f>'Ap. 2 Ingresos C. Benef.'!I38</f>
        <v>124600</v>
      </c>
      <c r="E12" s="37">
        <f>'Ap. 2 Ingresos C. Benef.'!J38</f>
        <v>177100</v>
      </c>
      <c r="F12" s="37">
        <f>'Ap. 2 Ingresos C. Benef.'!K38</f>
        <v>271700</v>
      </c>
      <c r="G12" s="523">
        <f>'Ap. 2 Ingresos C. Benef.'!J94</f>
        <v>100800</v>
      </c>
      <c r="H12" s="523">
        <f>'Ap. 2 Ingresos C. Benef.'!K94</f>
        <v>120900</v>
      </c>
      <c r="I12" s="523">
        <f>'Ap. 2 Ingresos C. Benef.'!L94</f>
        <v>0</v>
      </c>
      <c r="J12" s="523">
        <f>'Ap. 2 Ingresos C. Benef.'!M94</f>
        <v>253000</v>
      </c>
      <c r="K12" s="524">
        <f t="shared" si="0"/>
        <v>7100</v>
      </c>
      <c r="L12" s="524">
        <f t="shared" si="1"/>
        <v>3700</v>
      </c>
      <c r="M12" s="524">
        <f t="shared" si="2"/>
        <v>177100</v>
      </c>
      <c r="N12" s="524">
        <f t="shared" si="3"/>
        <v>18700</v>
      </c>
    </row>
    <row r="13" spans="1:14" ht="31.5" customHeight="1">
      <c r="A13" s="74" t="str">
        <f>'[2]Ap. 2 Ingresos C. Benef.'!$A$30</f>
        <v>JARDIN INFANTIL "LORD COCHRANE"</v>
      </c>
      <c r="B13" s="521" t="s">
        <v>644</v>
      </c>
      <c r="C13" s="37">
        <f>'Ap. 2 Ingresos C. Benef.'!H42</f>
        <v>66000</v>
      </c>
      <c r="D13" s="37">
        <f>'Ap. 2 Ingresos C. Benef.'!I42</f>
        <v>79200</v>
      </c>
      <c r="E13" s="37">
        <f>'Ap. 2 Ingresos C. Benef.'!J42</f>
        <v>88500</v>
      </c>
      <c r="F13" s="37">
        <f>'Ap. 2 Ingresos C. Benef.'!K42</f>
        <v>130200</v>
      </c>
      <c r="G13" s="523">
        <f>G10</f>
        <v>61600</v>
      </c>
      <c r="H13" s="523">
        <f>H10</f>
        <v>74000</v>
      </c>
      <c r="I13" s="523">
        <f>I10</f>
        <v>82700</v>
      </c>
      <c r="J13" s="523">
        <f>J10</f>
        <v>121600</v>
      </c>
      <c r="K13" s="524">
        <f t="shared" si="0"/>
        <v>4400</v>
      </c>
      <c r="L13" s="524">
        <f t="shared" si="1"/>
        <v>5200</v>
      </c>
      <c r="M13" s="524">
        <f t="shared" si="2"/>
        <v>5800</v>
      </c>
      <c r="N13" s="524">
        <f t="shared" si="3"/>
        <v>8600</v>
      </c>
    </row>
    <row r="14" spans="1:14" ht="31.5" customHeight="1">
      <c r="A14" s="74" t="str">
        <f>'[2]Ap. 2 Ingresos C. Benef.'!$A$34</f>
        <v>JARDIN INFANTIL "PECECITOS DE COLORES"</v>
      </c>
      <c r="B14" s="521" t="s">
        <v>645</v>
      </c>
      <c r="C14" s="37">
        <f>'Ap. 2 Ingresos C. Benef.'!H46</f>
        <v>25800</v>
      </c>
      <c r="D14" s="37">
        <f>'Ap. 2 Ingresos C. Benef.'!I46</f>
        <v>31000</v>
      </c>
      <c r="E14" s="37">
        <f>'Ap. 2 Ingresos C. Benef.'!J46</f>
        <v>32400</v>
      </c>
      <c r="F14" s="37">
        <f>'Ap. 2 Ingresos C. Benef.'!K46</f>
        <v>38700</v>
      </c>
      <c r="G14" s="523">
        <f>'Ap. 2 Ingresos C. Benef.'!J95</f>
        <v>24100</v>
      </c>
      <c r="H14" s="523">
        <f>'Ap. 2 Ingresos C. Benef.'!K95</f>
        <v>28900</v>
      </c>
      <c r="I14" s="523">
        <f>'Ap. 2 Ingresos C. Benef.'!L95</f>
        <v>30200</v>
      </c>
      <c r="J14" s="523">
        <f>'Ap. 2 Ingresos C. Benef.'!M95</f>
        <v>36100</v>
      </c>
      <c r="K14" s="524">
        <f t="shared" si="0"/>
        <v>1700</v>
      </c>
      <c r="L14" s="524">
        <f t="shared" si="1"/>
        <v>2100</v>
      </c>
      <c r="M14" s="524">
        <f t="shared" si="2"/>
        <v>2200</v>
      </c>
      <c r="N14" s="524">
        <f t="shared" si="3"/>
        <v>2600</v>
      </c>
    </row>
    <row r="15" spans="1:14" ht="27.75" customHeight="1">
      <c r="A15" s="713" t="str">
        <f>'[2]Ap. 2 Ingresos C. Benef.'!$A$38</f>
        <v>JARDIN INFANTIL "CARACOLITO DE MAR"</v>
      </c>
      <c r="B15" s="521" t="s">
        <v>646</v>
      </c>
      <c r="C15" s="37">
        <f>'Ap. 2 Ingresos C. Benef.'!H50</f>
        <v>66000</v>
      </c>
      <c r="D15" s="37">
        <f>'Ap. 2 Ingresos C. Benef.'!I50</f>
        <v>79200</v>
      </c>
      <c r="E15" s="37">
        <f>'Ap. 2 Ingresos C. Benef.'!J50</f>
        <v>88500</v>
      </c>
      <c r="F15" s="37">
        <f>'Ap. 2 Ingresos C. Benef.'!K50</f>
        <v>130200</v>
      </c>
      <c r="G15" s="523">
        <f aca="true" t="shared" si="4" ref="G15:J16">G10</f>
        <v>61600</v>
      </c>
      <c r="H15" s="523">
        <f t="shared" si="4"/>
        <v>74000</v>
      </c>
      <c r="I15" s="523">
        <f t="shared" si="4"/>
        <v>82700</v>
      </c>
      <c r="J15" s="523">
        <f t="shared" si="4"/>
        <v>121600</v>
      </c>
      <c r="K15" s="524">
        <f t="shared" si="0"/>
        <v>4400</v>
      </c>
      <c r="L15" s="524">
        <f t="shared" si="1"/>
        <v>5200</v>
      </c>
      <c r="M15" s="524">
        <f t="shared" si="2"/>
        <v>5800</v>
      </c>
      <c r="N15" s="524">
        <f t="shared" si="3"/>
        <v>8600</v>
      </c>
    </row>
    <row r="16" spans="1:14" ht="26.25" customHeight="1">
      <c r="A16" s="713">
        <f>'[2]Ap. 2 Ingresos C. Benef.'!A36</f>
        <v>0</v>
      </c>
      <c r="B16" s="521" t="s">
        <v>647</v>
      </c>
      <c r="C16" s="37">
        <f>'Ap. 2 Ingresos C. Benef.'!H53</f>
        <v>107900</v>
      </c>
      <c r="D16" s="37">
        <f>'Ap. 2 Ingresos C. Benef.'!I53</f>
        <v>124600</v>
      </c>
      <c r="E16" s="37">
        <f>'Ap. 2 Ingresos C. Benef.'!J53</f>
        <v>177100</v>
      </c>
      <c r="F16" s="37">
        <f>'Ap. 2 Ingresos C. Benef.'!K53</f>
        <v>271700</v>
      </c>
      <c r="G16" s="523">
        <f t="shared" si="4"/>
        <v>100800</v>
      </c>
      <c r="H16" s="523">
        <f t="shared" si="4"/>
        <v>120900</v>
      </c>
      <c r="I16" s="523">
        <f t="shared" si="4"/>
        <v>0</v>
      </c>
      <c r="J16" s="523">
        <f t="shared" si="4"/>
        <v>253000</v>
      </c>
      <c r="K16" s="524">
        <f t="shared" si="0"/>
        <v>7100</v>
      </c>
      <c r="L16" s="524">
        <f t="shared" si="1"/>
        <v>3700</v>
      </c>
      <c r="M16" s="524">
        <f t="shared" si="2"/>
        <v>177100</v>
      </c>
      <c r="N16" s="524">
        <f t="shared" si="3"/>
        <v>18700</v>
      </c>
    </row>
    <row r="17" spans="1:14" ht="30.75" customHeight="1">
      <c r="A17" s="714" t="str">
        <f>'[2]Ap. 2 Ingresos C. Benef.'!$A$45</f>
        <v>SALA CUNA "CARACOLITO DE MAR"</v>
      </c>
      <c r="B17" s="521" t="s">
        <v>648</v>
      </c>
      <c r="C17" s="37">
        <f>'Ap. 2 Ingresos C. Benef.'!H57</f>
        <v>296400</v>
      </c>
      <c r="D17" s="37">
        <f>'Ap. 2 Ingresos C. Benef.'!I57</f>
        <v>355700</v>
      </c>
      <c r="E17" s="37">
        <f>'Ap. 2 Ingresos C. Benef.'!J57</f>
        <v>349400</v>
      </c>
      <c r="F17" s="37">
        <f>'Ap. 2 Ingresos C. Benef.'!K57</f>
        <v>407700</v>
      </c>
      <c r="G17" s="523">
        <f>'Ap. 2 Ingresos C. Benef.'!J96</f>
        <v>287700</v>
      </c>
      <c r="H17" s="523">
        <f>'Ap. 2 Ingresos C. Benef.'!K96</f>
        <v>345300</v>
      </c>
      <c r="I17" s="523">
        <f>'Ap. 2 Ingresos C. Benef.'!L96</f>
        <v>339200</v>
      </c>
      <c r="J17" s="523">
        <f>'Ap. 2 Ingresos C. Benef.'!M96</f>
        <v>395800</v>
      </c>
      <c r="K17" s="524">
        <f>C17-G17</f>
        <v>8700</v>
      </c>
      <c r="L17" s="524">
        <f t="shared" si="1"/>
        <v>10400</v>
      </c>
      <c r="M17" s="524">
        <f t="shared" si="2"/>
        <v>10200</v>
      </c>
      <c r="N17" s="524">
        <f t="shared" si="3"/>
        <v>11900</v>
      </c>
    </row>
    <row r="18" spans="1:14" ht="30.75" customHeight="1">
      <c r="A18" s="715"/>
      <c r="B18" s="521" t="s">
        <v>639</v>
      </c>
      <c r="C18" s="37">
        <f>'Ap. 2 Ingresos C. Benef.'!H60</f>
        <v>164700</v>
      </c>
      <c r="D18" s="37">
        <f>'Ap. 2 Ingresos C. Benef.'!I60</f>
        <v>0</v>
      </c>
      <c r="E18" s="37">
        <f>'Ap. 2 Ingresos C. Benef.'!J60</f>
        <v>0</v>
      </c>
      <c r="F18" s="37">
        <f>'Ap. 2 Ingresos C. Benef.'!K60</f>
        <v>0</v>
      </c>
      <c r="G18" s="523">
        <f>'Ap. 2 Ingresos C. Benef.'!J97</f>
        <v>159900</v>
      </c>
      <c r="H18" s="523">
        <f>'Ap. 2 Ingresos C. Benef.'!M60</f>
        <v>0</v>
      </c>
      <c r="I18" s="523">
        <f>'Ap. 2 Ingresos C. Benef.'!N60</f>
        <v>0</v>
      </c>
      <c r="J18" s="523">
        <f>'Ap. 2 Ingresos C. Benef.'!O60</f>
        <v>0</v>
      </c>
      <c r="K18" s="524">
        <f t="shared" si="0"/>
        <v>4800</v>
      </c>
      <c r="L18" s="524">
        <f t="shared" si="1"/>
        <v>0</v>
      </c>
      <c r="M18" s="524">
        <f t="shared" si="2"/>
        <v>0</v>
      </c>
      <c r="N18" s="524">
        <f t="shared" si="3"/>
        <v>0</v>
      </c>
    </row>
    <row r="19" spans="1:14" ht="28.5" customHeight="1">
      <c r="A19" s="716"/>
      <c r="B19" s="521" t="s">
        <v>743</v>
      </c>
      <c r="C19" s="37">
        <f>'Ap. 2 Ingresos C. Benef.'!H64</f>
        <v>241600</v>
      </c>
      <c r="D19" s="37">
        <f>'Ap. 2 Ingresos C. Benef.'!I64</f>
        <v>0</v>
      </c>
      <c r="E19" s="37">
        <f>'Ap. 2 Ingresos C. Benef.'!J64</f>
        <v>0</v>
      </c>
      <c r="F19" s="37">
        <f>'Ap. 2 Ingresos C. Benef.'!K64</f>
        <v>0</v>
      </c>
      <c r="G19" s="523">
        <f>'Ap. 2 Ingresos C. Benef.'!J98</f>
        <v>232300</v>
      </c>
      <c r="H19" s="523">
        <f>'Ap. 2 Ingresos C. Benef.'!M64</f>
        <v>0</v>
      </c>
      <c r="I19" s="523">
        <f>'Ap. 2 Ingresos C. Benef.'!N64</f>
        <v>0</v>
      </c>
      <c r="J19" s="523">
        <f>'Ap. 2 Ingresos C. Benef.'!O64</f>
        <v>0</v>
      </c>
      <c r="K19" s="524">
        <f t="shared" si="0"/>
        <v>9300</v>
      </c>
      <c r="L19" s="524">
        <f t="shared" si="1"/>
        <v>0</v>
      </c>
      <c r="M19" s="524">
        <f t="shared" si="2"/>
        <v>0</v>
      </c>
      <c r="N19" s="524">
        <f t="shared" si="3"/>
        <v>0</v>
      </c>
    </row>
    <row r="20" spans="1:14" ht="28.5" customHeight="1">
      <c r="A20" s="713" t="str">
        <f>'[2]Ap. 2 Ingresos C. Benef.'!A55</f>
        <v>SALA CUNA "MAR AZUL"</v>
      </c>
      <c r="B20" s="521" t="s">
        <v>649</v>
      </c>
      <c r="C20" s="37">
        <f>'Ap. 2 Ingresos C. Benef.'!H68</f>
        <v>286100</v>
      </c>
      <c r="D20" s="37">
        <f>'Ap. 2 Ingresos C. Benef.'!I68</f>
        <v>350100</v>
      </c>
      <c r="E20" s="37">
        <f>'Ap. 2 Ingresos C. Benef.'!J68</f>
        <v>344000</v>
      </c>
      <c r="F20" s="37">
        <f>'Ap. 2 Ingresos C. Benef.'!K68</f>
        <v>401300</v>
      </c>
      <c r="G20" s="523">
        <f>'Ap. 2 Ingresos C. Benef.'!J99</f>
        <v>280400</v>
      </c>
      <c r="H20" s="523">
        <f>'Ap. 2 Ingresos C. Benef.'!K99</f>
        <v>336600</v>
      </c>
      <c r="I20" s="523">
        <f>'Ap. 2 Ingresos C. Benef.'!L99</f>
        <v>330700</v>
      </c>
      <c r="J20" s="523">
        <f>'Ap. 2 Ingresos C. Benef.'!M99</f>
        <v>385800</v>
      </c>
      <c r="K20" s="524">
        <f t="shared" si="0"/>
        <v>5700</v>
      </c>
      <c r="L20" s="524">
        <f t="shared" si="1"/>
        <v>13500</v>
      </c>
      <c r="M20" s="524">
        <f t="shared" si="2"/>
        <v>13300</v>
      </c>
      <c r="N20" s="524">
        <f t="shared" si="3"/>
        <v>15500</v>
      </c>
    </row>
    <row r="21" spans="1:14" ht="28.5" customHeight="1">
      <c r="A21" s="713"/>
      <c r="B21" s="521" t="s">
        <v>650</v>
      </c>
      <c r="C21" s="37">
        <f>'Ap. 2 Ingresos C. Benef.'!H71</f>
        <v>155800</v>
      </c>
      <c r="D21" s="37">
        <f>'Ap. 2 Ingresos C. Benef.'!I71</f>
        <v>0</v>
      </c>
      <c r="E21" s="37">
        <f>'Ap. 2 Ingresos C. Benef.'!J71</f>
        <v>0</v>
      </c>
      <c r="F21" s="37">
        <f>'Ap. 2 Ingresos C. Benef.'!K71</f>
        <v>0</v>
      </c>
      <c r="G21" s="523">
        <f>'Ap. 2 Ingresos C. Benef.'!J100</f>
        <v>155800</v>
      </c>
      <c r="H21" s="523">
        <f>'Ap. 2 Ingresos C. Benef.'!M71</f>
        <v>0</v>
      </c>
      <c r="I21" s="523">
        <f>'Ap. 2 Ingresos C. Benef.'!N71</f>
        <v>0</v>
      </c>
      <c r="J21" s="523">
        <f>'Ap. 2 Ingresos C. Benef.'!O71</f>
        <v>0</v>
      </c>
      <c r="K21" s="524">
        <f t="shared" si="0"/>
        <v>0</v>
      </c>
      <c r="L21" s="524">
        <f t="shared" si="1"/>
        <v>0</v>
      </c>
      <c r="M21" s="524">
        <f t="shared" si="2"/>
        <v>0</v>
      </c>
      <c r="N21" s="524">
        <f t="shared" si="3"/>
        <v>0</v>
      </c>
    </row>
    <row r="22" spans="1:14" ht="28.5" customHeight="1">
      <c r="A22" s="713">
        <f>'[2]Ap. 2 Ingresos C. Benef.'!A42</f>
        <v>0</v>
      </c>
      <c r="B22" s="521" t="s">
        <v>640</v>
      </c>
      <c r="C22" s="37">
        <f>'Ap. 2 Ingresos C. Benef.'!H75</f>
        <v>233100</v>
      </c>
      <c r="D22" s="37">
        <f>'Ap. 2 Ingresos C. Benef.'!I75</f>
        <v>0</v>
      </c>
      <c r="E22" s="37">
        <f>'Ap. 2 Ingresos C. Benef.'!J75</f>
        <v>0</v>
      </c>
      <c r="F22" s="37">
        <f>'Ap. 2 Ingresos C. Benef.'!K75</f>
        <v>0</v>
      </c>
      <c r="G22" s="523">
        <f>'Ap. 2 Ingresos C. Benef.'!J101</f>
        <v>228500</v>
      </c>
      <c r="H22" s="523">
        <f>'Ap. 2 Ingresos C. Benef.'!M75</f>
        <v>0</v>
      </c>
      <c r="I22" s="523">
        <f>'Ap. 2 Ingresos C. Benef.'!N75</f>
        <v>0</v>
      </c>
      <c r="J22" s="523">
        <f>'Ap. 2 Ingresos C. Benef.'!O75</f>
        <v>0</v>
      </c>
      <c r="K22" s="524">
        <f t="shared" si="0"/>
        <v>4600</v>
      </c>
      <c r="L22" s="524">
        <f t="shared" si="1"/>
        <v>0</v>
      </c>
      <c r="M22" s="524">
        <f t="shared" si="2"/>
        <v>0</v>
      </c>
      <c r="N22" s="524">
        <f t="shared" si="3"/>
        <v>0</v>
      </c>
    </row>
  </sheetData>
  <sheetProtection password="C581" sheet="1" objects="1" scenarios="1"/>
  <mergeCells count="12">
    <mergeCell ref="A15:A16"/>
    <mergeCell ref="A17:A19"/>
    <mergeCell ref="A20:A22"/>
    <mergeCell ref="A10:A11"/>
    <mergeCell ref="G8:J8"/>
    <mergeCell ref="K8:N8"/>
    <mergeCell ref="A1:C1"/>
    <mergeCell ref="A2:C2"/>
    <mergeCell ref="A3:C3"/>
    <mergeCell ref="A8:A9"/>
    <mergeCell ref="B8:B9"/>
    <mergeCell ref="C8:F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9" tint="-0.24997000396251678"/>
  </sheetPr>
  <dimension ref="A1:IV33"/>
  <sheetViews>
    <sheetView showGridLines="0" zoomScale="80" zoomScaleNormal="80" zoomScalePageLayoutView="0" workbookViewId="0" topLeftCell="F4">
      <selection activeCell="O5" sqref="O5"/>
    </sheetView>
  </sheetViews>
  <sheetFormatPr defaultColWidth="11.421875" defaultRowHeight="12.75"/>
  <cols>
    <col min="1" max="2" width="11.421875" style="578" customWidth="1"/>
    <col min="3" max="3" width="35.28125" style="578" bestFit="1" customWidth="1"/>
    <col min="4" max="4" width="32.8515625" style="578" bestFit="1" customWidth="1"/>
    <col min="5" max="5" width="33.57421875" style="578" bestFit="1" customWidth="1"/>
    <col min="6" max="6" width="11.421875" style="578" customWidth="1"/>
    <col min="7" max="7" width="12.8515625" style="578" customWidth="1"/>
    <col min="8" max="8" width="14.421875" style="578" customWidth="1"/>
    <col min="9" max="9" width="12.140625" style="578" customWidth="1"/>
    <col min="10" max="10" width="12.8515625" style="578" customWidth="1"/>
    <col min="11" max="11" width="13.57421875" style="578" bestFit="1" customWidth="1"/>
    <col min="12" max="12" width="12.140625" style="578" bestFit="1" customWidth="1"/>
    <col min="13" max="13" width="12.421875" style="578" bestFit="1" customWidth="1"/>
    <col min="14" max="15" width="13.8515625" style="578" bestFit="1" customWidth="1"/>
    <col min="16" max="16" width="11.57421875" style="578" bestFit="1" customWidth="1"/>
    <col min="17" max="17" width="14.7109375" style="578" customWidth="1"/>
    <col min="18" max="19" width="14.28125" style="578" bestFit="1" customWidth="1"/>
    <col min="20" max="16384" width="11.421875" style="578" customWidth="1"/>
  </cols>
  <sheetData>
    <row r="1" spans="1:256" ht="12.75">
      <c r="A1" s="544"/>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577"/>
      <c r="DK1" s="577"/>
      <c r="DL1" s="577"/>
      <c r="DM1" s="577"/>
      <c r="DN1" s="577"/>
      <c r="DO1" s="577"/>
      <c r="DP1" s="577"/>
      <c r="DQ1" s="577"/>
      <c r="DR1" s="577"/>
      <c r="DS1" s="577"/>
      <c r="DT1" s="577"/>
      <c r="DU1" s="577"/>
      <c r="DV1" s="577"/>
      <c r="DW1" s="577"/>
      <c r="DX1" s="577"/>
      <c r="DY1" s="577"/>
      <c r="DZ1" s="577"/>
      <c r="EA1" s="577"/>
      <c r="EB1" s="577"/>
      <c r="EC1" s="577"/>
      <c r="ED1" s="577"/>
      <c r="EE1" s="577"/>
      <c r="EF1" s="577"/>
      <c r="EG1" s="577"/>
      <c r="EH1" s="577"/>
      <c r="EI1" s="577"/>
      <c r="EJ1" s="577"/>
      <c r="EK1" s="577"/>
      <c r="EL1" s="577"/>
      <c r="EM1" s="577"/>
      <c r="EN1" s="577"/>
      <c r="EO1" s="577"/>
      <c r="EP1" s="577"/>
      <c r="EQ1" s="577"/>
      <c r="ER1" s="577"/>
      <c r="ES1" s="577"/>
      <c r="ET1" s="577"/>
      <c r="EU1" s="577"/>
      <c r="EV1" s="577"/>
      <c r="EW1" s="577"/>
      <c r="EX1" s="577"/>
      <c r="EY1" s="577"/>
      <c r="EZ1" s="577"/>
      <c r="FA1" s="577"/>
      <c r="FB1" s="577"/>
      <c r="FC1" s="577"/>
      <c r="FD1" s="577"/>
      <c r="FE1" s="577"/>
      <c r="FF1" s="577"/>
      <c r="FG1" s="577"/>
      <c r="FH1" s="577"/>
      <c r="FI1" s="577"/>
      <c r="FJ1" s="577"/>
      <c r="FK1" s="577"/>
      <c r="FL1" s="577"/>
      <c r="FM1" s="577"/>
      <c r="FN1" s="577"/>
      <c r="FO1" s="577"/>
      <c r="FP1" s="577"/>
      <c r="FQ1" s="577"/>
      <c r="FR1" s="577"/>
      <c r="FS1" s="577"/>
      <c r="FT1" s="577"/>
      <c r="FU1" s="577"/>
      <c r="FV1" s="577"/>
      <c r="FW1" s="577"/>
      <c r="FX1" s="577"/>
      <c r="FY1" s="577"/>
      <c r="FZ1" s="577"/>
      <c r="GA1" s="577"/>
      <c r="GB1" s="577"/>
      <c r="GC1" s="577"/>
      <c r="GD1" s="577"/>
      <c r="GE1" s="577"/>
      <c r="GF1" s="577"/>
      <c r="GG1" s="577"/>
      <c r="GH1" s="577"/>
      <c r="GI1" s="577"/>
      <c r="GJ1" s="577"/>
      <c r="GK1" s="577"/>
      <c r="GL1" s="577"/>
      <c r="GM1" s="577"/>
      <c r="GN1" s="577"/>
      <c r="GO1" s="577"/>
      <c r="GP1" s="577"/>
      <c r="GQ1" s="577"/>
      <c r="GR1" s="577"/>
      <c r="GS1" s="577"/>
      <c r="GT1" s="577"/>
      <c r="GU1" s="577"/>
      <c r="GV1" s="577"/>
      <c r="GW1" s="577"/>
      <c r="GX1" s="577"/>
      <c r="GY1" s="577"/>
      <c r="GZ1" s="577"/>
      <c r="HA1" s="577"/>
      <c r="HB1" s="577"/>
      <c r="HC1" s="577"/>
      <c r="HD1" s="577"/>
      <c r="HE1" s="577"/>
      <c r="HF1" s="577"/>
      <c r="HG1" s="577"/>
      <c r="HH1" s="577"/>
      <c r="HI1" s="577"/>
      <c r="HJ1" s="577"/>
      <c r="HK1" s="577"/>
      <c r="HL1" s="577"/>
      <c r="HM1" s="577"/>
      <c r="HN1" s="577"/>
      <c r="HO1" s="577"/>
      <c r="HP1" s="577"/>
      <c r="HQ1" s="577"/>
      <c r="HR1" s="577"/>
      <c r="HS1" s="577"/>
      <c r="HT1" s="577"/>
      <c r="HU1" s="577"/>
      <c r="HV1" s="577"/>
      <c r="HW1" s="577"/>
      <c r="HX1" s="577"/>
      <c r="HY1" s="577"/>
      <c r="HZ1" s="577"/>
      <c r="IA1" s="577"/>
      <c r="IB1" s="577"/>
      <c r="IC1" s="577"/>
      <c r="ID1" s="577"/>
      <c r="IE1" s="577"/>
      <c r="IF1" s="577"/>
      <c r="IG1" s="577"/>
      <c r="IH1" s="577"/>
      <c r="II1" s="577"/>
      <c r="IJ1" s="577"/>
      <c r="IK1" s="577"/>
      <c r="IL1" s="577"/>
      <c r="IM1" s="577"/>
      <c r="IN1" s="577"/>
      <c r="IO1" s="577"/>
      <c r="IP1" s="577"/>
      <c r="IQ1" s="577"/>
      <c r="IR1" s="577"/>
      <c r="IS1" s="577"/>
      <c r="IT1" s="577"/>
      <c r="IU1" s="577"/>
      <c r="IV1" s="577"/>
    </row>
    <row r="2" spans="1:256" ht="12.75">
      <c r="A2" s="544"/>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c r="AW2" s="577"/>
      <c r="AX2" s="577"/>
      <c r="AY2" s="577"/>
      <c r="AZ2" s="577"/>
      <c r="BA2" s="577"/>
      <c r="BB2" s="577"/>
      <c r="BC2" s="577"/>
      <c r="BD2" s="577"/>
      <c r="BE2" s="577"/>
      <c r="BF2" s="577"/>
      <c r="BG2" s="577"/>
      <c r="BH2" s="577"/>
      <c r="BI2" s="577"/>
      <c r="BJ2" s="577"/>
      <c r="BK2" s="577"/>
      <c r="BL2" s="577"/>
      <c r="BM2" s="577"/>
      <c r="BN2" s="577"/>
      <c r="BO2" s="577"/>
      <c r="BP2" s="577"/>
      <c r="BQ2" s="577"/>
      <c r="BR2" s="577"/>
      <c r="BS2" s="577"/>
      <c r="BT2" s="577"/>
      <c r="BU2" s="577"/>
      <c r="BV2" s="577"/>
      <c r="BW2" s="577"/>
      <c r="BX2" s="577"/>
      <c r="BY2" s="577"/>
      <c r="BZ2" s="577"/>
      <c r="CA2" s="577"/>
      <c r="CB2" s="577"/>
      <c r="CC2" s="577"/>
      <c r="CD2" s="577"/>
      <c r="CE2" s="577"/>
      <c r="CF2" s="577"/>
      <c r="CG2" s="577"/>
      <c r="CH2" s="577"/>
      <c r="CI2" s="577"/>
      <c r="CJ2" s="577"/>
      <c r="CK2" s="577"/>
      <c r="CL2" s="577"/>
      <c r="CM2" s="577"/>
      <c r="CN2" s="577"/>
      <c r="CO2" s="577"/>
      <c r="CP2" s="577"/>
      <c r="CQ2" s="577"/>
      <c r="CR2" s="577"/>
      <c r="CS2" s="577"/>
      <c r="CT2" s="577"/>
      <c r="CU2" s="577"/>
      <c r="CV2" s="577"/>
      <c r="CW2" s="577"/>
      <c r="CX2" s="577"/>
      <c r="CY2" s="577"/>
      <c r="CZ2" s="577"/>
      <c r="DA2" s="577"/>
      <c r="DB2" s="577"/>
      <c r="DC2" s="577"/>
      <c r="DD2" s="577"/>
      <c r="DE2" s="577"/>
      <c r="DF2" s="577"/>
      <c r="DG2" s="577"/>
      <c r="DH2" s="577"/>
      <c r="DI2" s="577"/>
      <c r="DJ2" s="577"/>
      <c r="DK2" s="577"/>
      <c r="DL2" s="577"/>
      <c r="DM2" s="577"/>
      <c r="DN2" s="577"/>
      <c r="DO2" s="577"/>
      <c r="DP2" s="577"/>
      <c r="DQ2" s="577"/>
      <c r="DR2" s="577"/>
      <c r="DS2" s="577"/>
      <c r="DT2" s="577"/>
      <c r="DU2" s="577"/>
      <c r="DV2" s="577"/>
      <c r="DW2" s="577"/>
      <c r="DX2" s="577"/>
      <c r="DY2" s="577"/>
      <c r="DZ2" s="577"/>
      <c r="EA2" s="577"/>
      <c r="EB2" s="577"/>
      <c r="EC2" s="577"/>
      <c r="ED2" s="577"/>
      <c r="EE2" s="577"/>
      <c r="EF2" s="577"/>
      <c r="EG2" s="577"/>
      <c r="EH2" s="577"/>
      <c r="EI2" s="577"/>
      <c r="EJ2" s="577"/>
      <c r="EK2" s="577"/>
      <c r="EL2" s="577"/>
      <c r="EM2" s="577"/>
      <c r="EN2" s="577"/>
      <c r="EO2" s="577"/>
      <c r="EP2" s="577"/>
      <c r="EQ2" s="577"/>
      <c r="ER2" s="577"/>
      <c r="ES2" s="577"/>
      <c r="ET2" s="577"/>
      <c r="EU2" s="577"/>
      <c r="EV2" s="577"/>
      <c r="EW2" s="577"/>
      <c r="EX2" s="577"/>
      <c r="EY2" s="577"/>
      <c r="EZ2" s="577"/>
      <c r="FA2" s="577"/>
      <c r="FB2" s="577"/>
      <c r="FC2" s="577"/>
      <c r="FD2" s="577"/>
      <c r="FE2" s="577"/>
      <c r="FF2" s="577"/>
      <c r="FG2" s="577"/>
      <c r="FH2" s="577"/>
      <c r="FI2" s="577"/>
      <c r="FJ2" s="577"/>
      <c r="FK2" s="577"/>
      <c r="FL2" s="577"/>
      <c r="FM2" s="577"/>
      <c r="FN2" s="577"/>
      <c r="FO2" s="577"/>
      <c r="FP2" s="577"/>
      <c r="FQ2" s="577"/>
      <c r="FR2" s="577"/>
      <c r="FS2" s="577"/>
      <c r="FT2" s="577"/>
      <c r="FU2" s="577"/>
      <c r="FV2" s="577"/>
      <c r="FW2" s="577"/>
      <c r="FX2" s="577"/>
      <c r="FY2" s="577"/>
      <c r="FZ2" s="577"/>
      <c r="GA2" s="577"/>
      <c r="GB2" s="577"/>
      <c r="GC2" s="577"/>
      <c r="GD2" s="577"/>
      <c r="GE2" s="577"/>
      <c r="GF2" s="577"/>
      <c r="GG2" s="577"/>
      <c r="GH2" s="577"/>
      <c r="GI2" s="577"/>
      <c r="GJ2" s="577"/>
      <c r="GK2" s="577"/>
      <c r="GL2" s="577"/>
      <c r="GM2" s="577"/>
      <c r="GN2" s="577"/>
      <c r="GO2" s="577"/>
      <c r="GP2" s="577"/>
      <c r="GQ2" s="577"/>
      <c r="GR2" s="577"/>
      <c r="GS2" s="577"/>
      <c r="GT2" s="577"/>
      <c r="GU2" s="577"/>
      <c r="GV2" s="577"/>
      <c r="GW2" s="577"/>
      <c r="GX2" s="577"/>
      <c r="GY2" s="577"/>
      <c r="GZ2" s="577"/>
      <c r="HA2" s="577"/>
      <c r="HB2" s="577"/>
      <c r="HC2" s="577"/>
      <c r="HD2" s="577"/>
      <c r="HE2" s="577"/>
      <c r="HF2" s="577"/>
      <c r="HG2" s="577"/>
      <c r="HH2" s="577"/>
      <c r="HI2" s="577"/>
      <c r="HJ2" s="577"/>
      <c r="HK2" s="577"/>
      <c r="HL2" s="577"/>
      <c r="HM2" s="577"/>
      <c r="HN2" s="577"/>
      <c r="HO2" s="577"/>
      <c r="HP2" s="577"/>
      <c r="HQ2" s="577"/>
      <c r="HR2" s="577"/>
      <c r="HS2" s="577"/>
      <c r="HT2" s="577"/>
      <c r="HU2" s="577"/>
      <c r="HV2" s="577"/>
      <c r="HW2" s="577"/>
      <c r="HX2" s="577"/>
      <c r="HY2" s="577"/>
      <c r="HZ2" s="577"/>
      <c r="IA2" s="577"/>
      <c r="IB2" s="577"/>
      <c r="IC2" s="577"/>
      <c r="ID2" s="577"/>
      <c r="IE2" s="577"/>
      <c r="IF2" s="577"/>
      <c r="IG2" s="577"/>
      <c r="IH2" s="577"/>
      <c r="II2" s="577"/>
      <c r="IJ2" s="577"/>
      <c r="IK2" s="577"/>
      <c r="IL2" s="577"/>
      <c r="IM2" s="577"/>
      <c r="IN2" s="577"/>
      <c r="IO2" s="577"/>
      <c r="IP2" s="577"/>
      <c r="IQ2" s="577"/>
      <c r="IR2" s="577"/>
      <c r="IS2" s="577"/>
      <c r="IT2" s="577"/>
      <c r="IU2" s="577"/>
      <c r="IV2" s="577"/>
    </row>
    <row r="3" spans="1:256" ht="12.75">
      <c r="A3" s="545" t="s">
        <v>669</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577"/>
      <c r="AU3" s="577"/>
      <c r="AV3" s="577"/>
      <c r="AW3" s="577"/>
      <c r="AX3" s="577"/>
      <c r="AY3" s="577"/>
      <c r="AZ3" s="577"/>
      <c r="BA3" s="577"/>
      <c r="BB3" s="577"/>
      <c r="BC3" s="577"/>
      <c r="BD3" s="577"/>
      <c r="BE3" s="577"/>
      <c r="BF3" s="577"/>
      <c r="BG3" s="577"/>
      <c r="BH3" s="577"/>
      <c r="BI3" s="577"/>
      <c r="BJ3" s="577"/>
      <c r="BK3" s="577"/>
      <c r="BL3" s="577"/>
      <c r="BM3" s="577"/>
      <c r="BN3" s="577"/>
      <c r="BO3" s="577"/>
      <c r="BP3" s="577"/>
      <c r="BQ3" s="577"/>
      <c r="BR3" s="577"/>
      <c r="BS3" s="577"/>
      <c r="BT3" s="577"/>
      <c r="BU3" s="577"/>
      <c r="BV3" s="577"/>
      <c r="BW3" s="577"/>
      <c r="BX3" s="577"/>
      <c r="BY3" s="577"/>
      <c r="BZ3" s="577"/>
      <c r="CA3" s="577"/>
      <c r="CB3" s="577"/>
      <c r="CC3" s="577"/>
      <c r="CD3" s="577"/>
      <c r="CE3" s="577"/>
      <c r="CF3" s="577"/>
      <c r="CG3" s="577"/>
      <c r="CH3" s="577"/>
      <c r="CI3" s="577"/>
      <c r="CJ3" s="577"/>
      <c r="CK3" s="577"/>
      <c r="CL3" s="577"/>
      <c r="CM3" s="577"/>
      <c r="CN3" s="577"/>
      <c r="CO3" s="577"/>
      <c r="CP3" s="577"/>
      <c r="CQ3" s="577"/>
      <c r="CR3" s="577"/>
      <c r="CS3" s="577"/>
      <c r="CT3" s="577"/>
      <c r="CU3" s="577"/>
      <c r="CV3" s="577"/>
      <c r="CW3" s="577"/>
      <c r="CX3" s="577"/>
      <c r="CY3" s="577"/>
      <c r="CZ3" s="577"/>
      <c r="DA3" s="577"/>
      <c r="DB3" s="577"/>
      <c r="DC3" s="577"/>
      <c r="DD3" s="577"/>
      <c r="DE3" s="577"/>
      <c r="DF3" s="577"/>
      <c r="DG3" s="577"/>
      <c r="DH3" s="577"/>
      <c r="DI3" s="577"/>
      <c r="DJ3" s="577"/>
      <c r="DK3" s="577"/>
      <c r="DL3" s="577"/>
      <c r="DM3" s="577"/>
      <c r="DN3" s="577"/>
      <c r="DO3" s="577"/>
      <c r="DP3" s="577"/>
      <c r="DQ3" s="577"/>
      <c r="DR3" s="577"/>
      <c r="DS3" s="577"/>
      <c r="DT3" s="577"/>
      <c r="DU3" s="577"/>
      <c r="DV3" s="577"/>
      <c r="DW3" s="577"/>
      <c r="DX3" s="577"/>
      <c r="DY3" s="577"/>
      <c r="DZ3" s="577"/>
      <c r="EA3" s="577"/>
      <c r="EB3" s="577"/>
      <c r="EC3" s="577"/>
      <c r="ED3" s="577"/>
      <c r="EE3" s="577"/>
      <c r="EF3" s="577"/>
      <c r="EG3" s="577"/>
      <c r="EH3" s="577"/>
      <c r="EI3" s="577"/>
      <c r="EJ3" s="577"/>
      <c r="EK3" s="577"/>
      <c r="EL3" s="577"/>
      <c r="EM3" s="577"/>
      <c r="EN3" s="577"/>
      <c r="EO3" s="577"/>
      <c r="EP3" s="577"/>
      <c r="EQ3" s="577"/>
      <c r="ER3" s="577"/>
      <c r="ES3" s="577"/>
      <c r="ET3" s="577"/>
      <c r="EU3" s="577"/>
      <c r="EV3" s="577"/>
      <c r="EW3" s="577"/>
      <c r="EX3" s="577"/>
      <c r="EY3" s="577"/>
      <c r="EZ3" s="577"/>
      <c r="FA3" s="577"/>
      <c r="FB3" s="577"/>
      <c r="FC3" s="577"/>
      <c r="FD3" s="577"/>
      <c r="FE3" s="577"/>
      <c r="FF3" s="577"/>
      <c r="FG3" s="577"/>
      <c r="FH3" s="577"/>
      <c r="FI3" s="577"/>
      <c r="FJ3" s="577"/>
      <c r="FK3" s="577"/>
      <c r="FL3" s="577"/>
      <c r="FM3" s="577"/>
      <c r="FN3" s="577"/>
      <c r="FO3" s="577"/>
      <c r="FP3" s="577"/>
      <c r="FQ3" s="577"/>
      <c r="FR3" s="577"/>
      <c r="FS3" s="577"/>
      <c r="FT3" s="577"/>
      <c r="FU3" s="577"/>
      <c r="FV3" s="577"/>
      <c r="FW3" s="577"/>
      <c r="FX3" s="577"/>
      <c r="FY3" s="577"/>
      <c r="FZ3" s="577"/>
      <c r="GA3" s="577"/>
      <c r="GB3" s="577"/>
      <c r="GC3" s="577"/>
      <c r="GD3" s="577"/>
      <c r="GE3" s="577"/>
      <c r="GF3" s="577"/>
      <c r="GG3" s="577"/>
      <c r="GH3" s="577"/>
      <c r="GI3" s="577"/>
      <c r="GJ3" s="577"/>
      <c r="GK3" s="577"/>
      <c r="GL3" s="577"/>
      <c r="GM3" s="577"/>
      <c r="GN3" s="577"/>
      <c r="GO3" s="577"/>
      <c r="GP3" s="577"/>
      <c r="GQ3" s="577"/>
      <c r="GR3" s="577"/>
      <c r="GS3" s="577"/>
      <c r="GT3" s="577"/>
      <c r="GU3" s="577"/>
      <c r="GV3" s="577"/>
      <c r="GW3" s="577"/>
      <c r="GX3" s="577"/>
      <c r="GY3" s="577"/>
      <c r="GZ3" s="577"/>
      <c r="HA3" s="577"/>
      <c r="HB3" s="577"/>
      <c r="HC3" s="577"/>
      <c r="HD3" s="577"/>
      <c r="HE3" s="577"/>
      <c r="HF3" s="577"/>
      <c r="HG3" s="577"/>
      <c r="HH3" s="577"/>
      <c r="HI3" s="577"/>
      <c r="HJ3" s="577"/>
      <c r="HK3" s="577"/>
      <c r="HL3" s="577"/>
      <c r="HM3" s="577"/>
      <c r="HN3" s="577"/>
      <c r="HO3" s="577"/>
      <c r="HP3" s="577"/>
      <c r="HQ3" s="577"/>
      <c r="HR3" s="577"/>
      <c r="HS3" s="577"/>
      <c r="HT3" s="577"/>
      <c r="HU3" s="577"/>
      <c r="HV3" s="577"/>
      <c r="HW3" s="577"/>
      <c r="HX3" s="577"/>
      <c r="HY3" s="577"/>
      <c r="HZ3" s="577"/>
      <c r="IA3" s="577"/>
      <c r="IB3" s="577"/>
      <c r="IC3" s="577"/>
      <c r="ID3" s="577"/>
      <c r="IE3" s="577"/>
      <c r="IF3" s="577"/>
      <c r="IG3" s="577"/>
      <c r="IH3" s="577"/>
      <c r="II3" s="577"/>
      <c r="IJ3" s="577"/>
      <c r="IK3" s="577"/>
      <c r="IL3" s="577"/>
      <c r="IM3" s="577"/>
      <c r="IN3" s="577"/>
      <c r="IO3" s="577"/>
      <c r="IP3" s="577"/>
      <c r="IQ3" s="577"/>
      <c r="IR3" s="577"/>
      <c r="IS3" s="577"/>
      <c r="IT3" s="577"/>
      <c r="IU3" s="577"/>
      <c r="IV3" s="577"/>
    </row>
    <row r="4" spans="1:256" ht="12.75">
      <c r="A4" s="544"/>
      <c r="B4" s="577"/>
      <c r="C4" s="577"/>
      <c r="D4" s="577"/>
      <c r="E4" s="577"/>
      <c r="F4" s="577"/>
      <c r="G4" s="577"/>
      <c r="H4" s="546" t="s">
        <v>239</v>
      </c>
      <c r="I4" s="589">
        <v>0.037</v>
      </c>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7"/>
      <c r="BJ4" s="577"/>
      <c r="BK4" s="577"/>
      <c r="BL4" s="577"/>
      <c r="BM4" s="577"/>
      <c r="BN4" s="577"/>
      <c r="BO4" s="577"/>
      <c r="BP4" s="577"/>
      <c r="BQ4" s="577"/>
      <c r="BR4" s="577"/>
      <c r="BS4" s="577"/>
      <c r="BT4" s="577"/>
      <c r="BU4" s="577"/>
      <c r="BV4" s="577"/>
      <c r="BW4" s="577"/>
      <c r="BX4" s="577"/>
      <c r="BY4" s="577"/>
      <c r="BZ4" s="577"/>
      <c r="CA4" s="577"/>
      <c r="CB4" s="577"/>
      <c r="CC4" s="577"/>
      <c r="CD4" s="577"/>
      <c r="CE4" s="577"/>
      <c r="CF4" s="577"/>
      <c r="CG4" s="577"/>
      <c r="CH4" s="577"/>
      <c r="CI4" s="577"/>
      <c r="CJ4" s="577"/>
      <c r="CK4" s="577"/>
      <c r="CL4" s="577"/>
      <c r="CM4" s="577"/>
      <c r="CN4" s="577"/>
      <c r="CO4" s="577"/>
      <c r="CP4" s="577"/>
      <c r="CQ4" s="577"/>
      <c r="CR4" s="577"/>
      <c r="CS4" s="577"/>
      <c r="CT4" s="577"/>
      <c r="CU4" s="577"/>
      <c r="CV4" s="577"/>
      <c r="CW4" s="577"/>
      <c r="CX4" s="577"/>
      <c r="CY4" s="577"/>
      <c r="CZ4" s="577"/>
      <c r="DA4" s="577"/>
      <c r="DB4" s="577"/>
      <c r="DC4" s="577"/>
      <c r="DD4" s="577"/>
      <c r="DE4" s="577"/>
      <c r="DF4" s="577"/>
      <c r="DG4" s="577"/>
      <c r="DH4" s="577"/>
      <c r="DI4" s="577"/>
      <c r="DJ4" s="577"/>
      <c r="DK4" s="577"/>
      <c r="DL4" s="577"/>
      <c r="DM4" s="577"/>
      <c r="DN4" s="577"/>
      <c r="DO4" s="577"/>
      <c r="DP4" s="577"/>
      <c r="DQ4" s="577"/>
      <c r="DR4" s="577"/>
      <c r="DS4" s="577"/>
      <c r="DT4" s="577"/>
      <c r="DU4" s="577"/>
      <c r="DV4" s="577"/>
      <c r="DW4" s="577"/>
      <c r="DX4" s="577"/>
      <c r="DY4" s="577"/>
      <c r="DZ4" s="577"/>
      <c r="EA4" s="577"/>
      <c r="EB4" s="577"/>
      <c r="EC4" s="577"/>
      <c r="ED4" s="577"/>
      <c r="EE4" s="577"/>
      <c r="EF4" s="577"/>
      <c r="EG4" s="577"/>
      <c r="EH4" s="577"/>
      <c r="EI4" s="577"/>
      <c r="EJ4" s="577"/>
      <c r="EK4" s="577"/>
      <c r="EL4" s="577"/>
      <c r="EM4" s="577"/>
      <c r="EN4" s="577"/>
      <c r="EO4" s="577"/>
      <c r="EP4" s="577"/>
      <c r="EQ4" s="577"/>
      <c r="ER4" s="577"/>
      <c r="ES4" s="577"/>
      <c r="ET4" s="577"/>
      <c r="EU4" s="577"/>
      <c r="EV4" s="577"/>
      <c r="EW4" s="577"/>
      <c r="EX4" s="577"/>
      <c r="EY4" s="577"/>
      <c r="EZ4" s="577"/>
      <c r="FA4" s="577"/>
      <c r="FB4" s="577"/>
      <c r="FC4" s="577"/>
      <c r="FD4" s="577"/>
      <c r="FE4" s="577"/>
      <c r="FF4" s="577"/>
      <c r="FG4" s="577"/>
      <c r="FH4" s="577"/>
      <c r="FI4" s="577"/>
      <c r="FJ4" s="577"/>
      <c r="FK4" s="577"/>
      <c r="FL4" s="577"/>
      <c r="FM4" s="577"/>
      <c r="FN4" s="577"/>
      <c r="FO4" s="577"/>
      <c r="FP4" s="577"/>
      <c r="FQ4" s="577"/>
      <c r="FR4" s="577"/>
      <c r="FS4" s="577"/>
      <c r="FT4" s="577"/>
      <c r="FU4" s="577"/>
      <c r="FV4" s="577"/>
      <c r="FW4" s="577"/>
      <c r="FX4" s="577"/>
      <c r="FY4" s="577"/>
      <c r="FZ4" s="577"/>
      <c r="GA4" s="577"/>
      <c r="GB4" s="577"/>
      <c r="GC4" s="577"/>
      <c r="GD4" s="577"/>
      <c r="GE4" s="577"/>
      <c r="GF4" s="577"/>
      <c r="GG4" s="577"/>
      <c r="GH4" s="577"/>
      <c r="GI4" s="577"/>
      <c r="GJ4" s="577"/>
      <c r="GK4" s="577"/>
      <c r="GL4" s="577"/>
      <c r="GM4" s="577"/>
      <c r="GN4" s="577"/>
      <c r="GO4" s="577"/>
      <c r="GP4" s="577"/>
      <c r="GQ4" s="577"/>
      <c r="GR4" s="577"/>
      <c r="GS4" s="577"/>
      <c r="GT4" s="577"/>
      <c r="GU4" s="577"/>
      <c r="GV4" s="577"/>
      <c r="GW4" s="577"/>
      <c r="GX4" s="577"/>
      <c r="GY4" s="577"/>
      <c r="GZ4" s="577"/>
      <c r="HA4" s="577"/>
      <c r="HB4" s="577"/>
      <c r="HC4" s="577"/>
      <c r="HD4" s="577"/>
      <c r="HE4" s="577"/>
      <c r="HF4" s="577"/>
      <c r="HG4" s="577"/>
      <c r="HH4" s="577"/>
      <c r="HI4" s="577"/>
      <c r="HJ4" s="577"/>
      <c r="HK4" s="577"/>
      <c r="HL4" s="577"/>
      <c r="HM4" s="577"/>
      <c r="HN4" s="577"/>
      <c r="HO4" s="577"/>
      <c r="HP4" s="577"/>
      <c r="HQ4" s="577"/>
      <c r="HR4" s="577"/>
      <c r="HS4" s="577"/>
      <c r="HT4" s="577"/>
      <c r="HU4" s="577"/>
      <c r="HV4" s="577"/>
      <c r="HW4" s="577"/>
      <c r="HX4" s="577"/>
      <c r="HY4" s="577"/>
      <c r="HZ4" s="577"/>
      <c r="IA4" s="577"/>
      <c r="IB4" s="577"/>
      <c r="IC4" s="577"/>
      <c r="ID4" s="577"/>
      <c r="IE4" s="577"/>
      <c r="IF4" s="577"/>
      <c r="IG4" s="577"/>
      <c r="IH4" s="577"/>
      <c r="II4" s="577"/>
      <c r="IJ4" s="577"/>
      <c r="IK4" s="577"/>
      <c r="IL4" s="577"/>
      <c r="IM4" s="577"/>
      <c r="IN4" s="577"/>
      <c r="IO4" s="577"/>
      <c r="IP4" s="577"/>
      <c r="IQ4" s="577"/>
      <c r="IR4" s="577"/>
      <c r="IS4" s="577"/>
      <c r="IT4" s="577"/>
      <c r="IU4" s="577"/>
      <c r="IV4" s="577"/>
    </row>
    <row r="5" spans="1:256" ht="63.75">
      <c r="A5" s="547" t="s">
        <v>670</v>
      </c>
      <c r="B5" s="547" t="s">
        <v>671</v>
      </c>
      <c r="C5" s="548" t="s">
        <v>672</v>
      </c>
      <c r="D5" s="549" t="s">
        <v>673</v>
      </c>
      <c r="E5" s="549" t="s">
        <v>674</v>
      </c>
      <c r="F5" s="549" t="s">
        <v>675</v>
      </c>
      <c r="G5" s="549" t="s">
        <v>676</v>
      </c>
      <c r="H5" s="550" t="s">
        <v>677</v>
      </c>
      <c r="I5" s="550" t="s">
        <v>678</v>
      </c>
      <c r="J5" s="551" t="s">
        <v>679</v>
      </c>
      <c r="K5" s="552" t="s">
        <v>680</v>
      </c>
      <c r="L5" s="553" t="s">
        <v>681</v>
      </c>
      <c r="M5" s="553" t="s">
        <v>682</v>
      </c>
      <c r="N5" s="554" t="s">
        <v>683</v>
      </c>
      <c r="O5" s="554" t="s">
        <v>684</v>
      </c>
      <c r="P5" s="555" t="s">
        <v>685</v>
      </c>
      <c r="Q5" s="555" t="s">
        <v>686</v>
      </c>
      <c r="R5" s="556" t="s">
        <v>687</v>
      </c>
      <c r="S5" s="556" t="s">
        <v>688</v>
      </c>
      <c r="T5" s="557" t="s">
        <v>689</v>
      </c>
      <c r="U5" s="577"/>
      <c r="V5" s="577"/>
      <c r="W5" s="577"/>
      <c r="X5" s="577"/>
      <c r="Y5" s="577"/>
      <c r="Z5" s="577"/>
      <c r="AA5" s="577"/>
      <c r="AB5" s="579"/>
      <c r="AC5" s="579"/>
      <c r="AD5" s="579"/>
      <c r="AE5" s="577"/>
      <c r="AF5" s="577"/>
      <c r="AG5" s="577"/>
      <c r="AH5" s="577"/>
      <c r="AI5" s="577"/>
      <c r="AJ5" s="577"/>
      <c r="AK5" s="577"/>
      <c r="AL5" s="577"/>
      <c r="AM5" s="577"/>
      <c r="AN5" s="577"/>
      <c r="AO5" s="577"/>
      <c r="AP5" s="577"/>
      <c r="AQ5" s="577"/>
      <c r="AR5" s="577"/>
      <c r="AS5" s="577"/>
      <c r="AT5" s="577"/>
      <c r="AU5" s="577"/>
      <c r="AV5" s="577"/>
      <c r="AW5" s="577"/>
      <c r="AX5" s="577"/>
      <c r="AY5" s="577"/>
      <c r="AZ5" s="577"/>
      <c r="BA5" s="577"/>
      <c r="BB5" s="577"/>
      <c r="BC5" s="577"/>
      <c r="BD5" s="577"/>
      <c r="BE5" s="577"/>
      <c r="BF5" s="577"/>
      <c r="BG5" s="577"/>
      <c r="BH5" s="577"/>
      <c r="BI5" s="577"/>
      <c r="BJ5" s="577"/>
      <c r="BK5" s="577"/>
      <c r="BL5" s="577"/>
      <c r="BM5" s="577"/>
      <c r="BN5" s="577"/>
      <c r="BO5" s="577"/>
      <c r="BP5" s="577"/>
      <c r="BQ5" s="577"/>
      <c r="BR5" s="577"/>
      <c r="BS5" s="577"/>
      <c r="BT5" s="577"/>
      <c r="BU5" s="577"/>
      <c r="BV5" s="577"/>
      <c r="BW5" s="577"/>
      <c r="BX5" s="577"/>
      <c r="BY5" s="577"/>
      <c r="BZ5" s="577"/>
      <c r="CA5" s="577"/>
      <c r="CB5" s="577"/>
      <c r="CC5" s="577"/>
      <c r="CD5" s="577"/>
      <c r="CE5" s="577"/>
      <c r="CF5" s="577"/>
      <c r="CG5" s="577"/>
      <c r="CH5" s="577"/>
      <c r="CI5" s="577"/>
      <c r="CJ5" s="577"/>
      <c r="CK5" s="577"/>
      <c r="CL5" s="577"/>
      <c r="CM5" s="577"/>
      <c r="CN5" s="577"/>
      <c r="CO5" s="577"/>
      <c r="CP5" s="577"/>
      <c r="CQ5" s="577"/>
      <c r="CR5" s="577"/>
      <c r="CS5" s="577"/>
      <c r="CT5" s="577"/>
      <c r="CU5" s="577"/>
      <c r="CV5" s="577"/>
      <c r="CW5" s="577"/>
      <c r="CX5" s="577"/>
      <c r="CY5" s="577"/>
      <c r="CZ5" s="577"/>
      <c r="DA5" s="577"/>
      <c r="DB5" s="577"/>
      <c r="DC5" s="577"/>
      <c r="DD5" s="577"/>
      <c r="DE5" s="577"/>
      <c r="DF5" s="577"/>
      <c r="DG5" s="577"/>
      <c r="DH5" s="577"/>
      <c r="DI5" s="577"/>
      <c r="DJ5" s="577"/>
      <c r="DK5" s="577"/>
      <c r="DL5" s="577"/>
      <c r="DM5" s="577"/>
      <c r="DN5" s="577"/>
      <c r="DO5" s="577"/>
      <c r="DP5" s="577"/>
      <c r="DQ5" s="577"/>
      <c r="DR5" s="577"/>
      <c r="DS5" s="577"/>
      <c r="DT5" s="577"/>
      <c r="DU5" s="577"/>
      <c r="DV5" s="577"/>
      <c r="DW5" s="577"/>
      <c r="DX5" s="577"/>
      <c r="DY5" s="577"/>
      <c r="DZ5" s="577"/>
      <c r="EA5" s="577"/>
      <c r="EB5" s="577"/>
      <c r="EC5" s="577"/>
      <c r="ED5" s="577"/>
      <c r="EE5" s="577"/>
      <c r="EF5" s="577"/>
      <c r="EG5" s="577"/>
      <c r="EH5" s="577"/>
      <c r="EI5" s="577"/>
      <c r="EJ5" s="577"/>
      <c r="EK5" s="577"/>
      <c r="EL5" s="577"/>
      <c r="EM5" s="577"/>
      <c r="EN5" s="577"/>
      <c r="EO5" s="577"/>
      <c r="EP5" s="577"/>
      <c r="EQ5" s="577"/>
      <c r="ER5" s="577"/>
      <c r="ES5" s="577"/>
      <c r="ET5" s="577"/>
      <c r="EU5" s="577"/>
      <c r="EV5" s="577"/>
      <c r="EW5" s="577"/>
      <c r="EX5" s="577"/>
      <c r="EY5" s="577"/>
      <c r="EZ5" s="577"/>
      <c r="FA5" s="577"/>
      <c r="FB5" s="577"/>
      <c r="FC5" s="577"/>
      <c r="FD5" s="577"/>
      <c r="FE5" s="577"/>
      <c r="FF5" s="577"/>
      <c r="FG5" s="577"/>
      <c r="FH5" s="577"/>
      <c r="FI5" s="577"/>
      <c r="FJ5" s="577"/>
      <c r="FK5" s="577"/>
      <c r="FL5" s="577"/>
      <c r="FM5" s="577"/>
      <c r="FN5" s="577"/>
      <c r="FO5" s="577"/>
      <c r="FP5" s="577"/>
      <c r="FQ5" s="577"/>
      <c r="FR5" s="577"/>
      <c r="FS5" s="577"/>
      <c r="FT5" s="577"/>
      <c r="FU5" s="577"/>
      <c r="FV5" s="577"/>
      <c r="FW5" s="577"/>
      <c r="FX5" s="577"/>
      <c r="FY5" s="577"/>
      <c r="FZ5" s="577"/>
      <c r="GA5" s="577"/>
      <c r="GB5" s="577"/>
      <c r="GC5" s="577"/>
      <c r="GD5" s="577"/>
      <c r="GE5" s="577"/>
      <c r="GF5" s="577"/>
      <c r="GG5" s="577"/>
      <c r="GH5" s="577"/>
      <c r="GI5" s="577"/>
      <c r="GJ5" s="577"/>
      <c r="GK5" s="577"/>
      <c r="GL5" s="577"/>
      <c r="GM5" s="577"/>
      <c r="GN5" s="577"/>
      <c r="GO5" s="577"/>
      <c r="GP5" s="577"/>
      <c r="GQ5" s="577"/>
      <c r="GR5" s="577"/>
      <c r="GS5" s="577"/>
      <c r="GT5" s="577"/>
      <c r="GU5" s="577"/>
      <c r="GV5" s="577"/>
      <c r="GW5" s="577"/>
      <c r="GX5" s="577"/>
      <c r="GY5" s="577"/>
      <c r="GZ5" s="577"/>
      <c r="HA5" s="577"/>
      <c r="HB5" s="577"/>
      <c r="HC5" s="577"/>
      <c r="HD5" s="577"/>
      <c r="HE5" s="577"/>
      <c r="HF5" s="577"/>
      <c r="HG5" s="577"/>
      <c r="HH5" s="577"/>
      <c r="HI5" s="577"/>
      <c r="HJ5" s="577"/>
      <c r="HK5" s="577"/>
      <c r="HL5" s="577"/>
      <c r="HM5" s="577"/>
      <c r="HN5" s="577"/>
      <c r="HO5" s="577"/>
      <c r="HP5" s="577"/>
      <c r="HQ5" s="577"/>
      <c r="HR5" s="577"/>
      <c r="HS5" s="577"/>
      <c r="HT5" s="577"/>
      <c r="HU5" s="577"/>
      <c r="HV5" s="577"/>
      <c r="HW5" s="577"/>
      <c r="HX5" s="577"/>
      <c r="HY5" s="577"/>
      <c r="HZ5" s="577"/>
      <c r="IA5" s="577"/>
      <c r="IB5" s="577"/>
      <c r="IC5" s="577"/>
      <c r="ID5" s="577"/>
      <c r="IE5" s="577"/>
      <c r="IF5" s="577"/>
      <c r="IG5" s="577"/>
      <c r="IH5" s="577"/>
      <c r="II5" s="577"/>
      <c r="IJ5" s="577"/>
      <c r="IK5" s="577"/>
      <c r="IL5" s="577"/>
      <c r="IM5" s="577"/>
      <c r="IN5" s="577"/>
      <c r="IO5" s="577"/>
      <c r="IP5" s="577"/>
      <c r="IQ5" s="577"/>
      <c r="IR5" s="577"/>
      <c r="IS5" s="577"/>
      <c r="IT5" s="577"/>
      <c r="IU5" s="577"/>
      <c r="IV5" s="577"/>
    </row>
    <row r="6" spans="1:256" ht="12.75">
      <c r="A6" s="558">
        <v>1</v>
      </c>
      <c r="B6" s="559" t="s">
        <v>165</v>
      </c>
      <c r="C6" s="560" t="s">
        <v>690</v>
      </c>
      <c r="D6" s="580" t="s">
        <v>691</v>
      </c>
      <c r="E6" s="581" t="s">
        <v>692</v>
      </c>
      <c r="F6" s="582">
        <v>313075.524</v>
      </c>
      <c r="G6" s="582">
        <v>352110.31619599997</v>
      </c>
      <c r="H6" s="561">
        <f>+G6*12</f>
        <v>4225323.794352</v>
      </c>
      <c r="I6" s="561">
        <v>117738</v>
      </c>
      <c r="J6" s="561">
        <v>235845.947</v>
      </c>
      <c r="K6" s="562">
        <f aca="true" t="shared" si="0" ref="K6:K31">SUM(H6:J6)</f>
        <v>4578907.741351999</v>
      </c>
      <c r="L6" s="563">
        <v>0.33</v>
      </c>
      <c r="M6" s="564">
        <f>+K6*L6</f>
        <v>1511039.5546461598</v>
      </c>
      <c r="N6" s="563">
        <v>0.05</v>
      </c>
      <c r="O6" s="562">
        <f>+K6*N6</f>
        <v>228945.38706759998</v>
      </c>
      <c r="P6" s="565">
        <v>0.34</v>
      </c>
      <c r="Q6" s="562">
        <f aca="true" t="shared" si="1" ref="Q6:Q31">K6*P6</f>
        <v>1556828.6320596798</v>
      </c>
      <c r="R6" s="565">
        <v>0.28</v>
      </c>
      <c r="S6" s="562">
        <f aca="true" t="shared" si="2" ref="S6:S31">K6*R6</f>
        <v>1282094.1675785598</v>
      </c>
      <c r="T6" s="566">
        <f>+L6+N6+P6+R6</f>
        <v>1</v>
      </c>
      <c r="U6" s="577"/>
      <c r="V6" s="577"/>
      <c r="W6" s="577"/>
      <c r="X6" s="577"/>
      <c r="Y6" s="577"/>
      <c r="Z6" s="577"/>
      <c r="AA6" s="577"/>
      <c r="AB6" s="579"/>
      <c r="AC6" s="579"/>
      <c r="AD6" s="579"/>
      <c r="AE6" s="577"/>
      <c r="AF6" s="577"/>
      <c r="AG6" s="577"/>
      <c r="AH6" s="577"/>
      <c r="AI6" s="577"/>
      <c r="AJ6" s="577"/>
      <c r="AK6" s="577"/>
      <c r="AL6" s="577"/>
      <c r="AM6" s="577"/>
      <c r="AN6" s="577"/>
      <c r="AO6" s="577"/>
      <c r="AP6" s="577"/>
      <c r="AQ6" s="577"/>
      <c r="AR6" s="577"/>
      <c r="AS6" s="577"/>
      <c r="AT6" s="577"/>
      <c r="AU6" s="577"/>
      <c r="AV6" s="577"/>
      <c r="AW6" s="577"/>
      <c r="AX6" s="577"/>
      <c r="AY6" s="577"/>
      <c r="AZ6" s="577"/>
      <c r="BA6" s="577"/>
      <c r="BB6" s="577"/>
      <c r="BC6" s="577"/>
      <c r="BD6" s="577"/>
      <c r="BE6" s="577"/>
      <c r="BF6" s="577"/>
      <c r="BG6" s="577"/>
      <c r="BH6" s="577"/>
      <c r="BI6" s="577"/>
      <c r="BJ6" s="577"/>
      <c r="BK6" s="577"/>
      <c r="BL6" s="577"/>
      <c r="BM6" s="577"/>
      <c r="BN6" s="577"/>
      <c r="BO6" s="577"/>
      <c r="BP6" s="577"/>
      <c r="BQ6" s="577"/>
      <c r="BR6" s="577"/>
      <c r="BS6" s="577"/>
      <c r="BT6" s="577"/>
      <c r="BU6" s="577"/>
      <c r="BV6" s="577"/>
      <c r="BW6" s="577"/>
      <c r="BX6" s="577"/>
      <c r="BY6" s="577"/>
      <c r="BZ6" s="577"/>
      <c r="CA6" s="577"/>
      <c r="CB6" s="577"/>
      <c r="CC6" s="577"/>
      <c r="CD6" s="577"/>
      <c r="CE6" s="577"/>
      <c r="CF6" s="577"/>
      <c r="CG6" s="577"/>
      <c r="CH6" s="577"/>
      <c r="CI6" s="577"/>
      <c r="CJ6" s="577"/>
      <c r="CK6" s="577"/>
      <c r="CL6" s="577"/>
      <c r="CM6" s="577"/>
      <c r="CN6" s="577"/>
      <c r="CO6" s="577"/>
      <c r="CP6" s="577"/>
      <c r="CQ6" s="577"/>
      <c r="CR6" s="577"/>
      <c r="CS6" s="577"/>
      <c r="CT6" s="577"/>
      <c r="CU6" s="577"/>
      <c r="CV6" s="577"/>
      <c r="CW6" s="577"/>
      <c r="CX6" s="577"/>
      <c r="CY6" s="577"/>
      <c r="CZ6" s="577"/>
      <c r="DA6" s="577"/>
      <c r="DB6" s="577"/>
      <c r="DC6" s="577"/>
      <c r="DD6" s="577"/>
      <c r="DE6" s="577"/>
      <c r="DF6" s="577"/>
      <c r="DG6" s="577"/>
      <c r="DH6" s="577"/>
      <c r="DI6" s="577"/>
      <c r="DJ6" s="577"/>
      <c r="DK6" s="577"/>
      <c r="DL6" s="577"/>
      <c r="DM6" s="577"/>
      <c r="DN6" s="577"/>
      <c r="DO6" s="577"/>
      <c r="DP6" s="577"/>
      <c r="DQ6" s="577"/>
      <c r="DR6" s="577"/>
      <c r="DS6" s="577"/>
      <c r="DT6" s="577"/>
      <c r="DU6" s="577"/>
      <c r="DV6" s="577"/>
      <c r="DW6" s="577"/>
      <c r="DX6" s="577"/>
      <c r="DY6" s="577"/>
      <c r="DZ6" s="577"/>
      <c r="EA6" s="577"/>
      <c r="EB6" s="577"/>
      <c r="EC6" s="577"/>
      <c r="ED6" s="577"/>
      <c r="EE6" s="577"/>
      <c r="EF6" s="577"/>
      <c r="EG6" s="577"/>
      <c r="EH6" s="577"/>
      <c r="EI6" s="577"/>
      <c r="EJ6" s="577"/>
      <c r="EK6" s="577"/>
      <c r="EL6" s="577"/>
      <c r="EM6" s="577"/>
      <c r="EN6" s="577"/>
      <c r="EO6" s="577"/>
      <c r="EP6" s="577"/>
      <c r="EQ6" s="577"/>
      <c r="ER6" s="577"/>
      <c r="ES6" s="577"/>
      <c r="ET6" s="577"/>
      <c r="EU6" s="577"/>
      <c r="EV6" s="577"/>
      <c r="EW6" s="577"/>
      <c r="EX6" s="577"/>
      <c r="EY6" s="577"/>
      <c r="EZ6" s="577"/>
      <c r="FA6" s="577"/>
      <c r="FB6" s="577"/>
      <c r="FC6" s="577"/>
      <c r="FD6" s="577"/>
      <c r="FE6" s="577"/>
      <c r="FF6" s="577"/>
      <c r="FG6" s="577"/>
      <c r="FH6" s="577"/>
      <c r="FI6" s="577"/>
      <c r="FJ6" s="577"/>
      <c r="FK6" s="577"/>
      <c r="FL6" s="577"/>
      <c r="FM6" s="577"/>
      <c r="FN6" s="577"/>
      <c r="FO6" s="577"/>
      <c r="FP6" s="577"/>
      <c r="FQ6" s="577"/>
      <c r="FR6" s="577"/>
      <c r="FS6" s="577"/>
      <c r="FT6" s="577"/>
      <c r="FU6" s="577"/>
      <c r="FV6" s="577"/>
      <c r="FW6" s="577"/>
      <c r="FX6" s="577"/>
      <c r="FY6" s="577"/>
      <c r="FZ6" s="577"/>
      <c r="GA6" s="577"/>
      <c r="GB6" s="577"/>
      <c r="GC6" s="577"/>
      <c r="GD6" s="577"/>
      <c r="GE6" s="577"/>
      <c r="GF6" s="577"/>
      <c r="GG6" s="577"/>
      <c r="GH6" s="577"/>
      <c r="GI6" s="577"/>
      <c r="GJ6" s="577"/>
      <c r="GK6" s="577"/>
      <c r="GL6" s="577"/>
      <c r="GM6" s="577"/>
      <c r="GN6" s="577"/>
      <c r="GO6" s="577"/>
      <c r="GP6" s="577"/>
      <c r="GQ6" s="577"/>
      <c r="GR6" s="577"/>
      <c r="GS6" s="577"/>
      <c r="GT6" s="577"/>
      <c r="GU6" s="577"/>
      <c r="GV6" s="577"/>
      <c r="GW6" s="577"/>
      <c r="GX6" s="577"/>
      <c r="GY6" s="577"/>
      <c r="GZ6" s="577"/>
      <c r="HA6" s="577"/>
      <c r="HB6" s="577"/>
      <c r="HC6" s="577"/>
      <c r="HD6" s="577"/>
      <c r="HE6" s="577"/>
      <c r="HF6" s="577"/>
      <c r="HG6" s="577"/>
      <c r="HH6" s="577"/>
      <c r="HI6" s="577"/>
      <c r="HJ6" s="577"/>
      <c r="HK6" s="577"/>
      <c r="HL6" s="577"/>
      <c r="HM6" s="577"/>
      <c r="HN6" s="577"/>
      <c r="HO6" s="577"/>
      <c r="HP6" s="577"/>
      <c r="HQ6" s="577"/>
      <c r="HR6" s="577"/>
      <c r="HS6" s="577"/>
      <c r="HT6" s="577"/>
      <c r="HU6" s="577"/>
      <c r="HV6" s="577"/>
      <c r="HW6" s="577"/>
      <c r="HX6" s="577"/>
      <c r="HY6" s="577"/>
      <c r="HZ6" s="577"/>
      <c r="IA6" s="577"/>
      <c r="IB6" s="577"/>
      <c r="IC6" s="577"/>
      <c r="ID6" s="577"/>
      <c r="IE6" s="577"/>
      <c r="IF6" s="577"/>
      <c r="IG6" s="577"/>
      <c r="IH6" s="577"/>
      <c r="II6" s="577"/>
      <c r="IJ6" s="577"/>
      <c r="IK6" s="577"/>
      <c r="IL6" s="577"/>
      <c r="IM6" s="577"/>
      <c r="IN6" s="577"/>
      <c r="IO6" s="577"/>
      <c r="IP6" s="577"/>
      <c r="IQ6" s="577"/>
      <c r="IR6" s="577"/>
      <c r="IS6" s="577"/>
      <c r="IT6" s="577"/>
      <c r="IU6" s="577"/>
      <c r="IV6" s="577"/>
    </row>
    <row r="7" spans="1:256" ht="12.75">
      <c r="A7" s="558">
        <v>2</v>
      </c>
      <c r="B7" s="559" t="s">
        <v>165</v>
      </c>
      <c r="C7" s="560" t="s">
        <v>693</v>
      </c>
      <c r="D7" s="580" t="s">
        <v>694</v>
      </c>
      <c r="E7" s="581" t="s">
        <v>692</v>
      </c>
      <c r="F7" s="582">
        <v>634762.451</v>
      </c>
      <c r="G7" s="582">
        <v>652301.849621</v>
      </c>
      <c r="H7" s="561">
        <f aca="true" t="shared" si="3" ref="H7:H31">+G7*12</f>
        <v>7827622.195452</v>
      </c>
      <c r="I7" s="561">
        <v>118227</v>
      </c>
      <c r="J7" s="561">
        <v>235845.947</v>
      </c>
      <c r="K7" s="562">
        <f t="shared" si="0"/>
        <v>8181695.142452</v>
      </c>
      <c r="L7" s="563">
        <v>0.33</v>
      </c>
      <c r="M7" s="564">
        <f aca="true" t="shared" si="4" ref="M7:M31">+K7*L7</f>
        <v>2699959.39700916</v>
      </c>
      <c r="N7" s="563">
        <v>0.2</v>
      </c>
      <c r="O7" s="562">
        <f aca="true" t="shared" si="5" ref="O7:O31">+K7*N7</f>
        <v>1636339.0284904</v>
      </c>
      <c r="P7" s="565">
        <v>0.34</v>
      </c>
      <c r="Q7" s="562">
        <f t="shared" si="1"/>
        <v>2781776.34843368</v>
      </c>
      <c r="R7" s="565">
        <v>0.13</v>
      </c>
      <c r="S7" s="562">
        <f t="shared" si="2"/>
        <v>1063620.36851876</v>
      </c>
      <c r="T7" s="566">
        <f aca="true" t="shared" si="6" ref="T7:T31">+L7+N7+P7+R7</f>
        <v>1</v>
      </c>
      <c r="U7" s="577"/>
      <c r="V7" s="577"/>
      <c r="W7" s="577"/>
      <c r="X7" s="577"/>
      <c r="Y7" s="577"/>
      <c r="Z7" s="577"/>
      <c r="AA7" s="577"/>
      <c r="AB7" s="579"/>
      <c r="AC7" s="579"/>
      <c r="AD7" s="579"/>
      <c r="AE7" s="577"/>
      <c r="AF7" s="577"/>
      <c r="AG7" s="577"/>
      <c r="AH7" s="577"/>
      <c r="AI7" s="577"/>
      <c r="AJ7" s="577"/>
      <c r="AK7" s="577"/>
      <c r="AL7" s="577"/>
      <c r="AM7" s="577"/>
      <c r="AN7" s="577"/>
      <c r="AO7" s="577"/>
      <c r="AP7" s="577"/>
      <c r="AQ7" s="577"/>
      <c r="AR7" s="577"/>
      <c r="AS7" s="577"/>
      <c r="AT7" s="577"/>
      <c r="AU7" s="577"/>
      <c r="AV7" s="577"/>
      <c r="AW7" s="577"/>
      <c r="AX7" s="577"/>
      <c r="AY7" s="577"/>
      <c r="AZ7" s="577"/>
      <c r="BA7" s="577"/>
      <c r="BB7" s="577"/>
      <c r="BC7" s="577"/>
      <c r="BD7" s="577"/>
      <c r="BE7" s="577"/>
      <c r="BF7" s="577"/>
      <c r="BG7" s="577"/>
      <c r="BH7" s="577"/>
      <c r="BI7" s="577"/>
      <c r="BJ7" s="577"/>
      <c r="BK7" s="577"/>
      <c r="BL7" s="577"/>
      <c r="BM7" s="577"/>
      <c r="BN7" s="577"/>
      <c r="BO7" s="577"/>
      <c r="BP7" s="577"/>
      <c r="BQ7" s="577"/>
      <c r="BR7" s="577"/>
      <c r="BS7" s="577"/>
      <c r="BT7" s="577"/>
      <c r="BU7" s="577"/>
      <c r="BV7" s="577"/>
      <c r="BW7" s="577"/>
      <c r="BX7" s="577"/>
      <c r="BY7" s="577"/>
      <c r="BZ7" s="577"/>
      <c r="CA7" s="577"/>
      <c r="CB7" s="577"/>
      <c r="CC7" s="577"/>
      <c r="CD7" s="577"/>
      <c r="CE7" s="577"/>
      <c r="CF7" s="577"/>
      <c r="CG7" s="577"/>
      <c r="CH7" s="577"/>
      <c r="CI7" s="577"/>
      <c r="CJ7" s="577"/>
      <c r="CK7" s="577"/>
      <c r="CL7" s="577"/>
      <c r="CM7" s="577"/>
      <c r="CN7" s="577"/>
      <c r="CO7" s="577"/>
      <c r="CP7" s="577"/>
      <c r="CQ7" s="577"/>
      <c r="CR7" s="577"/>
      <c r="CS7" s="577"/>
      <c r="CT7" s="577"/>
      <c r="CU7" s="577"/>
      <c r="CV7" s="577"/>
      <c r="CW7" s="577"/>
      <c r="CX7" s="577"/>
      <c r="CY7" s="577"/>
      <c r="CZ7" s="577"/>
      <c r="DA7" s="577"/>
      <c r="DB7" s="577"/>
      <c r="DC7" s="577"/>
      <c r="DD7" s="577"/>
      <c r="DE7" s="577"/>
      <c r="DF7" s="577"/>
      <c r="DG7" s="577"/>
      <c r="DH7" s="577"/>
      <c r="DI7" s="577"/>
      <c r="DJ7" s="577"/>
      <c r="DK7" s="577"/>
      <c r="DL7" s="577"/>
      <c r="DM7" s="577"/>
      <c r="DN7" s="577"/>
      <c r="DO7" s="577"/>
      <c r="DP7" s="577"/>
      <c r="DQ7" s="577"/>
      <c r="DR7" s="577"/>
      <c r="DS7" s="577"/>
      <c r="DT7" s="577"/>
      <c r="DU7" s="577"/>
      <c r="DV7" s="577"/>
      <c r="DW7" s="577"/>
      <c r="DX7" s="577"/>
      <c r="DY7" s="577"/>
      <c r="DZ7" s="577"/>
      <c r="EA7" s="577"/>
      <c r="EB7" s="577"/>
      <c r="EC7" s="577"/>
      <c r="ED7" s="577"/>
      <c r="EE7" s="577"/>
      <c r="EF7" s="577"/>
      <c r="EG7" s="577"/>
      <c r="EH7" s="577"/>
      <c r="EI7" s="577"/>
      <c r="EJ7" s="577"/>
      <c r="EK7" s="577"/>
      <c r="EL7" s="577"/>
      <c r="EM7" s="577"/>
      <c r="EN7" s="577"/>
      <c r="EO7" s="577"/>
      <c r="EP7" s="577"/>
      <c r="EQ7" s="577"/>
      <c r="ER7" s="577"/>
      <c r="ES7" s="577"/>
      <c r="ET7" s="577"/>
      <c r="EU7" s="577"/>
      <c r="EV7" s="577"/>
      <c r="EW7" s="577"/>
      <c r="EX7" s="577"/>
      <c r="EY7" s="577"/>
      <c r="EZ7" s="577"/>
      <c r="FA7" s="577"/>
      <c r="FB7" s="577"/>
      <c r="FC7" s="577"/>
      <c r="FD7" s="577"/>
      <c r="FE7" s="577"/>
      <c r="FF7" s="577"/>
      <c r="FG7" s="577"/>
      <c r="FH7" s="577"/>
      <c r="FI7" s="577"/>
      <c r="FJ7" s="577"/>
      <c r="FK7" s="577"/>
      <c r="FL7" s="577"/>
      <c r="FM7" s="577"/>
      <c r="FN7" s="577"/>
      <c r="FO7" s="577"/>
      <c r="FP7" s="577"/>
      <c r="FQ7" s="577"/>
      <c r="FR7" s="577"/>
      <c r="FS7" s="577"/>
      <c r="FT7" s="577"/>
      <c r="FU7" s="577"/>
      <c r="FV7" s="577"/>
      <c r="FW7" s="577"/>
      <c r="FX7" s="577"/>
      <c r="FY7" s="577"/>
      <c r="FZ7" s="577"/>
      <c r="GA7" s="577"/>
      <c r="GB7" s="577"/>
      <c r="GC7" s="577"/>
      <c r="GD7" s="577"/>
      <c r="GE7" s="577"/>
      <c r="GF7" s="577"/>
      <c r="GG7" s="577"/>
      <c r="GH7" s="577"/>
      <c r="GI7" s="577"/>
      <c r="GJ7" s="577"/>
      <c r="GK7" s="577"/>
      <c r="GL7" s="577"/>
      <c r="GM7" s="577"/>
      <c r="GN7" s="577"/>
      <c r="GO7" s="577"/>
      <c r="GP7" s="577"/>
      <c r="GQ7" s="577"/>
      <c r="GR7" s="577"/>
      <c r="GS7" s="577"/>
      <c r="GT7" s="577"/>
      <c r="GU7" s="577"/>
      <c r="GV7" s="577"/>
      <c r="GW7" s="577"/>
      <c r="GX7" s="577"/>
      <c r="GY7" s="577"/>
      <c r="GZ7" s="577"/>
      <c r="HA7" s="577"/>
      <c r="HB7" s="577"/>
      <c r="HC7" s="577"/>
      <c r="HD7" s="577"/>
      <c r="HE7" s="577"/>
      <c r="HF7" s="577"/>
      <c r="HG7" s="577"/>
      <c r="HH7" s="577"/>
      <c r="HI7" s="577"/>
      <c r="HJ7" s="577"/>
      <c r="HK7" s="577"/>
      <c r="HL7" s="577"/>
      <c r="HM7" s="577"/>
      <c r="HN7" s="577"/>
      <c r="HO7" s="577"/>
      <c r="HP7" s="577"/>
      <c r="HQ7" s="577"/>
      <c r="HR7" s="577"/>
      <c r="HS7" s="577"/>
      <c r="HT7" s="577"/>
      <c r="HU7" s="577"/>
      <c r="HV7" s="577"/>
      <c r="HW7" s="577"/>
      <c r="HX7" s="577"/>
      <c r="HY7" s="577"/>
      <c r="HZ7" s="577"/>
      <c r="IA7" s="577"/>
      <c r="IB7" s="577"/>
      <c r="IC7" s="577"/>
      <c r="ID7" s="577"/>
      <c r="IE7" s="577"/>
      <c r="IF7" s="577"/>
      <c r="IG7" s="577"/>
      <c r="IH7" s="577"/>
      <c r="II7" s="577"/>
      <c r="IJ7" s="577"/>
      <c r="IK7" s="577"/>
      <c r="IL7" s="577"/>
      <c r="IM7" s="577"/>
      <c r="IN7" s="577"/>
      <c r="IO7" s="577"/>
      <c r="IP7" s="577"/>
      <c r="IQ7" s="577"/>
      <c r="IR7" s="577"/>
      <c r="IS7" s="577"/>
      <c r="IT7" s="577"/>
      <c r="IU7" s="577"/>
      <c r="IV7" s="577"/>
    </row>
    <row r="8" spans="1:256" ht="12.75">
      <c r="A8" s="558">
        <v>3</v>
      </c>
      <c r="B8" s="559" t="s">
        <v>165</v>
      </c>
      <c r="C8" s="560" t="s">
        <v>695</v>
      </c>
      <c r="D8" s="580" t="s">
        <v>696</v>
      </c>
      <c r="E8" s="581" t="s">
        <v>692</v>
      </c>
      <c r="F8" s="582">
        <v>768745.071</v>
      </c>
      <c r="G8" s="582">
        <v>790169.965601</v>
      </c>
      <c r="H8" s="561">
        <f t="shared" si="3"/>
        <v>9482039.587212</v>
      </c>
      <c r="I8" s="561">
        <v>118227</v>
      </c>
      <c r="J8" s="561">
        <v>119464.474</v>
      </c>
      <c r="K8" s="562">
        <f t="shared" si="0"/>
        <v>9719731.061212</v>
      </c>
      <c r="L8" s="563">
        <v>0.35</v>
      </c>
      <c r="M8" s="564">
        <f t="shared" si="4"/>
        <v>3401905.8714241995</v>
      </c>
      <c r="N8" s="563">
        <v>0.2</v>
      </c>
      <c r="O8" s="562">
        <f t="shared" si="5"/>
        <v>1943946.2122424</v>
      </c>
      <c r="P8" s="565">
        <v>0.2</v>
      </c>
      <c r="Q8" s="562">
        <f t="shared" si="1"/>
        <v>1943946.2122424</v>
      </c>
      <c r="R8" s="565">
        <v>0.25</v>
      </c>
      <c r="S8" s="562">
        <f t="shared" si="2"/>
        <v>2429932.765303</v>
      </c>
      <c r="T8" s="566">
        <f t="shared" si="6"/>
        <v>1</v>
      </c>
      <c r="U8" s="577"/>
      <c r="V8" s="577"/>
      <c r="W8" s="577"/>
      <c r="X8" s="577"/>
      <c r="Y8" s="577"/>
      <c r="Z8" s="577"/>
      <c r="AA8" s="577"/>
      <c r="AB8" s="579"/>
      <c r="AC8" s="579"/>
      <c r="AD8" s="579"/>
      <c r="AE8" s="577"/>
      <c r="AF8" s="577"/>
      <c r="AG8" s="577"/>
      <c r="AH8" s="577"/>
      <c r="AI8" s="577"/>
      <c r="AJ8" s="577"/>
      <c r="AK8" s="577"/>
      <c r="AL8" s="577"/>
      <c r="AM8" s="577"/>
      <c r="AN8" s="577"/>
      <c r="AO8" s="577"/>
      <c r="AP8" s="577"/>
      <c r="AQ8" s="577"/>
      <c r="AR8" s="577"/>
      <c r="AS8" s="577"/>
      <c r="AT8" s="577"/>
      <c r="AU8" s="577"/>
      <c r="AV8" s="577"/>
      <c r="AW8" s="577"/>
      <c r="AX8" s="577"/>
      <c r="AY8" s="577"/>
      <c r="AZ8" s="577"/>
      <c r="BA8" s="577"/>
      <c r="BB8" s="577"/>
      <c r="BC8" s="577"/>
      <c r="BD8" s="577"/>
      <c r="BE8" s="577"/>
      <c r="BF8" s="577"/>
      <c r="BG8" s="577"/>
      <c r="BH8" s="577"/>
      <c r="BI8" s="577"/>
      <c r="BJ8" s="577"/>
      <c r="BK8" s="577"/>
      <c r="BL8" s="577"/>
      <c r="BM8" s="577"/>
      <c r="BN8" s="577"/>
      <c r="BO8" s="577"/>
      <c r="BP8" s="577"/>
      <c r="BQ8" s="577"/>
      <c r="BR8" s="577"/>
      <c r="BS8" s="577"/>
      <c r="BT8" s="577"/>
      <c r="BU8" s="577"/>
      <c r="BV8" s="577"/>
      <c r="BW8" s="577"/>
      <c r="BX8" s="577"/>
      <c r="BY8" s="577"/>
      <c r="BZ8" s="577"/>
      <c r="CA8" s="577"/>
      <c r="CB8" s="577"/>
      <c r="CC8" s="577"/>
      <c r="CD8" s="577"/>
      <c r="CE8" s="577"/>
      <c r="CF8" s="577"/>
      <c r="CG8" s="577"/>
      <c r="CH8" s="577"/>
      <c r="CI8" s="577"/>
      <c r="CJ8" s="577"/>
      <c r="CK8" s="577"/>
      <c r="CL8" s="577"/>
      <c r="CM8" s="577"/>
      <c r="CN8" s="577"/>
      <c r="CO8" s="577"/>
      <c r="CP8" s="577"/>
      <c r="CQ8" s="577"/>
      <c r="CR8" s="577"/>
      <c r="CS8" s="577"/>
      <c r="CT8" s="577"/>
      <c r="CU8" s="577"/>
      <c r="CV8" s="577"/>
      <c r="CW8" s="577"/>
      <c r="CX8" s="577"/>
      <c r="CY8" s="577"/>
      <c r="CZ8" s="577"/>
      <c r="DA8" s="577"/>
      <c r="DB8" s="577"/>
      <c r="DC8" s="577"/>
      <c r="DD8" s="577"/>
      <c r="DE8" s="577"/>
      <c r="DF8" s="577"/>
      <c r="DG8" s="577"/>
      <c r="DH8" s="577"/>
      <c r="DI8" s="577"/>
      <c r="DJ8" s="577"/>
      <c r="DK8" s="577"/>
      <c r="DL8" s="577"/>
      <c r="DM8" s="577"/>
      <c r="DN8" s="577"/>
      <c r="DO8" s="577"/>
      <c r="DP8" s="577"/>
      <c r="DQ8" s="577"/>
      <c r="DR8" s="577"/>
      <c r="DS8" s="577"/>
      <c r="DT8" s="577"/>
      <c r="DU8" s="577"/>
      <c r="DV8" s="577"/>
      <c r="DW8" s="577"/>
      <c r="DX8" s="577"/>
      <c r="DY8" s="577"/>
      <c r="DZ8" s="577"/>
      <c r="EA8" s="577"/>
      <c r="EB8" s="577"/>
      <c r="EC8" s="577"/>
      <c r="ED8" s="577"/>
      <c r="EE8" s="577"/>
      <c r="EF8" s="577"/>
      <c r="EG8" s="577"/>
      <c r="EH8" s="577"/>
      <c r="EI8" s="577"/>
      <c r="EJ8" s="577"/>
      <c r="EK8" s="577"/>
      <c r="EL8" s="577"/>
      <c r="EM8" s="577"/>
      <c r="EN8" s="577"/>
      <c r="EO8" s="577"/>
      <c r="EP8" s="577"/>
      <c r="EQ8" s="577"/>
      <c r="ER8" s="577"/>
      <c r="ES8" s="577"/>
      <c r="ET8" s="577"/>
      <c r="EU8" s="577"/>
      <c r="EV8" s="577"/>
      <c r="EW8" s="577"/>
      <c r="EX8" s="577"/>
      <c r="EY8" s="577"/>
      <c r="EZ8" s="577"/>
      <c r="FA8" s="577"/>
      <c r="FB8" s="577"/>
      <c r="FC8" s="577"/>
      <c r="FD8" s="577"/>
      <c r="FE8" s="577"/>
      <c r="FF8" s="577"/>
      <c r="FG8" s="577"/>
      <c r="FH8" s="577"/>
      <c r="FI8" s="577"/>
      <c r="FJ8" s="577"/>
      <c r="FK8" s="577"/>
      <c r="FL8" s="577"/>
      <c r="FM8" s="577"/>
      <c r="FN8" s="577"/>
      <c r="FO8" s="577"/>
      <c r="FP8" s="577"/>
      <c r="FQ8" s="577"/>
      <c r="FR8" s="577"/>
      <c r="FS8" s="577"/>
      <c r="FT8" s="577"/>
      <c r="FU8" s="577"/>
      <c r="FV8" s="577"/>
      <c r="FW8" s="577"/>
      <c r="FX8" s="577"/>
      <c r="FY8" s="577"/>
      <c r="FZ8" s="577"/>
      <c r="GA8" s="577"/>
      <c r="GB8" s="577"/>
      <c r="GC8" s="577"/>
      <c r="GD8" s="577"/>
      <c r="GE8" s="577"/>
      <c r="GF8" s="577"/>
      <c r="GG8" s="577"/>
      <c r="GH8" s="577"/>
      <c r="GI8" s="577"/>
      <c r="GJ8" s="577"/>
      <c r="GK8" s="577"/>
      <c r="GL8" s="577"/>
      <c r="GM8" s="577"/>
      <c r="GN8" s="577"/>
      <c r="GO8" s="577"/>
      <c r="GP8" s="577"/>
      <c r="GQ8" s="577"/>
      <c r="GR8" s="577"/>
      <c r="GS8" s="577"/>
      <c r="GT8" s="577"/>
      <c r="GU8" s="577"/>
      <c r="GV8" s="577"/>
      <c r="GW8" s="577"/>
      <c r="GX8" s="577"/>
      <c r="GY8" s="577"/>
      <c r="GZ8" s="577"/>
      <c r="HA8" s="577"/>
      <c r="HB8" s="577"/>
      <c r="HC8" s="577"/>
      <c r="HD8" s="577"/>
      <c r="HE8" s="577"/>
      <c r="HF8" s="577"/>
      <c r="HG8" s="577"/>
      <c r="HH8" s="577"/>
      <c r="HI8" s="577"/>
      <c r="HJ8" s="577"/>
      <c r="HK8" s="577"/>
      <c r="HL8" s="577"/>
      <c r="HM8" s="577"/>
      <c r="HN8" s="577"/>
      <c r="HO8" s="577"/>
      <c r="HP8" s="577"/>
      <c r="HQ8" s="577"/>
      <c r="HR8" s="577"/>
      <c r="HS8" s="577"/>
      <c r="HT8" s="577"/>
      <c r="HU8" s="577"/>
      <c r="HV8" s="577"/>
      <c r="HW8" s="577"/>
      <c r="HX8" s="577"/>
      <c r="HY8" s="577"/>
      <c r="HZ8" s="577"/>
      <c r="IA8" s="577"/>
      <c r="IB8" s="577"/>
      <c r="IC8" s="577"/>
      <c r="ID8" s="577"/>
      <c r="IE8" s="577"/>
      <c r="IF8" s="577"/>
      <c r="IG8" s="577"/>
      <c r="IH8" s="577"/>
      <c r="II8" s="577"/>
      <c r="IJ8" s="577"/>
      <c r="IK8" s="577"/>
      <c r="IL8" s="577"/>
      <c r="IM8" s="577"/>
      <c r="IN8" s="577"/>
      <c r="IO8" s="577"/>
      <c r="IP8" s="577"/>
      <c r="IQ8" s="577"/>
      <c r="IR8" s="577"/>
      <c r="IS8" s="577"/>
      <c r="IT8" s="577"/>
      <c r="IU8" s="577"/>
      <c r="IV8" s="577"/>
    </row>
    <row r="9" spans="1:256" ht="12.75">
      <c r="A9" s="558">
        <v>4</v>
      </c>
      <c r="B9" s="559" t="s">
        <v>165</v>
      </c>
      <c r="C9" s="560" t="s">
        <v>697</v>
      </c>
      <c r="D9" s="580" t="s">
        <v>698</v>
      </c>
      <c r="E9" s="581" t="s">
        <v>692</v>
      </c>
      <c r="F9" s="582">
        <v>493288.392</v>
      </c>
      <c r="G9" s="582">
        <v>537549.357368</v>
      </c>
      <c r="H9" s="561">
        <f t="shared" si="3"/>
        <v>6450592.288416</v>
      </c>
      <c r="I9" s="561">
        <v>117738</v>
      </c>
      <c r="J9" s="561">
        <v>235845.947</v>
      </c>
      <c r="K9" s="562">
        <f t="shared" si="0"/>
        <v>6804176.235416</v>
      </c>
      <c r="L9" s="563">
        <v>0</v>
      </c>
      <c r="M9" s="564">
        <f t="shared" si="4"/>
        <v>0</v>
      </c>
      <c r="N9" s="563">
        <v>0</v>
      </c>
      <c r="O9" s="562">
        <f t="shared" si="5"/>
        <v>0</v>
      </c>
      <c r="P9" s="565">
        <v>1</v>
      </c>
      <c r="Q9" s="562">
        <f t="shared" si="1"/>
        <v>6804176.235416</v>
      </c>
      <c r="R9" s="565">
        <v>0</v>
      </c>
      <c r="S9" s="562">
        <f t="shared" si="2"/>
        <v>0</v>
      </c>
      <c r="T9" s="566">
        <f t="shared" si="6"/>
        <v>1</v>
      </c>
      <c r="U9" s="577"/>
      <c r="V9" s="577"/>
      <c r="W9" s="577"/>
      <c r="X9" s="577"/>
      <c r="Y9" s="577"/>
      <c r="Z9" s="577"/>
      <c r="AA9" s="577"/>
      <c r="AB9" s="579"/>
      <c r="AC9" s="579"/>
      <c r="AD9" s="579"/>
      <c r="AE9" s="577"/>
      <c r="AF9" s="577"/>
      <c r="AG9" s="577"/>
      <c r="AH9" s="577"/>
      <c r="AI9" s="577"/>
      <c r="AJ9" s="577"/>
      <c r="AK9" s="577"/>
      <c r="AL9" s="577"/>
      <c r="AM9" s="577"/>
      <c r="AN9" s="577"/>
      <c r="AO9" s="577"/>
      <c r="AP9" s="577"/>
      <c r="AQ9" s="577"/>
      <c r="AR9" s="577"/>
      <c r="AS9" s="577"/>
      <c r="AT9" s="577"/>
      <c r="AU9" s="577"/>
      <c r="AV9" s="577"/>
      <c r="AW9" s="577"/>
      <c r="AX9" s="577"/>
      <c r="AY9" s="577"/>
      <c r="AZ9" s="577"/>
      <c r="BA9" s="577"/>
      <c r="BB9" s="577"/>
      <c r="BC9" s="577"/>
      <c r="BD9" s="577"/>
      <c r="BE9" s="577"/>
      <c r="BF9" s="577"/>
      <c r="BG9" s="577"/>
      <c r="BH9" s="577"/>
      <c r="BI9" s="577"/>
      <c r="BJ9" s="577"/>
      <c r="BK9" s="577"/>
      <c r="BL9" s="577"/>
      <c r="BM9" s="577"/>
      <c r="BN9" s="577"/>
      <c r="BO9" s="577"/>
      <c r="BP9" s="577"/>
      <c r="BQ9" s="577"/>
      <c r="BR9" s="577"/>
      <c r="BS9" s="577"/>
      <c r="BT9" s="577"/>
      <c r="BU9" s="577"/>
      <c r="BV9" s="577"/>
      <c r="BW9" s="577"/>
      <c r="BX9" s="577"/>
      <c r="BY9" s="577"/>
      <c r="BZ9" s="577"/>
      <c r="CA9" s="577"/>
      <c r="CB9" s="577"/>
      <c r="CC9" s="577"/>
      <c r="CD9" s="577"/>
      <c r="CE9" s="577"/>
      <c r="CF9" s="577"/>
      <c r="CG9" s="577"/>
      <c r="CH9" s="577"/>
      <c r="CI9" s="577"/>
      <c r="CJ9" s="577"/>
      <c r="CK9" s="577"/>
      <c r="CL9" s="577"/>
      <c r="CM9" s="577"/>
      <c r="CN9" s="577"/>
      <c r="CO9" s="577"/>
      <c r="CP9" s="577"/>
      <c r="CQ9" s="577"/>
      <c r="CR9" s="577"/>
      <c r="CS9" s="577"/>
      <c r="CT9" s="577"/>
      <c r="CU9" s="577"/>
      <c r="CV9" s="577"/>
      <c r="CW9" s="577"/>
      <c r="CX9" s="577"/>
      <c r="CY9" s="577"/>
      <c r="CZ9" s="577"/>
      <c r="DA9" s="577"/>
      <c r="DB9" s="577"/>
      <c r="DC9" s="577"/>
      <c r="DD9" s="577"/>
      <c r="DE9" s="577"/>
      <c r="DF9" s="577"/>
      <c r="DG9" s="577"/>
      <c r="DH9" s="577"/>
      <c r="DI9" s="577"/>
      <c r="DJ9" s="577"/>
      <c r="DK9" s="577"/>
      <c r="DL9" s="577"/>
      <c r="DM9" s="577"/>
      <c r="DN9" s="577"/>
      <c r="DO9" s="577"/>
      <c r="DP9" s="577"/>
      <c r="DQ9" s="577"/>
      <c r="DR9" s="577"/>
      <c r="DS9" s="577"/>
      <c r="DT9" s="577"/>
      <c r="DU9" s="577"/>
      <c r="DV9" s="577"/>
      <c r="DW9" s="577"/>
      <c r="DX9" s="577"/>
      <c r="DY9" s="577"/>
      <c r="DZ9" s="577"/>
      <c r="EA9" s="577"/>
      <c r="EB9" s="577"/>
      <c r="EC9" s="577"/>
      <c r="ED9" s="577"/>
      <c r="EE9" s="577"/>
      <c r="EF9" s="577"/>
      <c r="EG9" s="577"/>
      <c r="EH9" s="577"/>
      <c r="EI9" s="577"/>
      <c r="EJ9" s="577"/>
      <c r="EK9" s="577"/>
      <c r="EL9" s="577"/>
      <c r="EM9" s="577"/>
      <c r="EN9" s="577"/>
      <c r="EO9" s="577"/>
      <c r="EP9" s="577"/>
      <c r="EQ9" s="577"/>
      <c r="ER9" s="577"/>
      <c r="ES9" s="577"/>
      <c r="ET9" s="577"/>
      <c r="EU9" s="577"/>
      <c r="EV9" s="577"/>
      <c r="EW9" s="577"/>
      <c r="EX9" s="577"/>
      <c r="EY9" s="577"/>
      <c r="EZ9" s="577"/>
      <c r="FA9" s="577"/>
      <c r="FB9" s="577"/>
      <c r="FC9" s="577"/>
      <c r="FD9" s="577"/>
      <c r="FE9" s="577"/>
      <c r="FF9" s="577"/>
      <c r="FG9" s="577"/>
      <c r="FH9" s="577"/>
      <c r="FI9" s="577"/>
      <c r="FJ9" s="577"/>
      <c r="FK9" s="577"/>
      <c r="FL9" s="577"/>
      <c r="FM9" s="577"/>
      <c r="FN9" s="577"/>
      <c r="FO9" s="577"/>
      <c r="FP9" s="577"/>
      <c r="FQ9" s="577"/>
      <c r="FR9" s="577"/>
      <c r="FS9" s="577"/>
      <c r="FT9" s="577"/>
      <c r="FU9" s="577"/>
      <c r="FV9" s="577"/>
      <c r="FW9" s="577"/>
      <c r="FX9" s="577"/>
      <c r="FY9" s="577"/>
      <c r="FZ9" s="577"/>
      <c r="GA9" s="577"/>
      <c r="GB9" s="577"/>
      <c r="GC9" s="577"/>
      <c r="GD9" s="577"/>
      <c r="GE9" s="577"/>
      <c r="GF9" s="577"/>
      <c r="GG9" s="577"/>
      <c r="GH9" s="577"/>
      <c r="GI9" s="577"/>
      <c r="GJ9" s="577"/>
      <c r="GK9" s="577"/>
      <c r="GL9" s="577"/>
      <c r="GM9" s="577"/>
      <c r="GN9" s="577"/>
      <c r="GO9" s="577"/>
      <c r="GP9" s="577"/>
      <c r="GQ9" s="577"/>
      <c r="GR9" s="577"/>
      <c r="GS9" s="577"/>
      <c r="GT9" s="577"/>
      <c r="GU9" s="577"/>
      <c r="GV9" s="577"/>
      <c r="GW9" s="577"/>
      <c r="GX9" s="577"/>
      <c r="GY9" s="577"/>
      <c r="GZ9" s="577"/>
      <c r="HA9" s="577"/>
      <c r="HB9" s="577"/>
      <c r="HC9" s="577"/>
      <c r="HD9" s="577"/>
      <c r="HE9" s="577"/>
      <c r="HF9" s="577"/>
      <c r="HG9" s="577"/>
      <c r="HH9" s="577"/>
      <c r="HI9" s="577"/>
      <c r="HJ9" s="577"/>
      <c r="HK9" s="577"/>
      <c r="HL9" s="577"/>
      <c r="HM9" s="577"/>
      <c r="HN9" s="577"/>
      <c r="HO9" s="577"/>
      <c r="HP9" s="577"/>
      <c r="HQ9" s="577"/>
      <c r="HR9" s="577"/>
      <c r="HS9" s="577"/>
      <c r="HT9" s="577"/>
      <c r="HU9" s="577"/>
      <c r="HV9" s="577"/>
      <c r="HW9" s="577"/>
      <c r="HX9" s="577"/>
      <c r="HY9" s="577"/>
      <c r="HZ9" s="577"/>
      <c r="IA9" s="577"/>
      <c r="IB9" s="577"/>
      <c r="IC9" s="577"/>
      <c r="ID9" s="577"/>
      <c r="IE9" s="577"/>
      <c r="IF9" s="577"/>
      <c r="IG9" s="577"/>
      <c r="IH9" s="577"/>
      <c r="II9" s="577"/>
      <c r="IJ9" s="577"/>
      <c r="IK9" s="577"/>
      <c r="IL9" s="577"/>
      <c r="IM9" s="577"/>
      <c r="IN9" s="577"/>
      <c r="IO9" s="577"/>
      <c r="IP9" s="577"/>
      <c r="IQ9" s="577"/>
      <c r="IR9" s="577"/>
      <c r="IS9" s="577"/>
      <c r="IT9" s="577"/>
      <c r="IU9" s="577"/>
      <c r="IV9" s="577"/>
    </row>
    <row r="10" spans="1:256" ht="25.5">
      <c r="A10" s="558">
        <v>5</v>
      </c>
      <c r="B10" s="559" t="s">
        <v>165</v>
      </c>
      <c r="C10" s="560" t="s">
        <v>699</v>
      </c>
      <c r="D10" s="580" t="s">
        <v>700</v>
      </c>
      <c r="E10" s="581" t="s">
        <v>692</v>
      </c>
      <c r="F10" s="582">
        <v>617660.2298</v>
      </c>
      <c r="G10" s="582">
        <v>634735.1558660001</v>
      </c>
      <c r="H10" s="561">
        <f t="shared" si="3"/>
        <v>7616821.870392001</v>
      </c>
      <c r="I10" s="561">
        <v>118227</v>
      </c>
      <c r="J10" s="561">
        <v>235845.947</v>
      </c>
      <c r="K10" s="562">
        <f t="shared" si="0"/>
        <v>7970894.817392001</v>
      </c>
      <c r="L10" s="563">
        <v>0.3</v>
      </c>
      <c r="M10" s="564">
        <f t="shared" si="4"/>
        <v>2391268.4452176</v>
      </c>
      <c r="N10" s="563">
        <v>0.05</v>
      </c>
      <c r="O10" s="562">
        <f t="shared" si="5"/>
        <v>398544.7408696001</v>
      </c>
      <c r="P10" s="565">
        <v>0.3</v>
      </c>
      <c r="Q10" s="562">
        <f t="shared" si="1"/>
        <v>2391268.4452176</v>
      </c>
      <c r="R10" s="565">
        <v>0.35</v>
      </c>
      <c r="S10" s="562">
        <f t="shared" si="2"/>
        <v>2789813.1860872</v>
      </c>
      <c r="T10" s="566">
        <f t="shared" si="6"/>
        <v>0.9999999999999999</v>
      </c>
      <c r="U10" s="577"/>
      <c r="V10" s="577"/>
      <c r="W10" s="577"/>
      <c r="X10" s="577"/>
      <c r="Y10" s="577"/>
      <c r="Z10" s="577"/>
      <c r="AA10" s="577"/>
      <c r="AB10" s="579"/>
      <c r="AC10" s="579"/>
      <c r="AD10" s="579"/>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577"/>
      <c r="BA10" s="577"/>
      <c r="BB10" s="577"/>
      <c r="BC10" s="577"/>
      <c r="BD10" s="577"/>
      <c r="BE10" s="577"/>
      <c r="BF10" s="577"/>
      <c r="BG10" s="577"/>
      <c r="BH10" s="577"/>
      <c r="BI10" s="577"/>
      <c r="BJ10" s="577"/>
      <c r="BK10" s="577"/>
      <c r="BL10" s="577"/>
      <c r="BM10" s="577"/>
      <c r="BN10" s="577"/>
      <c r="BO10" s="577"/>
      <c r="BP10" s="577"/>
      <c r="BQ10" s="577"/>
      <c r="BR10" s="577"/>
      <c r="BS10" s="577"/>
      <c r="BT10" s="577"/>
      <c r="BU10" s="577"/>
      <c r="BV10" s="577"/>
      <c r="BW10" s="577"/>
      <c r="BX10" s="577"/>
      <c r="BY10" s="577"/>
      <c r="BZ10" s="577"/>
      <c r="CA10" s="577"/>
      <c r="CB10" s="577"/>
      <c r="CC10" s="577"/>
      <c r="CD10" s="577"/>
      <c r="CE10" s="577"/>
      <c r="CF10" s="577"/>
      <c r="CG10" s="577"/>
      <c r="CH10" s="577"/>
      <c r="CI10" s="577"/>
      <c r="CJ10" s="577"/>
      <c r="CK10" s="577"/>
      <c r="CL10" s="577"/>
      <c r="CM10" s="577"/>
      <c r="CN10" s="577"/>
      <c r="CO10" s="577"/>
      <c r="CP10" s="577"/>
      <c r="CQ10" s="577"/>
      <c r="CR10" s="577"/>
      <c r="CS10" s="577"/>
      <c r="CT10" s="577"/>
      <c r="CU10" s="577"/>
      <c r="CV10" s="577"/>
      <c r="CW10" s="577"/>
      <c r="CX10" s="577"/>
      <c r="CY10" s="577"/>
      <c r="CZ10" s="577"/>
      <c r="DA10" s="577"/>
      <c r="DB10" s="577"/>
      <c r="DC10" s="577"/>
      <c r="DD10" s="577"/>
      <c r="DE10" s="577"/>
      <c r="DF10" s="577"/>
      <c r="DG10" s="577"/>
      <c r="DH10" s="577"/>
      <c r="DI10" s="577"/>
      <c r="DJ10" s="577"/>
      <c r="DK10" s="577"/>
      <c r="DL10" s="577"/>
      <c r="DM10" s="577"/>
      <c r="DN10" s="577"/>
      <c r="DO10" s="577"/>
      <c r="DP10" s="577"/>
      <c r="DQ10" s="577"/>
      <c r="DR10" s="577"/>
      <c r="DS10" s="577"/>
      <c r="DT10" s="577"/>
      <c r="DU10" s="577"/>
      <c r="DV10" s="577"/>
      <c r="DW10" s="577"/>
      <c r="DX10" s="577"/>
      <c r="DY10" s="577"/>
      <c r="DZ10" s="577"/>
      <c r="EA10" s="577"/>
      <c r="EB10" s="577"/>
      <c r="EC10" s="577"/>
      <c r="ED10" s="577"/>
      <c r="EE10" s="577"/>
      <c r="EF10" s="577"/>
      <c r="EG10" s="577"/>
      <c r="EH10" s="577"/>
      <c r="EI10" s="577"/>
      <c r="EJ10" s="577"/>
      <c r="EK10" s="577"/>
      <c r="EL10" s="577"/>
      <c r="EM10" s="577"/>
      <c r="EN10" s="577"/>
      <c r="EO10" s="577"/>
      <c r="EP10" s="577"/>
      <c r="EQ10" s="577"/>
      <c r="ER10" s="577"/>
      <c r="ES10" s="577"/>
      <c r="ET10" s="577"/>
      <c r="EU10" s="577"/>
      <c r="EV10" s="577"/>
      <c r="EW10" s="577"/>
      <c r="EX10" s="577"/>
      <c r="EY10" s="577"/>
      <c r="EZ10" s="577"/>
      <c r="FA10" s="577"/>
      <c r="FB10" s="577"/>
      <c r="FC10" s="577"/>
      <c r="FD10" s="577"/>
      <c r="FE10" s="577"/>
      <c r="FF10" s="577"/>
      <c r="FG10" s="577"/>
      <c r="FH10" s="577"/>
      <c r="FI10" s="577"/>
      <c r="FJ10" s="577"/>
      <c r="FK10" s="577"/>
      <c r="FL10" s="577"/>
      <c r="FM10" s="577"/>
      <c r="FN10" s="577"/>
      <c r="FO10" s="577"/>
      <c r="FP10" s="577"/>
      <c r="FQ10" s="577"/>
      <c r="FR10" s="577"/>
      <c r="FS10" s="577"/>
      <c r="FT10" s="577"/>
      <c r="FU10" s="577"/>
      <c r="FV10" s="577"/>
      <c r="FW10" s="577"/>
      <c r="FX10" s="577"/>
      <c r="FY10" s="577"/>
      <c r="FZ10" s="577"/>
      <c r="GA10" s="577"/>
      <c r="GB10" s="577"/>
      <c r="GC10" s="577"/>
      <c r="GD10" s="577"/>
      <c r="GE10" s="577"/>
      <c r="GF10" s="577"/>
      <c r="GG10" s="577"/>
      <c r="GH10" s="577"/>
      <c r="GI10" s="577"/>
      <c r="GJ10" s="577"/>
      <c r="GK10" s="577"/>
      <c r="GL10" s="577"/>
      <c r="GM10" s="577"/>
      <c r="GN10" s="577"/>
      <c r="GO10" s="577"/>
      <c r="GP10" s="577"/>
      <c r="GQ10" s="577"/>
      <c r="GR10" s="577"/>
      <c r="GS10" s="577"/>
      <c r="GT10" s="577"/>
      <c r="GU10" s="577"/>
      <c r="GV10" s="577"/>
      <c r="GW10" s="577"/>
      <c r="GX10" s="577"/>
      <c r="GY10" s="577"/>
      <c r="GZ10" s="577"/>
      <c r="HA10" s="577"/>
      <c r="HB10" s="577"/>
      <c r="HC10" s="577"/>
      <c r="HD10" s="577"/>
      <c r="HE10" s="577"/>
      <c r="HF10" s="577"/>
      <c r="HG10" s="577"/>
      <c r="HH10" s="577"/>
      <c r="HI10" s="577"/>
      <c r="HJ10" s="577"/>
      <c r="HK10" s="577"/>
      <c r="HL10" s="577"/>
      <c r="HM10" s="577"/>
      <c r="HN10" s="577"/>
      <c r="HO10" s="577"/>
      <c r="HP10" s="577"/>
      <c r="HQ10" s="577"/>
      <c r="HR10" s="577"/>
      <c r="HS10" s="577"/>
      <c r="HT10" s="577"/>
      <c r="HU10" s="577"/>
      <c r="HV10" s="577"/>
      <c r="HW10" s="577"/>
      <c r="HX10" s="577"/>
      <c r="HY10" s="577"/>
      <c r="HZ10" s="577"/>
      <c r="IA10" s="577"/>
      <c r="IB10" s="577"/>
      <c r="IC10" s="577"/>
      <c r="ID10" s="577"/>
      <c r="IE10" s="577"/>
      <c r="IF10" s="577"/>
      <c r="IG10" s="577"/>
      <c r="IH10" s="577"/>
      <c r="II10" s="577"/>
      <c r="IJ10" s="577"/>
      <c r="IK10" s="577"/>
      <c r="IL10" s="577"/>
      <c r="IM10" s="577"/>
      <c r="IN10" s="577"/>
      <c r="IO10" s="577"/>
      <c r="IP10" s="577"/>
      <c r="IQ10" s="577"/>
      <c r="IR10" s="577"/>
      <c r="IS10" s="577"/>
      <c r="IT10" s="577"/>
      <c r="IU10" s="577"/>
      <c r="IV10" s="577"/>
    </row>
    <row r="11" spans="1:256" ht="25.5">
      <c r="A11" s="558">
        <v>6</v>
      </c>
      <c r="B11" s="559" t="s">
        <v>165</v>
      </c>
      <c r="C11" s="560" t="s">
        <v>701</v>
      </c>
      <c r="D11" s="580" t="s">
        <v>702</v>
      </c>
      <c r="E11" s="581" t="s">
        <v>692</v>
      </c>
      <c r="F11" s="582">
        <v>990970.524</v>
      </c>
      <c r="G11" s="582">
        <v>1017971.2442800001</v>
      </c>
      <c r="H11" s="561">
        <f t="shared" si="3"/>
        <v>12215654.93136</v>
      </c>
      <c r="I11" s="561">
        <v>118227</v>
      </c>
      <c r="J11" s="561">
        <v>119464.474</v>
      </c>
      <c r="K11" s="562">
        <f t="shared" si="0"/>
        <v>12453346.40536</v>
      </c>
      <c r="L11" s="563">
        <v>0.3</v>
      </c>
      <c r="M11" s="564">
        <f t="shared" si="4"/>
        <v>3736003.921608</v>
      </c>
      <c r="N11" s="563">
        <v>0.05</v>
      </c>
      <c r="O11" s="562">
        <f t="shared" si="5"/>
        <v>622667.320268</v>
      </c>
      <c r="P11" s="565">
        <v>0.3</v>
      </c>
      <c r="Q11" s="562">
        <f t="shared" si="1"/>
        <v>3736003.921608</v>
      </c>
      <c r="R11" s="565">
        <v>0.35</v>
      </c>
      <c r="S11" s="562">
        <f t="shared" si="2"/>
        <v>4358671.241876</v>
      </c>
      <c r="T11" s="566">
        <f t="shared" si="6"/>
        <v>0.9999999999999999</v>
      </c>
      <c r="U11" s="577"/>
      <c r="V11" s="577"/>
      <c r="W11" s="577"/>
      <c r="X11" s="577"/>
      <c r="Y11" s="577"/>
      <c r="Z11" s="577"/>
      <c r="AA11" s="577"/>
      <c r="AB11" s="579"/>
      <c r="AC11" s="579"/>
      <c r="AD11" s="579"/>
      <c r="AE11" s="577"/>
      <c r="AF11" s="577"/>
      <c r="AG11" s="577"/>
      <c r="AH11" s="577"/>
      <c r="AI11" s="577"/>
      <c r="AJ11" s="577"/>
      <c r="AK11" s="577"/>
      <c r="AL11" s="577"/>
      <c r="AM11" s="577"/>
      <c r="AN11" s="577"/>
      <c r="AO11" s="577"/>
      <c r="AP11" s="577"/>
      <c r="AQ11" s="577"/>
      <c r="AR11" s="577"/>
      <c r="AS11" s="577"/>
      <c r="AT11" s="577"/>
      <c r="AU11" s="577"/>
      <c r="AV11" s="577"/>
      <c r="AW11" s="577"/>
      <c r="AX11" s="577"/>
      <c r="AY11" s="577"/>
      <c r="AZ11" s="577"/>
      <c r="BA11" s="577"/>
      <c r="BB11" s="577"/>
      <c r="BC11" s="577"/>
      <c r="BD11" s="577"/>
      <c r="BE11" s="577"/>
      <c r="BF11" s="577"/>
      <c r="BG11" s="577"/>
      <c r="BH11" s="577"/>
      <c r="BI11" s="577"/>
      <c r="BJ11" s="577"/>
      <c r="BK11" s="577"/>
      <c r="BL11" s="577"/>
      <c r="BM11" s="577"/>
      <c r="BN11" s="577"/>
      <c r="BO11" s="577"/>
      <c r="BP11" s="577"/>
      <c r="BQ11" s="577"/>
      <c r="BR11" s="577"/>
      <c r="BS11" s="577"/>
      <c r="BT11" s="577"/>
      <c r="BU11" s="577"/>
      <c r="BV11" s="577"/>
      <c r="BW11" s="577"/>
      <c r="BX11" s="577"/>
      <c r="BY11" s="577"/>
      <c r="BZ11" s="577"/>
      <c r="CA11" s="577"/>
      <c r="CB11" s="577"/>
      <c r="CC11" s="577"/>
      <c r="CD11" s="577"/>
      <c r="CE11" s="577"/>
      <c r="CF11" s="577"/>
      <c r="CG11" s="577"/>
      <c r="CH11" s="577"/>
      <c r="CI11" s="577"/>
      <c r="CJ11" s="577"/>
      <c r="CK11" s="577"/>
      <c r="CL11" s="577"/>
      <c r="CM11" s="577"/>
      <c r="CN11" s="577"/>
      <c r="CO11" s="577"/>
      <c r="CP11" s="577"/>
      <c r="CQ11" s="577"/>
      <c r="CR11" s="577"/>
      <c r="CS11" s="577"/>
      <c r="CT11" s="577"/>
      <c r="CU11" s="577"/>
      <c r="CV11" s="577"/>
      <c r="CW11" s="577"/>
      <c r="CX11" s="577"/>
      <c r="CY11" s="577"/>
      <c r="CZ11" s="577"/>
      <c r="DA11" s="577"/>
      <c r="DB11" s="577"/>
      <c r="DC11" s="577"/>
      <c r="DD11" s="577"/>
      <c r="DE11" s="577"/>
      <c r="DF11" s="577"/>
      <c r="DG11" s="577"/>
      <c r="DH11" s="577"/>
      <c r="DI11" s="577"/>
      <c r="DJ11" s="577"/>
      <c r="DK11" s="577"/>
      <c r="DL11" s="577"/>
      <c r="DM11" s="577"/>
      <c r="DN11" s="577"/>
      <c r="DO11" s="577"/>
      <c r="DP11" s="577"/>
      <c r="DQ11" s="577"/>
      <c r="DR11" s="577"/>
      <c r="DS11" s="577"/>
      <c r="DT11" s="577"/>
      <c r="DU11" s="577"/>
      <c r="DV11" s="577"/>
      <c r="DW11" s="577"/>
      <c r="DX11" s="577"/>
      <c r="DY11" s="577"/>
      <c r="DZ11" s="577"/>
      <c r="EA11" s="577"/>
      <c r="EB11" s="577"/>
      <c r="EC11" s="577"/>
      <c r="ED11" s="577"/>
      <c r="EE11" s="577"/>
      <c r="EF11" s="577"/>
      <c r="EG11" s="577"/>
      <c r="EH11" s="577"/>
      <c r="EI11" s="577"/>
      <c r="EJ11" s="577"/>
      <c r="EK11" s="577"/>
      <c r="EL11" s="577"/>
      <c r="EM11" s="577"/>
      <c r="EN11" s="577"/>
      <c r="EO11" s="577"/>
      <c r="EP11" s="577"/>
      <c r="EQ11" s="577"/>
      <c r="ER11" s="577"/>
      <c r="ES11" s="577"/>
      <c r="ET11" s="577"/>
      <c r="EU11" s="577"/>
      <c r="EV11" s="577"/>
      <c r="EW11" s="577"/>
      <c r="EX11" s="577"/>
      <c r="EY11" s="577"/>
      <c r="EZ11" s="577"/>
      <c r="FA11" s="577"/>
      <c r="FB11" s="577"/>
      <c r="FC11" s="577"/>
      <c r="FD11" s="577"/>
      <c r="FE11" s="577"/>
      <c r="FF11" s="577"/>
      <c r="FG11" s="577"/>
      <c r="FH11" s="577"/>
      <c r="FI11" s="577"/>
      <c r="FJ11" s="577"/>
      <c r="FK11" s="577"/>
      <c r="FL11" s="577"/>
      <c r="FM11" s="577"/>
      <c r="FN11" s="577"/>
      <c r="FO11" s="577"/>
      <c r="FP11" s="577"/>
      <c r="FQ11" s="577"/>
      <c r="FR11" s="577"/>
      <c r="FS11" s="577"/>
      <c r="FT11" s="577"/>
      <c r="FU11" s="577"/>
      <c r="FV11" s="577"/>
      <c r="FW11" s="577"/>
      <c r="FX11" s="577"/>
      <c r="FY11" s="577"/>
      <c r="FZ11" s="577"/>
      <c r="GA11" s="577"/>
      <c r="GB11" s="577"/>
      <c r="GC11" s="577"/>
      <c r="GD11" s="577"/>
      <c r="GE11" s="577"/>
      <c r="GF11" s="577"/>
      <c r="GG11" s="577"/>
      <c r="GH11" s="577"/>
      <c r="GI11" s="577"/>
      <c r="GJ11" s="577"/>
      <c r="GK11" s="577"/>
      <c r="GL11" s="577"/>
      <c r="GM11" s="577"/>
      <c r="GN11" s="577"/>
      <c r="GO11" s="577"/>
      <c r="GP11" s="577"/>
      <c r="GQ11" s="577"/>
      <c r="GR11" s="577"/>
      <c r="GS11" s="577"/>
      <c r="GT11" s="577"/>
      <c r="GU11" s="577"/>
      <c r="GV11" s="577"/>
      <c r="GW11" s="577"/>
      <c r="GX11" s="577"/>
      <c r="GY11" s="577"/>
      <c r="GZ11" s="577"/>
      <c r="HA11" s="577"/>
      <c r="HB11" s="577"/>
      <c r="HC11" s="577"/>
      <c r="HD11" s="577"/>
      <c r="HE11" s="577"/>
      <c r="HF11" s="577"/>
      <c r="HG11" s="577"/>
      <c r="HH11" s="577"/>
      <c r="HI11" s="577"/>
      <c r="HJ11" s="577"/>
      <c r="HK11" s="577"/>
      <c r="HL11" s="577"/>
      <c r="HM11" s="577"/>
      <c r="HN11" s="577"/>
      <c r="HO11" s="577"/>
      <c r="HP11" s="577"/>
      <c r="HQ11" s="577"/>
      <c r="HR11" s="577"/>
      <c r="HS11" s="577"/>
      <c r="HT11" s="577"/>
      <c r="HU11" s="577"/>
      <c r="HV11" s="577"/>
      <c r="HW11" s="577"/>
      <c r="HX11" s="577"/>
      <c r="HY11" s="577"/>
      <c r="HZ11" s="577"/>
      <c r="IA11" s="577"/>
      <c r="IB11" s="577"/>
      <c r="IC11" s="577"/>
      <c r="ID11" s="577"/>
      <c r="IE11" s="577"/>
      <c r="IF11" s="577"/>
      <c r="IG11" s="577"/>
      <c r="IH11" s="577"/>
      <c r="II11" s="577"/>
      <c r="IJ11" s="577"/>
      <c r="IK11" s="577"/>
      <c r="IL11" s="577"/>
      <c r="IM11" s="577"/>
      <c r="IN11" s="577"/>
      <c r="IO11" s="577"/>
      <c r="IP11" s="577"/>
      <c r="IQ11" s="577"/>
      <c r="IR11" s="577"/>
      <c r="IS11" s="577"/>
      <c r="IT11" s="577"/>
      <c r="IU11" s="577"/>
      <c r="IV11" s="577"/>
    </row>
    <row r="12" spans="1:256" ht="12.75">
      <c r="A12" s="558">
        <v>7</v>
      </c>
      <c r="B12" s="559" t="s">
        <v>165</v>
      </c>
      <c r="C12" s="560" t="s">
        <v>703</v>
      </c>
      <c r="D12" s="580" t="s">
        <v>704</v>
      </c>
      <c r="E12" s="581" t="s">
        <v>692</v>
      </c>
      <c r="F12" s="582">
        <v>404278.89</v>
      </c>
      <c r="G12" s="582">
        <v>414845.83952999994</v>
      </c>
      <c r="H12" s="561">
        <f t="shared" si="3"/>
        <v>4978150.074359999</v>
      </c>
      <c r="I12" s="561">
        <v>114939</v>
      </c>
      <c r="J12" s="561">
        <v>235845.947</v>
      </c>
      <c r="K12" s="562">
        <f t="shared" si="0"/>
        <v>5328935.021359999</v>
      </c>
      <c r="L12" s="563">
        <v>0.3</v>
      </c>
      <c r="M12" s="564">
        <f t="shared" si="4"/>
        <v>1598680.5064079997</v>
      </c>
      <c r="N12" s="563">
        <v>0.05</v>
      </c>
      <c r="O12" s="562">
        <f t="shared" si="5"/>
        <v>266446.7510679999</v>
      </c>
      <c r="P12" s="565">
        <v>0.3</v>
      </c>
      <c r="Q12" s="562">
        <f t="shared" si="1"/>
        <v>1598680.5064079997</v>
      </c>
      <c r="R12" s="565">
        <v>0.35</v>
      </c>
      <c r="S12" s="562">
        <f t="shared" si="2"/>
        <v>1865127.2574759994</v>
      </c>
      <c r="T12" s="566">
        <f t="shared" si="6"/>
        <v>0.9999999999999999</v>
      </c>
      <c r="U12" s="577"/>
      <c r="V12" s="577"/>
      <c r="W12" s="577"/>
      <c r="X12" s="577"/>
      <c r="Y12" s="577"/>
      <c r="Z12" s="577"/>
      <c r="AA12" s="577"/>
      <c r="AB12" s="579"/>
      <c r="AC12" s="579"/>
      <c r="AD12" s="579"/>
      <c r="AE12" s="577"/>
      <c r="AF12" s="577"/>
      <c r="AG12" s="577"/>
      <c r="AH12" s="577"/>
      <c r="AI12" s="577"/>
      <c r="AJ12" s="577"/>
      <c r="AK12" s="577"/>
      <c r="AL12" s="577"/>
      <c r="AM12" s="577"/>
      <c r="AN12" s="577"/>
      <c r="AO12" s="577"/>
      <c r="AP12" s="577"/>
      <c r="AQ12" s="577"/>
      <c r="AR12" s="577"/>
      <c r="AS12" s="577"/>
      <c r="AT12" s="577"/>
      <c r="AU12" s="577"/>
      <c r="AV12" s="577"/>
      <c r="AW12" s="577"/>
      <c r="AX12" s="577"/>
      <c r="AY12" s="577"/>
      <c r="AZ12" s="577"/>
      <c r="BA12" s="577"/>
      <c r="BB12" s="577"/>
      <c r="BC12" s="577"/>
      <c r="BD12" s="577"/>
      <c r="BE12" s="577"/>
      <c r="BF12" s="577"/>
      <c r="BG12" s="577"/>
      <c r="BH12" s="577"/>
      <c r="BI12" s="577"/>
      <c r="BJ12" s="577"/>
      <c r="BK12" s="577"/>
      <c r="BL12" s="577"/>
      <c r="BM12" s="577"/>
      <c r="BN12" s="577"/>
      <c r="BO12" s="577"/>
      <c r="BP12" s="577"/>
      <c r="BQ12" s="577"/>
      <c r="BR12" s="577"/>
      <c r="BS12" s="577"/>
      <c r="BT12" s="577"/>
      <c r="BU12" s="577"/>
      <c r="BV12" s="577"/>
      <c r="BW12" s="577"/>
      <c r="BX12" s="577"/>
      <c r="BY12" s="577"/>
      <c r="BZ12" s="577"/>
      <c r="CA12" s="577"/>
      <c r="CB12" s="577"/>
      <c r="CC12" s="577"/>
      <c r="CD12" s="577"/>
      <c r="CE12" s="577"/>
      <c r="CF12" s="577"/>
      <c r="CG12" s="577"/>
      <c r="CH12" s="577"/>
      <c r="CI12" s="577"/>
      <c r="CJ12" s="577"/>
      <c r="CK12" s="577"/>
      <c r="CL12" s="577"/>
      <c r="CM12" s="577"/>
      <c r="CN12" s="577"/>
      <c r="CO12" s="577"/>
      <c r="CP12" s="577"/>
      <c r="CQ12" s="577"/>
      <c r="CR12" s="577"/>
      <c r="CS12" s="577"/>
      <c r="CT12" s="577"/>
      <c r="CU12" s="577"/>
      <c r="CV12" s="577"/>
      <c r="CW12" s="577"/>
      <c r="CX12" s="577"/>
      <c r="CY12" s="577"/>
      <c r="CZ12" s="577"/>
      <c r="DA12" s="577"/>
      <c r="DB12" s="577"/>
      <c r="DC12" s="577"/>
      <c r="DD12" s="577"/>
      <c r="DE12" s="577"/>
      <c r="DF12" s="577"/>
      <c r="DG12" s="577"/>
      <c r="DH12" s="577"/>
      <c r="DI12" s="577"/>
      <c r="DJ12" s="577"/>
      <c r="DK12" s="577"/>
      <c r="DL12" s="577"/>
      <c r="DM12" s="577"/>
      <c r="DN12" s="577"/>
      <c r="DO12" s="577"/>
      <c r="DP12" s="577"/>
      <c r="DQ12" s="577"/>
      <c r="DR12" s="577"/>
      <c r="DS12" s="577"/>
      <c r="DT12" s="577"/>
      <c r="DU12" s="577"/>
      <c r="DV12" s="577"/>
      <c r="DW12" s="577"/>
      <c r="DX12" s="577"/>
      <c r="DY12" s="577"/>
      <c r="DZ12" s="577"/>
      <c r="EA12" s="577"/>
      <c r="EB12" s="577"/>
      <c r="EC12" s="577"/>
      <c r="ED12" s="577"/>
      <c r="EE12" s="577"/>
      <c r="EF12" s="577"/>
      <c r="EG12" s="577"/>
      <c r="EH12" s="577"/>
      <c r="EI12" s="577"/>
      <c r="EJ12" s="577"/>
      <c r="EK12" s="577"/>
      <c r="EL12" s="577"/>
      <c r="EM12" s="577"/>
      <c r="EN12" s="577"/>
      <c r="EO12" s="577"/>
      <c r="EP12" s="577"/>
      <c r="EQ12" s="577"/>
      <c r="ER12" s="577"/>
      <c r="ES12" s="577"/>
      <c r="ET12" s="577"/>
      <c r="EU12" s="577"/>
      <c r="EV12" s="577"/>
      <c r="EW12" s="577"/>
      <c r="EX12" s="577"/>
      <c r="EY12" s="577"/>
      <c r="EZ12" s="577"/>
      <c r="FA12" s="577"/>
      <c r="FB12" s="577"/>
      <c r="FC12" s="577"/>
      <c r="FD12" s="577"/>
      <c r="FE12" s="577"/>
      <c r="FF12" s="577"/>
      <c r="FG12" s="577"/>
      <c r="FH12" s="577"/>
      <c r="FI12" s="577"/>
      <c r="FJ12" s="577"/>
      <c r="FK12" s="577"/>
      <c r="FL12" s="577"/>
      <c r="FM12" s="577"/>
      <c r="FN12" s="577"/>
      <c r="FO12" s="577"/>
      <c r="FP12" s="577"/>
      <c r="FQ12" s="577"/>
      <c r="FR12" s="577"/>
      <c r="FS12" s="577"/>
      <c r="FT12" s="577"/>
      <c r="FU12" s="577"/>
      <c r="FV12" s="577"/>
      <c r="FW12" s="577"/>
      <c r="FX12" s="577"/>
      <c r="FY12" s="577"/>
      <c r="FZ12" s="577"/>
      <c r="GA12" s="577"/>
      <c r="GB12" s="577"/>
      <c r="GC12" s="577"/>
      <c r="GD12" s="577"/>
      <c r="GE12" s="577"/>
      <c r="GF12" s="577"/>
      <c r="GG12" s="577"/>
      <c r="GH12" s="577"/>
      <c r="GI12" s="577"/>
      <c r="GJ12" s="577"/>
      <c r="GK12" s="577"/>
      <c r="GL12" s="577"/>
      <c r="GM12" s="577"/>
      <c r="GN12" s="577"/>
      <c r="GO12" s="577"/>
      <c r="GP12" s="577"/>
      <c r="GQ12" s="577"/>
      <c r="GR12" s="577"/>
      <c r="GS12" s="577"/>
      <c r="GT12" s="577"/>
      <c r="GU12" s="577"/>
      <c r="GV12" s="577"/>
      <c r="GW12" s="577"/>
      <c r="GX12" s="577"/>
      <c r="GY12" s="577"/>
      <c r="GZ12" s="577"/>
      <c r="HA12" s="577"/>
      <c r="HB12" s="577"/>
      <c r="HC12" s="577"/>
      <c r="HD12" s="577"/>
      <c r="HE12" s="577"/>
      <c r="HF12" s="577"/>
      <c r="HG12" s="577"/>
      <c r="HH12" s="577"/>
      <c r="HI12" s="577"/>
      <c r="HJ12" s="577"/>
      <c r="HK12" s="577"/>
      <c r="HL12" s="577"/>
      <c r="HM12" s="577"/>
      <c r="HN12" s="577"/>
      <c r="HO12" s="577"/>
      <c r="HP12" s="577"/>
      <c r="HQ12" s="577"/>
      <c r="HR12" s="577"/>
      <c r="HS12" s="577"/>
      <c r="HT12" s="577"/>
      <c r="HU12" s="577"/>
      <c r="HV12" s="577"/>
      <c r="HW12" s="577"/>
      <c r="HX12" s="577"/>
      <c r="HY12" s="577"/>
      <c r="HZ12" s="577"/>
      <c r="IA12" s="577"/>
      <c r="IB12" s="577"/>
      <c r="IC12" s="577"/>
      <c r="ID12" s="577"/>
      <c r="IE12" s="577"/>
      <c r="IF12" s="577"/>
      <c r="IG12" s="577"/>
      <c r="IH12" s="577"/>
      <c r="II12" s="577"/>
      <c r="IJ12" s="577"/>
      <c r="IK12" s="577"/>
      <c r="IL12" s="577"/>
      <c r="IM12" s="577"/>
      <c r="IN12" s="577"/>
      <c r="IO12" s="577"/>
      <c r="IP12" s="577"/>
      <c r="IQ12" s="577"/>
      <c r="IR12" s="577"/>
      <c r="IS12" s="577"/>
      <c r="IT12" s="577"/>
      <c r="IU12" s="577"/>
      <c r="IV12" s="577"/>
    </row>
    <row r="13" spans="1:256" ht="25.5">
      <c r="A13" s="558">
        <v>8</v>
      </c>
      <c r="B13" s="559" t="s">
        <v>165</v>
      </c>
      <c r="C13" s="560" t="s">
        <v>705</v>
      </c>
      <c r="D13" s="580" t="s">
        <v>706</v>
      </c>
      <c r="E13" s="581" t="s">
        <v>692</v>
      </c>
      <c r="F13" s="582">
        <v>553142</v>
      </c>
      <c r="G13" s="582">
        <v>598397.7058748301</v>
      </c>
      <c r="H13" s="561">
        <f t="shared" si="3"/>
        <v>7180772.470497962</v>
      </c>
      <c r="I13" s="561">
        <v>114939</v>
      </c>
      <c r="J13" s="561">
        <v>235845.947</v>
      </c>
      <c r="K13" s="562">
        <f t="shared" si="0"/>
        <v>7531557.417497962</v>
      </c>
      <c r="L13" s="563">
        <v>0.3</v>
      </c>
      <c r="M13" s="564">
        <f t="shared" si="4"/>
        <v>2259467.2252493883</v>
      </c>
      <c r="N13" s="563">
        <v>0.05</v>
      </c>
      <c r="O13" s="562">
        <f t="shared" si="5"/>
        <v>376577.8708748981</v>
      </c>
      <c r="P13" s="565">
        <v>0.3</v>
      </c>
      <c r="Q13" s="562">
        <f t="shared" si="1"/>
        <v>2259467.2252493883</v>
      </c>
      <c r="R13" s="565">
        <v>0.35</v>
      </c>
      <c r="S13" s="562">
        <f t="shared" si="2"/>
        <v>2636045.0961242863</v>
      </c>
      <c r="T13" s="566">
        <f t="shared" si="6"/>
        <v>0.9999999999999999</v>
      </c>
      <c r="U13" s="577"/>
      <c r="V13" s="577"/>
      <c r="W13" s="577"/>
      <c r="X13" s="577"/>
      <c r="Y13" s="577"/>
      <c r="Z13" s="577"/>
      <c r="AA13" s="577"/>
      <c r="AB13" s="579"/>
      <c r="AC13" s="579"/>
      <c r="AD13" s="579"/>
      <c r="AE13" s="577"/>
      <c r="AF13" s="577"/>
      <c r="AG13" s="577"/>
      <c r="AH13" s="577"/>
      <c r="AI13" s="577"/>
      <c r="AJ13" s="577"/>
      <c r="AK13" s="577"/>
      <c r="AL13" s="577"/>
      <c r="AM13" s="577"/>
      <c r="AN13" s="577"/>
      <c r="AO13" s="577"/>
      <c r="AP13" s="577"/>
      <c r="AQ13" s="577"/>
      <c r="AR13" s="577"/>
      <c r="AS13" s="577"/>
      <c r="AT13" s="577"/>
      <c r="AU13" s="577"/>
      <c r="AV13" s="577"/>
      <c r="AW13" s="577"/>
      <c r="AX13" s="577"/>
      <c r="AY13" s="577"/>
      <c r="AZ13" s="577"/>
      <c r="BA13" s="577"/>
      <c r="BB13" s="577"/>
      <c r="BC13" s="577"/>
      <c r="BD13" s="577"/>
      <c r="BE13" s="577"/>
      <c r="BF13" s="577"/>
      <c r="BG13" s="577"/>
      <c r="BH13" s="577"/>
      <c r="BI13" s="577"/>
      <c r="BJ13" s="577"/>
      <c r="BK13" s="577"/>
      <c r="BL13" s="577"/>
      <c r="BM13" s="577"/>
      <c r="BN13" s="577"/>
      <c r="BO13" s="577"/>
      <c r="BP13" s="577"/>
      <c r="BQ13" s="577"/>
      <c r="BR13" s="577"/>
      <c r="BS13" s="577"/>
      <c r="BT13" s="577"/>
      <c r="BU13" s="577"/>
      <c r="BV13" s="577"/>
      <c r="BW13" s="577"/>
      <c r="BX13" s="577"/>
      <c r="BY13" s="577"/>
      <c r="BZ13" s="577"/>
      <c r="CA13" s="577"/>
      <c r="CB13" s="577"/>
      <c r="CC13" s="577"/>
      <c r="CD13" s="577"/>
      <c r="CE13" s="577"/>
      <c r="CF13" s="577"/>
      <c r="CG13" s="577"/>
      <c r="CH13" s="577"/>
      <c r="CI13" s="577"/>
      <c r="CJ13" s="577"/>
      <c r="CK13" s="577"/>
      <c r="CL13" s="577"/>
      <c r="CM13" s="577"/>
      <c r="CN13" s="577"/>
      <c r="CO13" s="577"/>
      <c r="CP13" s="577"/>
      <c r="CQ13" s="577"/>
      <c r="CR13" s="577"/>
      <c r="CS13" s="577"/>
      <c r="CT13" s="577"/>
      <c r="CU13" s="577"/>
      <c r="CV13" s="577"/>
      <c r="CW13" s="577"/>
      <c r="CX13" s="577"/>
      <c r="CY13" s="577"/>
      <c r="CZ13" s="577"/>
      <c r="DA13" s="577"/>
      <c r="DB13" s="577"/>
      <c r="DC13" s="577"/>
      <c r="DD13" s="577"/>
      <c r="DE13" s="577"/>
      <c r="DF13" s="577"/>
      <c r="DG13" s="577"/>
      <c r="DH13" s="577"/>
      <c r="DI13" s="577"/>
      <c r="DJ13" s="577"/>
      <c r="DK13" s="577"/>
      <c r="DL13" s="577"/>
      <c r="DM13" s="577"/>
      <c r="DN13" s="577"/>
      <c r="DO13" s="577"/>
      <c r="DP13" s="577"/>
      <c r="DQ13" s="577"/>
      <c r="DR13" s="577"/>
      <c r="DS13" s="577"/>
      <c r="DT13" s="577"/>
      <c r="DU13" s="577"/>
      <c r="DV13" s="577"/>
      <c r="DW13" s="577"/>
      <c r="DX13" s="577"/>
      <c r="DY13" s="577"/>
      <c r="DZ13" s="577"/>
      <c r="EA13" s="577"/>
      <c r="EB13" s="577"/>
      <c r="EC13" s="577"/>
      <c r="ED13" s="577"/>
      <c r="EE13" s="577"/>
      <c r="EF13" s="577"/>
      <c r="EG13" s="577"/>
      <c r="EH13" s="577"/>
      <c r="EI13" s="577"/>
      <c r="EJ13" s="577"/>
      <c r="EK13" s="577"/>
      <c r="EL13" s="577"/>
      <c r="EM13" s="577"/>
      <c r="EN13" s="577"/>
      <c r="EO13" s="577"/>
      <c r="EP13" s="577"/>
      <c r="EQ13" s="577"/>
      <c r="ER13" s="577"/>
      <c r="ES13" s="577"/>
      <c r="ET13" s="577"/>
      <c r="EU13" s="577"/>
      <c r="EV13" s="577"/>
      <c r="EW13" s="577"/>
      <c r="EX13" s="577"/>
      <c r="EY13" s="577"/>
      <c r="EZ13" s="577"/>
      <c r="FA13" s="577"/>
      <c r="FB13" s="577"/>
      <c r="FC13" s="577"/>
      <c r="FD13" s="577"/>
      <c r="FE13" s="577"/>
      <c r="FF13" s="577"/>
      <c r="FG13" s="577"/>
      <c r="FH13" s="577"/>
      <c r="FI13" s="577"/>
      <c r="FJ13" s="577"/>
      <c r="FK13" s="577"/>
      <c r="FL13" s="577"/>
      <c r="FM13" s="577"/>
      <c r="FN13" s="577"/>
      <c r="FO13" s="577"/>
      <c r="FP13" s="577"/>
      <c r="FQ13" s="577"/>
      <c r="FR13" s="577"/>
      <c r="FS13" s="577"/>
      <c r="FT13" s="577"/>
      <c r="FU13" s="577"/>
      <c r="FV13" s="577"/>
      <c r="FW13" s="577"/>
      <c r="FX13" s="577"/>
      <c r="FY13" s="577"/>
      <c r="FZ13" s="577"/>
      <c r="GA13" s="577"/>
      <c r="GB13" s="577"/>
      <c r="GC13" s="577"/>
      <c r="GD13" s="577"/>
      <c r="GE13" s="577"/>
      <c r="GF13" s="577"/>
      <c r="GG13" s="577"/>
      <c r="GH13" s="577"/>
      <c r="GI13" s="577"/>
      <c r="GJ13" s="577"/>
      <c r="GK13" s="577"/>
      <c r="GL13" s="577"/>
      <c r="GM13" s="577"/>
      <c r="GN13" s="577"/>
      <c r="GO13" s="577"/>
      <c r="GP13" s="577"/>
      <c r="GQ13" s="577"/>
      <c r="GR13" s="577"/>
      <c r="GS13" s="577"/>
      <c r="GT13" s="577"/>
      <c r="GU13" s="577"/>
      <c r="GV13" s="577"/>
      <c r="GW13" s="577"/>
      <c r="GX13" s="577"/>
      <c r="GY13" s="577"/>
      <c r="GZ13" s="577"/>
      <c r="HA13" s="577"/>
      <c r="HB13" s="577"/>
      <c r="HC13" s="577"/>
      <c r="HD13" s="577"/>
      <c r="HE13" s="577"/>
      <c r="HF13" s="577"/>
      <c r="HG13" s="577"/>
      <c r="HH13" s="577"/>
      <c r="HI13" s="577"/>
      <c r="HJ13" s="577"/>
      <c r="HK13" s="577"/>
      <c r="HL13" s="577"/>
      <c r="HM13" s="577"/>
      <c r="HN13" s="577"/>
      <c r="HO13" s="577"/>
      <c r="HP13" s="577"/>
      <c r="HQ13" s="577"/>
      <c r="HR13" s="577"/>
      <c r="HS13" s="577"/>
      <c r="HT13" s="577"/>
      <c r="HU13" s="577"/>
      <c r="HV13" s="577"/>
      <c r="HW13" s="577"/>
      <c r="HX13" s="577"/>
      <c r="HY13" s="577"/>
      <c r="HZ13" s="577"/>
      <c r="IA13" s="577"/>
      <c r="IB13" s="577"/>
      <c r="IC13" s="577"/>
      <c r="ID13" s="577"/>
      <c r="IE13" s="577"/>
      <c r="IF13" s="577"/>
      <c r="IG13" s="577"/>
      <c r="IH13" s="577"/>
      <c r="II13" s="577"/>
      <c r="IJ13" s="577"/>
      <c r="IK13" s="577"/>
      <c r="IL13" s="577"/>
      <c r="IM13" s="577"/>
      <c r="IN13" s="577"/>
      <c r="IO13" s="577"/>
      <c r="IP13" s="577"/>
      <c r="IQ13" s="577"/>
      <c r="IR13" s="577"/>
      <c r="IS13" s="577"/>
      <c r="IT13" s="577"/>
      <c r="IU13" s="577"/>
      <c r="IV13" s="577"/>
    </row>
    <row r="14" spans="1:256" ht="25.5">
      <c r="A14" s="558">
        <v>9</v>
      </c>
      <c r="B14" s="559" t="s">
        <v>165</v>
      </c>
      <c r="C14" s="560" t="s">
        <v>707</v>
      </c>
      <c r="D14" s="580" t="s">
        <v>700</v>
      </c>
      <c r="E14" s="581" t="s">
        <v>692</v>
      </c>
      <c r="F14" s="582">
        <v>639488</v>
      </c>
      <c r="G14" s="582">
        <v>656762.3197344738</v>
      </c>
      <c r="H14" s="561">
        <f t="shared" si="3"/>
        <v>7881147.836813686</v>
      </c>
      <c r="I14" s="561">
        <v>118227</v>
      </c>
      <c r="J14" s="561">
        <v>119464.474</v>
      </c>
      <c r="K14" s="562">
        <f t="shared" si="0"/>
        <v>8118839.310813687</v>
      </c>
      <c r="L14" s="563">
        <v>0.3</v>
      </c>
      <c r="M14" s="564">
        <f t="shared" si="4"/>
        <v>2435651.7932441058</v>
      </c>
      <c r="N14" s="563">
        <v>0.05</v>
      </c>
      <c r="O14" s="562">
        <f t="shared" si="5"/>
        <v>405941.96554068435</v>
      </c>
      <c r="P14" s="565">
        <v>0.3</v>
      </c>
      <c r="Q14" s="562">
        <f t="shared" si="1"/>
        <v>2435651.7932441058</v>
      </c>
      <c r="R14" s="565">
        <v>0.35</v>
      </c>
      <c r="S14" s="562">
        <f t="shared" si="2"/>
        <v>2841593.75878479</v>
      </c>
      <c r="T14" s="566">
        <f t="shared" si="6"/>
        <v>0.9999999999999999</v>
      </c>
      <c r="U14" s="577"/>
      <c r="V14" s="577"/>
      <c r="W14" s="577"/>
      <c r="X14" s="577"/>
      <c r="Y14" s="577"/>
      <c r="Z14" s="577"/>
      <c r="AA14" s="577"/>
      <c r="AB14" s="579"/>
      <c r="AC14" s="579"/>
      <c r="AD14" s="579"/>
      <c r="AE14" s="577"/>
      <c r="AF14" s="577"/>
      <c r="AG14" s="577"/>
      <c r="AH14" s="577"/>
      <c r="AI14" s="577"/>
      <c r="AJ14" s="577"/>
      <c r="AK14" s="577"/>
      <c r="AL14" s="577"/>
      <c r="AM14" s="577"/>
      <c r="AN14" s="577"/>
      <c r="AO14" s="577"/>
      <c r="AP14" s="577"/>
      <c r="AQ14" s="577"/>
      <c r="AR14" s="577"/>
      <c r="AS14" s="577"/>
      <c r="AT14" s="577"/>
      <c r="AU14" s="577"/>
      <c r="AV14" s="577"/>
      <c r="AW14" s="577"/>
      <c r="AX14" s="577"/>
      <c r="AY14" s="577"/>
      <c r="AZ14" s="577"/>
      <c r="BA14" s="577"/>
      <c r="BB14" s="577"/>
      <c r="BC14" s="577"/>
      <c r="BD14" s="577"/>
      <c r="BE14" s="577"/>
      <c r="BF14" s="577"/>
      <c r="BG14" s="577"/>
      <c r="BH14" s="577"/>
      <c r="BI14" s="577"/>
      <c r="BJ14" s="577"/>
      <c r="BK14" s="577"/>
      <c r="BL14" s="577"/>
      <c r="BM14" s="577"/>
      <c r="BN14" s="577"/>
      <c r="BO14" s="577"/>
      <c r="BP14" s="577"/>
      <c r="BQ14" s="577"/>
      <c r="BR14" s="577"/>
      <c r="BS14" s="577"/>
      <c r="BT14" s="577"/>
      <c r="BU14" s="577"/>
      <c r="BV14" s="577"/>
      <c r="BW14" s="577"/>
      <c r="BX14" s="577"/>
      <c r="BY14" s="577"/>
      <c r="BZ14" s="577"/>
      <c r="CA14" s="577"/>
      <c r="CB14" s="577"/>
      <c r="CC14" s="577"/>
      <c r="CD14" s="577"/>
      <c r="CE14" s="577"/>
      <c r="CF14" s="577"/>
      <c r="CG14" s="577"/>
      <c r="CH14" s="577"/>
      <c r="CI14" s="577"/>
      <c r="CJ14" s="577"/>
      <c r="CK14" s="577"/>
      <c r="CL14" s="577"/>
      <c r="CM14" s="577"/>
      <c r="CN14" s="577"/>
      <c r="CO14" s="577"/>
      <c r="CP14" s="577"/>
      <c r="CQ14" s="577"/>
      <c r="CR14" s="577"/>
      <c r="CS14" s="577"/>
      <c r="CT14" s="577"/>
      <c r="CU14" s="577"/>
      <c r="CV14" s="577"/>
      <c r="CW14" s="577"/>
      <c r="CX14" s="577"/>
      <c r="CY14" s="577"/>
      <c r="CZ14" s="577"/>
      <c r="DA14" s="577"/>
      <c r="DB14" s="577"/>
      <c r="DC14" s="577"/>
      <c r="DD14" s="577"/>
      <c r="DE14" s="577"/>
      <c r="DF14" s="577"/>
      <c r="DG14" s="577"/>
      <c r="DH14" s="577"/>
      <c r="DI14" s="577"/>
      <c r="DJ14" s="577"/>
      <c r="DK14" s="577"/>
      <c r="DL14" s="577"/>
      <c r="DM14" s="577"/>
      <c r="DN14" s="577"/>
      <c r="DO14" s="577"/>
      <c r="DP14" s="577"/>
      <c r="DQ14" s="577"/>
      <c r="DR14" s="577"/>
      <c r="DS14" s="577"/>
      <c r="DT14" s="577"/>
      <c r="DU14" s="577"/>
      <c r="DV14" s="577"/>
      <c r="DW14" s="577"/>
      <c r="DX14" s="577"/>
      <c r="DY14" s="577"/>
      <c r="DZ14" s="577"/>
      <c r="EA14" s="577"/>
      <c r="EB14" s="577"/>
      <c r="EC14" s="577"/>
      <c r="ED14" s="577"/>
      <c r="EE14" s="577"/>
      <c r="EF14" s="577"/>
      <c r="EG14" s="577"/>
      <c r="EH14" s="577"/>
      <c r="EI14" s="577"/>
      <c r="EJ14" s="577"/>
      <c r="EK14" s="577"/>
      <c r="EL14" s="577"/>
      <c r="EM14" s="577"/>
      <c r="EN14" s="577"/>
      <c r="EO14" s="577"/>
      <c r="EP14" s="577"/>
      <c r="EQ14" s="577"/>
      <c r="ER14" s="577"/>
      <c r="ES14" s="577"/>
      <c r="ET14" s="577"/>
      <c r="EU14" s="577"/>
      <c r="EV14" s="577"/>
      <c r="EW14" s="577"/>
      <c r="EX14" s="577"/>
      <c r="EY14" s="577"/>
      <c r="EZ14" s="577"/>
      <c r="FA14" s="577"/>
      <c r="FB14" s="577"/>
      <c r="FC14" s="577"/>
      <c r="FD14" s="577"/>
      <c r="FE14" s="577"/>
      <c r="FF14" s="577"/>
      <c r="FG14" s="577"/>
      <c r="FH14" s="577"/>
      <c r="FI14" s="577"/>
      <c r="FJ14" s="577"/>
      <c r="FK14" s="577"/>
      <c r="FL14" s="577"/>
      <c r="FM14" s="577"/>
      <c r="FN14" s="577"/>
      <c r="FO14" s="577"/>
      <c r="FP14" s="577"/>
      <c r="FQ14" s="577"/>
      <c r="FR14" s="577"/>
      <c r="FS14" s="577"/>
      <c r="FT14" s="577"/>
      <c r="FU14" s="577"/>
      <c r="FV14" s="577"/>
      <c r="FW14" s="577"/>
      <c r="FX14" s="577"/>
      <c r="FY14" s="577"/>
      <c r="FZ14" s="577"/>
      <c r="GA14" s="577"/>
      <c r="GB14" s="577"/>
      <c r="GC14" s="577"/>
      <c r="GD14" s="577"/>
      <c r="GE14" s="577"/>
      <c r="GF14" s="577"/>
      <c r="GG14" s="577"/>
      <c r="GH14" s="577"/>
      <c r="GI14" s="577"/>
      <c r="GJ14" s="577"/>
      <c r="GK14" s="577"/>
      <c r="GL14" s="577"/>
      <c r="GM14" s="577"/>
      <c r="GN14" s="577"/>
      <c r="GO14" s="577"/>
      <c r="GP14" s="577"/>
      <c r="GQ14" s="577"/>
      <c r="GR14" s="577"/>
      <c r="GS14" s="577"/>
      <c r="GT14" s="577"/>
      <c r="GU14" s="577"/>
      <c r="GV14" s="577"/>
      <c r="GW14" s="577"/>
      <c r="GX14" s="577"/>
      <c r="GY14" s="577"/>
      <c r="GZ14" s="577"/>
      <c r="HA14" s="577"/>
      <c r="HB14" s="577"/>
      <c r="HC14" s="577"/>
      <c r="HD14" s="577"/>
      <c r="HE14" s="577"/>
      <c r="HF14" s="577"/>
      <c r="HG14" s="577"/>
      <c r="HH14" s="577"/>
      <c r="HI14" s="577"/>
      <c r="HJ14" s="577"/>
      <c r="HK14" s="577"/>
      <c r="HL14" s="577"/>
      <c r="HM14" s="577"/>
      <c r="HN14" s="577"/>
      <c r="HO14" s="577"/>
      <c r="HP14" s="577"/>
      <c r="HQ14" s="577"/>
      <c r="HR14" s="577"/>
      <c r="HS14" s="577"/>
      <c r="HT14" s="577"/>
      <c r="HU14" s="577"/>
      <c r="HV14" s="577"/>
      <c r="HW14" s="577"/>
      <c r="HX14" s="577"/>
      <c r="HY14" s="577"/>
      <c r="HZ14" s="577"/>
      <c r="IA14" s="577"/>
      <c r="IB14" s="577"/>
      <c r="IC14" s="577"/>
      <c r="ID14" s="577"/>
      <c r="IE14" s="577"/>
      <c r="IF14" s="577"/>
      <c r="IG14" s="577"/>
      <c r="IH14" s="577"/>
      <c r="II14" s="577"/>
      <c r="IJ14" s="577"/>
      <c r="IK14" s="577"/>
      <c r="IL14" s="577"/>
      <c r="IM14" s="577"/>
      <c r="IN14" s="577"/>
      <c r="IO14" s="577"/>
      <c r="IP14" s="577"/>
      <c r="IQ14" s="577"/>
      <c r="IR14" s="577"/>
      <c r="IS14" s="577"/>
      <c r="IT14" s="577"/>
      <c r="IU14" s="577"/>
      <c r="IV14" s="577"/>
    </row>
    <row r="15" spans="1:256" ht="25.5">
      <c r="A15" s="558">
        <v>10</v>
      </c>
      <c r="B15" s="559" t="s">
        <v>165</v>
      </c>
      <c r="C15" s="560" t="s">
        <v>708</v>
      </c>
      <c r="D15" s="580" t="s">
        <v>709</v>
      </c>
      <c r="E15" s="581" t="s">
        <v>692</v>
      </c>
      <c r="F15" s="582">
        <v>743904.0342</v>
      </c>
      <c r="G15" s="582">
        <v>764640.0305936001</v>
      </c>
      <c r="H15" s="561">
        <f t="shared" si="3"/>
        <v>9175680.367123201</v>
      </c>
      <c r="I15" s="561">
        <v>118227</v>
      </c>
      <c r="J15" s="561">
        <v>119464.474</v>
      </c>
      <c r="K15" s="562">
        <f t="shared" si="0"/>
        <v>9413371.841123201</v>
      </c>
      <c r="L15" s="563">
        <v>0.3</v>
      </c>
      <c r="M15" s="564">
        <f t="shared" si="4"/>
        <v>2824011.55233696</v>
      </c>
      <c r="N15" s="563">
        <v>0.2</v>
      </c>
      <c r="O15" s="562">
        <f t="shared" si="5"/>
        <v>1882674.3682246404</v>
      </c>
      <c r="P15" s="565">
        <v>0.3</v>
      </c>
      <c r="Q15" s="562">
        <f t="shared" si="1"/>
        <v>2824011.55233696</v>
      </c>
      <c r="R15" s="565">
        <v>0.2</v>
      </c>
      <c r="S15" s="562">
        <f t="shared" si="2"/>
        <v>1882674.3682246404</v>
      </c>
      <c r="T15" s="566">
        <f t="shared" si="6"/>
        <v>1</v>
      </c>
      <c r="U15" s="577"/>
      <c r="V15" s="577"/>
      <c r="W15" s="577"/>
      <c r="X15" s="577"/>
      <c r="Y15" s="577"/>
      <c r="Z15" s="577"/>
      <c r="AA15" s="577"/>
      <c r="AB15" s="579"/>
      <c r="AC15" s="579"/>
      <c r="AD15" s="579"/>
      <c r="AE15" s="577"/>
      <c r="AF15" s="577"/>
      <c r="AG15" s="577"/>
      <c r="AH15" s="577"/>
      <c r="AI15" s="577"/>
      <c r="AJ15" s="577"/>
      <c r="AK15" s="577"/>
      <c r="AL15" s="577"/>
      <c r="AM15" s="577"/>
      <c r="AN15" s="577"/>
      <c r="AO15" s="577"/>
      <c r="AP15" s="577"/>
      <c r="AQ15" s="577"/>
      <c r="AR15" s="577"/>
      <c r="AS15" s="577"/>
      <c r="AT15" s="577"/>
      <c r="AU15" s="577"/>
      <c r="AV15" s="577"/>
      <c r="AW15" s="577"/>
      <c r="AX15" s="577"/>
      <c r="AY15" s="577"/>
      <c r="AZ15" s="577"/>
      <c r="BA15" s="577"/>
      <c r="BB15" s="577"/>
      <c r="BC15" s="577"/>
      <c r="BD15" s="577"/>
      <c r="BE15" s="577"/>
      <c r="BF15" s="577"/>
      <c r="BG15" s="577"/>
      <c r="BH15" s="577"/>
      <c r="BI15" s="577"/>
      <c r="BJ15" s="577"/>
      <c r="BK15" s="577"/>
      <c r="BL15" s="577"/>
      <c r="BM15" s="577"/>
      <c r="BN15" s="577"/>
      <c r="BO15" s="577"/>
      <c r="BP15" s="577"/>
      <c r="BQ15" s="577"/>
      <c r="BR15" s="577"/>
      <c r="BS15" s="577"/>
      <c r="BT15" s="577"/>
      <c r="BU15" s="577"/>
      <c r="BV15" s="577"/>
      <c r="BW15" s="577"/>
      <c r="BX15" s="577"/>
      <c r="BY15" s="577"/>
      <c r="BZ15" s="577"/>
      <c r="CA15" s="577"/>
      <c r="CB15" s="577"/>
      <c r="CC15" s="577"/>
      <c r="CD15" s="577"/>
      <c r="CE15" s="577"/>
      <c r="CF15" s="577"/>
      <c r="CG15" s="577"/>
      <c r="CH15" s="577"/>
      <c r="CI15" s="577"/>
      <c r="CJ15" s="577"/>
      <c r="CK15" s="577"/>
      <c r="CL15" s="577"/>
      <c r="CM15" s="577"/>
      <c r="CN15" s="577"/>
      <c r="CO15" s="577"/>
      <c r="CP15" s="577"/>
      <c r="CQ15" s="577"/>
      <c r="CR15" s="577"/>
      <c r="CS15" s="577"/>
      <c r="CT15" s="577"/>
      <c r="CU15" s="577"/>
      <c r="CV15" s="577"/>
      <c r="CW15" s="577"/>
      <c r="CX15" s="577"/>
      <c r="CY15" s="577"/>
      <c r="CZ15" s="577"/>
      <c r="DA15" s="577"/>
      <c r="DB15" s="577"/>
      <c r="DC15" s="577"/>
      <c r="DD15" s="577"/>
      <c r="DE15" s="577"/>
      <c r="DF15" s="577"/>
      <c r="DG15" s="577"/>
      <c r="DH15" s="577"/>
      <c r="DI15" s="577"/>
      <c r="DJ15" s="577"/>
      <c r="DK15" s="577"/>
      <c r="DL15" s="577"/>
      <c r="DM15" s="577"/>
      <c r="DN15" s="577"/>
      <c r="DO15" s="577"/>
      <c r="DP15" s="577"/>
      <c r="DQ15" s="577"/>
      <c r="DR15" s="577"/>
      <c r="DS15" s="577"/>
      <c r="DT15" s="577"/>
      <c r="DU15" s="577"/>
      <c r="DV15" s="577"/>
      <c r="DW15" s="577"/>
      <c r="DX15" s="577"/>
      <c r="DY15" s="577"/>
      <c r="DZ15" s="577"/>
      <c r="EA15" s="577"/>
      <c r="EB15" s="577"/>
      <c r="EC15" s="577"/>
      <c r="ED15" s="577"/>
      <c r="EE15" s="577"/>
      <c r="EF15" s="577"/>
      <c r="EG15" s="577"/>
      <c r="EH15" s="577"/>
      <c r="EI15" s="577"/>
      <c r="EJ15" s="577"/>
      <c r="EK15" s="577"/>
      <c r="EL15" s="577"/>
      <c r="EM15" s="577"/>
      <c r="EN15" s="577"/>
      <c r="EO15" s="577"/>
      <c r="EP15" s="577"/>
      <c r="EQ15" s="577"/>
      <c r="ER15" s="577"/>
      <c r="ES15" s="577"/>
      <c r="ET15" s="577"/>
      <c r="EU15" s="577"/>
      <c r="EV15" s="577"/>
      <c r="EW15" s="577"/>
      <c r="EX15" s="577"/>
      <c r="EY15" s="577"/>
      <c r="EZ15" s="577"/>
      <c r="FA15" s="577"/>
      <c r="FB15" s="577"/>
      <c r="FC15" s="577"/>
      <c r="FD15" s="577"/>
      <c r="FE15" s="577"/>
      <c r="FF15" s="577"/>
      <c r="FG15" s="577"/>
      <c r="FH15" s="577"/>
      <c r="FI15" s="577"/>
      <c r="FJ15" s="577"/>
      <c r="FK15" s="577"/>
      <c r="FL15" s="577"/>
      <c r="FM15" s="577"/>
      <c r="FN15" s="577"/>
      <c r="FO15" s="577"/>
      <c r="FP15" s="577"/>
      <c r="FQ15" s="577"/>
      <c r="FR15" s="577"/>
      <c r="FS15" s="577"/>
      <c r="FT15" s="577"/>
      <c r="FU15" s="577"/>
      <c r="FV15" s="577"/>
      <c r="FW15" s="577"/>
      <c r="FX15" s="577"/>
      <c r="FY15" s="577"/>
      <c r="FZ15" s="577"/>
      <c r="GA15" s="577"/>
      <c r="GB15" s="577"/>
      <c r="GC15" s="577"/>
      <c r="GD15" s="577"/>
      <c r="GE15" s="577"/>
      <c r="GF15" s="577"/>
      <c r="GG15" s="577"/>
      <c r="GH15" s="577"/>
      <c r="GI15" s="577"/>
      <c r="GJ15" s="577"/>
      <c r="GK15" s="577"/>
      <c r="GL15" s="577"/>
      <c r="GM15" s="577"/>
      <c r="GN15" s="577"/>
      <c r="GO15" s="577"/>
      <c r="GP15" s="577"/>
      <c r="GQ15" s="577"/>
      <c r="GR15" s="577"/>
      <c r="GS15" s="577"/>
      <c r="GT15" s="577"/>
      <c r="GU15" s="577"/>
      <c r="GV15" s="577"/>
      <c r="GW15" s="577"/>
      <c r="GX15" s="577"/>
      <c r="GY15" s="577"/>
      <c r="GZ15" s="577"/>
      <c r="HA15" s="577"/>
      <c r="HB15" s="577"/>
      <c r="HC15" s="577"/>
      <c r="HD15" s="577"/>
      <c r="HE15" s="577"/>
      <c r="HF15" s="577"/>
      <c r="HG15" s="577"/>
      <c r="HH15" s="577"/>
      <c r="HI15" s="577"/>
      <c r="HJ15" s="577"/>
      <c r="HK15" s="577"/>
      <c r="HL15" s="577"/>
      <c r="HM15" s="577"/>
      <c r="HN15" s="577"/>
      <c r="HO15" s="577"/>
      <c r="HP15" s="577"/>
      <c r="HQ15" s="577"/>
      <c r="HR15" s="577"/>
      <c r="HS15" s="577"/>
      <c r="HT15" s="577"/>
      <c r="HU15" s="577"/>
      <c r="HV15" s="577"/>
      <c r="HW15" s="577"/>
      <c r="HX15" s="577"/>
      <c r="HY15" s="577"/>
      <c r="HZ15" s="577"/>
      <c r="IA15" s="577"/>
      <c r="IB15" s="577"/>
      <c r="IC15" s="577"/>
      <c r="ID15" s="577"/>
      <c r="IE15" s="577"/>
      <c r="IF15" s="577"/>
      <c r="IG15" s="577"/>
      <c r="IH15" s="577"/>
      <c r="II15" s="577"/>
      <c r="IJ15" s="577"/>
      <c r="IK15" s="577"/>
      <c r="IL15" s="577"/>
      <c r="IM15" s="577"/>
      <c r="IN15" s="577"/>
      <c r="IO15" s="577"/>
      <c r="IP15" s="577"/>
      <c r="IQ15" s="577"/>
      <c r="IR15" s="577"/>
      <c r="IS15" s="577"/>
      <c r="IT15" s="577"/>
      <c r="IU15" s="577"/>
      <c r="IV15" s="577"/>
    </row>
    <row r="16" spans="1:256" ht="12.75">
      <c r="A16" s="558">
        <v>11</v>
      </c>
      <c r="B16" s="559" t="s">
        <v>165</v>
      </c>
      <c r="C16" s="560" t="s">
        <v>710</v>
      </c>
      <c r="D16" s="580" t="s">
        <v>698</v>
      </c>
      <c r="E16" s="581" t="s">
        <v>692</v>
      </c>
      <c r="F16" s="582">
        <v>785814.273</v>
      </c>
      <c r="G16" s="582">
        <v>806865.4620010001</v>
      </c>
      <c r="H16" s="561">
        <f t="shared" si="3"/>
        <v>9682385.544012</v>
      </c>
      <c r="I16" s="561">
        <v>118227</v>
      </c>
      <c r="J16" s="561">
        <v>119464.474</v>
      </c>
      <c r="K16" s="562">
        <f t="shared" si="0"/>
        <v>9920077.018012</v>
      </c>
      <c r="L16" s="563">
        <v>1</v>
      </c>
      <c r="M16" s="564">
        <f t="shared" si="4"/>
        <v>9920077.018012</v>
      </c>
      <c r="N16" s="563">
        <v>0</v>
      </c>
      <c r="O16" s="562">
        <f t="shared" si="5"/>
        <v>0</v>
      </c>
      <c r="P16" s="565">
        <v>0</v>
      </c>
      <c r="Q16" s="562">
        <v>0</v>
      </c>
      <c r="R16" s="565">
        <v>0</v>
      </c>
      <c r="S16" s="562">
        <f t="shared" si="2"/>
        <v>0</v>
      </c>
      <c r="T16" s="566">
        <f t="shared" si="6"/>
        <v>1</v>
      </c>
      <c r="U16" s="577"/>
      <c r="V16" s="577"/>
      <c r="W16" s="577"/>
      <c r="X16" s="577"/>
      <c r="Y16" s="577"/>
      <c r="Z16" s="577"/>
      <c r="AA16" s="577"/>
      <c r="AB16" s="579"/>
      <c r="AC16" s="579"/>
      <c r="AD16" s="579"/>
      <c r="AE16" s="577"/>
      <c r="AF16" s="577"/>
      <c r="AG16" s="577"/>
      <c r="AH16" s="577"/>
      <c r="AI16" s="577"/>
      <c r="AJ16" s="577"/>
      <c r="AK16" s="577"/>
      <c r="AL16" s="577"/>
      <c r="AM16" s="577"/>
      <c r="AN16" s="577"/>
      <c r="AO16" s="577"/>
      <c r="AP16" s="577"/>
      <c r="AQ16" s="577"/>
      <c r="AR16" s="577"/>
      <c r="AS16" s="577"/>
      <c r="AT16" s="577"/>
      <c r="AU16" s="577"/>
      <c r="AV16" s="577"/>
      <c r="AW16" s="577"/>
      <c r="AX16" s="577"/>
      <c r="AY16" s="577"/>
      <c r="AZ16" s="577"/>
      <c r="BA16" s="577"/>
      <c r="BB16" s="577"/>
      <c r="BC16" s="577"/>
      <c r="BD16" s="577"/>
      <c r="BE16" s="577"/>
      <c r="BF16" s="577"/>
      <c r="BG16" s="577"/>
      <c r="BH16" s="577"/>
      <c r="BI16" s="577"/>
      <c r="BJ16" s="577"/>
      <c r="BK16" s="577"/>
      <c r="BL16" s="577"/>
      <c r="BM16" s="577"/>
      <c r="BN16" s="577"/>
      <c r="BO16" s="577"/>
      <c r="BP16" s="577"/>
      <c r="BQ16" s="577"/>
      <c r="BR16" s="577"/>
      <c r="BS16" s="577"/>
      <c r="BT16" s="577"/>
      <c r="BU16" s="577"/>
      <c r="BV16" s="577"/>
      <c r="BW16" s="577"/>
      <c r="BX16" s="577"/>
      <c r="BY16" s="577"/>
      <c r="BZ16" s="577"/>
      <c r="CA16" s="577"/>
      <c r="CB16" s="577"/>
      <c r="CC16" s="577"/>
      <c r="CD16" s="577"/>
      <c r="CE16" s="577"/>
      <c r="CF16" s="577"/>
      <c r="CG16" s="577"/>
      <c r="CH16" s="577"/>
      <c r="CI16" s="577"/>
      <c r="CJ16" s="577"/>
      <c r="CK16" s="577"/>
      <c r="CL16" s="577"/>
      <c r="CM16" s="577"/>
      <c r="CN16" s="577"/>
      <c r="CO16" s="577"/>
      <c r="CP16" s="577"/>
      <c r="CQ16" s="577"/>
      <c r="CR16" s="577"/>
      <c r="CS16" s="577"/>
      <c r="CT16" s="577"/>
      <c r="CU16" s="577"/>
      <c r="CV16" s="577"/>
      <c r="CW16" s="577"/>
      <c r="CX16" s="577"/>
      <c r="CY16" s="577"/>
      <c r="CZ16" s="577"/>
      <c r="DA16" s="577"/>
      <c r="DB16" s="577"/>
      <c r="DC16" s="577"/>
      <c r="DD16" s="577"/>
      <c r="DE16" s="577"/>
      <c r="DF16" s="577"/>
      <c r="DG16" s="577"/>
      <c r="DH16" s="577"/>
      <c r="DI16" s="577"/>
      <c r="DJ16" s="577"/>
      <c r="DK16" s="577"/>
      <c r="DL16" s="577"/>
      <c r="DM16" s="577"/>
      <c r="DN16" s="577"/>
      <c r="DO16" s="577"/>
      <c r="DP16" s="577"/>
      <c r="DQ16" s="577"/>
      <c r="DR16" s="577"/>
      <c r="DS16" s="577"/>
      <c r="DT16" s="577"/>
      <c r="DU16" s="577"/>
      <c r="DV16" s="577"/>
      <c r="DW16" s="577"/>
      <c r="DX16" s="577"/>
      <c r="DY16" s="577"/>
      <c r="DZ16" s="577"/>
      <c r="EA16" s="577"/>
      <c r="EB16" s="577"/>
      <c r="EC16" s="577"/>
      <c r="ED16" s="577"/>
      <c r="EE16" s="577"/>
      <c r="EF16" s="577"/>
      <c r="EG16" s="577"/>
      <c r="EH16" s="577"/>
      <c r="EI16" s="577"/>
      <c r="EJ16" s="577"/>
      <c r="EK16" s="577"/>
      <c r="EL16" s="577"/>
      <c r="EM16" s="577"/>
      <c r="EN16" s="577"/>
      <c r="EO16" s="577"/>
      <c r="EP16" s="577"/>
      <c r="EQ16" s="577"/>
      <c r="ER16" s="577"/>
      <c r="ES16" s="577"/>
      <c r="ET16" s="577"/>
      <c r="EU16" s="577"/>
      <c r="EV16" s="577"/>
      <c r="EW16" s="577"/>
      <c r="EX16" s="577"/>
      <c r="EY16" s="577"/>
      <c r="EZ16" s="577"/>
      <c r="FA16" s="577"/>
      <c r="FB16" s="577"/>
      <c r="FC16" s="577"/>
      <c r="FD16" s="577"/>
      <c r="FE16" s="577"/>
      <c r="FF16" s="577"/>
      <c r="FG16" s="577"/>
      <c r="FH16" s="577"/>
      <c r="FI16" s="577"/>
      <c r="FJ16" s="577"/>
      <c r="FK16" s="577"/>
      <c r="FL16" s="577"/>
      <c r="FM16" s="577"/>
      <c r="FN16" s="577"/>
      <c r="FO16" s="577"/>
      <c r="FP16" s="577"/>
      <c r="FQ16" s="577"/>
      <c r="FR16" s="577"/>
      <c r="FS16" s="577"/>
      <c r="FT16" s="577"/>
      <c r="FU16" s="577"/>
      <c r="FV16" s="577"/>
      <c r="FW16" s="577"/>
      <c r="FX16" s="577"/>
      <c r="FY16" s="577"/>
      <c r="FZ16" s="577"/>
      <c r="GA16" s="577"/>
      <c r="GB16" s="577"/>
      <c r="GC16" s="577"/>
      <c r="GD16" s="577"/>
      <c r="GE16" s="577"/>
      <c r="GF16" s="577"/>
      <c r="GG16" s="577"/>
      <c r="GH16" s="577"/>
      <c r="GI16" s="577"/>
      <c r="GJ16" s="577"/>
      <c r="GK16" s="577"/>
      <c r="GL16" s="577"/>
      <c r="GM16" s="577"/>
      <c r="GN16" s="577"/>
      <c r="GO16" s="577"/>
      <c r="GP16" s="577"/>
      <c r="GQ16" s="577"/>
      <c r="GR16" s="577"/>
      <c r="GS16" s="577"/>
      <c r="GT16" s="577"/>
      <c r="GU16" s="577"/>
      <c r="GV16" s="577"/>
      <c r="GW16" s="577"/>
      <c r="GX16" s="577"/>
      <c r="GY16" s="577"/>
      <c r="GZ16" s="577"/>
      <c r="HA16" s="577"/>
      <c r="HB16" s="577"/>
      <c r="HC16" s="577"/>
      <c r="HD16" s="577"/>
      <c r="HE16" s="577"/>
      <c r="HF16" s="577"/>
      <c r="HG16" s="577"/>
      <c r="HH16" s="577"/>
      <c r="HI16" s="577"/>
      <c r="HJ16" s="577"/>
      <c r="HK16" s="577"/>
      <c r="HL16" s="577"/>
      <c r="HM16" s="577"/>
      <c r="HN16" s="577"/>
      <c r="HO16" s="577"/>
      <c r="HP16" s="577"/>
      <c r="HQ16" s="577"/>
      <c r="HR16" s="577"/>
      <c r="HS16" s="577"/>
      <c r="HT16" s="577"/>
      <c r="HU16" s="577"/>
      <c r="HV16" s="577"/>
      <c r="HW16" s="577"/>
      <c r="HX16" s="577"/>
      <c r="HY16" s="577"/>
      <c r="HZ16" s="577"/>
      <c r="IA16" s="577"/>
      <c r="IB16" s="577"/>
      <c r="IC16" s="577"/>
      <c r="ID16" s="577"/>
      <c r="IE16" s="577"/>
      <c r="IF16" s="577"/>
      <c r="IG16" s="577"/>
      <c r="IH16" s="577"/>
      <c r="II16" s="577"/>
      <c r="IJ16" s="577"/>
      <c r="IK16" s="577"/>
      <c r="IL16" s="577"/>
      <c r="IM16" s="577"/>
      <c r="IN16" s="577"/>
      <c r="IO16" s="577"/>
      <c r="IP16" s="577"/>
      <c r="IQ16" s="577"/>
      <c r="IR16" s="577"/>
      <c r="IS16" s="577"/>
      <c r="IT16" s="577"/>
      <c r="IU16" s="577"/>
      <c r="IV16" s="577"/>
    </row>
    <row r="17" spans="1:256" ht="25.5">
      <c r="A17" s="558">
        <v>12</v>
      </c>
      <c r="B17" s="559" t="s">
        <v>165</v>
      </c>
      <c r="C17" s="560" t="s">
        <v>711</v>
      </c>
      <c r="D17" s="580" t="s">
        <v>712</v>
      </c>
      <c r="E17" s="581" t="s">
        <v>692</v>
      </c>
      <c r="F17" s="582">
        <v>786574.146</v>
      </c>
      <c r="G17" s="582">
        <v>808081.727547</v>
      </c>
      <c r="H17" s="561">
        <f t="shared" si="3"/>
        <v>9696980.730564</v>
      </c>
      <c r="I17" s="561">
        <v>118227</v>
      </c>
      <c r="J17" s="561">
        <v>119464.474</v>
      </c>
      <c r="K17" s="562">
        <f t="shared" si="0"/>
        <v>9934672.204564</v>
      </c>
      <c r="L17" s="563">
        <v>0.3</v>
      </c>
      <c r="M17" s="564">
        <f t="shared" si="4"/>
        <v>2980401.6613692</v>
      </c>
      <c r="N17" s="563">
        <v>0.05</v>
      </c>
      <c r="O17" s="562">
        <f t="shared" si="5"/>
        <v>496733.6102282</v>
      </c>
      <c r="P17" s="565">
        <v>0.3</v>
      </c>
      <c r="Q17" s="562">
        <f t="shared" si="1"/>
        <v>2980401.6613692</v>
      </c>
      <c r="R17" s="565">
        <v>0.35</v>
      </c>
      <c r="S17" s="562">
        <f t="shared" si="2"/>
        <v>3477135.2715974</v>
      </c>
      <c r="T17" s="566">
        <f t="shared" si="6"/>
        <v>0.9999999999999999</v>
      </c>
      <c r="U17" s="577"/>
      <c r="V17" s="577"/>
      <c r="W17" s="577"/>
      <c r="X17" s="577"/>
      <c r="Y17" s="577"/>
      <c r="Z17" s="577"/>
      <c r="AA17" s="577"/>
      <c r="AB17" s="579"/>
      <c r="AC17" s="579"/>
      <c r="AD17" s="579"/>
      <c r="AE17" s="577"/>
      <c r="AF17" s="577"/>
      <c r="AG17" s="577"/>
      <c r="AH17" s="577"/>
      <c r="AI17" s="577"/>
      <c r="AJ17" s="577"/>
      <c r="AK17" s="577"/>
      <c r="AL17" s="577"/>
      <c r="AM17" s="577"/>
      <c r="AN17" s="577"/>
      <c r="AO17" s="577"/>
      <c r="AP17" s="577"/>
      <c r="AQ17" s="577"/>
      <c r="AR17" s="577"/>
      <c r="AS17" s="577"/>
      <c r="AT17" s="577"/>
      <c r="AU17" s="577"/>
      <c r="AV17" s="577"/>
      <c r="AW17" s="577"/>
      <c r="AX17" s="577"/>
      <c r="AY17" s="577"/>
      <c r="AZ17" s="577"/>
      <c r="BA17" s="577"/>
      <c r="BB17" s="577"/>
      <c r="BC17" s="577"/>
      <c r="BD17" s="577"/>
      <c r="BE17" s="577"/>
      <c r="BF17" s="577"/>
      <c r="BG17" s="577"/>
      <c r="BH17" s="577"/>
      <c r="BI17" s="577"/>
      <c r="BJ17" s="577"/>
      <c r="BK17" s="577"/>
      <c r="BL17" s="577"/>
      <c r="BM17" s="577"/>
      <c r="BN17" s="577"/>
      <c r="BO17" s="577"/>
      <c r="BP17" s="577"/>
      <c r="BQ17" s="577"/>
      <c r="BR17" s="577"/>
      <c r="BS17" s="577"/>
      <c r="BT17" s="577"/>
      <c r="BU17" s="577"/>
      <c r="BV17" s="577"/>
      <c r="BW17" s="577"/>
      <c r="BX17" s="577"/>
      <c r="BY17" s="577"/>
      <c r="BZ17" s="577"/>
      <c r="CA17" s="577"/>
      <c r="CB17" s="577"/>
      <c r="CC17" s="577"/>
      <c r="CD17" s="577"/>
      <c r="CE17" s="577"/>
      <c r="CF17" s="577"/>
      <c r="CG17" s="577"/>
      <c r="CH17" s="577"/>
      <c r="CI17" s="577"/>
      <c r="CJ17" s="577"/>
      <c r="CK17" s="577"/>
      <c r="CL17" s="577"/>
      <c r="CM17" s="577"/>
      <c r="CN17" s="577"/>
      <c r="CO17" s="577"/>
      <c r="CP17" s="577"/>
      <c r="CQ17" s="577"/>
      <c r="CR17" s="577"/>
      <c r="CS17" s="577"/>
      <c r="CT17" s="577"/>
      <c r="CU17" s="577"/>
      <c r="CV17" s="577"/>
      <c r="CW17" s="577"/>
      <c r="CX17" s="577"/>
      <c r="CY17" s="577"/>
      <c r="CZ17" s="577"/>
      <c r="DA17" s="577"/>
      <c r="DB17" s="577"/>
      <c r="DC17" s="577"/>
      <c r="DD17" s="577"/>
      <c r="DE17" s="577"/>
      <c r="DF17" s="577"/>
      <c r="DG17" s="577"/>
      <c r="DH17" s="577"/>
      <c r="DI17" s="577"/>
      <c r="DJ17" s="577"/>
      <c r="DK17" s="577"/>
      <c r="DL17" s="577"/>
      <c r="DM17" s="577"/>
      <c r="DN17" s="577"/>
      <c r="DO17" s="577"/>
      <c r="DP17" s="577"/>
      <c r="DQ17" s="577"/>
      <c r="DR17" s="577"/>
      <c r="DS17" s="577"/>
      <c r="DT17" s="577"/>
      <c r="DU17" s="577"/>
      <c r="DV17" s="577"/>
      <c r="DW17" s="577"/>
      <c r="DX17" s="577"/>
      <c r="DY17" s="577"/>
      <c r="DZ17" s="577"/>
      <c r="EA17" s="577"/>
      <c r="EB17" s="577"/>
      <c r="EC17" s="577"/>
      <c r="ED17" s="577"/>
      <c r="EE17" s="577"/>
      <c r="EF17" s="577"/>
      <c r="EG17" s="577"/>
      <c r="EH17" s="577"/>
      <c r="EI17" s="577"/>
      <c r="EJ17" s="577"/>
      <c r="EK17" s="577"/>
      <c r="EL17" s="577"/>
      <c r="EM17" s="577"/>
      <c r="EN17" s="577"/>
      <c r="EO17" s="577"/>
      <c r="EP17" s="577"/>
      <c r="EQ17" s="577"/>
      <c r="ER17" s="577"/>
      <c r="ES17" s="577"/>
      <c r="ET17" s="577"/>
      <c r="EU17" s="577"/>
      <c r="EV17" s="577"/>
      <c r="EW17" s="577"/>
      <c r="EX17" s="577"/>
      <c r="EY17" s="577"/>
      <c r="EZ17" s="577"/>
      <c r="FA17" s="577"/>
      <c r="FB17" s="577"/>
      <c r="FC17" s="577"/>
      <c r="FD17" s="577"/>
      <c r="FE17" s="577"/>
      <c r="FF17" s="577"/>
      <c r="FG17" s="577"/>
      <c r="FH17" s="577"/>
      <c r="FI17" s="577"/>
      <c r="FJ17" s="577"/>
      <c r="FK17" s="577"/>
      <c r="FL17" s="577"/>
      <c r="FM17" s="577"/>
      <c r="FN17" s="577"/>
      <c r="FO17" s="577"/>
      <c r="FP17" s="577"/>
      <c r="FQ17" s="577"/>
      <c r="FR17" s="577"/>
      <c r="FS17" s="577"/>
      <c r="FT17" s="577"/>
      <c r="FU17" s="577"/>
      <c r="FV17" s="577"/>
      <c r="FW17" s="577"/>
      <c r="FX17" s="577"/>
      <c r="FY17" s="577"/>
      <c r="FZ17" s="577"/>
      <c r="GA17" s="577"/>
      <c r="GB17" s="577"/>
      <c r="GC17" s="577"/>
      <c r="GD17" s="577"/>
      <c r="GE17" s="577"/>
      <c r="GF17" s="577"/>
      <c r="GG17" s="577"/>
      <c r="GH17" s="577"/>
      <c r="GI17" s="577"/>
      <c r="GJ17" s="577"/>
      <c r="GK17" s="577"/>
      <c r="GL17" s="577"/>
      <c r="GM17" s="577"/>
      <c r="GN17" s="577"/>
      <c r="GO17" s="577"/>
      <c r="GP17" s="577"/>
      <c r="GQ17" s="577"/>
      <c r="GR17" s="577"/>
      <c r="GS17" s="577"/>
      <c r="GT17" s="577"/>
      <c r="GU17" s="577"/>
      <c r="GV17" s="577"/>
      <c r="GW17" s="577"/>
      <c r="GX17" s="577"/>
      <c r="GY17" s="577"/>
      <c r="GZ17" s="577"/>
      <c r="HA17" s="577"/>
      <c r="HB17" s="577"/>
      <c r="HC17" s="577"/>
      <c r="HD17" s="577"/>
      <c r="HE17" s="577"/>
      <c r="HF17" s="577"/>
      <c r="HG17" s="577"/>
      <c r="HH17" s="577"/>
      <c r="HI17" s="577"/>
      <c r="HJ17" s="577"/>
      <c r="HK17" s="577"/>
      <c r="HL17" s="577"/>
      <c r="HM17" s="577"/>
      <c r="HN17" s="577"/>
      <c r="HO17" s="577"/>
      <c r="HP17" s="577"/>
      <c r="HQ17" s="577"/>
      <c r="HR17" s="577"/>
      <c r="HS17" s="577"/>
      <c r="HT17" s="577"/>
      <c r="HU17" s="577"/>
      <c r="HV17" s="577"/>
      <c r="HW17" s="577"/>
      <c r="HX17" s="577"/>
      <c r="HY17" s="577"/>
      <c r="HZ17" s="577"/>
      <c r="IA17" s="577"/>
      <c r="IB17" s="577"/>
      <c r="IC17" s="577"/>
      <c r="ID17" s="577"/>
      <c r="IE17" s="577"/>
      <c r="IF17" s="577"/>
      <c r="IG17" s="577"/>
      <c r="IH17" s="577"/>
      <c r="II17" s="577"/>
      <c r="IJ17" s="577"/>
      <c r="IK17" s="577"/>
      <c r="IL17" s="577"/>
      <c r="IM17" s="577"/>
      <c r="IN17" s="577"/>
      <c r="IO17" s="577"/>
      <c r="IP17" s="577"/>
      <c r="IQ17" s="577"/>
      <c r="IR17" s="577"/>
      <c r="IS17" s="577"/>
      <c r="IT17" s="577"/>
      <c r="IU17" s="577"/>
      <c r="IV17" s="577"/>
    </row>
    <row r="18" spans="1:256" ht="25.5">
      <c r="A18" s="558">
        <v>13</v>
      </c>
      <c r="B18" s="559" t="s">
        <v>165</v>
      </c>
      <c r="C18" s="560" t="s">
        <v>713</v>
      </c>
      <c r="D18" s="580" t="s">
        <v>714</v>
      </c>
      <c r="E18" s="581" t="s">
        <v>692</v>
      </c>
      <c r="F18" s="582">
        <v>828490.3003</v>
      </c>
      <c r="G18" s="582">
        <v>850842.0778123001</v>
      </c>
      <c r="H18" s="561">
        <f t="shared" si="3"/>
        <v>10210104.9337476</v>
      </c>
      <c r="I18" s="561">
        <v>118227</v>
      </c>
      <c r="J18" s="561">
        <v>119464.474</v>
      </c>
      <c r="K18" s="562">
        <f t="shared" si="0"/>
        <v>10447796.4077476</v>
      </c>
      <c r="L18" s="563">
        <v>0.3</v>
      </c>
      <c r="M18" s="564">
        <f t="shared" si="4"/>
        <v>3134338.92232428</v>
      </c>
      <c r="N18" s="563">
        <v>0.25</v>
      </c>
      <c r="O18" s="562">
        <f t="shared" si="5"/>
        <v>2611949.1019369</v>
      </c>
      <c r="P18" s="565">
        <v>0.3</v>
      </c>
      <c r="Q18" s="562">
        <f t="shared" si="1"/>
        <v>3134338.92232428</v>
      </c>
      <c r="R18" s="565">
        <v>0.15</v>
      </c>
      <c r="S18" s="562">
        <f t="shared" si="2"/>
        <v>1567169.46116214</v>
      </c>
      <c r="T18" s="566">
        <f t="shared" si="6"/>
        <v>1</v>
      </c>
      <c r="U18" s="577"/>
      <c r="V18" s="577"/>
      <c r="W18" s="577"/>
      <c r="X18" s="577"/>
      <c r="Y18" s="577"/>
      <c r="Z18" s="577"/>
      <c r="AA18" s="577"/>
      <c r="AB18" s="579"/>
      <c r="AC18" s="579"/>
      <c r="AD18" s="579"/>
      <c r="AE18" s="577"/>
      <c r="AF18" s="577"/>
      <c r="AG18" s="577"/>
      <c r="AH18" s="577"/>
      <c r="AI18" s="577"/>
      <c r="AJ18" s="577"/>
      <c r="AK18" s="577"/>
      <c r="AL18" s="577"/>
      <c r="AM18" s="577"/>
      <c r="AN18" s="577"/>
      <c r="AO18" s="577"/>
      <c r="AP18" s="577"/>
      <c r="AQ18" s="577"/>
      <c r="AR18" s="577"/>
      <c r="AS18" s="577"/>
      <c r="AT18" s="577"/>
      <c r="AU18" s="577"/>
      <c r="AV18" s="577"/>
      <c r="AW18" s="577"/>
      <c r="AX18" s="577"/>
      <c r="AY18" s="577"/>
      <c r="AZ18" s="577"/>
      <c r="BA18" s="577"/>
      <c r="BB18" s="577"/>
      <c r="BC18" s="577"/>
      <c r="BD18" s="577"/>
      <c r="BE18" s="577"/>
      <c r="BF18" s="577"/>
      <c r="BG18" s="577"/>
      <c r="BH18" s="577"/>
      <c r="BI18" s="577"/>
      <c r="BJ18" s="577"/>
      <c r="BK18" s="577"/>
      <c r="BL18" s="577"/>
      <c r="BM18" s="577"/>
      <c r="BN18" s="577"/>
      <c r="BO18" s="577"/>
      <c r="BP18" s="577"/>
      <c r="BQ18" s="577"/>
      <c r="BR18" s="577"/>
      <c r="BS18" s="577"/>
      <c r="BT18" s="577"/>
      <c r="BU18" s="577"/>
      <c r="BV18" s="577"/>
      <c r="BW18" s="577"/>
      <c r="BX18" s="577"/>
      <c r="BY18" s="577"/>
      <c r="BZ18" s="577"/>
      <c r="CA18" s="577"/>
      <c r="CB18" s="577"/>
      <c r="CC18" s="577"/>
      <c r="CD18" s="577"/>
      <c r="CE18" s="577"/>
      <c r="CF18" s="577"/>
      <c r="CG18" s="577"/>
      <c r="CH18" s="577"/>
      <c r="CI18" s="577"/>
      <c r="CJ18" s="577"/>
      <c r="CK18" s="577"/>
      <c r="CL18" s="577"/>
      <c r="CM18" s="577"/>
      <c r="CN18" s="577"/>
      <c r="CO18" s="577"/>
      <c r="CP18" s="577"/>
      <c r="CQ18" s="577"/>
      <c r="CR18" s="577"/>
      <c r="CS18" s="577"/>
      <c r="CT18" s="577"/>
      <c r="CU18" s="577"/>
      <c r="CV18" s="577"/>
      <c r="CW18" s="577"/>
      <c r="CX18" s="577"/>
      <c r="CY18" s="577"/>
      <c r="CZ18" s="577"/>
      <c r="DA18" s="577"/>
      <c r="DB18" s="577"/>
      <c r="DC18" s="577"/>
      <c r="DD18" s="577"/>
      <c r="DE18" s="577"/>
      <c r="DF18" s="577"/>
      <c r="DG18" s="577"/>
      <c r="DH18" s="577"/>
      <c r="DI18" s="577"/>
      <c r="DJ18" s="577"/>
      <c r="DK18" s="577"/>
      <c r="DL18" s="577"/>
      <c r="DM18" s="577"/>
      <c r="DN18" s="577"/>
      <c r="DO18" s="577"/>
      <c r="DP18" s="577"/>
      <c r="DQ18" s="577"/>
      <c r="DR18" s="577"/>
      <c r="DS18" s="577"/>
      <c r="DT18" s="577"/>
      <c r="DU18" s="577"/>
      <c r="DV18" s="577"/>
      <c r="DW18" s="577"/>
      <c r="DX18" s="577"/>
      <c r="DY18" s="577"/>
      <c r="DZ18" s="577"/>
      <c r="EA18" s="577"/>
      <c r="EB18" s="577"/>
      <c r="EC18" s="577"/>
      <c r="ED18" s="577"/>
      <c r="EE18" s="577"/>
      <c r="EF18" s="577"/>
      <c r="EG18" s="577"/>
      <c r="EH18" s="577"/>
      <c r="EI18" s="577"/>
      <c r="EJ18" s="577"/>
      <c r="EK18" s="577"/>
      <c r="EL18" s="577"/>
      <c r="EM18" s="577"/>
      <c r="EN18" s="577"/>
      <c r="EO18" s="577"/>
      <c r="EP18" s="577"/>
      <c r="EQ18" s="577"/>
      <c r="ER18" s="577"/>
      <c r="ES18" s="577"/>
      <c r="ET18" s="577"/>
      <c r="EU18" s="577"/>
      <c r="EV18" s="577"/>
      <c r="EW18" s="577"/>
      <c r="EX18" s="577"/>
      <c r="EY18" s="577"/>
      <c r="EZ18" s="577"/>
      <c r="FA18" s="577"/>
      <c r="FB18" s="577"/>
      <c r="FC18" s="577"/>
      <c r="FD18" s="577"/>
      <c r="FE18" s="577"/>
      <c r="FF18" s="577"/>
      <c r="FG18" s="577"/>
      <c r="FH18" s="577"/>
      <c r="FI18" s="577"/>
      <c r="FJ18" s="577"/>
      <c r="FK18" s="577"/>
      <c r="FL18" s="577"/>
      <c r="FM18" s="577"/>
      <c r="FN18" s="577"/>
      <c r="FO18" s="577"/>
      <c r="FP18" s="577"/>
      <c r="FQ18" s="577"/>
      <c r="FR18" s="577"/>
      <c r="FS18" s="577"/>
      <c r="FT18" s="577"/>
      <c r="FU18" s="577"/>
      <c r="FV18" s="577"/>
      <c r="FW18" s="577"/>
      <c r="FX18" s="577"/>
      <c r="FY18" s="577"/>
      <c r="FZ18" s="577"/>
      <c r="GA18" s="577"/>
      <c r="GB18" s="577"/>
      <c r="GC18" s="577"/>
      <c r="GD18" s="577"/>
      <c r="GE18" s="577"/>
      <c r="GF18" s="577"/>
      <c r="GG18" s="577"/>
      <c r="GH18" s="577"/>
      <c r="GI18" s="577"/>
      <c r="GJ18" s="577"/>
      <c r="GK18" s="577"/>
      <c r="GL18" s="577"/>
      <c r="GM18" s="577"/>
      <c r="GN18" s="577"/>
      <c r="GO18" s="577"/>
      <c r="GP18" s="577"/>
      <c r="GQ18" s="577"/>
      <c r="GR18" s="577"/>
      <c r="GS18" s="577"/>
      <c r="GT18" s="577"/>
      <c r="GU18" s="577"/>
      <c r="GV18" s="577"/>
      <c r="GW18" s="577"/>
      <c r="GX18" s="577"/>
      <c r="GY18" s="577"/>
      <c r="GZ18" s="577"/>
      <c r="HA18" s="577"/>
      <c r="HB18" s="577"/>
      <c r="HC18" s="577"/>
      <c r="HD18" s="577"/>
      <c r="HE18" s="577"/>
      <c r="HF18" s="577"/>
      <c r="HG18" s="577"/>
      <c r="HH18" s="577"/>
      <c r="HI18" s="577"/>
      <c r="HJ18" s="577"/>
      <c r="HK18" s="577"/>
      <c r="HL18" s="577"/>
      <c r="HM18" s="577"/>
      <c r="HN18" s="577"/>
      <c r="HO18" s="577"/>
      <c r="HP18" s="577"/>
      <c r="HQ18" s="577"/>
      <c r="HR18" s="577"/>
      <c r="HS18" s="577"/>
      <c r="HT18" s="577"/>
      <c r="HU18" s="577"/>
      <c r="HV18" s="577"/>
      <c r="HW18" s="577"/>
      <c r="HX18" s="577"/>
      <c r="HY18" s="577"/>
      <c r="HZ18" s="577"/>
      <c r="IA18" s="577"/>
      <c r="IB18" s="577"/>
      <c r="IC18" s="577"/>
      <c r="ID18" s="577"/>
      <c r="IE18" s="577"/>
      <c r="IF18" s="577"/>
      <c r="IG18" s="577"/>
      <c r="IH18" s="577"/>
      <c r="II18" s="577"/>
      <c r="IJ18" s="577"/>
      <c r="IK18" s="577"/>
      <c r="IL18" s="577"/>
      <c r="IM18" s="577"/>
      <c r="IN18" s="577"/>
      <c r="IO18" s="577"/>
      <c r="IP18" s="577"/>
      <c r="IQ18" s="577"/>
      <c r="IR18" s="577"/>
      <c r="IS18" s="577"/>
      <c r="IT18" s="577"/>
      <c r="IU18" s="577"/>
      <c r="IV18" s="577"/>
    </row>
    <row r="19" spans="1:256" ht="12.75">
      <c r="A19" s="558">
        <v>14</v>
      </c>
      <c r="B19" s="559" t="s">
        <v>165</v>
      </c>
      <c r="C19" s="560" t="s">
        <v>715</v>
      </c>
      <c r="D19" s="580" t="s">
        <v>716</v>
      </c>
      <c r="E19" s="581" t="s">
        <v>692</v>
      </c>
      <c r="F19" s="582">
        <v>921567.7071</v>
      </c>
      <c r="G19" s="582">
        <v>945886.1393555001</v>
      </c>
      <c r="H19" s="561">
        <f t="shared" si="3"/>
        <v>11350633.672266</v>
      </c>
      <c r="I19" s="561">
        <v>118227</v>
      </c>
      <c r="J19" s="561">
        <v>119464.474</v>
      </c>
      <c r="K19" s="562">
        <f t="shared" si="0"/>
        <v>11588325.146266</v>
      </c>
      <c r="L19" s="563">
        <v>0.3</v>
      </c>
      <c r="M19" s="564">
        <f t="shared" si="4"/>
        <v>3476497.5438798</v>
      </c>
      <c r="N19" s="563">
        <v>0</v>
      </c>
      <c r="O19" s="562">
        <f t="shared" si="5"/>
        <v>0</v>
      </c>
      <c r="P19" s="565">
        <v>0.3</v>
      </c>
      <c r="Q19" s="562">
        <f t="shared" si="1"/>
        <v>3476497.5438798</v>
      </c>
      <c r="R19" s="565">
        <v>0.4</v>
      </c>
      <c r="S19" s="562">
        <f t="shared" si="2"/>
        <v>4635330.0585064</v>
      </c>
      <c r="T19" s="566">
        <f t="shared" si="6"/>
        <v>1</v>
      </c>
      <c r="U19" s="577"/>
      <c r="V19" s="577"/>
      <c r="W19" s="577"/>
      <c r="X19" s="577"/>
      <c r="Y19" s="577"/>
      <c r="Z19" s="577"/>
      <c r="AA19" s="577"/>
      <c r="AB19" s="579"/>
      <c r="AC19" s="579"/>
      <c r="AD19" s="579"/>
      <c r="AE19" s="577"/>
      <c r="AF19" s="577"/>
      <c r="AG19" s="577"/>
      <c r="AH19" s="577"/>
      <c r="AI19" s="577"/>
      <c r="AJ19" s="577"/>
      <c r="AK19" s="577"/>
      <c r="AL19" s="577"/>
      <c r="AM19" s="577"/>
      <c r="AN19" s="577"/>
      <c r="AO19" s="577"/>
      <c r="AP19" s="577"/>
      <c r="AQ19" s="577"/>
      <c r="AR19" s="577"/>
      <c r="AS19" s="577"/>
      <c r="AT19" s="577"/>
      <c r="AU19" s="577"/>
      <c r="AV19" s="577"/>
      <c r="AW19" s="577"/>
      <c r="AX19" s="577"/>
      <c r="AY19" s="577"/>
      <c r="AZ19" s="577"/>
      <c r="BA19" s="577"/>
      <c r="BB19" s="577"/>
      <c r="BC19" s="577"/>
      <c r="BD19" s="577"/>
      <c r="BE19" s="577"/>
      <c r="BF19" s="577"/>
      <c r="BG19" s="577"/>
      <c r="BH19" s="577"/>
      <c r="BI19" s="577"/>
      <c r="BJ19" s="577"/>
      <c r="BK19" s="577"/>
      <c r="BL19" s="577"/>
      <c r="BM19" s="577"/>
      <c r="BN19" s="577"/>
      <c r="BO19" s="577"/>
      <c r="BP19" s="577"/>
      <c r="BQ19" s="577"/>
      <c r="BR19" s="577"/>
      <c r="BS19" s="577"/>
      <c r="BT19" s="577"/>
      <c r="BU19" s="577"/>
      <c r="BV19" s="577"/>
      <c r="BW19" s="577"/>
      <c r="BX19" s="577"/>
      <c r="BY19" s="577"/>
      <c r="BZ19" s="577"/>
      <c r="CA19" s="577"/>
      <c r="CB19" s="577"/>
      <c r="CC19" s="577"/>
      <c r="CD19" s="577"/>
      <c r="CE19" s="577"/>
      <c r="CF19" s="577"/>
      <c r="CG19" s="577"/>
      <c r="CH19" s="577"/>
      <c r="CI19" s="577"/>
      <c r="CJ19" s="577"/>
      <c r="CK19" s="577"/>
      <c r="CL19" s="577"/>
      <c r="CM19" s="577"/>
      <c r="CN19" s="577"/>
      <c r="CO19" s="577"/>
      <c r="CP19" s="577"/>
      <c r="CQ19" s="577"/>
      <c r="CR19" s="577"/>
      <c r="CS19" s="577"/>
      <c r="CT19" s="577"/>
      <c r="CU19" s="577"/>
      <c r="CV19" s="577"/>
      <c r="CW19" s="577"/>
      <c r="CX19" s="577"/>
      <c r="CY19" s="577"/>
      <c r="CZ19" s="577"/>
      <c r="DA19" s="577"/>
      <c r="DB19" s="577"/>
      <c r="DC19" s="577"/>
      <c r="DD19" s="577"/>
      <c r="DE19" s="577"/>
      <c r="DF19" s="577"/>
      <c r="DG19" s="577"/>
      <c r="DH19" s="577"/>
      <c r="DI19" s="577"/>
      <c r="DJ19" s="577"/>
      <c r="DK19" s="577"/>
      <c r="DL19" s="577"/>
      <c r="DM19" s="577"/>
      <c r="DN19" s="577"/>
      <c r="DO19" s="577"/>
      <c r="DP19" s="577"/>
      <c r="DQ19" s="577"/>
      <c r="DR19" s="577"/>
      <c r="DS19" s="577"/>
      <c r="DT19" s="577"/>
      <c r="DU19" s="577"/>
      <c r="DV19" s="577"/>
      <c r="DW19" s="577"/>
      <c r="DX19" s="577"/>
      <c r="DY19" s="577"/>
      <c r="DZ19" s="577"/>
      <c r="EA19" s="577"/>
      <c r="EB19" s="577"/>
      <c r="EC19" s="577"/>
      <c r="ED19" s="577"/>
      <c r="EE19" s="577"/>
      <c r="EF19" s="577"/>
      <c r="EG19" s="577"/>
      <c r="EH19" s="577"/>
      <c r="EI19" s="577"/>
      <c r="EJ19" s="577"/>
      <c r="EK19" s="577"/>
      <c r="EL19" s="577"/>
      <c r="EM19" s="577"/>
      <c r="EN19" s="577"/>
      <c r="EO19" s="577"/>
      <c r="EP19" s="577"/>
      <c r="EQ19" s="577"/>
      <c r="ER19" s="577"/>
      <c r="ES19" s="577"/>
      <c r="ET19" s="577"/>
      <c r="EU19" s="577"/>
      <c r="EV19" s="577"/>
      <c r="EW19" s="577"/>
      <c r="EX19" s="577"/>
      <c r="EY19" s="577"/>
      <c r="EZ19" s="577"/>
      <c r="FA19" s="577"/>
      <c r="FB19" s="577"/>
      <c r="FC19" s="577"/>
      <c r="FD19" s="577"/>
      <c r="FE19" s="577"/>
      <c r="FF19" s="577"/>
      <c r="FG19" s="577"/>
      <c r="FH19" s="577"/>
      <c r="FI19" s="577"/>
      <c r="FJ19" s="577"/>
      <c r="FK19" s="577"/>
      <c r="FL19" s="577"/>
      <c r="FM19" s="577"/>
      <c r="FN19" s="577"/>
      <c r="FO19" s="577"/>
      <c r="FP19" s="577"/>
      <c r="FQ19" s="577"/>
      <c r="FR19" s="577"/>
      <c r="FS19" s="577"/>
      <c r="FT19" s="577"/>
      <c r="FU19" s="577"/>
      <c r="FV19" s="577"/>
      <c r="FW19" s="577"/>
      <c r="FX19" s="577"/>
      <c r="FY19" s="577"/>
      <c r="FZ19" s="577"/>
      <c r="GA19" s="577"/>
      <c r="GB19" s="577"/>
      <c r="GC19" s="577"/>
      <c r="GD19" s="577"/>
      <c r="GE19" s="577"/>
      <c r="GF19" s="577"/>
      <c r="GG19" s="577"/>
      <c r="GH19" s="577"/>
      <c r="GI19" s="577"/>
      <c r="GJ19" s="577"/>
      <c r="GK19" s="577"/>
      <c r="GL19" s="577"/>
      <c r="GM19" s="577"/>
      <c r="GN19" s="577"/>
      <c r="GO19" s="577"/>
      <c r="GP19" s="577"/>
      <c r="GQ19" s="577"/>
      <c r="GR19" s="577"/>
      <c r="GS19" s="577"/>
      <c r="GT19" s="577"/>
      <c r="GU19" s="577"/>
      <c r="GV19" s="577"/>
      <c r="GW19" s="577"/>
      <c r="GX19" s="577"/>
      <c r="GY19" s="577"/>
      <c r="GZ19" s="577"/>
      <c r="HA19" s="577"/>
      <c r="HB19" s="577"/>
      <c r="HC19" s="577"/>
      <c r="HD19" s="577"/>
      <c r="HE19" s="577"/>
      <c r="HF19" s="577"/>
      <c r="HG19" s="577"/>
      <c r="HH19" s="577"/>
      <c r="HI19" s="577"/>
      <c r="HJ19" s="577"/>
      <c r="HK19" s="577"/>
      <c r="HL19" s="577"/>
      <c r="HM19" s="577"/>
      <c r="HN19" s="577"/>
      <c r="HO19" s="577"/>
      <c r="HP19" s="577"/>
      <c r="HQ19" s="577"/>
      <c r="HR19" s="577"/>
      <c r="HS19" s="577"/>
      <c r="HT19" s="577"/>
      <c r="HU19" s="577"/>
      <c r="HV19" s="577"/>
      <c r="HW19" s="577"/>
      <c r="HX19" s="577"/>
      <c r="HY19" s="577"/>
      <c r="HZ19" s="577"/>
      <c r="IA19" s="577"/>
      <c r="IB19" s="577"/>
      <c r="IC19" s="577"/>
      <c r="ID19" s="577"/>
      <c r="IE19" s="577"/>
      <c r="IF19" s="577"/>
      <c r="IG19" s="577"/>
      <c r="IH19" s="577"/>
      <c r="II19" s="577"/>
      <c r="IJ19" s="577"/>
      <c r="IK19" s="577"/>
      <c r="IL19" s="577"/>
      <c r="IM19" s="577"/>
      <c r="IN19" s="577"/>
      <c r="IO19" s="577"/>
      <c r="IP19" s="577"/>
      <c r="IQ19" s="577"/>
      <c r="IR19" s="577"/>
      <c r="IS19" s="577"/>
      <c r="IT19" s="577"/>
      <c r="IU19" s="577"/>
      <c r="IV19" s="577"/>
    </row>
    <row r="20" spans="1:256" ht="12.75">
      <c r="A20" s="558">
        <v>15</v>
      </c>
      <c r="B20" s="559" t="s">
        <v>165</v>
      </c>
      <c r="C20" s="560" t="s">
        <v>717</v>
      </c>
      <c r="D20" s="580" t="s">
        <v>718</v>
      </c>
      <c r="E20" s="581" t="s">
        <v>692</v>
      </c>
      <c r="F20" s="582">
        <v>972564.361</v>
      </c>
      <c r="G20" s="582">
        <v>996066.915013</v>
      </c>
      <c r="H20" s="561">
        <f t="shared" si="3"/>
        <v>11952802.980156</v>
      </c>
      <c r="I20" s="561">
        <v>115535</v>
      </c>
      <c r="J20" s="561">
        <v>119464.474</v>
      </c>
      <c r="K20" s="562">
        <f t="shared" si="0"/>
        <v>12187802.454156</v>
      </c>
      <c r="L20" s="563">
        <v>0.3</v>
      </c>
      <c r="M20" s="564">
        <f t="shared" si="4"/>
        <v>3656340.7362468</v>
      </c>
      <c r="N20" s="563">
        <v>0.2</v>
      </c>
      <c r="O20" s="562">
        <f t="shared" si="5"/>
        <v>2437560.4908312</v>
      </c>
      <c r="P20" s="565">
        <v>0.3</v>
      </c>
      <c r="Q20" s="562">
        <f t="shared" si="1"/>
        <v>3656340.7362468</v>
      </c>
      <c r="R20" s="565">
        <v>0.2</v>
      </c>
      <c r="S20" s="562">
        <f t="shared" si="2"/>
        <v>2437560.4908312</v>
      </c>
      <c r="T20" s="566">
        <f t="shared" si="6"/>
        <v>1</v>
      </c>
      <c r="U20" s="577"/>
      <c r="V20" s="577"/>
      <c r="W20" s="577"/>
      <c r="X20" s="577"/>
      <c r="Y20" s="577"/>
      <c r="Z20" s="577"/>
      <c r="AA20" s="577"/>
      <c r="AB20" s="579"/>
      <c r="AC20" s="579"/>
      <c r="AD20" s="579"/>
      <c r="AE20" s="577"/>
      <c r="AF20" s="577"/>
      <c r="AG20" s="577"/>
      <c r="AH20" s="577"/>
      <c r="AI20" s="577"/>
      <c r="AJ20" s="577"/>
      <c r="AK20" s="577"/>
      <c r="AL20" s="577"/>
      <c r="AM20" s="577"/>
      <c r="AN20" s="577"/>
      <c r="AO20" s="577"/>
      <c r="AP20" s="577"/>
      <c r="AQ20" s="577"/>
      <c r="AR20" s="577"/>
      <c r="AS20" s="577"/>
      <c r="AT20" s="577"/>
      <c r="AU20" s="577"/>
      <c r="AV20" s="577"/>
      <c r="AW20" s="577"/>
      <c r="AX20" s="577"/>
      <c r="AY20" s="577"/>
      <c r="AZ20" s="577"/>
      <c r="BA20" s="577"/>
      <c r="BB20" s="577"/>
      <c r="BC20" s="577"/>
      <c r="BD20" s="577"/>
      <c r="BE20" s="577"/>
      <c r="BF20" s="577"/>
      <c r="BG20" s="577"/>
      <c r="BH20" s="577"/>
      <c r="BI20" s="577"/>
      <c r="BJ20" s="577"/>
      <c r="BK20" s="577"/>
      <c r="BL20" s="577"/>
      <c r="BM20" s="577"/>
      <c r="BN20" s="577"/>
      <c r="BO20" s="577"/>
      <c r="BP20" s="577"/>
      <c r="BQ20" s="577"/>
      <c r="BR20" s="577"/>
      <c r="BS20" s="577"/>
      <c r="BT20" s="577"/>
      <c r="BU20" s="577"/>
      <c r="BV20" s="577"/>
      <c r="BW20" s="577"/>
      <c r="BX20" s="577"/>
      <c r="BY20" s="577"/>
      <c r="BZ20" s="577"/>
      <c r="CA20" s="577"/>
      <c r="CB20" s="577"/>
      <c r="CC20" s="577"/>
      <c r="CD20" s="577"/>
      <c r="CE20" s="577"/>
      <c r="CF20" s="577"/>
      <c r="CG20" s="577"/>
      <c r="CH20" s="577"/>
      <c r="CI20" s="577"/>
      <c r="CJ20" s="577"/>
      <c r="CK20" s="577"/>
      <c r="CL20" s="577"/>
      <c r="CM20" s="577"/>
      <c r="CN20" s="577"/>
      <c r="CO20" s="577"/>
      <c r="CP20" s="577"/>
      <c r="CQ20" s="577"/>
      <c r="CR20" s="577"/>
      <c r="CS20" s="577"/>
      <c r="CT20" s="577"/>
      <c r="CU20" s="577"/>
      <c r="CV20" s="577"/>
      <c r="CW20" s="577"/>
      <c r="CX20" s="577"/>
      <c r="CY20" s="577"/>
      <c r="CZ20" s="577"/>
      <c r="DA20" s="577"/>
      <c r="DB20" s="577"/>
      <c r="DC20" s="577"/>
      <c r="DD20" s="577"/>
      <c r="DE20" s="577"/>
      <c r="DF20" s="577"/>
      <c r="DG20" s="577"/>
      <c r="DH20" s="577"/>
      <c r="DI20" s="577"/>
      <c r="DJ20" s="577"/>
      <c r="DK20" s="577"/>
      <c r="DL20" s="577"/>
      <c r="DM20" s="577"/>
      <c r="DN20" s="577"/>
      <c r="DO20" s="577"/>
      <c r="DP20" s="577"/>
      <c r="DQ20" s="577"/>
      <c r="DR20" s="577"/>
      <c r="DS20" s="577"/>
      <c r="DT20" s="577"/>
      <c r="DU20" s="577"/>
      <c r="DV20" s="577"/>
      <c r="DW20" s="577"/>
      <c r="DX20" s="577"/>
      <c r="DY20" s="577"/>
      <c r="DZ20" s="577"/>
      <c r="EA20" s="577"/>
      <c r="EB20" s="577"/>
      <c r="EC20" s="577"/>
      <c r="ED20" s="577"/>
      <c r="EE20" s="577"/>
      <c r="EF20" s="577"/>
      <c r="EG20" s="577"/>
      <c r="EH20" s="577"/>
      <c r="EI20" s="577"/>
      <c r="EJ20" s="577"/>
      <c r="EK20" s="577"/>
      <c r="EL20" s="577"/>
      <c r="EM20" s="577"/>
      <c r="EN20" s="577"/>
      <c r="EO20" s="577"/>
      <c r="EP20" s="577"/>
      <c r="EQ20" s="577"/>
      <c r="ER20" s="577"/>
      <c r="ES20" s="577"/>
      <c r="ET20" s="577"/>
      <c r="EU20" s="577"/>
      <c r="EV20" s="577"/>
      <c r="EW20" s="577"/>
      <c r="EX20" s="577"/>
      <c r="EY20" s="577"/>
      <c r="EZ20" s="577"/>
      <c r="FA20" s="577"/>
      <c r="FB20" s="577"/>
      <c r="FC20" s="577"/>
      <c r="FD20" s="577"/>
      <c r="FE20" s="577"/>
      <c r="FF20" s="577"/>
      <c r="FG20" s="577"/>
      <c r="FH20" s="577"/>
      <c r="FI20" s="577"/>
      <c r="FJ20" s="577"/>
      <c r="FK20" s="577"/>
      <c r="FL20" s="577"/>
      <c r="FM20" s="577"/>
      <c r="FN20" s="577"/>
      <c r="FO20" s="577"/>
      <c r="FP20" s="577"/>
      <c r="FQ20" s="577"/>
      <c r="FR20" s="577"/>
      <c r="FS20" s="577"/>
      <c r="FT20" s="577"/>
      <c r="FU20" s="577"/>
      <c r="FV20" s="577"/>
      <c r="FW20" s="577"/>
      <c r="FX20" s="577"/>
      <c r="FY20" s="577"/>
      <c r="FZ20" s="577"/>
      <c r="GA20" s="577"/>
      <c r="GB20" s="577"/>
      <c r="GC20" s="577"/>
      <c r="GD20" s="577"/>
      <c r="GE20" s="577"/>
      <c r="GF20" s="577"/>
      <c r="GG20" s="577"/>
      <c r="GH20" s="577"/>
      <c r="GI20" s="577"/>
      <c r="GJ20" s="577"/>
      <c r="GK20" s="577"/>
      <c r="GL20" s="577"/>
      <c r="GM20" s="577"/>
      <c r="GN20" s="577"/>
      <c r="GO20" s="577"/>
      <c r="GP20" s="577"/>
      <c r="GQ20" s="577"/>
      <c r="GR20" s="577"/>
      <c r="GS20" s="577"/>
      <c r="GT20" s="577"/>
      <c r="GU20" s="577"/>
      <c r="GV20" s="577"/>
      <c r="GW20" s="577"/>
      <c r="GX20" s="577"/>
      <c r="GY20" s="577"/>
      <c r="GZ20" s="577"/>
      <c r="HA20" s="577"/>
      <c r="HB20" s="577"/>
      <c r="HC20" s="577"/>
      <c r="HD20" s="577"/>
      <c r="HE20" s="577"/>
      <c r="HF20" s="577"/>
      <c r="HG20" s="577"/>
      <c r="HH20" s="577"/>
      <c r="HI20" s="577"/>
      <c r="HJ20" s="577"/>
      <c r="HK20" s="577"/>
      <c r="HL20" s="577"/>
      <c r="HM20" s="577"/>
      <c r="HN20" s="577"/>
      <c r="HO20" s="577"/>
      <c r="HP20" s="577"/>
      <c r="HQ20" s="577"/>
      <c r="HR20" s="577"/>
      <c r="HS20" s="577"/>
      <c r="HT20" s="577"/>
      <c r="HU20" s="577"/>
      <c r="HV20" s="577"/>
      <c r="HW20" s="577"/>
      <c r="HX20" s="577"/>
      <c r="HY20" s="577"/>
      <c r="HZ20" s="577"/>
      <c r="IA20" s="577"/>
      <c r="IB20" s="577"/>
      <c r="IC20" s="577"/>
      <c r="ID20" s="577"/>
      <c r="IE20" s="577"/>
      <c r="IF20" s="577"/>
      <c r="IG20" s="577"/>
      <c r="IH20" s="577"/>
      <c r="II20" s="577"/>
      <c r="IJ20" s="577"/>
      <c r="IK20" s="577"/>
      <c r="IL20" s="577"/>
      <c r="IM20" s="577"/>
      <c r="IN20" s="577"/>
      <c r="IO20" s="577"/>
      <c r="IP20" s="577"/>
      <c r="IQ20" s="577"/>
      <c r="IR20" s="577"/>
      <c r="IS20" s="577"/>
      <c r="IT20" s="577"/>
      <c r="IU20" s="577"/>
      <c r="IV20" s="577"/>
    </row>
    <row r="21" spans="1:256" ht="12.75">
      <c r="A21" s="558">
        <v>16</v>
      </c>
      <c r="B21" s="559" t="s">
        <v>165</v>
      </c>
      <c r="C21" s="560" t="s">
        <v>719</v>
      </c>
      <c r="D21" s="580" t="s">
        <v>720</v>
      </c>
      <c r="E21" s="581" t="s">
        <v>692</v>
      </c>
      <c r="F21" s="582">
        <v>1421653.508</v>
      </c>
      <c r="G21" s="582">
        <v>1458310.249791</v>
      </c>
      <c r="H21" s="561">
        <f t="shared" si="3"/>
        <v>17499722.997492</v>
      </c>
      <c r="I21" s="561">
        <v>115535</v>
      </c>
      <c r="J21" s="561">
        <v>119464.474</v>
      </c>
      <c r="K21" s="562">
        <f t="shared" si="0"/>
        <v>17734722.471492</v>
      </c>
      <c r="L21" s="563">
        <v>0.3</v>
      </c>
      <c r="M21" s="564">
        <f t="shared" si="4"/>
        <v>5320416.7414476</v>
      </c>
      <c r="N21" s="563">
        <v>0.1</v>
      </c>
      <c r="O21" s="562">
        <f t="shared" si="5"/>
        <v>1773472.2471492002</v>
      </c>
      <c r="P21" s="565">
        <v>0.3</v>
      </c>
      <c r="Q21" s="562">
        <f t="shared" si="1"/>
        <v>5320416.7414476</v>
      </c>
      <c r="R21" s="565">
        <v>0.3</v>
      </c>
      <c r="S21" s="562">
        <f t="shared" si="2"/>
        <v>5320416.7414476</v>
      </c>
      <c r="T21" s="566">
        <f t="shared" si="6"/>
        <v>1</v>
      </c>
      <c r="U21" s="577"/>
      <c r="V21" s="577"/>
      <c r="W21" s="577"/>
      <c r="X21" s="577"/>
      <c r="Y21" s="577"/>
      <c r="Z21" s="577"/>
      <c r="AA21" s="577"/>
      <c r="AB21" s="579"/>
      <c r="AC21" s="579"/>
      <c r="AD21" s="579"/>
      <c r="AE21" s="577"/>
      <c r="AF21" s="577"/>
      <c r="AG21" s="577"/>
      <c r="AH21" s="577"/>
      <c r="AI21" s="577"/>
      <c r="AJ21" s="577"/>
      <c r="AK21" s="577"/>
      <c r="AL21" s="577"/>
      <c r="AM21" s="577"/>
      <c r="AN21" s="577"/>
      <c r="AO21" s="577"/>
      <c r="AP21" s="577"/>
      <c r="AQ21" s="577"/>
      <c r="AR21" s="577"/>
      <c r="AS21" s="577"/>
      <c r="AT21" s="577"/>
      <c r="AU21" s="577"/>
      <c r="AV21" s="577"/>
      <c r="AW21" s="577"/>
      <c r="AX21" s="577"/>
      <c r="AY21" s="577"/>
      <c r="AZ21" s="577"/>
      <c r="BA21" s="577"/>
      <c r="BB21" s="577"/>
      <c r="BC21" s="577"/>
      <c r="BD21" s="577"/>
      <c r="BE21" s="577"/>
      <c r="BF21" s="577"/>
      <c r="BG21" s="577"/>
      <c r="BH21" s="577"/>
      <c r="BI21" s="577"/>
      <c r="BJ21" s="577"/>
      <c r="BK21" s="577"/>
      <c r="BL21" s="577"/>
      <c r="BM21" s="577"/>
      <c r="BN21" s="577"/>
      <c r="BO21" s="577"/>
      <c r="BP21" s="577"/>
      <c r="BQ21" s="577"/>
      <c r="BR21" s="577"/>
      <c r="BS21" s="577"/>
      <c r="BT21" s="577"/>
      <c r="BU21" s="577"/>
      <c r="BV21" s="577"/>
      <c r="BW21" s="577"/>
      <c r="BX21" s="577"/>
      <c r="BY21" s="577"/>
      <c r="BZ21" s="577"/>
      <c r="CA21" s="577"/>
      <c r="CB21" s="577"/>
      <c r="CC21" s="577"/>
      <c r="CD21" s="577"/>
      <c r="CE21" s="577"/>
      <c r="CF21" s="577"/>
      <c r="CG21" s="577"/>
      <c r="CH21" s="577"/>
      <c r="CI21" s="577"/>
      <c r="CJ21" s="577"/>
      <c r="CK21" s="577"/>
      <c r="CL21" s="577"/>
      <c r="CM21" s="577"/>
      <c r="CN21" s="577"/>
      <c r="CO21" s="577"/>
      <c r="CP21" s="577"/>
      <c r="CQ21" s="577"/>
      <c r="CR21" s="577"/>
      <c r="CS21" s="577"/>
      <c r="CT21" s="577"/>
      <c r="CU21" s="577"/>
      <c r="CV21" s="577"/>
      <c r="CW21" s="577"/>
      <c r="CX21" s="577"/>
      <c r="CY21" s="577"/>
      <c r="CZ21" s="577"/>
      <c r="DA21" s="577"/>
      <c r="DB21" s="577"/>
      <c r="DC21" s="577"/>
      <c r="DD21" s="577"/>
      <c r="DE21" s="577"/>
      <c r="DF21" s="577"/>
      <c r="DG21" s="577"/>
      <c r="DH21" s="577"/>
      <c r="DI21" s="577"/>
      <c r="DJ21" s="577"/>
      <c r="DK21" s="577"/>
      <c r="DL21" s="577"/>
      <c r="DM21" s="577"/>
      <c r="DN21" s="577"/>
      <c r="DO21" s="577"/>
      <c r="DP21" s="577"/>
      <c r="DQ21" s="577"/>
      <c r="DR21" s="577"/>
      <c r="DS21" s="577"/>
      <c r="DT21" s="577"/>
      <c r="DU21" s="577"/>
      <c r="DV21" s="577"/>
      <c r="DW21" s="577"/>
      <c r="DX21" s="577"/>
      <c r="DY21" s="577"/>
      <c r="DZ21" s="577"/>
      <c r="EA21" s="577"/>
      <c r="EB21" s="577"/>
      <c r="EC21" s="577"/>
      <c r="ED21" s="577"/>
      <c r="EE21" s="577"/>
      <c r="EF21" s="577"/>
      <c r="EG21" s="577"/>
      <c r="EH21" s="577"/>
      <c r="EI21" s="577"/>
      <c r="EJ21" s="577"/>
      <c r="EK21" s="577"/>
      <c r="EL21" s="577"/>
      <c r="EM21" s="577"/>
      <c r="EN21" s="577"/>
      <c r="EO21" s="577"/>
      <c r="EP21" s="577"/>
      <c r="EQ21" s="577"/>
      <c r="ER21" s="577"/>
      <c r="ES21" s="577"/>
      <c r="ET21" s="577"/>
      <c r="EU21" s="577"/>
      <c r="EV21" s="577"/>
      <c r="EW21" s="577"/>
      <c r="EX21" s="577"/>
      <c r="EY21" s="577"/>
      <c r="EZ21" s="577"/>
      <c r="FA21" s="577"/>
      <c r="FB21" s="577"/>
      <c r="FC21" s="577"/>
      <c r="FD21" s="577"/>
      <c r="FE21" s="577"/>
      <c r="FF21" s="577"/>
      <c r="FG21" s="577"/>
      <c r="FH21" s="577"/>
      <c r="FI21" s="577"/>
      <c r="FJ21" s="577"/>
      <c r="FK21" s="577"/>
      <c r="FL21" s="577"/>
      <c r="FM21" s="577"/>
      <c r="FN21" s="577"/>
      <c r="FO21" s="577"/>
      <c r="FP21" s="577"/>
      <c r="FQ21" s="577"/>
      <c r="FR21" s="577"/>
      <c r="FS21" s="577"/>
      <c r="FT21" s="577"/>
      <c r="FU21" s="577"/>
      <c r="FV21" s="577"/>
      <c r="FW21" s="577"/>
      <c r="FX21" s="577"/>
      <c r="FY21" s="577"/>
      <c r="FZ21" s="577"/>
      <c r="GA21" s="577"/>
      <c r="GB21" s="577"/>
      <c r="GC21" s="577"/>
      <c r="GD21" s="577"/>
      <c r="GE21" s="577"/>
      <c r="GF21" s="577"/>
      <c r="GG21" s="577"/>
      <c r="GH21" s="577"/>
      <c r="GI21" s="577"/>
      <c r="GJ21" s="577"/>
      <c r="GK21" s="577"/>
      <c r="GL21" s="577"/>
      <c r="GM21" s="577"/>
      <c r="GN21" s="577"/>
      <c r="GO21" s="577"/>
      <c r="GP21" s="577"/>
      <c r="GQ21" s="577"/>
      <c r="GR21" s="577"/>
      <c r="GS21" s="577"/>
      <c r="GT21" s="577"/>
      <c r="GU21" s="577"/>
      <c r="GV21" s="577"/>
      <c r="GW21" s="577"/>
      <c r="GX21" s="577"/>
      <c r="GY21" s="577"/>
      <c r="GZ21" s="577"/>
      <c r="HA21" s="577"/>
      <c r="HB21" s="577"/>
      <c r="HC21" s="577"/>
      <c r="HD21" s="577"/>
      <c r="HE21" s="577"/>
      <c r="HF21" s="577"/>
      <c r="HG21" s="577"/>
      <c r="HH21" s="577"/>
      <c r="HI21" s="577"/>
      <c r="HJ21" s="577"/>
      <c r="HK21" s="577"/>
      <c r="HL21" s="577"/>
      <c r="HM21" s="577"/>
      <c r="HN21" s="577"/>
      <c r="HO21" s="577"/>
      <c r="HP21" s="577"/>
      <c r="HQ21" s="577"/>
      <c r="HR21" s="577"/>
      <c r="HS21" s="577"/>
      <c r="HT21" s="577"/>
      <c r="HU21" s="577"/>
      <c r="HV21" s="577"/>
      <c r="HW21" s="577"/>
      <c r="HX21" s="577"/>
      <c r="HY21" s="577"/>
      <c r="HZ21" s="577"/>
      <c r="IA21" s="577"/>
      <c r="IB21" s="577"/>
      <c r="IC21" s="577"/>
      <c r="ID21" s="577"/>
      <c r="IE21" s="577"/>
      <c r="IF21" s="577"/>
      <c r="IG21" s="577"/>
      <c r="IH21" s="577"/>
      <c r="II21" s="577"/>
      <c r="IJ21" s="577"/>
      <c r="IK21" s="577"/>
      <c r="IL21" s="577"/>
      <c r="IM21" s="577"/>
      <c r="IN21" s="577"/>
      <c r="IO21" s="577"/>
      <c r="IP21" s="577"/>
      <c r="IQ21" s="577"/>
      <c r="IR21" s="577"/>
      <c r="IS21" s="577"/>
      <c r="IT21" s="577"/>
      <c r="IU21" s="577"/>
      <c r="IV21" s="577"/>
    </row>
    <row r="22" spans="1:256" ht="25.5">
      <c r="A22" s="558">
        <v>17</v>
      </c>
      <c r="B22" s="559" t="s">
        <v>165</v>
      </c>
      <c r="C22" s="560" t="s">
        <v>721</v>
      </c>
      <c r="D22" s="580" t="s">
        <v>722</v>
      </c>
      <c r="E22" s="581" t="s">
        <v>692</v>
      </c>
      <c r="F22" s="582">
        <v>1466683.6030000001</v>
      </c>
      <c r="G22" s="582">
        <v>1506213.478205</v>
      </c>
      <c r="H22" s="561">
        <f t="shared" si="3"/>
        <v>18074561.73846</v>
      </c>
      <c r="I22" s="561">
        <v>115535</v>
      </c>
      <c r="J22" s="561">
        <v>119464.474</v>
      </c>
      <c r="K22" s="562">
        <f t="shared" si="0"/>
        <v>18309561.21246</v>
      </c>
      <c r="L22" s="563">
        <v>0.3</v>
      </c>
      <c r="M22" s="564">
        <f t="shared" si="4"/>
        <v>5492868.363737999</v>
      </c>
      <c r="N22" s="563">
        <v>0.2</v>
      </c>
      <c r="O22" s="562">
        <f t="shared" si="5"/>
        <v>3661912.242492</v>
      </c>
      <c r="P22" s="565">
        <v>0.3</v>
      </c>
      <c r="Q22" s="562">
        <f t="shared" si="1"/>
        <v>5492868.363737999</v>
      </c>
      <c r="R22" s="565">
        <v>0.2</v>
      </c>
      <c r="S22" s="562">
        <f t="shared" si="2"/>
        <v>3661912.242492</v>
      </c>
      <c r="T22" s="566">
        <f t="shared" si="6"/>
        <v>1</v>
      </c>
      <c r="U22" s="577"/>
      <c r="V22" s="577"/>
      <c r="W22" s="577"/>
      <c r="X22" s="577"/>
      <c r="Y22" s="577"/>
      <c r="Z22" s="577"/>
      <c r="AA22" s="577"/>
      <c r="AB22" s="579"/>
      <c r="AC22" s="579"/>
      <c r="AD22" s="579"/>
      <c r="AE22" s="577"/>
      <c r="AF22" s="577"/>
      <c r="AG22" s="577"/>
      <c r="AH22" s="577"/>
      <c r="AI22" s="577"/>
      <c r="AJ22" s="577"/>
      <c r="AK22" s="577"/>
      <c r="AL22" s="577"/>
      <c r="AM22" s="577"/>
      <c r="AN22" s="577"/>
      <c r="AO22" s="577"/>
      <c r="AP22" s="577"/>
      <c r="AQ22" s="577"/>
      <c r="AR22" s="577"/>
      <c r="AS22" s="577"/>
      <c r="AT22" s="577"/>
      <c r="AU22" s="577"/>
      <c r="AV22" s="577"/>
      <c r="AW22" s="577"/>
      <c r="AX22" s="577"/>
      <c r="AY22" s="577"/>
      <c r="AZ22" s="577"/>
      <c r="BA22" s="577"/>
      <c r="BB22" s="577"/>
      <c r="BC22" s="577"/>
      <c r="BD22" s="577"/>
      <c r="BE22" s="577"/>
      <c r="BF22" s="577"/>
      <c r="BG22" s="577"/>
      <c r="BH22" s="577"/>
      <c r="BI22" s="577"/>
      <c r="BJ22" s="577"/>
      <c r="BK22" s="577"/>
      <c r="BL22" s="577"/>
      <c r="BM22" s="577"/>
      <c r="BN22" s="577"/>
      <c r="BO22" s="577"/>
      <c r="BP22" s="577"/>
      <c r="BQ22" s="577"/>
      <c r="BR22" s="577"/>
      <c r="BS22" s="577"/>
      <c r="BT22" s="577"/>
      <c r="BU22" s="577"/>
      <c r="BV22" s="577"/>
      <c r="BW22" s="577"/>
      <c r="BX22" s="577"/>
      <c r="BY22" s="577"/>
      <c r="BZ22" s="577"/>
      <c r="CA22" s="577"/>
      <c r="CB22" s="577"/>
      <c r="CC22" s="577"/>
      <c r="CD22" s="577"/>
      <c r="CE22" s="577"/>
      <c r="CF22" s="577"/>
      <c r="CG22" s="577"/>
      <c r="CH22" s="577"/>
      <c r="CI22" s="577"/>
      <c r="CJ22" s="577"/>
      <c r="CK22" s="577"/>
      <c r="CL22" s="577"/>
      <c r="CM22" s="577"/>
      <c r="CN22" s="577"/>
      <c r="CO22" s="577"/>
      <c r="CP22" s="577"/>
      <c r="CQ22" s="577"/>
      <c r="CR22" s="577"/>
      <c r="CS22" s="577"/>
      <c r="CT22" s="577"/>
      <c r="CU22" s="577"/>
      <c r="CV22" s="577"/>
      <c r="CW22" s="577"/>
      <c r="CX22" s="577"/>
      <c r="CY22" s="577"/>
      <c r="CZ22" s="577"/>
      <c r="DA22" s="577"/>
      <c r="DB22" s="577"/>
      <c r="DC22" s="577"/>
      <c r="DD22" s="577"/>
      <c r="DE22" s="577"/>
      <c r="DF22" s="577"/>
      <c r="DG22" s="577"/>
      <c r="DH22" s="577"/>
      <c r="DI22" s="577"/>
      <c r="DJ22" s="577"/>
      <c r="DK22" s="577"/>
      <c r="DL22" s="577"/>
      <c r="DM22" s="577"/>
      <c r="DN22" s="577"/>
      <c r="DO22" s="577"/>
      <c r="DP22" s="577"/>
      <c r="DQ22" s="577"/>
      <c r="DR22" s="577"/>
      <c r="DS22" s="577"/>
      <c r="DT22" s="577"/>
      <c r="DU22" s="577"/>
      <c r="DV22" s="577"/>
      <c r="DW22" s="577"/>
      <c r="DX22" s="577"/>
      <c r="DY22" s="577"/>
      <c r="DZ22" s="577"/>
      <c r="EA22" s="577"/>
      <c r="EB22" s="577"/>
      <c r="EC22" s="577"/>
      <c r="ED22" s="577"/>
      <c r="EE22" s="577"/>
      <c r="EF22" s="577"/>
      <c r="EG22" s="577"/>
      <c r="EH22" s="577"/>
      <c r="EI22" s="577"/>
      <c r="EJ22" s="577"/>
      <c r="EK22" s="577"/>
      <c r="EL22" s="577"/>
      <c r="EM22" s="577"/>
      <c r="EN22" s="577"/>
      <c r="EO22" s="577"/>
      <c r="EP22" s="577"/>
      <c r="EQ22" s="577"/>
      <c r="ER22" s="577"/>
      <c r="ES22" s="577"/>
      <c r="ET22" s="577"/>
      <c r="EU22" s="577"/>
      <c r="EV22" s="577"/>
      <c r="EW22" s="577"/>
      <c r="EX22" s="577"/>
      <c r="EY22" s="577"/>
      <c r="EZ22" s="577"/>
      <c r="FA22" s="577"/>
      <c r="FB22" s="577"/>
      <c r="FC22" s="577"/>
      <c r="FD22" s="577"/>
      <c r="FE22" s="577"/>
      <c r="FF22" s="577"/>
      <c r="FG22" s="577"/>
      <c r="FH22" s="577"/>
      <c r="FI22" s="577"/>
      <c r="FJ22" s="577"/>
      <c r="FK22" s="577"/>
      <c r="FL22" s="577"/>
      <c r="FM22" s="577"/>
      <c r="FN22" s="577"/>
      <c r="FO22" s="577"/>
      <c r="FP22" s="577"/>
      <c r="FQ22" s="577"/>
      <c r="FR22" s="577"/>
      <c r="FS22" s="577"/>
      <c r="FT22" s="577"/>
      <c r="FU22" s="577"/>
      <c r="FV22" s="577"/>
      <c r="FW22" s="577"/>
      <c r="FX22" s="577"/>
      <c r="FY22" s="577"/>
      <c r="FZ22" s="577"/>
      <c r="GA22" s="577"/>
      <c r="GB22" s="577"/>
      <c r="GC22" s="577"/>
      <c r="GD22" s="577"/>
      <c r="GE22" s="577"/>
      <c r="GF22" s="577"/>
      <c r="GG22" s="577"/>
      <c r="GH22" s="577"/>
      <c r="GI22" s="577"/>
      <c r="GJ22" s="577"/>
      <c r="GK22" s="577"/>
      <c r="GL22" s="577"/>
      <c r="GM22" s="577"/>
      <c r="GN22" s="577"/>
      <c r="GO22" s="577"/>
      <c r="GP22" s="577"/>
      <c r="GQ22" s="577"/>
      <c r="GR22" s="577"/>
      <c r="GS22" s="577"/>
      <c r="GT22" s="577"/>
      <c r="GU22" s="577"/>
      <c r="GV22" s="577"/>
      <c r="GW22" s="577"/>
      <c r="GX22" s="577"/>
      <c r="GY22" s="577"/>
      <c r="GZ22" s="577"/>
      <c r="HA22" s="577"/>
      <c r="HB22" s="577"/>
      <c r="HC22" s="577"/>
      <c r="HD22" s="577"/>
      <c r="HE22" s="577"/>
      <c r="HF22" s="577"/>
      <c r="HG22" s="577"/>
      <c r="HH22" s="577"/>
      <c r="HI22" s="577"/>
      <c r="HJ22" s="577"/>
      <c r="HK22" s="577"/>
      <c r="HL22" s="577"/>
      <c r="HM22" s="577"/>
      <c r="HN22" s="577"/>
      <c r="HO22" s="577"/>
      <c r="HP22" s="577"/>
      <c r="HQ22" s="577"/>
      <c r="HR22" s="577"/>
      <c r="HS22" s="577"/>
      <c r="HT22" s="577"/>
      <c r="HU22" s="577"/>
      <c r="HV22" s="577"/>
      <c r="HW22" s="577"/>
      <c r="HX22" s="577"/>
      <c r="HY22" s="577"/>
      <c r="HZ22" s="577"/>
      <c r="IA22" s="577"/>
      <c r="IB22" s="577"/>
      <c r="IC22" s="577"/>
      <c r="ID22" s="577"/>
      <c r="IE22" s="577"/>
      <c r="IF22" s="577"/>
      <c r="IG22" s="577"/>
      <c r="IH22" s="577"/>
      <c r="II22" s="577"/>
      <c r="IJ22" s="577"/>
      <c r="IK22" s="577"/>
      <c r="IL22" s="577"/>
      <c r="IM22" s="577"/>
      <c r="IN22" s="577"/>
      <c r="IO22" s="577"/>
      <c r="IP22" s="577"/>
      <c r="IQ22" s="577"/>
      <c r="IR22" s="577"/>
      <c r="IS22" s="577"/>
      <c r="IT22" s="577"/>
      <c r="IU22" s="577"/>
      <c r="IV22" s="577"/>
    </row>
    <row r="23" spans="1:256" ht="12.75">
      <c r="A23" s="558">
        <v>18</v>
      </c>
      <c r="B23" s="559" t="s">
        <v>165</v>
      </c>
      <c r="C23" s="560" t="s">
        <v>723</v>
      </c>
      <c r="D23" s="580" t="s">
        <v>724</v>
      </c>
      <c r="E23" s="581" t="s">
        <v>725</v>
      </c>
      <c r="F23" s="582">
        <v>555228.24</v>
      </c>
      <c r="G23" s="582">
        <v>570031.0057188001</v>
      </c>
      <c r="H23" s="561">
        <f t="shared" si="3"/>
        <v>6840372.068625601</v>
      </c>
      <c r="I23" s="561">
        <v>118227</v>
      </c>
      <c r="J23" s="561">
        <v>235845.947</v>
      </c>
      <c r="K23" s="562">
        <f t="shared" si="0"/>
        <v>7194445.015625601</v>
      </c>
      <c r="L23" s="563">
        <v>0</v>
      </c>
      <c r="M23" s="564">
        <f t="shared" si="4"/>
        <v>0</v>
      </c>
      <c r="N23" s="563">
        <v>0</v>
      </c>
      <c r="O23" s="562">
        <f t="shared" si="5"/>
        <v>0</v>
      </c>
      <c r="P23" s="565">
        <v>1</v>
      </c>
      <c r="Q23" s="562">
        <f t="shared" si="1"/>
        <v>7194445.015625601</v>
      </c>
      <c r="R23" s="565">
        <v>0</v>
      </c>
      <c r="S23" s="562">
        <f t="shared" si="2"/>
        <v>0</v>
      </c>
      <c r="T23" s="566">
        <f t="shared" si="6"/>
        <v>1</v>
      </c>
      <c r="U23" s="577"/>
      <c r="V23" s="577"/>
      <c r="W23" s="577"/>
      <c r="X23" s="577"/>
      <c r="Y23" s="577"/>
      <c r="Z23" s="577"/>
      <c r="AA23" s="577"/>
      <c r="AB23" s="579"/>
      <c r="AC23" s="579"/>
      <c r="AD23" s="579"/>
      <c r="AE23" s="577"/>
      <c r="AF23" s="577"/>
      <c r="AG23" s="577"/>
      <c r="AH23" s="577"/>
      <c r="AI23" s="577"/>
      <c r="AJ23" s="577"/>
      <c r="AK23" s="577"/>
      <c r="AL23" s="577"/>
      <c r="AM23" s="577"/>
      <c r="AN23" s="577"/>
      <c r="AO23" s="577"/>
      <c r="AP23" s="577"/>
      <c r="AQ23" s="577"/>
      <c r="AR23" s="577"/>
      <c r="AS23" s="577"/>
      <c r="AT23" s="577"/>
      <c r="AU23" s="577"/>
      <c r="AV23" s="577"/>
      <c r="AW23" s="577"/>
      <c r="AX23" s="577"/>
      <c r="AY23" s="577"/>
      <c r="AZ23" s="577"/>
      <c r="BA23" s="577"/>
      <c r="BB23" s="577"/>
      <c r="BC23" s="577"/>
      <c r="BD23" s="577"/>
      <c r="BE23" s="577"/>
      <c r="BF23" s="577"/>
      <c r="BG23" s="577"/>
      <c r="BH23" s="577"/>
      <c r="BI23" s="577"/>
      <c r="BJ23" s="577"/>
      <c r="BK23" s="577"/>
      <c r="BL23" s="577"/>
      <c r="BM23" s="577"/>
      <c r="BN23" s="577"/>
      <c r="BO23" s="577"/>
      <c r="BP23" s="577"/>
      <c r="BQ23" s="577"/>
      <c r="BR23" s="577"/>
      <c r="BS23" s="577"/>
      <c r="BT23" s="577"/>
      <c r="BU23" s="577"/>
      <c r="BV23" s="577"/>
      <c r="BW23" s="577"/>
      <c r="BX23" s="577"/>
      <c r="BY23" s="577"/>
      <c r="BZ23" s="577"/>
      <c r="CA23" s="577"/>
      <c r="CB23" s="577"/>
      <c r="CC23" s="577"/>
      <c r="CD23" s="577"/>
      <c r="CE23" s="577"/>
      <c r="CF23" s="577"/>
      <c r="CG23" s="577"/>
      <c r="CH23" s="577"/>
      <c r="CI23" s="577"/>
      <c r="CJ23" s="577"/>
      <c r="CK23" s="577"/>
      <c r="CL23" s="577"/>
      <c r="CM23" s="577"/>
      <c r="CN23" s="577"/>
      <c r="CO23" s="577"/>
      <c r="CP23" s="577"/>
      <c r="CQ23" s="577"/>
      <c r="CR23" s="577"/>
      <c r="CS23" s="577"/>
      <c r="CT23" s="577"/>
      <c r="CU23" s="577"/>
      <c r="CV23" s="577"/>
      <c r="CW23" s="577"/>
      <c r="CX23" s="577"/>
      <c r="CY23" s="577"/>
      <c r="CZ23" s="577"/>
      <c r="DA23" s="577"/>
      <c r="DB23" s="577"/>
      <c r="DC23" s="577"/>
      <c r="DD23" s="577"/>
      <c r="DE23" s="577"/>
      <c r="DF23" s="577"/>
      <c r="DG23" s="577"/>
      <c r="DH23" s="577"/>
      <c r="DI23" s="577"/>
      <c r="DJ23" s="577"/>
      <c r="DK23" s="577"/>
      <c r="DL23" s="577"/>
      <c r="DM23" s="577"/>
      <c r="DN23" s="577"/>
      <c r="DO23" s="577"/>
      <c r="DP23" s="577"/>
      <c r="DQ23" s="577"/>
      <c r="DR23" s="577"/>
      <c r="DS23" s="577"/>
      <c r="DT23" s="577"/>
      <c r="DU23" s="577"/>
      <c r="DV23" s="577"/>
      <c r="DW23" s="577"/>
      <c r="DX23" s="577"/>
      <c r="DY23" s="577"/>
      <c r="DZ23" s="577"/>
      <c r="EA23" s="577"/>
      <c r="EB23" s="577"/>
      <c r="EC23" s="577"/>
      <c r="ED23" s="577"/>
      <c r="EE23" s="577"/>
      <c r="EF23" s="577"/>
      <c r="EG23" s="577"/>
      <c r="EH23" s="577"/>
      <c r="EI23" s="577"/>
      <c r="EJ23" s="577"/>
      <c r="EK23" s="577"/>
      <c r="EL23" s="577"/>
      <c r="EM23" s="577"/>
      <c r="EN23" s="577"/>
      <c r="EO23" s="577"/>
      <c r="EP23" s="577"/>
      <c r="EQ23" s="577"/>
      <c r="ER23" s="577"/>
      <c r="ES23" s="577"/>
      <c r="ET23" s="577"/>
      <c r="EU23" s="577"/>
      <c r="EV23" s="577"/>
      <c r="EW23" s="577"/>
      <c r="EX23" s="577"/>
      <c r="EY23" s="577"/>
      <c r="EZ23" s="577"/>
      <c r="FA23" s="577"/>
      <c r="FB23" s="577"/>
      <c r="FC23" s="577"/>
      <c r="FD23" s="577"/>
      <c r="FE23" s="577"/>
      <c r="FF23" s="577"/>
      <c r="FG23" s="577"/>
      <c r="FH23" s="577"/>
      <c r="FI23" s="577"/>
      <c r="FJ23" s="577"/>
      <c r="FK23" s="577"/>
      <c r="FL23" s="577"/>
      <c r="FM23" s="577"/>
      <c r="FN23" s="577"/>
      <c r="FO23" s="577"/>
      <c r="FP23" s="577"/>
      <c r="FQ23" s="577"/>
      <c r="FR23" s="577"/>
      <c r="FS23" s="577"/>
      <c r="FT23" s="577"/>
      <c r="FU23" s="577"/>
      <c r="FV23" s="577"/>
      <c r="FW23" s="577"/>
      <c r="FX23" s="577"/>
      <c r="FY23" s="577"/>
      <c r="FZ23" s="577"/>
      <c r="GA23" s="577"/>
      <c r="GB23" s="577"/>
      <c r="GC23" s="577"/>
      <c r="GD23" s="577"/>
      <c r="GE23" s="577"/>
      <c r="GF23" s="577"/>
      <c r="GG23" s="577"/>
      <c r="GH23" s="577"/>
      <c r="GI23" s="577"/>
      <c r="GJ23" s="577"/>
      <c r="GK23" s="577"/>
      <c r="GL23" s="577"/>
      <c r="GM23" s="577"/>
      <c r="GN23" s="577"/>
      <c r="GO23" s="577"/>
      <c r="GP23" s="577"/>
      <c r="GQ23" s="577"/>
      <c r="GR23" s="577"/>
      <c r="GS23" s="577"/>
      <c r="GT23" s="577"/>
      <c r="GU23" s="577"/>
      <c r="GV23" s="577"/>
      <c r="GW23" s="577"/>
      <c r="GX23" s="577"/>
      <c r="GY23" s="577"/>
      <c r="GZ23" s="577"/>
      <c r="HA23" s="577"/>
      <c r="HB23" s="577"/>
      <c r="HC23" s="577"/>
      <c r="HD23" s="577"/>
      <c r="HE23" s="577"/>
      <c r="HF23" s="577"/>
      <c r="HG23" s="577"/>
      <c r="HH23" s="577"/>
      <c r="HI23" s="577"/>
      <c r="HJ23" s="577"/>
      <c r="HK23" s="577"/>
      <c r="HL23" s="577"/>
      <c r="HM23" s="577"/>
      <c r="HN23" s="577"/>
      <c r="HO23" s="577"/>
      <c r="HP23" s="577"/>
      <c r="HQ23" s="577"/>
      <c r="HR23" s="577"/>
      <c r="HS23" s="577"/>
      <c r="HT23" s="577"/>
      <c r="HU23" s="577"/>
      <c r="HV23" s="577"/>
      <c r="HW23" s="577"/>
      <c r="HX23" s="577"/>
      <c r="HY23" s="577"/>
      <c r="HZ23" s="577"/>
      <c r="IA23" s="577"/>
      <c r="IB23" s="577"/>
      <c r="IC23" s="577"/>
      <c r="ID23" s="577"/>
      <c r="IE23" s="577"/>
      <c r="IF23" s="577"/>
      <c r="IG23" s="577"/>
      <c r="IH23" s="577"/>
      <c r="II23" s="577"/>
      <c r="IJ23" s="577"/>
      <c r="IK23" s="577"/>
      <c r="IL23" s="577"/>
      <c r="IM23" s="577"/>
      <c r="IN23" s="577"/>
      <c r="IO23" s="577"/>
      <c r="IP23" s="577"/>
      <c r="IQ23" s="577"/>
      <c r="IR23" s="577"/>
      <c r="IS23" s="577"/>
      <c r="IT23" s="577"/>
      <c r="IU23" s="577"/>
      <c r="IV23" s="577"/>
    </row>
    <row r="24" spans="1:256" ht="12.75">
      <c r="A24" s="558">
        <v>19</v>
      </c>
      <c r="B24" s="559" t="s">
        <v>165</v>
      </c>
      <c r="C24" s="560" t="s">
        <v>726</v>
      </c>
      <c r="D24" s="580" t="s">
        <v>727</v>
      </c>
      <c r="E24" s="581" t="s">
        <v>728</v>
      </c>
      <c r="F24" s="582">
        <v>604402.6992</v>
      </c>
      <c r="G24" s="582">
        <v>620238.2479392</v>
      </c>
      <c r="H24" s="561">
        <f t="shared" si="3"/>
        <v>7442858.9752704</v>
      </c>
      <c r="I24" s="561">
        <v>118227</v>
      </c>
      <c r="J24" s="561">
        <v>235845.947</v>
      </c>
      <c r="K24" s="562">
        <f t="shared" si="0"/>
        <v>7796931.9222703995</v>
      </c>
      <c r="L24" s="563">
        <v>0</v>
      </c>
      <c r="M24" s="564">
        <f t="shared" si="4"/>
        <v>0</v>
      </c>
      <c r="N24" s="563">
        <v>0</v>
      </c>
      <c r="O24" s="562">
        <f t="shared" si="5"/>
        <v>0</v>
      </c>
      <c r="P24" s="565">
        <v>1</v>
      </c>
      <c r="Q24" s="562">
        <f t="shared" si="1"/>
        <v>7796931.9222703995</v>
      </c>
      <c r="R24" s="565">
        <v>0</v>
      </c>
      <c r="S24" s="562">
        <f t="shared" si="2"/>
        <v>0</v>
      </c>
      <c r="T24" s="566">
        <f t="shared" si="6"/>
        <v>1</v>
      </c>
      <c r="U24" s="577"/>
      <c r="V24" s="577"/>
      <c r="W24" s="577"/>
      <c r="X24" s="577"/>
      <c r="Y24" s="577"/>
      <c r="Z24" s="577"/>
      <c r="AA24" s="577"/>
      <c r="AB24" s="579"/>
      <c r="AC24" s="579"/>
      <c r="AD24" s="579"/>
      <c r="AE24" s="577"/>
      <c r="AF24" s="577"/>
      <c r="AG24" s="577"/>
      <c r="AH24" s="577"/>
      <c r="AI24" s="577"/>
      <c r="AJ24" s="577"/>
      <c r="AK24" s="577"/>
      <c r="AL24" s="577"/>
      <c r="AM24" s="577"/>
      <c r="AN24" s="577"/>
      <c r="AO24" s="577"/>
      <c r="AP24" s="577"/>
      <c r="AQ24" s="577"/>
      <c r="AR24" s="577"/>
      <c r="AS24" s="577"/>
      <c r="AT24" s="577"/>
      <c r="AU24" s="577"/>
      <c r="AV24" s="577"/>
      <c r="AW24" s="577"/>
      <c r="AX24" s="577"/>
      <c r="AY24" s="577"/>
      <c r="AZ24" s="577"/>
      <c r="BA24" s="577"/>
      <c r="BB24" s="577"/>
      <c r="BC24" s="577"/>
      <c r="BD24" s="577"/>
      <c r="BE24" s="577"/>
      <c r="BF24" s="577"/>
      <c r="BG24" s="577"/>
      <c r="BH24" s="577"/>
      <c r="BI24" s="577"/>
      <c r="BJ24" s="577"/>
      <c r="BK24" s="577"/>
      <c r="BL24" s="577"/>
      <c r="BM24" s="577"/>
      <c r="BN24" s="577"/>
      <c r="BO24" s="577"/>
      <c r="BP24" s="577"/>
      <c r="BQ24" s="577"/>
      <c r="BR24" s="577"/>
      <c r="BS24" s="577"/>
      <c r="BT24" s="577"/>
      <c r="BU24" s="577"/>
      <c r="BV24" s="577"/>
      <c r="BW24" s="577"/>
      <c r="BX24" s="577"/>
      <c r="BY24" s="577"/>
      <c r="BZ24" s="577"/>
      <c r="CA24" s="577"/>
      <c r="CB24" s="577"/>
      <c r="CC24" s="577"/>
      <c r="CD24" s="577"/>
      <c r="CE24" s="577"/>
      <c r="CF24" s="577"/>
      <c r="CG24" s="577"/>
      <c r="CH24" s="577"/>
      <c r="CI24" s="577"/>
      <c r="CJ24" s="577"/>
      <c r="CK24" s="577"/>
      <c r="CL24" s="577"/>
      <c r="CM24" s="577"/>
      <c r="CN24" s="577"/>
      <c r="CO24" s="577"/>
      <c r="CP24" s="577"/>
      <c r="CQ24" s="577"/>
      <c r="CR24" s="577"/>
      <c r="CS24" s="577"/>
      <c r="CT24" s="577"/>
      <c r="CU24" s="577"/>
      <c r="CV24" s="577"/>
      <c r="CW24" s="577"/>
      <c r="CX24" s="577"/>
      <c r="CY24" s="577"/>
      <c r="CZ24" s="577"/>
      <c r="DA24" s="577"/>
      <c r="DB24" s="577"/>
      <c r="DC24" s="577"/>
      <c r="DD24" s="577"/>
      <c r="DE24" s="577"/>
      <c r="DF24" s="577"/>
      <c r="DG24" s="577"/>
      <c r="DH24" s="577"/>
      <c r="DI24" s="577"/>
      <c r="DJ24" s="577"/>
      <c r="DK24" s="577"/>
      <c r="DL24" s="577"/>
      <c r="DM24" s="577"/>
      <c r="DN24" s="577"/>
      <c r="DO24" s="577"/>
      <c r="DP24" s="577"/>
      <c r="DQ24" s="577"/>
      <c r="DR24" s="577"/>
      <c r="DS24" s="577"/>
      <c r="DT24" s="577"/>
      <c r="DU24" s="577"/>
      <c r="DV24" s="577"/>
      <c r="DW24" s="577"/>
      <c r="DX24" s="577"/>
      <c r="DY24" s="577"/>
      <c r="DZ24" s="577"/>
      <c r="EA24" s="577"/>
      <c r="EB24" s="577"/>
      <c r="EC24" s="577"/>
      <c r="ED24" s="577"/>
      <c r="EE24" s="577"/>
      <c r="EF24" s="577"/>
      <c r="EG24" s="577"/>
      <c r="EH24" s="577"/>
      <c r="EI24" s="577"/>
      <c r="EJ24" s="577"/>
      <c r="EK24" s="577"/>
      <c r="EL24" s="577"/>
      <c r="EM24" s="577"/>
      <c r="EN24" s="577"/>
      <c r="EO24" s="577"/>
      <c r="EP24" s="577"/>
      <c r="EQ24" s="577"/>
      <c r="ER24" s="577"/>
      <c r="ES24" s="577"/>
      <c r="ET24" s="577"/>
      <c r="EU24" s="577"/>
      <c r="EV24" s="577"/>
      <c r="EW24" s="577"/>
      <c r="EX24" s="577"/>
      <c r="EY24" s="577"/>
      <c r="EZ24" s="577"/>
      <c r="FA24" s="577"/>
      <c r="FB24" s="577"/>
      <c r="FC24" s="577"/>
      <c r="FD24" s="577"/>
      <c r="FE24" s="577"/>
      <c r="FF24" s="577"/>
      <c r="FG24" s="577"/>
      <c r="FH24" s="577"/>
      <c r="FI24" s="577"/>
      <c r="FJ24" s="577"/>
      <c r="FK24" s="577"/>
      <c r="FL24" s="577"/>
      <c r="FM24" s="577"/>
      <c r="FN24" s="577"/>
      <c r="FO24" s="577"/>
      <c r="FP24" s="577"/>
      <c r="FQ24" s="577"/>
      <c r="FR24" s="577"/>
      <c r="FS24" s="577"/>
      <c r="FT24" s="577"/>
      <c r="FU24" s="577"/>
      <c r="FV24" s="577"/>
      <c r="FW24" s="577"/>
      <c r="FX24" s="577"/>
      <c r="FY24" s="577"/>
      <c r="FZ24" s="577"/>
      <c r="GA24" s="577"/>
      <c r="GB24" s="577"/>
      <c r="GC24" s="577"/>
      <c r="GD24" s="577"/>
      <c r="GE24" s="577"/>
      <c r="GF24" s="577"/>
      <c r="GG24" s="577"/>
      <c r="GH24" s="577"/>
      <c r="GI24" s="577"/>
      <c r="GJ24" s="577"/>
      <c r="GK24" s="577"/>
      <c r="GL24" s="577"/>
      <c r="GM24" s="577"/>
      <c r="GN24" s="577"/>
      <c r="GO24" s="577"/>
      <c r="GP24" s="577"/>
      <c r="GQ24" s="577"/>
      <c r="GR24" s="577"/>
      <c r="GS24" s="577"/>
      <c r="GT24" s="577"/>
      <c r="GU24" s="577"/>
      <c r="GV24" s="577"/>
      <c r="GW24" s="577"/>
      <c r="GX24" s="577"/>
      <c r="GY24" s="577"/>
      <c r="GZ24" s="577"/>
      <c r="HA24" s="577"/>
      <c r="HB24" s="577"/>
      <c r="HC24" s="577"/>
      <c r="HD24" s="577"/>
      <c r="HE24" s="577"/>
      <c r="HF24" s="577"/>
      <c r="HG24" s="577"/>
      <c r="HH24" s="577"/>
      <c r="HI24" s="577"/>
      <c r="HJ24" s="577"/>
      <c r="HK24" s="577"/>
      <c r="HL24" s="577"/>
      <c r="HM24" s="577"/>
      <c r="HN24" s="577"/>
      <c r="HO24" s="577"/>
      <c r="HP24" s="577"/>
      <c r="HQ24" s="577"/>
      <c r="HR24" s="577"/>
      <c r="HS24" s="577"/>
      <c r="HT24" s="577"/>
      <c r="HU24" s="577"/>
      <c r="HV24" s="577"/>
      <c r="HW24" s="577"/>
      <c r="HX24" s="577"/>
      <c r="HY24" s="577"/>
      <c r="HZ24" s="577"/>
      <c r="IA24" s="577"/>
      <c r="IB24" s="577"/>
      <c r="IC24" s="577"/>
      <c r="ID24" s="577"/>
      <c r="IE24" s="577"/>
      <c r="IF24" s="577"/>
      <c r="IG24" s="577"/>
      <c r="IH24" s="577"/>
      <c r="II24" s="577"/>
      <c r="IJ24" s="577"/>
      <c r="IK24" s="577"/>
      <c r="IL24" s="577"/>
      <c r="IM24" s="577"/>
      <c r="IN24" s="577"/>
      <c r="IO24" s="577"/>
      <c r="IP24" s="577"/>
      <c r="IQ24" s="577"/>
      <c r="IR24" s="577"/>
      <c r="IS24" s="577"/>
      <c r="IT24" s="577"/>
      <c r="IU24" s="577"/>
      <c r="IV24" s="577"/>
    </row>
    <row r="25" spans="1:256" ht="12.75">
      <c r="A25" s="558">
        <v>20</v>
      </c>
      <c r="B25" s="559" t="s">
        <v>165</v>
      </c>
      <c r="C25" s="560" t="s">
        <v>729</v>
      </c>
      <c r="D25" s="580" t="s">
        <v>724</v>
      </c>
      <c r="E25" s="581" t="s">
        <v>730</v>
      </c>
      <c r="F25" s="582">
        <v>627454.1712</v>
      </c>
      <c r="G25" s="582">
        <v>643958.2126272001</v>
      </c>
      <c r="H25" s="561">
        <f t="shared" si="3"/>
        <v>7727498.551526401</v>
      </c>
      <c r="I25" s="561">
        <v>118227</v>
      </c>
      <c r="J25" s="561">
        <v>235845.947</v>
      </c>
      <c r="K25" s="562">
        <f t="shared" si="0"/>
        <v>8081571.498526401</v>
      </c>
      <c r="L25" s="563">
        <v>0</v>
      </c>
      <c r="M25" s="564">
        <f t="shared" si="4"/>
        <v>0</v>
      </c>
      <c r="N25" s="563">
        <v>0</v>
      </c>
      <c r="O25" s="562">
        <f t="shared" si="5"/>
        <v>0</v>
      </c>
      <c r="P25" s="565">
        <v>1</v>
      </c>
      <c r="Q25" s="562">
        <f t="shared" si="1"/>
        <v>8081571.498526401</v>
      </c>
      <c r="R25" s="565">
        <v>0</v>
      </c>
      <c r="S25" s="562">
        <f t="shared" si="2"/>
        <v>0</v>
      </c>
      <c r="T25" s="566">
        <f t="shared" si="6"/>
        <v>1</v>
      </c>
      <c r="U25" s="577"/>
      <c r="V25" s="577"/>
      <c r="W25" s="577"/>
      <c r="X25" s="577"/>
      <c r="Y25" s="577"/>
      <c r="Z25" s="577"/>
      <c r="AA25" s="577"/>
      <c r="AB25" s="579"/>
      <c r="AC25" s="579"/>
      <c r="AD25" s="579"/>
      <c r="AE25" s="577"/>
      <c r="AF25" s="577"/>
      <c r="AG25" s="577"/>
      <c r="AH25" s="577"/>
      <c r="AI25" s="577"/>
      <c r="AJ25" s="577"/>
      <c r="AK25" s="577"/>
      <c r="AL25" s="577"/>
      <c r="AM25" s="577"/>
      <c r="AN25" s="577"/>
      <c r="AO25" s="577"/>
      <c r="AP25" s="577"/>
      <c r="AQ25" s="577"/>
      <c r="AR25" s="577"/>
      <c r="AS25" s="577"/>
      <c r="AT25" s="577"/>
      <c r="AU25" s="577"/>
      <c r="AV25" s="577"/>
      <c r="AW25" s="577"/>
      <c r="AX25" s="577"/>
      <c r="AY25" s="577"/>
      <c r="AZ25" s="577"/>
      <c r="BA25" s="577"/>
      <c r="BB25" s="577"/>
      <c r="BC25" s="577"/>
      <c r="BD25" s="577"/>
      <c r="BE25" s="577"/>
      <c r="BF25" s="577"/>
      <c r="BG25" s="577"/>
      <c r="BH25" s="577"/>
      <c r="BI25" s="577"/>
      <c r="BJ25" s="577"/>
      <c r="BK25" s="577"/>
      <c r="BL25" s="577"/>
      <c r="BM25" s="577"/>
      <c r="BN25" s="577"/>
      <c r="BO25" s="577"/>
      <c r="BP25" s="577"/>
      <c r="BQ25" s="577"/>
      <c r="BR25" s="577"/>
      <c r="BS25" s="577"/>
      <c r="BT25" s="577"/>
      <c r="BU25" s="577"/>
      <c r="BV25" s="577"/>
      <c r="BW25" s="577"/>
      <c r="BX25" s="577"/>
      <c r="BY25" s="577"/>
      <c r="BZ25" s="577"/>
      <c r="CA25" s="577"/>
      <c r="CB25" s="577"/>
      <c r="CC25" s="577"/>
      <c r="CD25" s="577"/>
      <c r="CE25" s="577"/>
      <c r="CF25" s="577"/>
      <c r="CG25" s="577"/>
      <c r="CH25" s="577"/>
      <c r="CI25" s="577"/>
      <c r="CJ25" s="577"/>
      <c r="CK25" s="577"/>
      <c r="CL25" s="577"/>
      <c r="CM25" s="577"/>
      <c r="CN25" s="577"/>
      <c r="CO25" s="577"/>
      <c r="CP25" s="577"/>
      <c r="CQ25" s="577"/>
      <c r="CR25" s="577"/>
      <c r="CS25" s="577"/>
      <c r="CT25" s="577"/>
      <c r="CU25" s="577"/>
      <c r="CV25" s="577"/>
      <c r="CW25" s="577"/>
      <c r="CX25" s="577"/>
      <c r="CY25" s="577"/>
      <c r="CZ25" s="577"/>
      <c r="DA25" s="577"/>
      <c r="DB25" s="577"/>
      <c r="DC25" s="577"/>
      <c r="DD25" s="577"/>
      <c r="DE25" s="577"/>
      <c r="DF25" s="577"/>
      <c r="DG25" s="577"/>
      <c r="DH25" s="577"/>
      <c r="DI25" s="577"/>
      <c r="DJ25" s="577"/>
      <c r="DK25" s="577"/>
      <c r="DL25" s="577"/>
      <c r="DM25" s="577"/>
      <c r="DN25" s="577"/>
      <c r="DO25" s="577"/>
      <c r="DP25" s="577"/>
      <c r="DQ25" s="577"/>
      <c r="DR25" s="577"/>
      <c r="DS25" s="577"/>
      <c r="DT25" s="577"/>
      <c r="DU25" s="577"/>
      <c r="DV25" s="577"/>
      <c r="DW25" s="577"/>
      <c r="DX25" s="577"/>
      <c r="DY25" s="577"/>
      <c r="DZ25" s="577"/>
      <c r="EA25" s="577"/>
      <c r="EB25" s="577"/>
      <c r="EC25" s="577"/>
      <c r="ED25" s="577"/>
      <c r="EE25" s="577"/>
      <c r="EF25" s="577"/>
      <c r="EG25" s="577"/>
      <c r="EH25" s="577"/>
      <c r="EI25" s="577"/>
      <c r="EJ25" s="577"/>
      <c r="EK25" s="577"/>
      <c r="EL25" s="577"/>
      <c r="EM25" s="577"/>
      <c r="EN25" s="577"/>
      <c r="EO25" s="577"/>
      <c r="EP25" s="577"/>
      <c r="EQ25" s="577"/>
      <c r="ER25" s="577"/>
      <c r="ES25" s="577"/>
      <c r="ET25" s="577"/>
      <c r="EU25" s="577"/>
      <c r="EV25" s="577"/>
      <c r="EW25" s="577"/>
      <c r="EX25" s="577"/>
      <c r="EY25" s="577"/>
      <c r="EZ25" s="577"/>
      <c r="FA25" s="577"/>
      <c r="FB25" s="577"/>
      <c r="FC25" s="577"/>
      <c r="FD25" s="577"/>
      <c r="FE25" s="577"/>
      <c r="FF25" s="577"/>
      <c r="FG25" s="577"/>
      <c r="FH25" s="577"/>
      <c r="FI25" s="577"/>
      <c r="FJ25" s="577"/>
      <c r="FK25" s="577"/>
      <c r="FL25" s="577"/>
      <c r="FM25" s="577"/>
      <c r="FN25" s="577"/>
      <c r="FO25" s="577"/>
      <c r="FP25" s="577"/>
      <c r="FQ25" s="577"/>
      <c r="FR25" s="577"/>
      <c r="FS25" s="577"/>
      <c r="FT25" s="577"/>
      <c r="FU25" s="577"/>
      <c r="FV25" s="577"/>
      <c r="FW25" s="577"/>
      <c r="FX25" s="577"/>
      <c r="FY25" s="577"/>
      <c r="FZ25" s="577"/>
      <c r="GA25" s="577"/>
      <c r="GB25" s="577"/>
      <c r="GC25" s="577"/>
      <c r="GD25" s="577"/>
      <c r="GE25" s="577"/>
      <c r="GF25" s="577"/>
      <c r="GG25" s="577"/>
      <c r="GH25" s="577"/>
      <c r="GI25" s="577"/>
      <c r="GJ25" s="577"/>
      <c r="GK25" s="577"/>
      <c r="GL25" s="577"/>
      <c r="GM25" s="577"/>
      <c r="GN25" s="577"/>
      <c r="GO25" s="577"/>
      <c r="GP25" s="577"/>
      <c r="GQ25" s="577"/>
      <c r="GR25" s="577"/>
      <c r="GS25" s="577"/>
      <c r="GT25" s="577"/>
      <c r="GU25" s="577"/>
      <c r="GV25" s="577"/>
      <c r="GW25" s="577"/>
      <c r="GX25" s="577"/>
      <c r="GY25" s="577"/>
      <c r="GZ25" s="577"/>
      <c r="HA25" s="577"/>
      <c r="HB25" s="577"/>
      <c r="HC25" s="577"/>
      <c r="HD25" s="577"/>
      <c r="HE25" s="577"/>
      <c r="HF25" s="577"/>
      <c r="HG25" s="577"/>
      <c r="HH25" s="577"/>
      <c r="HI25" s="577"/>
      <c r="HJ25" s="577"/>
      <c r="HK25" s="577"/>
      <c r="HL25" s="577"/>
      <c r="HM25" s="577"/>
      <c r="HN25" s="577"/>
      <c r="HO25" s="577"/>
      <c r="HP25" s="577"/>
      <c r="HQ25" s="577"/>
      <c r="HR25" s="577"/>
      <c r="HS25" s="577"/>
      <c r="HT25" s="577"/>
      <c r="HU25" s="577"/>
      <c r="HV25" s="577"/>
      <c r="HW25" s="577"/>
      <c r="HX25" s="577"/>
      <c r="HY25" s="577"/>
      <c r="HZ25" s="577"/>
      <c r="IA25" s="577"/>
      <c r="IB25" s="577"/>
      <c r="IC25" s="577"/>
      <c r="ID25" s="577"/>
      <c r="IE25" s="577"/>
      <c r="IF25" s="577"/>
      <c r="IG25" s="577"/>
      <c r="IH25" s="577"/>
      <c r="II25" s="577"/>
      <c r="IJ25" s="577"/>
      <c r="IK25" s="577"/>
      <c r="IL25" s="577"/>
      <c r="IM25" s="577"/>
      <c r="IN25" s="577"/>
      <c r="IO25" s="577"/>
      <c r="IP25" s="577"/>
      <c r="IQ25" s="577"/>
      <c r="IR25" s="577"/>
      <c r="IS25" s="577"/>
      <c r="IT25" s="577"/>
      <c r="IU25" s="577"/>
      <c r="IV25" s="577"/>
    </row>
    <row r="26" spans="1:256" ht="12.75">
      <c r="A26" s="558">
        <v>21</v>
      </c>
      <c r="B26" s="559" t="s">
        <v>165</v>
      </c>
      <c r="C26" s="560" t="s">
        <v>731</v>
      </c>
      <c r="D26" s="580" t="s">
        <v>732</v>
      </c>
      <c r="E26" s="581" t="s">
        <v>733</v>
      </c>
      <c r="F26" s="582">
        <v>709351.3836</v>
      </c>
      <c r="G26" s="582">
        <v>728574.4566984</v>
      </c>
      <c r="H26" s="561">
        <f t="shared" si="3"/>
        <v>8742893.4803808</v>
      </c>
      <c r="I26" s="561">
        <v>117738</v>
      </c>
      <c r="J26" s="561">
        <v>119464.474</v>
      </c>
      <c r="K26" s="562">
        <f t="shared" si="0"/>
        <v>8980095.9543808</v>
      </c>
      <c r="L26" s="563">
        <v>0</v>
      </c>
      <c r="M26" s="564">
        <f t="shared" si="4"/>
        <v>0</v>
      </c>
      <c r="N26" s="563">
        <v>0</v>
      </c>
      <c r="O26" s="562">
        <f t="shared" si="5"/>
        <v>0</v>
      </c>
      <c r="P26" s="565">
        <v>1</v>
      </c>
      <c r="Q26" s="562">
        <f t="shared" si="1"/>
        <v>8980095.9543808</v>
      </c>
      <c r="R26" s="565">
        <v>0</v>
      </c>
      <c r="S26" s="562">
        <f t="shared" si="2"/>
        <v>0</v>
      </c>
      <c r="T26" s="566">
        <f t="shared" si="6"/>
        <v>1</v>
      </c>
      <c r="U26" s="577"/>
      <c r="V26" s="577"/>
      <c r="W26" s="577"/>
      <c r="X26" s="577"/>
      <c r="Y26" s="577"/>
      <c r="Z26" s="577"/>
      <c r="AA26" s="577"/>
      <c r="AB26" s="579"/>
      <c r="AC26" s="579"/>
      <c r="AD26" s="579"/>
      <c r="AE26" s="577"/>
      <c r="AF26" s="577"/>
      <c r="AG26" s="577"/>
      <c r="AH26" s="577"/>
      <c r="AI26" s="577"/>
      <c r="AJ26" s="577"/>
      <c r="AK26" s="577"/>
      <c r="AL26" s="577"/>
      <c r="AM26" s="577"/>
      <c r="AN26" s="577"/>
      <c r="AO26" s="577"/>
      <c r="AP26" s="577"/>
      <c r="AQ26" s="577"/>
      <c r="AR26" s="577"/>
      <c r="AS26" s="577"/>
      <c r="AT26" s="577"/>
      <c r="AU26" s="577"/>
      <c r="AV26" s="577"/>
      <c r="AW26" s="577"/>
      <c r="AX26" s="577"/>
      <c r="AY26" s="577"/>
      <c r="AZ26" s="577"/>
      <c r="BA26" s="577"/>
      <c r="BB26" s="577"/>
      <c r="BC26" s="577"/>
      <c r="BD26" s="577"/>
      <c r="BE26" s="577"/>
      <c r="BF26" s="577"/>
      <c r="BG26" s="577"/>
      <c r="BH26" s="577"/>
      <c r="BI26" s="577"/>
      <c r="BJ26" s="577"/>
      <c r="BK26" s="577"/>
      <c r="BL26" s="577"/>
      <c r="BM26" s="577"/>
      <c r="BN26" s="577"/>
      <c r="BO26" s="577"/>
      <c r="BP26" s="577"/>
      <c r="BQ26" s="577"/>
      <c r="BR26" s="577"/>
      <c r="BS26" s="577"/>
      <c r="BT26" s="577"/>
      <c r="BU26" s="577"/>
      <c r="BV26" s="577"/>
      <c r="BW26" s="577"/>
      <c r="BX26" s="577"/>
      <c r="BY26" s="577"/>
      <c r="BZ26" s="577"/>
      <c r="CA26" s="577"/>
      <c r="CB26" s="577"/>
      <c r="CC26" s="577"/>
      <c r="CD26" s="577"/>
      <c r="CE26" s="577"/>
      <c r="CF26" s="577"/>
      <c r="CG26" s="577"/>
      <c r="CH26" s="577"/>
      <c r="CI26" s="577"/>
      <c r="CJ26" s="577"/>
      <c r="CK26" s="577"/>
      <c r="CL26" s="577"/>
      <c r="CM26" s="577"/>
      <c r="CN26" s="577"/>
      <c r="CO26" s="577"/>
      <c r="CP26" s="577"/>
      <c r="CQ26" s="577"/>
      <c r="CR26" s="577"/>
      <c r="CS26" s="577"/>
      <c r="CT26" s="577"/>
      <c r="CU26" s="577"/>
      <c r="CV26" s="577"/>
      <c r="CW26" s="577"/>
      <c r="CX26" s="577"/>
      <c r="CY26" s="577"/>
      <c r="CZ26" s="577"/>
      <c r="DA26" s="577"/>
      <c r="DB26" s="577"/>
      <c r="DC26" s="577"/>
      <c r="DD26" s="577"/>
      <c r="DE26" s="577"/>
      <c r="DF26" s="577"/>
      <c r="DG26" s="577"/>
      <c r="DH26" s="577"/>
      <c r="DI26" s="577"/>
      <c r="DJ26" s="577"/>
      <c r="DK26" s="577"/>
      <c r="DL26" s="577"/>
      <c r="DM26" s="577"/>
      <c r="DN26" s="577"/>
      <c r="DO26" s="577"/>
      <c r="DP26" s="577"/>
      <c r="DQ26" s="577"/>
      <c r="DR26" s="577"/>
      <c r="DS26" s="577"/>
      <c r="DT26" s="577"/>
      <c r="DU26" s="577"/>
      <c r="DV26" s="577"/>
      <c r="DW26" s="577"/>
      <c r="DX26" s="577"/>
      <c r="DY26" s="577"/>
      <c r="DZ26" s="577"/>
      <c r="EA26" s="577"/>
      <c r="EB26" s="577"/>
      <c r="EC26" s="577"/>
      <c r="ED26" s="577"/>
      <c r="EE26" s="577"/>
      <c r="EF26" s="577"/>
      <c r="EG26" s="577"/>
      <c r="EH26" s="577"/>
      <c r="EI26" s="577"/>
      <c r="EJ26" s="577"/>
      <c r="EK26" s="577"/>
      <c r="EL26" s="577"/>
      <c r="EM26" s="577"/>
      <c r="EN26" s="577"/>
      <c r="EO26" s="577"/>
      <c r="EP26" s="577"/>
      <c r="EQ26" s="577"/>
      <c r="ER26" s="577"/>
      <c r="ES26" s="577"/>
      <c r="ET26" s="577"/>
      <c r="EU26" s="577"/>
      <c r="EV26" s="577"/>
      <c r="EW26" s="577"/>
      <c r="EX26" s="577"/>
      <c r="EY26" s="577"/>
      <c r="EZ26" s="577"/>
      <c r="FA26" s="577"/>
      <c r="FB26" s="577"/>
      <c r="FC26" s="577"/>
      <c r="FD26" s="577"/>
      <c r="FE26" s="577"/>
      <c r="FF26" s="577"/>
      <c r="FG26" s="577"/>
      <c r="FH26" s="577"/>
      <c r="FI26" s="577"/>
      <c r="FJ26" s="577"/>
      <c r="FK26" s="577"/>
      <c r="FL26" s="577"/>
      <c r="FM26" s="577"/>
      <c r="FN26" s="577"/>
      <c r="FO26" s="577"/>
      <c r="FP26" s="577"/>
      <c r="FQ26" s="577"/>
      <c r="FR26" s="577"/>
      <c r="FS26" s="577"/>
      <c r="FT26" s="577"/>
      <c r="FU26" s="577"/>
      <c r="FV26" s="577"/>
      <c r="FW26" s="577"/>
      <c r="FX26" s="577"/>
      <c r="FY26" s="577"/>
      <c r="FZ26" s="577"/>
      <c r="GA26" s="577"/>
      <c r="GB26" s="577"/>
      <c r="GC26" s="577"/>
      <c r="GD26" s="577"/>
      <c r="GE26" s="577"/>
      <c r="GF26" s="577"/>
      <c r="GG26" s="577"/>
      <c r="GH26" s="577"/>
      <c r="GI26" s="577"/>
      <c r="GJ26" s="577"/>
      <c r="GK26" s="577"/>
      <c r="GL26" s="577"/>
      <c r="GM26" s="577"/>
      <c r="GN26" s="577"/>
      <c r="GO26" s="577"/>
      <c r="GP26" s="577"/>
      <c r="GQ26" s="577"/>
      <c r="GR26" s="577"/>
      <c r="GS26" s="577"/>
      <c r="GT26" s="577"/>
      <c r="GU26" s="577"/>
      <c r="GV26" s="577"/>
      <c r="GW26" s="577"/>
      <c r="GX26" s="577"/>
      <c r="GY26" s="577"/>
      <c r="GZ26" s="577"/>
      <c r="HA26" s="577"/>
      <c r="HB26" s="577"/>
      <c r="HC26" s="577"/>
      <c r="HD26" s="577"/>
      <c r="HE26" s="577"/>
      <c r="HF26" s="577"/>
      <c r="HG26" s="577"/>
      <c r="HH26" s="577"/>
      <c r="HI26" s="577"/>
      <c r="HJ26" s="577"/>
      <c r="HK26" s="577"/>
      <c r="HL26" s="577"/>
      <c r="HM26" s="577"/>
      <c r="HN26" s="577"/>
      <c r="HO26" s="577"/>
      <c r="HP26" s="577"/>
      <c r="HQ26" s="577"/>
      <c r="HR26" s="577"/>
      <c r="HS26" s="577"/>
      <c r="HT26" s="577"/>
      <c r="HU26" s="577"/>
      <c r="HV26" s="577"/>
      <c r="HW26" s="577"/>
      <c r="HX26" s="577"/>
      <c r="HY26" s="577"/>
      <c r="HZ26" s="577"/>
      <c r="IA26" s="577"/>
      <c r="IB26" s="577"/>
      <c r="IC26" s="577"/>
      <c r="ID26" s="577"/>
      <c r="IE26" s="577"/>
      <c r="IF26" s="577"/>
      <c r="IG26" s="577"/>
      <c r="IH26" s="577"/>
      <c r="II26" s="577"/>
      <c r="IJ26" s="577"/>
      <c r="IK26" s="577"/>
      <c r="IL26" s="577"/>
      <c r="IM26" s="577"/>
      <c r="IN26" s="577"/>
      <c r="IO26" s="577"/>
      <c r="IP26" s="577"/>
      <c r="IQ26" s="577"/>
      <c r="IR26" s="577"/>
      <c r="IS26" s="577"/>
      <c r="IT26" s="577"/>
      <c r="IU26" s="577"/>
      <c r="IV26" s="577"/>
    </row>
    <row r="27" spans="1:256" ht="25.5">
      <c r="A27" s="558">
        <v>22</v>
      </c>
      <c r="B27" s="559" t="s">
        <v>165</v>
      </c>
      <c r="C27" s="560" t="s">
        <v>734</v>
      </c>
      <c r="D27" s="580" t="s">
        <v>735</v>
      </c>
      <c r="E27" s="581" t="s">
        <v>728</v>
      </c>
      <c r="F27" s="582">
        <v>828115.5972</v>
      </c>
      <c r="G27" s="582">
        <v>850438.8199811999</v>
      </c>
      <c r="H27" s="561">
        <f t="shared" si="3"/>
        <v>10205265.8397744</v>
      </c>
      <c r="I27" s="561">
        <v>118227</v>
      </c>
      <c r="J27" s="561">
        <v>119464.474</v>
      </c>
      <c r="K27" s="562">
        <f t="shared" si="0"/>
        <v>10442957.3137744</v>
      </c>
      <c r="L27" s="563">
        <v>0.3</v>
      </c>
      <c r="M27" s="564">
        <f t="shared" si="4"/>
        <v>3132887.1941323197</v>
      </c>
      <c r="N27" s="563">
        <v>0.2</v>
      </c>
      <c r="O27" s="562">
        <f t="shared" si="5"/>
        <v>2088591.46275488</v>
      </c>
      <c r="P27" s="565">
        <v>0.3</v>
      </c>
      <c r="Q27" s="562">
        <f t="shared" si="1"/>
        <v>3132887.1941323197</v>
      </c>
      <c r="R27" s="565">
        <v>0.2</v>
      </c>
      <c r="S27" s="562">
        <f t="shared" si="2"/>
        <v>2088591.46275488</v>
      </c>
      <c r="T27" s="566">
        <f t="shared" si="6"/>
        <v>1</v>
      </c>
      <c r="U27" s="577"/>
      <c r="V27" s="577"/>
      <c r="W27" s="577"/>
      <c r="X27" s="577"/>
      <c r="Y27" s="577"/>
      <c r="Z27" s="577"/>
      <c r="AA27" s="577"/>
      <c r="AB27" s="579"/>
      <c r="AC27" s="579"/>
      <c r="AD27" s="579"/>
      <c r="AE27" s="577"/>
      <c r="AF27" s="577"/>
      <c r="AG27" s="577"/>
      <c r="AH27" s="577"/>
      <c r="AI27" s="577"/>
      <c r="AJ27" s="577"/>
      <c r="AK27" s="577"/>
      <c r="AL27" s="577"/>
      <c r="AM27" s="577"/>
      <c r="AN27" s="577"/>
      <c r="AO27" s="577"/>
      <c r="AP27" s="577"/>
      <c r="AQ27" s="577"/>
      <c r="AR27" s="577"/>
      <c r="AS27" s="577"/>
      <c r="AT27" s="577"/>
      <c r="AU27" s="577"/>
      <c r="AV27" s="577"/>
      <c r="AW27" s="577"/>
      <c r="AX27" s="577"/>
      <c r="AY27" s="577"/>
      <c r="AZ27" s="577"/>
      <c r="BA27" s="577"/>
      <c r="BB27" s="577"/>
      <c r="BC27" s="577"/>
      <c r="BD27" s="577"/>
      <c r="BE27" s="577"/>
      <c r="BF27" s="577"/>
      <c r="BG27" s="577"/>
      <c r="BH27" s="577"/>
      <c r="BI27" s="577"/>
      <c r="BJ27" s="577"/>
      <c r="BK27" s="577"/>
      <c r="BL27" s="577"/>
      <c r="BM27" s="577"/>
      <c r="BN27" s="577"/>
      <c r="BO27" s="577"/>
      <c r="BP27" s="577"/>
      <c r="BQ27" s="577"/>
      <c r="BR27" s="577"/>
      <c r="BS27" s="577"/>
      <c r="BT27" s="577"/>
      <c r="BU27" s="577"/>
      <c r="BV27" s="577"/>
      <c r="BW27" s="577"/>
      <c r="BX27" s="577"/>
      <c r="BY27" s="577"/>
      <c r="BZ27" s="577"/>
      <c r="CA27" s="577"/>
      <c r="CB27" s="577"/>
      <c r="CC27" s="577"/>
      <c r="CD27" s="577"/>
      <c r="CE27" s="577"/>
      <c r="CF27" s="577"/>
      <c r="CG27" s="577"/>
      <c r="CH27" s="577"/>
      <c r="CI27" s="577"/>
      <c r="CJ27" s="577"/>
      <c r="CK27" s="577"/>
      <c r="CL27" s="577"/>
      <c r="CM27" s="577"/>
      <c r="CN27" s="577"/>
      <c r="CO27" s="577"/>
      <c r="CP27" s="577"/>
      <c r="CQ27" s="577"/>
      <c r="CR27" s="577"/>
      <c r="CS27" s="577"/>
      <c r="CT27" s="577"/>
      <c r="CU27" s="577"/>
      <c r="CV27" s="577"/>
      <c r="CW27" s="577"/>
      <c r="CX27" s="577"/>
      <c r="CY27" s="577"/>
      <c r="CZ27" s="577"/>
      <c r="DA27" s="577"/>
      <c r="DB27" s="577"/>
      <c r="DC27" s="577"/>
      <c r="DD27" s="577"/>
      <c r="DE27" s="577"/>
      <c r="DF27" s="577"/>
      <c r="DG27" s="577"/>
      <c r="DH27" s="577"/>
      <c r="DI27" s="577"/>
      <c r="DJ27" s="577"/>
      <c r="DK27" s="577"/>
      <c r="DL27" s="577"/>
      <c r="DM27" s="577"/>
      <c r="DN27" s="577"/>
      <c r="DO27" s="577"/>
      <c r="DP27" s="577"/>
      <c r="DQ27" s="577"/>
      <c r="DR27" s="577"/>
      <c r="DS27" s="577"/>
      <c r="DT27" s="577"/>
      <c r="DU27" s="577"/>
      <c r="DV27" s="577"/>
      <c r="DW27" s="577"/>
      <c r="DX27" s="577"/>
      <c r="DY27" s="577"/>
      <c r="DZ27" s="577"/>
      <c r="EA27" s="577"/>
      <c r="EB27" s="577"/>
      <c r="EC27" s="577"/>
      <c r="ED27" s="577"/>
      <c r="EE27" s="577"/>
      <c r="EF27" s="577"/>
      <c r="EG27" s="577"/>
      <c r="EH27" s="577"/>
      <c r="EI27" s="577"/>
      <c r="EJ27" s="577"/>
      <c r="EK27" s="577"/>
      <c r="EL27" s="577"/>
      <c r="EM27" s="577"/>
      <c r="EN27" s="577"/>
      <c r="EO27" s="577"/>
      <c r="EP27" s="577"/>
      <c r="EQ27" s="577"/>
      <c r="ER27" s="577"/>
      <c r="ES27" s="577"/>
      <c r="ET27" s="577"/>
      <c r="EU27" s="577"/>
      <c r="EV27" s="577"/>
      <c r="EW27" s="577"/>
      <c r="EX27" s="577"/>
      <c r="EY27" s="577"/>
      <c r="EZ27" s="577"/>
      <c r="FA27" s="577"/>
      <c r="FB27" s="577"/>
      <c r="FC27" s="577"/>
      <c r="FD27" s="577"/>
      <c r="FE27" s="577"/>
      <c r="FF27" s="577"/>
      <c r="FG27" s="577"/>
      <c r="FH27" s="577"/>
      <c r="FI27" s="577"/>
      <c r="FJ27" s="577"/>
      <c r="FK27" s="577"/>
      <c r="FL27" s="577"/>
      <c r="FM27" s="577"/>
      <c r="FN27" s="577"/>
      <c r="FO27" s="577"/>
      <c r="FP27" s="577"/>
      <c r="FQ27" s="577"/>
      <c r="FR27" s="577"/>
      <c r="FS27" s="577"/>
      <c r="FT27" s="577"/>
      <c r="FU27" s="577"/>
      <c r="FV27" s="577"/>
      <c r="FW27" s="577"/>
      <c r="FX27" s="577"/>
      <c r="FY27" s="577"/>
      <c r="FZ27" s="577"/>
      <c r="GA27" s="577"/>
      <c r="GB27" s="577"/>
      <c r="GC27" s="577"/>
      <c r="GD27" s="577"/>
      <c r="GE27" s="577"/>
      <c r="GF27" s="577"/>
      <c r="GG27" s="577"/>
      <c r="GH27" s="577"/>
      <c r="GI27" s="577"/>
      <c r="GJ27" s="577"/>
      <c r="GK27" s="577"/>
      <c r="GL27" s="577"/>
      <c r="GM27" s="577"/>
      <c r="GN27" s="577"/>
      <c r="GO27" s="577"/>
      <c r="GP27" s="577"/>
      <c r="GQ27" s="577"/>
      <c r="GR27" s="577"/>
      <c r="GS27" s="577"/>
      <c r="GT27" s="577"/>
      <c r="GU27" s="577"/>
      <c r="GV27" s="577"/>
      <c r="GW27" s="577"/>
      <c r="GX27" s="577"/>
      <c r="GY27" s="577"/>
      <c r="GZ27" s="577"/>
      <c r="HA27" s="577"/>
      <c r="HB27" s="577"/>
      <c r="HC27" s="577"/>
      <c r="HD27" s="577"/>
      <c r="HE27" s="577"/>
      <c r="HF27" s="577"/>
      <c r="HG27" s="577"/>
      <c r="HH27" s="577"/>
      <c r="HI27" s="577"/>
      <c r="HJ27" s="577"/>
      <c r="HK27" s="577"/>
      <c r="HL27" s="577"/>
      <c r="HM27" s="577"/>
      <c r="HN27" s="577"/>
      <c r="HO27" s="577"/>
      <c r="HP27" s="577"/>
      <c r="HQ27" s="577"/>
      <c r="HR27" s="577"/>
      <c r="HS27" s="577"/>
      <c r="HT27" s="577"/>
      <c r="HU27" s="577"/>
      <c r="HV27" s="577"/>
      <c r="HW27" s="577"/>
      <c r="HX27" s="577"/>
      <c r="HY27" s="577"/>
      <c r="HZ27" s="577"/>
      <c r="IA27" s="577"/>
      <c r="IB27" s="577"/>
      <c r="IC27" s="577"/>
      <c r="ID27" s="577"/>
      <c r="IE27" s="577"/>
      <c r="IF27" s="577"/>
      <c r="IG27" s="577"/>
      <c r="IH27" s="577"/>
      <c r="II27" s="577"/>
      <c r="IJ27" s="577"/>
      <c r="IK27" s="577"/>
      <c r="IL27" s="577"/>
      <c r="IM27" s="577"/>
      <c r="IN27" s="577"/>
      <c r="IO27" s="577"/>
      <c r="IP27" s="577"/>
      <c r="IQ27" s="577"/>
      <c r="IR27" s="577"/>
      <c r="IS27" s="577"/>
      <c r="IT27" s="577"/>
      <c r="IU27" s="577"/>
      <c r="IV27" s="577"/>
    </row>
    <row r="28" spans="1:256" ht="25.5">
      <c r="A28" s="558">
        <v>23</v>
      </c>
      <c r="B28" s="559" t="s">
        <v>165</v>
      </c>
      <c r="C28" s="560" t="s">
        <v>736</v>
      </c>
      <c r="D28" s="580" t="s">
        <v>737</v>
      </c>
      <c r="E28" s="581" t="s">
        <v>728</v>
      </c>
      <c r="F28" s="582">
        <v>890743.5396</v>
      </c>
      <c r="G28" s="582">
        <v>913296.579006</v>
      </c>
      <c r="H28" s="561">
        <f t="shared" si="3"/>
        <v>10959558.948072</v>
      </c>
      <c r="I28" s="561">
        <v>118227</v>
      </c>
      <c r="J28" s="561">
        <v>119464.474</v>
      </c>
      <c r="K28" s="562">
        <f t="shared" si="0"/>
        <v>11197250.422071999</v>
      </c>
      <c r="L28" s="563">
        <v>0</v>
      </c>
      <c r="M28" s="564">
        <f t="shared" si="4"/>
        <v>0</v>
      </c>
      <c r="N28" s="563">
        <v>0</v>
      </c>
      <c r="O28" s="562">
        <f t="shared" si="5"/>
        <v>0</v>
      </c>
      <c r="P28" s="565">
        <v>1</v>
      </c>
      <c r="Q28" s="562">
        <f t="shared" si="1"/>
        <v>11197250.422071999</v>
      </c>
      <c r="R28" s="565">
        <v>0</v>
      </c>
      <c r="S28" s="562">
        <f t="shared" si="2"/>
        <v>0</v>
      </c>
      <c r="T28" s="566">
        <f t="shared" si="6"/>
        <v>1</v>
      </c>
      <c r="U28" s="577"/>
      <c r="V28" s="577"/>
      <c r="W28" s="577"/>
      <c r="X28" s="577"/>
      <c r="Y28" s="577"/>
      <c r="Z28" s="577"/>
      <c r="AA28" s="577"/>
      <c r="AB28" s="579"/>
      <c r="AC28" s="579"/>
      <c r="AD28" s="579"/>
      <c r="AE28" s="577"/>
      <c r="AF28" s="577"/>
      <c r="AG28" s="577"/>
      <c r="AH28" s="577"/>
      <c r="AI28" s="577"/>
      <c r="AJ28" s="577"/>
      <c r="AK28" s="577"/>
      <c r="AL28" s="577"/>
      <c r="AM28" s="577"/>
      <c r="AN28" s="577"/>
      <c r="AO28" s="577"/>
      <c r="AP28" s="577"/>
      <c r="AQ28" s="577"/>
      <c r="AR28" s="577"/>
      <c r="AS28" s="577"/>
      <c r="AT28" s="577"/>
      <c r="AU28" s="577"/>
      <c r="AV28" s="577"/>
      <c r="AW28" s="577"/>
      <c r="AX28" s="577"/>
      <c r="AY28" s="577"/>
      <c r="AZ28" s="577"/>
      <c r="BA28" s="577"/>
      <c r="BB28" s="577"/>
      <c r="BC28" s="577"/>
      <c r="BD28" s="577"/>
      <c r="BE28" s="577"/>
      <c r="BF28" s="577"/>
      <c r="BG28" s="577"/>
      <c r="BH28" s="577"/>
      <c r="BI28" s="577"/>
      <c r="BJ28" s="577"/>
      <c r="BK28" s="577"/>
      <c r="BL28" s="577"/>
      <c r="BM28" s="577"/>
      <c r="BN28" s="577"/>
      <c r="BO28" s="577"/>
      <c r="BP28" s="577"/>
      <c r="BQ28" s="577"/>
      <c r="BR28" s="577"/>
      <c r="BS28" s="577"/>
      <c r="BT28" s="577"/>
      <c r="BU28" s="577"/>
      <c r="BV28" s="577"/>
      <c r="BW28" s="577"/>
      <c r="BX28" s="577"/>
      <c r="BY28" s="577"/>
      <c r="BZ28" s="577"/>
      <c r="CA28" s="577"/>
      <c r="CB28" s="577"/>
      <c r="CC28" s="577"/>
      <c r="CD28" s="577"/>
      <c r="CE28" s="577"/>
      <c r="CF28" s="577"/>
      <c r="CG28" s="577"/>
      <c r="CH28" s="577"/>
      <c r="CI28" s="577"/>
      <c r="CJ28" s="577"/>
      <c r="CK28" s="577"/>
      <c r="CL28" s="577"/>
      <c r="CM28" s="577"/>
      <c r="CN28" s="577"/>
      <c r="CO28" s="577"/>
      <c r="CP28" s="577"/>
      <c r="CQ28" s="577"/>
      <c r="CR28" s="577"/>
      <c r="CS28" s="577"/>
      <c r="CT28" s="577"/>
      <c r="CU28" s="577"/>
      <c r="CV28" s="577"/>
      <c r="CW28" s="577"/>
      <c r="CX28" s="577"/>
      <c r="CY28" s="577"/>
      <c r="CZ28" s="577"/>
      <c r="DA28" s="577"/>
      <c r="DB28" s="577"/>
      <c r="DC28" s="577"/>
      <c r="DD28" s="577"/>
      <c r="DE28" s="577"/>
      <c r="DF28" s="577"/>
      <c r="DG28" s="577"/>
      <c r="DH28" s="577"/>
      <c r="DI28" s="577"/>
      <c r="DJ28" s="577"/>
      <c r="DK28" s="577"/>
      <c r="DL28" s="577"/>
      <c r="DM28" s="577"/>
      <c r="DN28" s="577"/>
      <c r="DO28" s="577"/>
      <c r="DP28" s="577"/>
      <c r="DQ28" s="577"/>
      <c r="DR28" s="577"/>
      <c r="DS28" s="577"/>
      <c r="DT28" s="577"/>
      <c r="DU28" s="577"/>
      <c r="DV28" s="577"/>
      <c r="DW28" s="577"/>
      <c r="DX28" s="577"/>
      <c r="DY28" s="577"/>
      <c r="DZ28" s="577"/>
      <c r="EA28" s="577"/>
      <c r="EB28" s="577"/>
      <c r="EC28" s="577"/>
      <c r="ED28" s="577"/>
      <c r="EE28" s="577"/>
      <c r="EF28" s="577"/>
      <c r="EG28" s="577"/>
      <c r="EH28" s="577"/>
      <c r="EI28" s="577"/>
      <c r="EJ28" s="577"/>
      <c r="EK28" s="577"/>
      <c r="EL28" s="577"/>
      <c r="EM28" s="577"/>
      <c r="EN28" s="577"/>
      <c r="EO28" s="577"/>
      <c r="EP28" s="577"/>
      <c r="EQ28" s="577"/>
      <c r="ER28" s="577"/>
      <c r="ES28" s="577"/>
      <c r="ET28" s="577"/>
      <c r="EU28" s="577"/>
      <c r="EV28" s="577"/>
      <c r="EW28" s="577"/>
      <c r="EX28" s="577"/>
      <c r="EY28" s="577"/>
      <c r="EZ28" s="577"/>
      <c r="FA28" s="577"/>
      <c r="FB28" s="577"/>
      <c r="FC28" s="577"/>
      <c r="FD28" s="577"/>
      <c r="FE28" s="577"/>
      <c r="FF28" s="577"/>
      <c r="FG28" s="577"/>
      <c r="FH28" s="577"/>
      <c r="FI28" s="577"/>
      <c r="FJ28" s="577"/>
      <c r="FK28" s="577"/>
      <c r="FL28" s="577"/>
      <c r="FM28" s="577"/>
      <c r="FN28" s="577"/>
      <c r="FO28" s="577"/>
      <c r="FP28" s="577"/>
      <c r="FQ28" s="577"/>
      <c r="FR28" s="577"/>
      <c r="FS28" s="577"/>
      <c r="FT28" s="577"/>
      <c r="FU28" s="577"/>
      <c r="FV28" s="577"/>
      <c r="FW28" s="577"/>
      <c r="FX28" s="577"/>
      <c r="FY28" s="577"/>
      <c r="FZ28" s="577"/>
      <c r="GA28" s="577"/>
      <c r="GB28" s="577"/>
      <c r="GC28" s="577"/>
      <c r="GD28" s="577"/>
      <c r="GE28" s="577"/>
      <c r="GF28" s="577"/>
      <c r="GG28" s="577"/>
      <c r="GH28" s="577"/>
      <c r="GI28" s="577"/>
      <c r="GJ28" s="577"/>
      <c r="GK28" s="577"/>
      <c r="GL28" s="577"/>
      <c r="GM28" s="577"/>
      <c r="GN28" s="577"/>
      <c r="GO28" s="577"/>
      <c r="GP28" s="577"/>
      <c r="GQ28" s="577"/>
      <c r="GR28" s="577"/>
      <c r="GS28" s="577"/>
      <c r="GT28" s="577"/>
      <c r="GU28" s="577"/>
      <c r="GV28" s="577"/>
      <c r="GW28" s="577"/>
      <c r="GX28" s="577"/>
      <c r="GY28" s="577"/>
      <c r="GZ28" s="577"/>
      <c r="HA28" s="577"/>
      <c r="HB28" s="577"/>
      <c r="HC28" s="577"/>
      <c r="HD28" s="577"/>
      <c r="HE28" s="577"/>
      <c r="HF28" s="577"/>
      <c r="HG28" s="577"/>
      <c r="HH28" s="577"/>
      <c r="HI28" s="577"/>
      <c r="HJ28" s="577"/>
      <c r="HK28" s="577"/>
      <c r="HL28" s="577"/>
      <c r="HM28" s="577"/>
      <c r="HN28" s="577"/>
      <c r="HO28" s="577"/>
      <c r="HP28" s="577"/>
      <c r="HQ28" s="577"/>
      <c r="HR28" s="577"/>
      <c r="HS28" s="577"/>
      <c r="HT28" s="577"/>
      <c r="HU28" s="577"/>
      <c r="HV28" s="577"/>
      <c r="HW28" s="577"/>
      <c r="HX28" s="577"/>
      <c r="HY28" s="577"/>
      <c r="HZ28" s="577"/>
      <c r="IA28" s="577"/>
      <c r="IB28" s="577"/>
      <c r="IC28" s="577"/>
      <c r="ID28" s="577"/>
      <c r="IE28" s="577"/>
      <c r="IF28" s="577"/>
      <c r="IG28" s="577"/>
      <c r="IH28" s="577"/>
      <c r="II28" s="577"/>
      <c r="IJ28" s="577"/>
      <c r="IK28" s="577"/>
      <c r="IL28" s="577"/>
      <c r="IM28" s="577"/>
      <c r="IN28" s="577"/>
      <c r="IO28" s="577"/>
      <c r="IP28" s="577"/>
      <c r="IQ28" s="577"/>
      <c r="IR28" s="577"/>
      <c r="IS28" s="577"/>
      <c r="IT28" s="577"/>
      <c r="IU28" s="577"/>
      <c r="IV28" s="577"/>
    </row>
    <row r="29" spans="1:256" ht="12.75">
      <c r="A29" s="558">
        <v>24</v>
      </c>
      <c r="B29" s="559" t="s">
        <v>165</v>
      </c>
      <c r="C29" s="560" t="s">
        <v>738</v>
      </c>
      <c r="D29" s="580" t="s">
        <v>739</v>
      </c>
      <c r="E29" s="581" t="s">
        <v>728</v>
      </c>
      <c r="F29" s="582">
        <v>956697.8928</v>
      </c>
      <c r="G29" s="582">
        <v>980276.2801020001</v>
      </c>
      <c r="H29" s="561">
        <f t="shared" si="3"/>
        <v>11763315.361224001</v>
      </c>
      <c r="I29" s="561">
        <v>115535</v>
      </c>
      <c r="J29" s="561">
        <v>119464.474</v>
      </c>
      <c r="K29" s="562">
        <f t="shared" si="0"/>
        <v>11998314.835224</v>
      </c>
      <c r="L29" s="563">
        <v>0.3</v>
      </c>
      <c r="M29" s="564">
        <f t="shared" si="4"/>
        <v>3599494.4505672003</v>
      </c>
      <c r="N29" s="563">
        <v>0.1</v>
      </c>
      <c r="O29" s="562">
        <f t="shared" si="5"/>
        <v>1199831.4835224</v>
      </c>
      <c r="P29" s="565">
        <v>0.3</v>
      </c>
      <c r="Q29" s="562">
        <f t="shared" si="1"/>
        <v>3599494.4505672003</v>
      </c>
      <c r="R29" s="565">
        <v>0.3</v>
      </c>
      <c r="S29" s="562">
        <f t="shared" si="2"/>
        <v>3599494.4505672003</v>
      </c>
      <c r="T29" s="566">
        <f t="shared" si="6"/>
        <v>1</v>
      </c>
      <c r="U29" s="577"/>
      <c r="V29" s="577"/>
      <c r="W29" s="577"/>
      <c r="X29" s="577"/>
      <c r="Y29" s="577"/>
      <c r="Z29" s="577"/>
      <c r="AA29" s="577"/>
      <c r="AB29" s="579"/>
      <c r="AC29" s="579"/>
      <c r="AD29" s="579"/>
      <c r="AE29" s="577"/>
      <c r="AF29" s="577"/>
      <c r="AG29" s="577"/>
      <c r="AH29" s="577"/>
      <c r="AI29" s="577"/>
      <c r="AJ29" s="577"/>
      <c r="AK29" s="577"/>
      <c r="AL29" s="577"/>
      <c r="AM29" s="577"/>
      <c r="AN29" s="577"/>
      <c r="AO29" s="577"/>
      <c r="AP29" s="577"/>
      <c r="AQ29" s="577"/>
      <c r="AR29" s="577"/>
      <c r="AS29" s="577"/>
      <c r="AT29" s="577"/>
      <c r="AU29" s="577"/>
      <c r="AV29" s="577"/>
      <c r="AW29" s="577"/>
      <c r="AX29" s="577"/>
      <c r="AY29" s="577"/>
      <c r="AZ29" s="577"/>
      <c r="BA29" s="577"/>
      <c r="BB29" s="577"/>
      <c r="BC29" s="577"/>
      <c r="BD29" s="577"/>
      <c r="BE29" s="577"/>
      <c r="BF29" s="577"/>
      <c r="BG29" s="577"/>
      <c r="BH29" s="577"/>
      <c r="BI29" s="577"/>
      <c r="BJ29" s="577"/>
      <c r="BK29" s="577"/>
      <c r="BL29" s="577"/>
      <c r="BM29" s="577"/>
      <c r="BN29" s="577"/>
      <c r="BO29" s="577"/>
      <c r="BP29" s="577"/>
      <c r="BQ29" s="577"/>
      <c r="BR29" s="577"/>
      <c r="BS29" s="577"/>
      <c r="BT29" s="577"/>
      <c r="BU29" s="577"/>
      <c r="BV29" s="577"/>
      <c r="BW29" s="577"/>
      <c r="BX29" s="577"/>
      <c r="BY29" s="577"/>
      <c r="BZ29" s="577"/>
      <c r="CA29" s="577"/>
      <c r="CB29" s="577"/>
      <c r="CC29" s="577"/>
      <c r="CD29" s="577"/>
      <c r="CE29" s="577"/>
      <c r="CF29" s="577"/>
      <c r="CG29" s="577"/>
      <c r="CH29" s="577"/>
      <c r="CI29" s="577"/>
      <c r="CJ29" s="577"/>
      <c r="CK29" s="577"/>
      <c r="CL29" s="577"/>
      <c r="CM29" s="577"/>
      <c r="CN29" s="577"/>
      <c r="CO29" s="577"/>
      <c r="CP29" s="577"/>
      <c r="CQ29" s="577"/>
      <c r="CR29" s="577"/>
      <c r="CS29" s="577"/>
      <c r="CT29" s="577"/>
      <c r="CU29" s="577"/>
      <c r="CV29" s="577"/>
      <c r="CW29" s="577"/>
      <c r="CX29" s="577"/>
      <c r="CY29" s="577"/>
      <c r="CZ29" s="577"/>
      <c r="DA29" s="577"/>
      <c r="DB29" s="577"/>
      <c r="DC29" s="577"/>
      <c r="DD29" s="577"/>
      <c r="DE29" s="577"/>
      <c r="DF29" s="577"/>
      <c r="DG29" s="577"/>
      <c r="DH29" s="577"/>
      <c r="DI29" s="577"/>
      <c r="DJ29" s="577"/>
      <c r="DK29" s="577"/>
      <c r="DL29" s="577"/>
      <c r="DM29" s="577"/>
      <c r="DN29" s="577"/>
      <c r="DO29" s="577"/>
      <c r="DP29" s="577"/>
      <c r="DQ29" s="577"/>
      <c r="DR29" s="577"/>
      <c r="DS29" s="577"/>
      <c r="DT29" s="577"/>
      <c r="DU29" s="577"/>
      <c r="DV29" s="577"/>
      <c r="DW29" s="577"/>
      <c r="DX29" s="577"/>
      <c r="DY29" s="577"/>
      <c r="DZ29" s="577"/>
      <c r="EA29" s="577"/>
      <c r="EB29" s="577"/>
      <c r="EC29" s="577"/>
      <c r="ED29" s="577"/>
      <c r="EE29" s="577"/>
      <c r="EF29" s="577"/>
      <c r="EG29" s="577"/>
      <c r="EH29" s="577"/>
      <c r="EI29" s="577"/>
      <c r="EJ29" s="577"/>
      <c r="EK29" s="577"/>
      <c r="EL29" s="577"/>
      <c r="EM29" s="577"/>
      <c r="EN29" s="577"/>
      <c r="EO29" s="577"/>
      <c r="EP29" s="577"/>
      <c r="EQ29" s="577"/>
      <c r="ER29" s="577"/>
      <c r="ES29" s="577"/>
      <c r="ET29" s="577"/>
      <c r="EU29" s="577"/>
      <c r="EV29" s="577"/>
      <c r="EW29" s="577"/>
      <c r="EX29" s="577"/>
      <c r="EY29" s="577"/>
      <c r="EZ29" s="577"/>
      <c r="FA29" s="577"/>
      <c r="FB29" s="577"/>
      <c r="FC29" s="577"/>
      <c r="FD29" s="577"/>
      <c r="FE29" s="577"/>
      <c r="FF29" s="577"/>
      <c r="FG29" s="577"/>
      <c r="FH29" s="577"/>
      <c r="FI29" s="577"/>
      <c r="FJ29" s="577"/>
      <c r="FK29" s="577"/>
      <c r="FL29" s="577"/>
      <c r="FM29" s="577"/>
      <c r="FN29" s="577"/>
      <c r="FO29" s="577"/>
      <c r="FP29" s="577"/>
      <c r="FQ29" s="577"/>
      <c r="FR29" s="577"/>
      <c r="FS29" s="577"/>
      <c r="FT29" s="577"/>
      <c r="FU29" s="577"/>
      <c r="FV29" s="577"/>
      <c r="FW29" s="577"/>
      <c r="FX29" s="577"/>
      <c r="FY29" s="577"/>
      <c r="FZ29" s="577"/>
      <c r="GA29" s="577"/>
      <c r="GB29" s="577"/>
      <c r="GC29" s="577"/>
      <c r="GD29" s="577"/>
      <c r="GE29" s="577"/>
      <c r="GF29" s="577"/>
      <c r="GG29" s="577"/>
      <c r="GH29" s="577"/>
      <c r="GI29" s="577"/>
      <c r="GJ29" s="577"/>
      <c r="GK29" s="577"/>
      <c r="GL29" s="577"/>
      <c r="GM29" s="577"/>
      <c r="GN29" s="577"/>
      <c r="GO29" s="577"/>
      <c r="GP29" s="577"/>
      <c r="GQ29" s="577"/>
      <c r="GR29" s="577"/>
      <c r="GS29" s="577"/>
      <c r="GT29" s="577"/>
      <c r="GU29" s="577"/>
      <c r="GV29" s="577"/>
      <c r="GW29" s="577"/>
      <c r="GX29" s="577"/>
      <c r="GY29" s="577"/>
      <c r="GZ29" s="577"/>
      <c r="HA29" s="577"/>
      <c r="HB29" s="577"/>
      <c r="HC29" s="577"/>
      <c r="HD29" s="577"/>
      <c r="HE29" s="577"/>
      <c r="HF29" s="577"/>
      <c r="HG29" s="577"/>
      <c r="HH29" s="577"/>
      <c r="HI29" s="577"/>
      <c r="HJ29" s="577"/>
      <c r="HK29" s="577"/>
      <c r="HL29" s="577"/>
      <c r="HM29" s="577"/>
      <c r="HN29" s="577"/>
      <c r="HO29" s="577"/>
      <c r="HP29" s="577"/>
      <c r="HQ29" s="577"/>
      <c r="HR29" s="577"/>
      <c r="HS29" s="577"/>
      <c r="HT29" s="577"/>
      <c r="HU29" s="577"/>
      <c r="HV29" s="577"/>
      <c r="HW29" s="577"/>
      <c r="HX29" s="577"/>
      <c r="HY29" s="577"/>
      <c r="HZ29" s="577"/>
      <c r="IA29" s="577"/>
      <c r="IB29" s="577"/>
      <c r="IC29" s="577"/>
      <c r="ID29" s="577"/>
      <c r="IE29" s="577"/>
      <c r="IF29" s="577"/>
      <c r="IG29" s="577"/>
      <c r="IH29" s="577"/>
      <c r="II29" s="577"/>
      <c r="IJ29" s="577"/>
      <c r="IK29" s="577"/>
      <c r="IL29" s="577"/>
      <c r="IM29" s="577"/>
      <c r="IN29" s="577"/>
      <c r="IO29" s="577"/>
      <c r="IP29" s="577"/>
      <c r="IQ29" s="577"/>
      <c r="IR29" s="577"/>
      <c r="IS29" s="577"/>
      <c r="IT29" s="577"/>
      <c r="IU29" s="577"/>
      <c r="IV29" s="577"/>
    </row>
    <row r="30" spans="1:256" ht="12.75">
      <c r="A30" s="558">
        <v>25</v>
      </c>
      <c r="B30" s="559" t="s">
        <v>165</v>
      </c>
      <c r="C30" s="560" t="s">
        <v>740</v>
      </c>
      <c r="D30" s="580" t="s">
        <v>741</v>
      </c>
      <c r="E30" s="581" t="s">
        <v>733</v>
      </c>
      <c r="F30" s="582">
        <v>993612.2688</v>
      </c>
      <c r="G30" s="582">
        <v>1020734.8950576</v>
      </c>
      <c r="H30" s="561">
        <f t="shared" si="3"/>
        <v>12248818.7406912</v>
      </c>
      <c r="I30" s="561">
        <v>118227</v>
      </c>
      <c r="J30" s="561">
        <v>119464.474</v>
      </c>
      <c r="K30" s="562">
        <f t="shared" si="0"/>
        <v>12486510.2146912</v>
      </c>
      <c r="L30" s="563">
        <v>0</v>
      </c>
      <c r="M30" s="564">
        <f t="shared" si="4"/>
        <v>0</v>
      </c>
      <c r="N30" s="563">
        <v>0</v>
      </c>
      <c r="O30" s="562">
        <f t="shared" si="5"/>
        <v>0</v>
      </c>
      <c r="P30" s="565">
        <v>1</v>
      </c>
      <c r="Q30" s="562">
        <f t="shared" si="1"/>
        <v>12486510.2146912</v>
      </c>
      <c r="R30" s="565">
        <v>0</v>
      </c>
      <c r="S30" s="562">
        <f t="shared" si="2"/>
        <v>0</v>
      </c>
      <c r="T30" s="566">
        <f t="shared" si="6"/>
        <v>1</v>
      </c>
      <c r="U30" s="577"/>
      <c r="V30" s="577"/>
      <c r="W30" s="577"/>
      <c r="X30" s="577"/>
      <c r="Y30" s="577"/>
      <c r="Z30" s="577"/>
      <c r="AA30" s="577"/>
      <c r="AB30" s="579"/>
      <c r="AC30" s="579"/>
      <c r="AD30" s="579"/>
      <c r="AE30" s="577"/>
      <c r="AF30" s="577"/>
      <c r="AG30" s="577"/>
      <c r="AH30" s="577"/>
      <c r="AI30" s="577"/>
      <c r="AJ30" s="577"/>
      <c r="AK30" s="577"/>
      <c r="AL30" s="577"/>
      <c r="AM30" s="577"/>
      <c r="AN30" s="577"/>
      <c r="AO30" s="577"/>
      <c r="AP30" s="577"/>
      <c r="AQ30" s="577"/>
      <c r="AR30" s="577"/>
      <c r="AS30" s="577"/>
      <c r="AT30" s="577"/>
      <c r="AU30" s="577"/>
      <c r="AV30" s="577"/>
      <c r="AW30" s="577"/>
      <c r="AX30" s="577"/>
      <c r="AY30" s="577"/>
      <c r="AZ30" s="577"/>
      <c r="BA30" s="577"/>
      <c r="BB30" s="577"/>
      <c r="BC30" s="577"/>
      <c r="BD30" s="577"/>
      <c r="BE30" s="577"/>
      <c r="BF30" s="577"/>
      <c r="BG30" s="577"/>
      <c r="BH30" s="577"/>
      <c r="BI30" s="577"/>
      <c r="BJ30" s="577"/>
      <c r="BK30" s="577"/>
      <c r="BL30" s="577"/>
      <c r="BM30" s="577"/>
      <c r="BN30" s="577"/>
      <c r="BO30" s="577"/>
      <c r="BP30" s="577"/>
      <c r="BQ30" s="577"/>
      <c r="BR30" s="577"/>
      <c r="BS30" s="577"/>
      <c r="BT30" s="577"/>
      <c r="BU30" s="577"/>
      <c r="BV30" s="577"/>
      <c r="BW30" s="577"/>
      <c r="BX30" s="577"/>
      <c r="BY30" s="577"/>
      <c r="BZ30" s="577"/>
      <c r="CA30" s="577"/>
      <c r="CB30" s="577"/>
      <c r="CC30" s="577"/>
      <c r="CD30" s="577"/>
      <c r="CE30" s="577"/>
      <c r="CF30" s="577"/>
      <c r="CG30" s="577"/>
      <c r="CH30" s="577"/>
      <c r="CI30" s="577"/>
      <c r="CJ30" s="577"/>
      <c r="CK30" s="577"/>
      <c r="CL30" s="577"/>
      <c r="CM30" s="577"/>
      <c r="CN30" s="577"/>
      <c r="CO30" s="577"/>
      <c r="CP30" s="577"/>
      <c r="CQ30" s="577"/>
      <c r="CR30" s="577"/>
      <c r="CS30" s="577"/>
      <c r="CT30" s="577"/>
      <c r="CU30" s="577"/>
      <c r="CV30" s="577"/>
      <c r="CW30" s="577"/>
      <c r="CX30" s="577"/>
      <c r="CY30" s="577"/>
      <c r="CZ30" s="577"/>
      <c r="DA30" s="577"/>
      <c r="DB30" s="577"/>
      <c r="DC30" s="577"/>
      <c r="DD30" s="577"/>
      <c r="DE30" s="577"/>
      <c r="DF30" s="577"/>
      <c r="DG30" s="577"/>
      <c r="DH30" s="577"/>
      <c r="DI30" s="577"/>
      <c r="DJ30" s="577"/>
      <c r="DK30" s="577"/>
      <c r="DL30" s="577"/>
      <c r="DM30" s="577"/>
      <c r="DN30" s="577"/>
      <c r="DO30" s="577"/>
      <c r="DP30" s="577"/>
      <c r="DQ30" s="577"/>
      <c r="DR30" s="577"/>
      <c r="DS30" s="577"/>
      <c r="DT30" s="577"/>
      <c r="DU30" s="577"/>
      <c r="DV30" s="577"/>
      <c r="DW30" s="577"/>
      <c r="DX30" s="577"/>
      <c r="DY30" s="577"/>
      <c r="DZ30" s="577"/>
      <c r="EA30" s="577"/>
      <c r="EB30" s="577"/>
      <c r="EC30" s="577"/>
      <c r="ED30" s="577"/>
      <c r="EE30" s="577"/>
      <c r="EF30" s="577"/>
      <c r="EG30" s="577"/>
      <c r="EH30" s="577"/>
      <c r="EI30" s="577"/>
      <c r="EJ30" s="577"/>
      <c r="EK30" s="577"/>
      <c r="EL30" s="577"/>
      <c r="EM30" s="577"/>
      <c r="EN30" s="577"/>
      <c r="EO30" s="577"/>
      <c r="EP30" s="577"/>
      <c r="EQ30" s="577"/>
      <c r="ER30" s="577"/>
      <c r="ES30" s="577"/>
      <c r="ET30" s="577"/>
      <c r="EU30" s="577"/>
      <c r="EV30" s="577"/>
      <c r="EW30" s="577"/>
      <c r="EX30" s="577"/>
      <c r="EY30" s="577"/>
      <c r="EZ30" s="577"/>
      <c r="FA30" s="577"/>
      <c r="FB30" s="577"/>
      <c r="FC30" s="577"/>
      <c r="FD30" s="577"/>
      <c r="FE30" s="577"/>
      <c r="FF30" s="577"/>
      <c r="FG30" s="577"/>
      <c r="FH30" s="577"/>
      <c r="FI30" s="577"/>
      <c r="FJ30" s="577"/>
      <c r="FK30" s="577"/>
      <c r="FL30" s="577"/>
      <c r="FM30" s="577"/>
      <c r="FN30" s="577"/>
      <c r="FO30" s="577"/>
      <c r="FP30" s="577"/>
      <c r="FQ30" s="577"/>
      <c r="FR30" s="577"/>
      <c r="FS30" s="577"/>
      <c r="FT30" s="577"/>
      <c r="FU30" s="577"/>
      <c r="FV30" s="577"/>
      <c r="FW30" s="577"/>
      <c r="FX30" s="577"/>
      <c r="FY30" s="577"/>
      <c r="FZ30" s="577"/>
      <c r="GA30" s="577"/>
      <c r="GB30" s="577"/>
      <c r="GC30" s="577"/>
      <c r="GD30" s="577"/>
      <c r="GE30" s="577"/>
      <c r="GF30" s="577"/>
      <c r="GG30" s="577"/>
      <c r="GH30" s="577"/>
      <c r="GI30" s="577"/>
      <c r="GJ30" s="577"/>
      <c r="GK30" s="577"/>
      <c r="GL30" s="577"/>
      <c r="GM30" s="577"/>
      <c r="GN30" s="577"/>
      <c r="GO30" s="577"/>
      <c r="GP30" s="577"/>
      <c r="GQ30" s="577"/>
      <c r="GR30" s="577"/>
      <c r="GS30" s="577"/>
      <c r="GT30" s="577"/>
      <c r="GU30" s="577"/>
      <c r="GV30" s="577"/>
      <c r="GW30" s="577"/>
      <c r="GX30" s="577"/>
      <c r="GY30" s="577"/>
      <c r="GZ30" s="577"/>
      <c r="HA30" s="577"/>
      <c r="HB30" s="577"/>
      <c r="HC30" s="577"/>
      <c r="HD30" s="577"/>
      <c r="HE30" s="577"/>
      <c r="HF30" s="577"/>
      <c r="HG30" s="577"/>
      <c r="HH30" s="577"/>
      <c r="HI30" s="577"/>
      <c r="HJ30" s="577"/>
      <c r="HK30" s="577"/>
      <c r="HL30" s="577"/>
      <c r="HM30" s="577"/>
      <c r="HN30" s="577"/>
      <c r="HO30" s="577"/>
      <c r="HP30" s="577"/>
      <c r="HQ30" s="577"/>
      <c r="HR30" s="577"/>
      <c r="HS30" s="577"/>
      <c r="HT30" s="577"/>
      <c r="HU30" s="577"/>
      <c r="HV30" s="577"/>
      <c r="HW30" s="577"/>
      <c r="HX30" s="577"/>
      <c r="HY30" s="577"/>
      <c r="HZ30" s="577"/>
      <c r="IA30" s="577"/>
      <c r="IB30" s="577"/>
      <c r="IC30" s="577"/>
      <c r="ID30" s="577"/>
      <c r="IE30" s="577"/>
      <c r="IF30" s="577"/>
      <c r="IG30" s="577"/>
      <c r="IH30" s="577"/>
      <c r="II30" s="577"/>
      <c r="IJ30" s="577"/>
      <c r="IK30" s="577"/>
      <c r="IL30" s="577"/>
      <c r="IM30" s="577"/>
      <c r="IN30" s="577"/>
      <c r="IO30" s="577"/>
      <c r="IP30" s="577"/>
      <c r="IQ30" s="577"/>
      <c r="IR30" s="577"/>
      <c r="IS30" s="577"/>
      <c r="IT30" s="577"/>
      <c r="IU30" s="577"/>
      <c r="IV30" s="577"/>
    </row>
    <row r="31" spans="1:256" ht="13.5" thickBot="1">
      <c r="A31" s="558">
        <v>26</v>
      </c>
      <c r="B31" s="559" t="s">
        <v>165</v>
      </c>
      <c r="C31" s="560" t="s">
        <v>742</v>
      </c>
      <c r="D31" s="580" t="s">
        <v>698</v>
      </c>
      <c r="E31" s="581" t="s">
        <v>728</v>
      </c>
      <c r="F31" s="582">
        <v>996603.228</v>
      </c>
      <c r="G31" s="582">
        <v>1023812.5920744</v>
      </c>
      <c r="H31" s="561">
        <f t="shared" si="3"/>
        <v>12285751.104892801</v>
      </c>
      <c r="I31" s="561">
        <v>118227</v>
      </c>
      <c r="J31" s="561">
        <v>119464.474</v>
      </c>
      <c r="K31" s="567">
        <f t="shared" si="0"/>
        <v>12523442.578892801</v>
      </c>
      <c r="L31" s="563">
        <v>0</v>
      </c>
      <c r="M31" s="564">
        <f t="shared" si="4"/>
        <v>0</v>
      </c>
      <c r="N31" s="563">
        <v>0.9</v>
      </c>
      <c r="O31" s="562">
        <f t="shared" si="5"/>
        <v>11271098.32100352</v>
      </c>
      <c r="P31" s="565">
        <v>0</v>
      </c>
      <c r="Q31" s="567">
        <f t="shared" si="1"/>
        <v>0</v>
      </c>
      <c r="R31" s="565">
        <v>0.1</v>
      </c>
      <c r="S31" s="567">
        <f t="shared" si="2"/>
        <v>1252344.25788928</v>
      </c>
      <c r="T31" s="566">
        <f t="shared" si="6"/>
        <v>1</v>
      </c>
      <c r="U31" s="577"/>
      <c r="V31" s="577"/>
      <c r="W31" s="577"/>
      <c r="X31" s="577"/>
      <c r="Y31" s="577"/>
      <c r="Z31" s="577"/>
      <c r="AA31" s="577"/>
      <c r="AB31" s="579"/>
      <c r="AC31" s="579"/>
      <c r="AD31" s="579"/>
      <c r="AE31" s="577"/>
      <c r="AF31" s="577"/>
      <c r="AG31" s="577"/>
      <c r="AH31" s="577"/>
      <c r="AI31" s="577"/>
      <c r="AJ31" s="577"/>
      <c r="AK31" s="577"/>
      <c r="AL31" s="577"/>
      <c r="AM31" s="577"/>
      <c r="AN31" s="577"/>
      <c r="AO31" s="577"/>
      <c r="AP31" s="577"/>
      <c r="AQ31" s="577"/>
      <c r="AR31" s="577"/>
      <c r="AS31" s="577"/>
      <c r="AT31" s="577"/>
      <c r="AU31" s="577"/>
      <c r="AV31" s="577"/>
      <c r="AW31" s="577"/>
      <c r="AX31" s="577"/>
      <c r="AY31" s="577"/>
      <c r="AZ31" s="577"/>
      <c r="BA31" s="577"/>
      <c r="BB31" s="577"/>
      <c r="BC31" s="577"/>
      <c r="BD31" s="577"/>
      <c r="BE31" s="577"/>
      <c r="BF31" s="577"/>
      <c r="BG31" s="577"/>
      <c r="BH31" s="577"/>
      <c r="BI31" s="577"/>
      <c r="BJ31" s="577"/>
      <c r="BK31" s="577"/>
      <c r="BL31" s="577"/>
      <c r="BM31" s="577"/>
      <c r="BN31" s="577"/>
      <c r="BO31" s="577"/>
      <c r="BP31" s="577"/>
      <c r="BQ31" s="577"/>
      <c r="BR31" s="577"/>
      <c r="BS31" s="577"/>
      <c r="BT31" s="577"/>
      <c r="BU31" s="577"/>
      <c r="BV31" s="577"/>
      <c r="BW31" s="577"/>
      <c r="BX31" s="577"/>
      <c r="BY31" s="577"/>
      <c r="BZ31" s="577"/>
      <c r="CA31" s="577"/>
      <c r="CB31" s="577"/>
      <c r="CC31" s="577"/>
      <c r="CD31" s="577"/>
      <c r="CE31" s="577"/>
      <c r="CF31" s="577"/>
      <c r="CG31" s="577"/>
      <c r="CH31" s="577"/>
      <c r="CI31" s="577"/>
      <c r="CJ31" s="577"/>
      <c r="CK31" s="577"/>
      <c r="CL31" s="577"/>
      <c r="CM31" s="577"/>
      <c r="CN31" s="577"/>
      <c r="CO31" s="577"/>
      <c r="CP31" s="577"/>
      <c r="CQ31" s="577"/>
      <c r="CR31" s="577"/>
      <c r="CS31" s="577"/>
      <c r="CT31" s="577"/>
      <c r="CU31" s="577"/>
      <c r="CV31" s="577"/>
      <c r="CW31" s="577"/>
      <c r="CX31" s="577"/>
      <c r="CY31" s="577"/>
      <c r="CZ31" s="577"/>
      <c r="DA31" s="577"/>
      <c r="DB31" s="577"/>
      <c r="DC31" s="577"/>
      <c r="DD31" s="577"/>
      <c r="DE31" s="577"/>
      <c r="DF31" s="577"/>
      <c r="DG31" s="577"/>
      <c r="DH31" s="577"/>
      <c r="DI31" s="577"/>
      <c r="DJ31" s="577"/>
      <c r="DK31" s="577"/>
      <c r="DL31" s="577"/>
      <c r="DM31" s="577"/>
      <c r="DN31" s="577"/>
      <c r="DO31" s="577"/>
      <c r="DP31" s="577"/>
      <c r="DQ31" s="577"/>
      <c r="DR31" s="577"/>
      <c r="DS31" s="577"/>
      <c r="DT31" s="577"/>
      <c r="DU31" s="577"/>
      <c r="DV31" s="577"/>
      <c r="DW31" s="577"/>
      <c r="DX31" s="577"/>
      <c r="DY31" s="577"/>
      <c r="DZ31" s="577"/>
      <c r="EA31" s="577"/>
      <c r="EB31" s="577"/>
      <c r="EC31" s="577"/>
      <c r="ED31" s="577"/>
      <c r="EE31" s="577"/>
      <c r="EF31" s="577"/>
      <c r="EG31" s="577"/>
      <c r="EH31" s="577"/>
      <c r="EI31" s="577"/>
      <c r="EJ31" s="577"/>
      <c r="EK31" s="577"/>
      <c r="EL31" s="577"/>
      <c r="EM31" s="577"/>
      <c r="EN31" s="577"/>
      <c r="EO31" s="577"/>
      <c r="EP31" s="577"/>
      <c r="EQ31" s="577"/>
      <c r="ER31" s="577"/>
      <c r="ES31" s="577"/>
      <c r="ET31" s="577"/>
      <c r="EU31" s="577"/>
      <c r="EV31" s="577"/>
      <c r="EW31" s="577"/>
      <c r="EX31" s="577"/>
      <c r="EY31" s="577"/>
      <c r="EZ31" s="577"/>
      <c r="FA31" s="577"/>
      <c r="FB31" s="577"/>
      <c r="FC31" s="577"/>
      <c r="FD31" s="577"/>
      <c r="FE31" s="577"/>
      <c r="FF31" s="577"/>
      <c r="FG31" s="577"/>
      <c r="FH31" s="577"/>
      <c r="FI31" s="577"/>
      <c r="FJ31" s="577"/>
      <c r="FK31" s="577"/>
      <c r="FL31" s="577"/>
      <c r="FM31" s="577"/>
      <c r="FN31" s="577"/>
      <c r="FO31" s="577"/>
      <c r="FP31" s="577"/>
      <c r="FQ31" s="577"/>
      <c r="FR31" s="577"/>
      <c r="FS31" s="577"/>
      <c r="FT31" s="577"/>
      <c r="FU31" s="577"/>
      <c r="FV31" s="577"/>
      <c r="FW31" s="577"/>
      <c r="FX31" s="577"/>
      <c r="FY31" s="577"/>
      <c r="FZ31" s="577"/>
      <c r="GA31" s="577"/>
      <c r="GB31" s="577"/>
      <c r="GC31" s="577"/>
      <c r="GD31" s="577"/>
      <c r="GE31" s="577"/>
      <c r="GF31" s="577"/>
      <c r="GG31" s="577"/>
      <c r="GH31" s="577"/>
      <c r="GI31" s="577"/>
      <c r="GJ31" s="577"/>
      <c r="GK31" s="577"/>
      <c r="GL31" s="577"/>
      <c r="GM31" s="577"/>
      <c r="GN31" s="577"/>
      <c r="GO31" s="577"/>
      <c r="GP31" s="577"/>
      <c r="GQ31" s="577"/>
      <c r="GR31" s="577"/>
      <c r="GS31" s="577"/>
      <c r="GT31" s="577"/>
      <c r="GU31" s="577"/>
      <c r="GV31" s="577"/>
      <c r="GW31" s="577"/>
      <c r="GX31" s="577"/>
      <c r="GY31" s="577"/>
      <c r="GZ31" s="577"/>
      <c r="HA31" s="577"/>
      <c r="HB31" s="577"/>
      <c r="HC31" s="577"/>
      <c r="HD31" s="577"/>
      <c r="HE31" s="577"/>
      <c r="HF31" s="577"/>
      <c r="HG31" s="577"/>
      <c r="HH31" s="577"/>
      <c r="HI31" s="577"/>
      <c r="HJ31" s="577"/>
      <c r="HK31" s="577"/>
      <c r="HL31" s="577"/>
      <c r="HM31" s="577"/>
      <c r="HN31" s="577"/>
      <c r="HO31" s="577"/>
      <c r="HP31" s="577"/>
      <c r="HQ31" s="577"/>
      <c r="HR31" s="577"/>
      <c r="HS31" s="577"/>
      <c r="HT31" s="577"/>
      <c r="HU31" s="577"/>
      <c r="HV31" s="577"/>
      <c r="HW31" s="577"/>
      <c r="HX31" s="577"/>
      <c r="HY31" s="577"/>
      <c r="HZ31" s="577"/>
      <c r="IA31" s="577"/>
      <c r="IB31" s="577"/>
      <c r="IC31" s="577"/>
      <c r="ID31" s="577"/>
      <c r="IE31" s="577"/>
      <c r="IF31" s="577"/>
      <c r="IG31" s="577"/>
      <c r="IH31" s="577"/>
      <c r="II31" s="577"/>
      <c r="IJ31" s="577"/>
      <c r="IK31" s="577"/>
      <c r="IL31" s="577"/>
      <c r="IM31" s="577"/>
      <c r="IN31" s="577"/>
      <c r="IO31" s="577"/>
      <c r="IP31" s="577"/>
      <c r="IQ31" s="577"/>
      <c r="IR31" s="577"/>
      <c r="IS31" s="577"/>
      <c r="IT31" s="577"/>
      <c r="IU31" s="577"/>
      <c r="IV31" s="577"/>
    </row>
    <row r="32" spans="1:256" ht="17.25" thickBot="1" thickTop="1">
      <c r="A32" s="568"/>
      <c r="B32" s="583"/>
      <c r="C32" s="569"/>
      <c r="D32" s="584"/>
      <c r="E32" s="584"/>
      <c r="F32" s="570"/>
      <c r="G32" s="570"/>
      <c r="H32" s="585">
        <f>SUM(H6:H31)</f>
        <v>253717331.08313406</v>
      </c>
      <c r="I32" s="585">
        <f>SUM(I6:I31)</f>
        <v>3055091</v>
      </c>
      <c r="J32" s="586">
        <f>SUM(J6:J31)</f>
        <v>4153509.5809999993</v>
      </c>
      <c r="K32" s="571">
        <f>SUM(K6:K31)</f>
        <v>260925931.66413403</v>
      </c>
      <c r="L32" s="579"/>
      <c r="M32" s="572">
        <f>SUM(M6:M31)</f>
        <v>63571310.89886077</v>
      </c>
      <c r="N32" s="587"/>
      <c r="O32" s="572">
        <f>SUM(O6:O31)</f>
        <v>33303232.604564525</v>
      </c>
      <c r="P32" s="587"/>
      <c r="Q32" s="572">
        <f>SUM(Q6:Q31)</f>
        <v>114861861.5134874</v>
      </c>
      <c r="R32" s="587"/>
      <c r="S32" s="572">
        <f>SUM(S6:S31)</f>
        <v>49189526.647221334</v>
      </c>
      <c r="T32" s="577"/>
      <c r="U32" s="577"/>
      <c r="V32" s="577"/>
      <c r="W32" s="577"/>
      <c r="X32" s="577"/>
      <c r="Y32" s="577"/>
      <c r="Z32" s="577"/>
      <c r="AA32" s="577"/>
      <c r="AB32" s="573"/>
      <c r="AC32" s="577"/>
      <c r="AD32" s="577"/>
      <c r="AE32" s="577"/>
      <c r="AF32" s="577"/>
      <c r="AG32" s="577"/>
      <c r="AH32" s="577"/>
      <c r="AI32" s="577"/>
      <c r="AJ32" s="577"/>
      <c r="AK32" s="577"/>
      <c r="AL32" s="577"/>
      <c r="AM32" s="577"/>
      <c r="AN32" s="577"/>
      <c r="AO32" s="577"/>
      <c r="AP32" s="577"/>
      <c r="AQ32" s="577"/>
      <c r="AR32" s="577"/>
      <c r="AS32" s="577"/>
      <c r="AT32" s="577"/>
      <c r="AU32" s="577"/>
      <c r="AV32" s="577"/>
      <c r="AW32" s="577"/>
      <c r="AX32" s="577"/>
      <c r="AY32" s="577"/>
      <c r="AZ32" s="577"/>
      <c r="BA32" s="577"/>
      <c r="BB32" s="577"/>
      <c r="BC32" s="577"/>
      <c r="BD32" s="577"/>
      <c r="BE32" s="577"/>
      <c r="BF32" s="577"/>
      <c r="BG32" s="577"/>
      <c r="BH32" s="577"/>
      <c r="BI32" s="577"/>
      <c r="BJ32" s="577"/>
      <c r="BK32" s="577"/>
      <c r="BL32" s="577"/>
      <c r="BM32" s="577"/>
      <c r="BN32" s="577"/>
      <c r="BO32" s="577"/>
      <c r="BP32" s="577"/>
      <c r="BQ32" s="577"/>
      <c r="BR32" s="577"/>
      <c r="BS32" s="577"/>
      <c r="BT32" s="577"/>
      <c r="BU32" s="577"/>
      <c r="BV32" s="577"/>
      <c r="BW32" s="577"/>
      <c r="BX32" s="577"/>
      <c r="BY32" s="577"/>
      <c r="BZ32" s="577"/>
      <c r="CA32" s="577"/>
      <c r="CB32" s="577"/>
      <c r="CC32" s="577"/>
      <c r="CD32" s="577"/>
      <c r="CE32" s="577"/>
      <c r="CF32" s="577"/>
      <c r="CG32" s="577"/>
      <c r="CH32" s="577"/>
      <c r="CI32" s="577"/>
      <c r="CJ32" s="577"/>
      <c r="CK32" s="577"/>
      <c r="CL32" s="577"/>
      <c r="CM32" s="577"/>
      <c r="CN32" s="577"/>
      <c r="CO32" s="577"/>
      <c r="CP32" s="577"/>
      <c r="CQ32" s="577"/>
      <c r="CR32" s="577"/>
      <c r="CS32" s="577"/>
      <c r="CT32" s="577"/>
      <c r="CU32" s="577"/>
      <c r="CV32" s="577"/>
      <c r="CW32" s="577"/>
      <c r="CX32" s="577"/>
      <c r="CY32" s="577"/>
      <c r="CZ32" s="577"/>
      <c r="DA32" s="577"/>
      <c r="DB32" s="577"/>
      <c r="DC32" s="577"/>
      <c r="DD32" s="577"/>
      <c r="DE32" s="577"/>
      <c r="DF32" s="577"/>
      <c r="DG32" s="577"/>
      <c r="DH32" s="577"/>
      <c r="DI32" s="577"/>
      <c r="DJ32" s="577"/>
      <c r="DK32" s="577"/>
      <c r="DL32" s="577"/>
      <c r="DM32" s="577"/>
      <c r="DN32" s="577"/>
      <c r="DO32" s="577"/>
      <c r="DP32" s="577"/>
      <c r="DQ32" s="577"/>
      <c r="DR32" s="577"/>
      <c r="DS32" s="577"/>
      <c r="DT32" s="577"/>
      <c r="DU32" s="577"/>
      <c r="DV32" s="577"/>
      <c r="DW32" s="577"/>
      <c r="DX32" s="577"/>
      <c r="DY32" s="577"/>
      <c r="DZ32" s="577"/>
      <c r="EA32" s="577"/>
      <c r="EB32" s="577"/>
      <c r="EC32" s="577"/>
      <c r="ED32" s="577"/>
      <c r="EE32" s="577"/>
      <c r="EF32" s="577"/>
      <c r="EG32" s="577"/>
      <c r="EH32" s="577"/>
      <c r="EI32" s="577"/>
      <c r="EJ32" s="577"/>
      <c r="EK32" s="577"/>
      <c r="EL32" s="577"/>
      <c r="EM32" s="577"/>
      <c r="EN32" s="577"/>
      <c r="EO32" s="577"/>
      <c r="EP32" s="577"/>
      <c r="EQ32" s="577"/>
      <c r="ER32" s="577"/>
      <c r="ES32" s="577"/>
      <c r="ET32" s="577"/>
      <c r="EU32" s="577"/>
      <c r="EV32" s="577"/>
      <c r="EW32" s="577"/>
      <c r="EX32" s="577"/>
      <c r="EY32" s="577"/>
      <c r="EZ32" s="577"/>
      <c r="FA32" s="577"/>
      <c r="FB32" s="577"/>
      <c r="FC32" s="577"/>
      <c r="FD32" s="577"/>
      <c r="FE32" s="577"/>
      <c r="FF32" s="577"/>
      <c r="FG32" s="577"/>
      <c r="FH32" s="577"/>
      <c r="FI32" s="577"/>
      <c r="FJ32" s="577"/>
      <c r="FK32" s="577"/>
      <c r="FL32" s="577"/>
      <c r="FM32" s="577"/>
      <c r="FN32" s="577"/>
      <c r="FO32" s="577"/>
      <c r="FP32" s="577"/>
      <c r="FQ32" s="577"/>
      <c r="FR32" s="577"/>
      <c r="FS32" s="577"/>
      <c r="FT32" s="577"/>
      <c r="FU32" s="577"/>
      <c r="FV32" s="577"/>
      <c r="FW32" s="577"/>
      <c r="FX32" s="577"/>
      <c r="FY32" s="577"/>
      <c r="FZ32" s="577"/>
      <c r="GA32" s="577"/>
      <c r="GB32" s="577"/>
      <c r="GC32" s="577"/>
      <c r="GD32" s="577"/>
      <c r="GE32" s="577"/>
      <c r="GF32" s="577"/>
      <c r="GG32" s="577"/>
      <c r="GH32" s="577"/>
      <c r="GI32" s="577"/>
      <c r="GJ32" s="577"/>
      <c r="GK32" s="577"/>
      <c r="GL32" s="577"/>
      <c r="GM32" s="577"/>
      <c r="GN32" s="577"/>
      <c r="GO32" s="577"/>
      <c r="GP32" s="577"/>
      <c r="GQ32" s="577"/>
      <c r="GR32" s="577"/>
      <c r="GS32" s="577"/>
      <c r="GT32" s="577"/>
      <c r="GU32" s="577"/>
      <c r="GV32" s="577"/>
      <c r="GW32" s="577"/>
      <c r="GX32" s="577"/>
      <c r="GY32" s="577"/>
      <c r="GZ32" s="577"/>
      <c r="HA32" s="577"/>
      <c r="HB32" s="577"/>
      <c r="HC32" s="577"/>
      <c r="HD32" s="577"/>
      <c r="HE32" s="577"/>
      <c r="HF32" s="577"/>
      <c r="HG32" s="577"/>
      <c r="HH32" s="577"/>
      <c r="HI32" s="577"/>
      <c r="HJ32" s="577"/>
      <c r="HK32" s="577"/>
      <c r="HL32" s="577"/>
      <c r="HM32" s="577"/>
      <c r="HN32" s="577"/>
      <c r="HO32" s="577"/>
      <c r="HP32" s="577"/>
      <c r="HQ32" s="577"/>
      <c r="HR32" s="577"/>
      <c r="HS32" s="577"/>
      <c r="HT32" s="577"/>
      <c r="HU32" s="577"/>
      <c r="HV32" s="577"/>
      <c r="HW32" s="577"/>
      <c r="HX32" s="577"/>
      <c r="HY32" s="577"/>
      <c r="HZ32" s="577"/>
      <c r="IA32" s="577"/>
      <c r="IB32" s="577"/>
      <c r="IC32" s="577"/>
      <c r="ID32" s="577"/>
      <c r="IE32" s="577"/>
      <c r="IF32" s="577"/>
      <c r="IG32" s="577"/>
      <c r="IH32" s="577"/>
      <c r="II32" s="577"/>
      <c r="IJ32" s="577"/>
      <c r="IK32" s="577"/>
      <c r="IL32" s="577"/>
      <c r="IM32" s="577"/>
      <c r="IN32" s="577"/>
      <c r="IO32" s="577"/>
      <c r="IP32" s="577"/>
      <c r="IQ32" s="577"/>
      <c r="IR32" s="577"/>
      <c r="IS32" s="577"/>
      <c r="IT32" s="577"/>
      <c r="IU32" s="577"/>
      <c r="IV32" s="577"/>
    </row>
    <row r="33" spans="1:256" ht="13.5" thickTop="1">
      <c r="A33" s="544"/>
      <c r="B33" s="577"/>
      <c r="C33" s="577"/>
      <c r="D33" s="577"/>
      <c r="E33" s="577"/>
      <c r="F33" s="577"/>
      <c r="G33" s="577"/>
      <c r="H33" s="577"/>
      <c r="I33" s="577"/>
      <c r="J33" s="577"/>
      <c r="K33" s="574">
        <v>1</v>
      </c>
      <c r="L33" s="544"/>
      <c r="M33" s="575">
        <f>M32/$K$32</f>
        <v>0.24363738204714078</v>
      </c>
      <c r="N33" s="544"/>
      <c r="O33" s="575">
        <f>O32/$K$32</f>
        <v>0.12763481342066343</v>
      </c>
      <c r="P33" s="544"/>
      <c r="Q33" s="576">
        <f>Q32/$K$32</f>
        <v>0.44020868597046353</v>
      </c>
      <c r="R33" s="544"/>
      <c r="S33" s="576">
        <f>S32/$K$32</f>
        <v>0.18851911856173226</v>
      </c>
      <c r="T33" s="577"/>
      <c r="U33" s="577"/>
      <c r="V33" s="577"/>
      <c r="W33" s="577"/>
      <c r="X33" s="577"/>
      <c r="Y33" s="577"/>
      <c r="Z33" s="577"/>
      <c r="AA33" s="577"/>
      <c r="AB33" s="577"/>
      <c r="AC33" s="577"/>
      <c r="AD33" s="577"/>
      <c r="AE33" s="577"/>
      <c r="AF33" s="577"/>
      <c r="AG33" s="577"/>
      <c r="AH33" s="577"/>
      <c r="AI33" s="577"/>
      <c r="AJ33" s="577"/>
      <c r="AK33" s="577"/>
      <c r="AL33" s="577"/>
      <c r="AM33" s="577"/>
      <c r="AN33" s="577"/>
      <c r="AO33" s="577"/>
      <c r="AP33" s="577"/>
      <c r="AQ33" s="577"/>
      <c r="AR33" s="577"/>
      <c r="AS33" s="577"/>
      <c r="AT33" s="577"/>
      <c r="AU33" s="577"/>
      <c r="AV33" s="577"/>
      <c r="AW33" s="577"/>
      <c r="AX33" s="577"/>
      <c r="AY33" s="577"/>
      <c r="AZ33" s="577"/>
      <c r="BA33" s="577"/>
      <c r="BB33" s="577"/>
      <c r="BC33" s="577"/>
      <c r="BD33" s="577"/>
      <c r="BE33" s="577"/>
      <c r="BF33" s="577"/>
      <c r="BG33" s="577"/>
      <c r="BH33" s="577"/>
      <c r="BI33" s="577"/>
      <c r="BJ33" s="577"/>
      <c r="BK33" s="577"/>
      <c r="BL33" s="577"/>
      <c r="BM33" s="577"/>
      <c r="BN33" s="577"/>
      <c r="BO33" s="577"/>
      <c r="BP33" s="577"/>
      <c r="BQ33" s="577"/>
      <c r="BR33" s="577"/>
      <c r="BS33" s="577"/>
      <c r="BT33" s="577"/>
      <c r="BU33" s="577"/>
      <c r="BV33" s="577"/>
      <c r="BW33" s="577"/>
      <c r="BX33" s="577"/>
      <c r="BY33" s="577"/>
      <c r="BZ33" s="577"/>
      <c r="CA33" s="577"/>
      <c r="CB33" s="577"/>
      <c r="CC33" s="577"/>
      <c r="CD33" s="577"/>
      <c r="CE33" s="577"/>
      <c r="CF33" s="577"/>
      <c r="CG33" s="577"/>
      <c r="CH33" s="577"/>
      <c r="CI33" s="577"/>
      <c r="CJ33" s="577"/>
      <c r="CK33" s="577"/>
      <c r="CL33" s="577"/>
      <c r="CM33" s="577"/>
      <c r="CN33" s="577"/>
      <c r="CO33" s="577"/>
      <c r="CP33" s="577"/>
      <c r="CQ33" s="577"/>
      <c r="CR33" s="577"/>
      <c r="CS33" s="577"/>
      <c r="CT33" s="577"/>
      <c r="CU33" s="577"/>
      <c r="CV33" s="577"/>
      <c r="CW33" s="577"/>
      <c r="CX33" s="577"/>
      <c r="CY33" s="577"/>
      <c r="CZ33" s="577"/>
      <c r="DA33" s="577"/>
      <c r="DB33" s="577"/>
      <c r="DC33" s="577"/>
      <c r="DD33" s="577"/>
      <c r="DE33" s="577"/>
      <c r="DF33" s="577"/>
      <c r="DG33" s="577"/>
      <c r="DH33" s="577"/>
      <c r="DI33" s="577"/>
      <c r="DJ33" s="577"/>
      <c r="DK33" s="577"/>
      <c r="DL33" s="577"/>
      <c r="DM33" s="577"/>
      <c r="DN33" s="577"/>
      <c r="DO33" s="577"/>
      <c r="DP33" s="577"/>
      <c r="DQ33" s="577"/>
      <c r="DR33" s="577"/>
      <c r="DS33" s="577"/>
      <c r="DT33" s="577"/>
      <c r="DU33" s="577"/>
      <c r="DV33" s="577"/>
      <c r="DW33" s="577"/>
      <c r="DX33" s="577"/>
      <c r="DY33" s="577"/>
      <c r="DZ33" s="577"/>
      <c r="EA33" s="577"/>
      <c r="EB33" s="577"/>
      <c r="EC33" s="577"/>
      <c r="ED33" s="577"/>
      <c r="EE33" s="577"/>
      <c r="EF33" s="577"/>
      <c r="EG33" s="577"/>
      <c r="EH33" s="577"/>
      <c r="EI33" s="577"/>
      <c r="EJ33" s="577"/>
      <c r="EK33" s="577"/>
      <c r="EL33" s="577"/>
      <c r="EM33" s="577"/>
      <c r="EN33" s="577"/>
      <c r="EO33" s="577"/>
      <c r="EP33" s="577"/>
      <c r="EQ33" s="577"/>
      <c r="ER33" s="577"/>
      <c r="ES33" s="577"/>
      <c r="ET33" s="577"/>
      <c r="EU33" s="577"/>
      <c r="EV33" s="577"/>
      <c r="EW33" s="577"/>
      <c r="EX33" s="577"/>
      <c r="EY33" s="577"/>
      <c r="EZ33" s="577"/>
      <c r="FA33" s="577"/>
      <c r="FB33" s="577"/>
      <c r="FC33" s="577"/>
      <c r="FD33" s="577"/>
      <c r="FE33" s="577"/>
      <c r="FF33" s="577"/>
      <c r="FG33" s="577"/>
      <c r="FH33" s="577"/>
      <c r="FI33" s="577"/>
      <c r="FJ33" s="577"/>
      <c r="FK33" s="577"/>
      <c r="FL33" s="577"/>
      <c r="FM33" s="577"/>
      <c r="FN33" s="577"/>
      <c r="FO33" s="577"/>
      <c r="FP33" s="577"/>
      <c r="FQ33" s="577"/>
      <c r="FR33" s="577"/>
      <c r="FS33" s="577"/>
      <c r="FT33" s="577"/>
      <c r="FU33" s="577"/>
      <c r="FV33" s="577"/>
      <c r="FW33" s="577"/>
      <c r="FX33" s="577"/>
      <c r="FY33" s="577"/>
      <c r="FZ33" s="577"/>
      <c r="GA33" s="577"/>
      <c r="GB33" s="577"/>
      <c r="GC33" s="577"/>
      <c r="GD33" s="577"/>
      <c r="GE33" s="577"/>
      <c r="GF33" s="577"/>
      <c r="GG33" s="577"/>
      <c r="GH33" s="577"/>
      <c r="GI33" s="577"/>
      <c r="GJ33" s="577"/>
      <c r="GK33" s="577"/>
      <c r="GL33" s="577"/>
      <c r="GM33" s="577"/>
      <c r="GN33" s="577"/>
      <c r="GO33" s="577"/>
      <c r="GP33" s="577"/>
      <c r="GQ33" s="577"/>
      <c r="GR33" s="577"/>
      <c r="GS33" s="577"/>
      <c r="GT33" s="577"/>
      <c r="GU33" s="577"/>
      <c r="GV33" s="577"/>
      <c r="GW33" s="577"/>
      <c r="GX33" s="577"/>
      <c r="GY33" s="577"/>
      <c r="GZ33" s="577"/>
      <c r="HA33" s="577"/>
      <c r="HB33" s="577"/>
      <c r="HC33" s="577"/>
      <c r="HD33" s="577"/>
      <c r="HE33" s="577"/>
      <c r="HF33" s="577"/>
      <c r="HG33" s="577"/>
      <c r="HH33" s="577"/>
      <c r="HI33" s="577"/>
      <c r="HJ33" s="577"/>
      <c r="HK33" s="577"/>
      <c r="HL33" s="577"/>
      <c r="HM33" s="577"/>
      <c r="HN33" s="577"/>
      <c r="HO33" s="577"/>
      <c r="HP33" s="577"/>
      <c r="HQ33" s="577"/>
      <c r="HR33" s="577"/>
      <c r="HS33" s="577"/>
      <c r="HT33" s="577"/>
      <c r="HU33" s="577"/>
      <c r="HV33" s="577"/>
      <c r="HW33" s="577"/>
      <c r="HX33" s="577"/>
      <c r="HY33" s="577"/>
      <c r="HZ33" s="577"/>
      <c r="IA33" s="577"/>
      <c r="IB33" s="577"/>
      <c r="IC33" s="577"/>
      <c r="ID33" s="577"/>
      <c r="IE33" s="577"/>
      <c r="IF33" s="577"/>
      <c r="IG33" s="577"/>
      <c r="IH33" s="577"/>
      <c r="II33" s="577"/>
      <c r="IJ33" s="577"/>
      <c r="IK33" s="577"/>
      <c r="IL33" s="577"/>
      <c r="IM33" s="577"/>
      <c r="IN33" s="577"/>
      <c r="IO33" s="577"/>
      <c r="IP33" s="577"/>
      <c r="IQ33" s="577"/>
      <c r="IR33" s="577"/>
      <c r="IS33" s="577"/>
      <c r="IT33" s="577"/>
      <c r="IU33" s="577"/>
      <c r="IV33" s="577"/>
    </row>
    <row r="35" ht="12.75"/>
    <row r="36" ht="12.75"/>
    <row r="37" ht="12.75"/>
    <row r="38" ht="12.75"/>
    <row r="39" ht="12.75"/>
    <row r="40" ht="12.75"/>
  </sheetData>
  <sheetProtection password="C581" sheet="1" objects="1" scenarios="1"/>
  <dataValidations count="1">
    <dataValidation type="list" allowBlank="1" showInputMessage="1" showErrorMessage="1" sqref="B32">
      <formula1>"BIENIQUE,BIENVALP,DELBIENSAN,BIENTALC,DELBIENMONTT,BIENMAG,DELBIENWILL"</formula1>
    </dataValidation>
  </dataValidation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Hoja6">
    <pageSetUpPr fitToPage="1"/>
  </sheetPr>
  <dimension ref="A1:IL13"/>
  <sheetViews>
    <sheetView showGridLines="0" zoomScale="80" zoomScaleNormal="80" zoomScalePageLayoutView="0" workbookViewId="0" topLeftCell="A1">
      <selection activeCell="A6" sqref="A6"/>
    </sheetView>
  </sheetViews>
  <sheetFormatPr defaultColWidth="11.421875" defaultRowHeight="12.75"/>
  <cols>
    <col min="1" max="1" width="51.8515625" style="64" customWidth="1"/>
    <col min="2" max="2" width="17.8515625" style="64" customWidth="1"/>
    <col min="3" max="3" width="21.8515625" style="64" customWidth="1"/>
    <col min="4" max="4" width="21.421875" style="64" bestFit="1" customWidth="1"/>
    <col min="5" max="5" width="20.28125" style="64" customWidth="1"/>
    <col min="6" max="6" width="12.57421875" style="64" bestFit="1" customWidth="1"/>
    <col min="7" max="7" width="30.421875" style="64" bestFit="1" customWidth="1"/>
    <col min="8" max="8" width="13.8515625" style="64" bestFit="1" customWidth="1"/>
    <col min="9" max="9" width="14.8515625" style="64" customWidth="1"/>
    <col min="10" max="10" width="11.140625" style="64" customWidth="1"/>
    <col min="11" max="11" width="11.421875" style="64" customWidth="1"/>
    <col min="12" max="12" width="30.421875" style="64" bestFit="1" customWidth="1"/>
    <col min="13" max="16384" width="11.421875" style="64" customWidth="1"/>
  </cols>
  <sheetData>
    <row r="1" spans="1:10" s="403" customFormat="1" ht="15">
      <c r="A1" s="401" t="s">
        <v>0</v>
      </c>
      <c r="B1" s="401"/>
      <c r="C1" s="401"/>
      <c r="D1" s="401"/>
      <c r="E1" s="401"/>
      <c r="F1" s="401"/>
      <c r="G1" s="401"/>
      <c r="H1" s="402"/>
      <c r="I1" s="402"/>
      <c r="J1" s="402"/>
    </row>
    <row r="2" spans="1:10" s="403" customFormat="1" ht="15">
      <c r="A2" s="401" t="s">
        <v>1</v>
      </c>
      <c r="B2" s="401"/>
      <c r="C2" s="401"/>
      <c r="D2" s="401"/>
      <c r="E2" s="401"/>
      <c r="F2" s="401"/>
      <c r="G2" s="401"/>
      <c r="H2" s="402"/>
      <c r="I2" s="402"/>
      <c r="J2" s="402"/>
    </row>
    <row r="3" spans="1:10" s="403" customFormat="1" ht="15">
      <c r="A3" s="401" t="s">
        <v>2</v>
      </c>
      <c r="B3" s="401"/>
      <c r="C3" s="401"/>
      <c r="D3" s="401"/>
      <c r="E3" s="401"/>
      <c r="F3" s="401"/>
      <c r="G3" s="401"/>
      <c r="H3" s="402"/>
      <c r="I3" s="402"/>
      <c r="J3" s="402"/>
    </row>
    <row r="4" s="403" customFormat="1" ht="11.25" customHeight="1">
      <c r="A4" s="64"/>
    </row>
    <row r="5" spans="1:4" s="403" customFormat="1" ht="12" customHeight="1" thickBot="1">
      <c r="A5" s="64"/>
      <c r="B5" s="65"/>
      <c r="C5" s="404"/>
      <c r="D5" s="404"/>
    </row>
    <row r="6" spans="1:14" ht="31.5" thickBot="1">
      <c r="A6" s="406" t="s">
        <v>507</v>
      </c>
      <c r="B6" s="421" t="s">
        <v>529</v>
      </c>
      <c r="C6" s="424" t="s">
        <v>530</v>
      </c>
      <c r="D6" s="424" t="s">
        <v>533</v>
      </c>
      <c r="E6" s="450" t="s">
        <v>534</v>
      </c>
      <c r="G6" s="443" t="s">
        <v>507</v>
      </c>
      <c r="H6" s="444">
        <v>2016</v>
      </c>
      <c r="I6" s="453" t="s">
        <v>532</v>
      </c>
      <c r="J6" s="445" t="s">
        <v>531</v>
      </c>
      <c r="L6" s="454" t="s">
        <v>507</v>
      </c>
      <c r="M6" s="454">
        <v>2016</v>
      </c>
      <c r="N6" s="455" t="s">
        <v>532</v>
      </c>
    </row>
    <row r="7" spans="1:14" ht="15">
      <c r="A7" s="407" t="str">
        <f>'Ap. 2 Ingresos C. Benef.'!A9</f>
        <v>JARDÍN INFANTIL "LOBITO MARINO" </v>
      </c>
      <c r="B7" s="408">
        <f>'Ap. 2 Ingresos C. Benef.'!G9</f>
        <v>124152600</v>
      </c>
      <c r="C7" s="422">
        <f>'Ap. 2 Ingresos C. Benef.'!J9</f>
        <v>152440352.83089578</v>
      </c>
      <c r="D7" s="423">
        <f>B7-C7</f>
        <v>-28287752.83089578</v>
      </c>
      <c r="E7" s="720">
        <f>SUM(D7:D11)+D13</f>
        <v>2270519.055733405</v>
      </c>
      <c r="F7" s="410"/>
      <c r="G7" s="446" t="s">
        <v>288</v>
      </c>
      <c r="H7" s="408">
        <v>22700</v>
      </c>
      <c r="I7" s="422">
        <f>'Ap. 2 Ingresos C. Benef.'!$C$95</f>
        <v>25800</v>
      </c>
      <c r="J7" s="451">
        <f>+I7-H7</f>
        <v>3100</v>
      </c>
      <c r="L7" s="457" t="s">
        <v>288</v>
      </c>
      <c r="M7" s="458">
        <v>22700</v>
      </c>
      <c r="N7" s="458">
        <f>'Ap. 2 Ingresos C. Benef.'!$C$95</f>
        <v>25800</v>
      </c>
    </row>
    <row r="8" spans="1:14" ht="15">
      <c r="A8" s="412" t="str">
        <f>'Ap. 2 Ingresos C. Benef.'!A10</f>
        <v>JARDIN INFANTIL "LOS DELFINES"</v>
      </c>
      <c r="B8" s="408">
        <f>'Ap. 2 Ingresos C. Benef.'!G10</f>
        <v>173937600</v>
      </c>
      <c r="C8" s="408">
        <f>'Ap. 2 Ingresos C. Benef.'!J10</f>
        <v>186761854.62561008</v>
      </c>
      <c r="D8" s="413">
        <f>B8-C8</f>
        <v>-12824254.625610083</v>
      </c>
      <c r="E8" s="720"/>
      <c r="F8" s="410"/>
      <c r="G8" s="446" t="s">
        <v>180</v>
      </c>
      <c r="H8" s="408">
        <v>58100</v>
      </c>
      <c r="I8" s="408">
        <f>'Ap. 2 Ingresos C. Benef.'!$C$93</f>
        <v>66000</v>
      </c>
      <c r="J8" s="451">
        <f>+I8-H8</f>
        <v>7900</v>
      </c>
      <c r="L8" s="459" t="s">
        <v>180</v>
      </c>
      <c r="M8" s="456">
        <v>58100</v>
      </c>
      <c r="N8" s="456">
        <f>'Ap. 2 Ingresos C. Benef.'!$C$93</f>
        <v>66000</v>
      </c>
    </row>
    <row r="9" spans="1:14" ht="15">
      <c r="A9" s="412" t="str">
        <f>'Ap. 2 Ingresos C. Benef.'!A11</f>
        <v>JARDIN INFANTIL "LORD COCHRANE"</v>
      </c>
      <c r="B9" s="408">
        <f>'Ap. 2 Ingresos C. Benef.'!G11</f>
        <v>14520000</v>
      </c>
      <c r="C9" s="408">
        <f>'Ap. 2 Ingresos C. Benef.'!J11</f>
        <v>10637454.788006032</v>
      </c>
      <c r="D9" s="409">
        <f>B9-C9</f>
        <v>3882545.211993968</v>
      </c>
      <c r="E9" s="720"/>
      <c r="F9" s="418"/>
      <c r="G9" s="447" t="s">
        <v>227</v>
      </c>
      <c r="H9" s="408">
        <v>58100</v>
      </c>
      <c r="I9" s="408">
        <f>'Ap. 2 Ingresos C. Benef.'!$C$93</f>
        <v>66000</v>
      </c>
      <c r="J9" s="451">
        <f>+I9-H9</f>
        <v>7900</v>
      </c>
      <c r="L9" s="460" t="s">
        <v>227</v>
      </c>
      <c r="M9" s="456">
        <v>58100</v>
      </c>
      <c r="N9" s="456">
        <f>'Ap. 2 Ingresos C. Benef.'!$C$93</f>
        <v>66000</v>
      </c>
    </row>
    <row r="10" spans="1:14" ht="15">
      <c r="A10" s="412" t="str">
        <f>'Ap. 2 Ingresos C. Benef.'!A12</f>
        <v>JARDIN INFANTIL "PECECITOS DE COLORES"</v>
      </c>
      <c r="B10" s="408">
        <f>'Ap. 2 Ingresos C. Benef.'!G12</f>
        <v>9356600</v>
      </c>
      <c r="C10" s="408">
        <f>'Ap. 2 Ingresos C. Benef.'!J12</f>
        <v>20942326.899353866</v>
      </c>
      <c r="D10" s="409">
        <f>B10-C10</f>
        <v>-11585726.899353866</v>
      </c>
      <c r="E10" s="720"/>
      <c r="F10" s="403"/>
      <c r="G10" s="446" t="s">
        <v>179</v>
      </c>
      <c r="H10" s="408">
        <v>95100</v>
      </c>
      <c r="I10" s="408">
        <f>'Ap. 2 Ingresos C. Benef.'!$C$94</f>
        <v>107900</v>
      </c>
      <c r="J10" s="451">
        <f>+I10-H10</f>
        <v>12800</v>
      </c>
      <c r="L10" s="459" t="s">
        <v>179</v>
      </c>
      <c r="M10" s="456">
        <v>95100</v>
      </c>
      <c r="N10" s="456">
        <f>'Ap. 2 Ingresos C. Benef.'!$C$94</f>
        <v>107900</v>
      </c>
    </row>
    <row r="11" spans="1:14" ht="15.75" thickBot="1">
      <c r="A11" s="412" t="str">
        <f>'Ap. 2 Ingresos C. Benef.'!A13</f>
        <v>JARDIN INFANTIL "CARACOLITO DE MAR"</v>
      </c>
      <c r="B11" s="408">
        <f>'Ap. 2 Ingresos C. Benef.'!G13</f>
        <v>68926400</v>
      </c>
      <c r="C11" s="408">
        <f>'Ap. 2 Ingresos C. Benef.'!J13</f>
        <v>66840691.80040083</v>
      </c>
      <c r="D11" s="409">
        <f>B11-C11</f>
        <v>2085708.1995991692</v>
      </c>
      <c r="E11" s="720"/>
      <c r="F11" s="403"/>
      <c r="G11" s="448" t="s">
        <v>355</v>
      </c>
      <c r="H11" s="449">
        <v>95100</v>
      </c>
      <c r="I11" s="449">
        <f>'Ap. 2 Ingresos C. Benef.'!$C$94</f>
        <v>107900</v>
      </c>
      <c r="J11" s="452">
        <f>+I11-H11</f>
        <v>12800</v>
      </c>
      <c r="L11" s="461" t="s">
        <v>355</v>
      </c>
      <c r="M11" s="462">
        <v>95100</v>
      </c>
      <c r="N11" s="462">
        <f>'Ap. 2 Ingresos C. Benef.'!$C$94</f>
        <v>107900</v>
      </c>
    </row>
    <row r="12" spans="1:246" s="403" customFormat="1" ht="16.5" customHeight="1">
      <c r="A12" s="414" t="s">
        <v>166</v>
      </c>
      <c r="B12" s="405">
        <f>SUM(B7:B11)</f>
        <v>390893200</v>
      </c>
      <c r="C12" s="415">
        <f>SUM(C7:C11)</f>
        <v>437622680.9442666</v>
      </c>
      <c r="D12" s="419">
        <f>SUM(D7:D11)</f>
        <v>-46729480.944266595</v>
      </c>
      <c r="E12" s="721"/>
      <c r="L12" s="411"/>
      <c r="II12" s="64"/>
      <c r="IJ12" s="64"/>
      <c r="IK12" s="64"/>
      <c r="IL12" s="64"/>
    </row>
    <row r="13" spans="1:246" s="403" customFormat="1" ht="16.5" customHeight="1">
      <c r="A13" s="416"/>
      <c r="B13" s="416"/>
      <c r="C13" s="417" t="s">
        <v>174</v>
      </c>
      <c r="D13" s="420">
        <v>49000000</v>
      </c>
      <c r="E13" s="721"/>
      <c r="L13" s="411"/>
      <c r="II13" s="64"/>
      <c r="IJ13" s="64"/>
      <c r="IK13" s="64"/>
      <c r="IL13" s="64"/>
    </row>
    <row r="234" ht="15.75"/>
    <row r="235" ht="15.75"/>
    <row r="236" ht="15.75"/>
    <row r="237" ht="15.75"/>
    <row r="238" ht="15.75"/>
    <row r="239" ht="15.75"/>
    <row r="240" ht="15.75"/>
    <row r="241" ht="15.75"/>
    <row r="242" ht="15.75"/>
    <row r="243" ht="15.75"/>
    <row r="244" ht="15.75"/>
    <row r="245" ht="15.75"/>
    <row r="246" ht="15.75"/>
    <row r="247" ht="15.75"/>
    <row r="248" ht="15.75"/>
    <row r="249" ht="15.75"/>
    <row r="250" ht="15.75"/>
  </sheetData>
  <sheetProtection password="C581" sheet="1" objects="1" scenarios="1"/>
  <mergeCells count="1">
    <mergeCell ref="E7:E13"/>
  </mergeCells>
  <printOptions/>
  <pageMargins left="0.7479166666666667" right="0.7479166666666667" top="0.8604166666666666" bottom="0.7" header="0.4201388888888889" footer="0.4597222222222222"/>
  <pageSetup fitToHeight="2" fitToWidth="1" horizontalDpi="300" verticalDpi="300" orientation="landscape" r:id="rId2"/>
  <headerFooter alignWithMargins="0">
    <oddHeader>&amp;LSEPT - 2004&amp;CDIRECTIVA D.B.S.A.
ORDINARIA&amp;R01-BS/0305/04</oddHeader>
    <oddFooter>&amp;LDEPARTAMENTO
RRHH Y GESTION&amp;C01-BS&amp;RPAG &amp;P</oddFooter>
  </headerFooter>
  <drawing r:id="rId1"/>
</worksheet>
</file>

<file path=xl/worksheets/sheet7.xml><?xml version="1.0" encoding="utf-8"?>
<worksheet xmlns="http://schemas.openxmlformats.org/spreadsheetml/2006/main" xmlns:r="http://schemas.openxmlformats.org/officeDocument/2006/relationships">
  <sheetPr codeName="Hoja3"/>
  <dimension ref="A1:IV21"/>
  <sheetViews>
    <sheetView showGridLines="0" zoomScalePageLayoutView="0" workbookViewId="0" topLeftCell="A8">
      <pane ySplit="1020" topLeftCell="A1" activePane="bottomLeft" state="split"/>
      <selection pane="topLeft" activeCell="A16" sqref="A16"/>
      <selection pane="bottomLeft" activeCell="D30" sqref="D30"/>
    </sheetView>
  </sheetViews>
  <sheetFormatPr defaultColWidth="11.421875" defaultRowHeight="12.75"/>
  <cols>
    <col min="1" max="1" width="30.00390625" style="1" customWidth="1"/>
    <col min="2" max="2" width="36.57421875" style="1" customWidth="1"/>
    <col min="3" max="9" width="16.28125" style="1" customWidth="1"/>
    <col min="10" max="10" width="17.140625" style="1" customWidth="1"/>
    <col min="11" max="11" width="16.28125" style="1" customWidth="1"/>
    <col min="12" max="16384" width="11.421875" style="1" customWidth="1"/>
  </cols>
  <sheetData>
    <row r="1" spans="1:256" s="4" customFormat="1" ht="13.5">
      <c r="A1" s="600" t="s">
        <v>0</v>
      </c>
      <c r="B1" s="600"/>
      <c r="C1" s="600"/>
      <c r="D1" s="600"/>
      <c r="E1" s="600"/>
      <c r="F1" s="600"/>
      <c r="G1" s="600"/>
      <c r="H1" s="2"/>
      <c r="I1" s="2"/>
      <c r="J1" s="2"/>
      <c r="K1" s="3"/>
      <c r="IO1" s="1"/>
      <c r="IP1" s="1"/>
      <c r="IQ1" s="1"/>
      <c r="IR1" s="1"/>
      <c r="IS1" s="1"/>
      <c r="IT1" s="1"/>
      <c r="IU1" s="1"/>
      <c r="IV1" s="1"/>
    </row>
    <row r="2" spans="1:256" s="4" customFormat="1" ht="15.75" customHeight="1">
      <c r="A2" s="600" t="s">
        <v>48</v>
      </c>
      <c r="B2" s="600"/>
      <c r="C2" s="600"/>
      <c r="D2" s="600"/>
      <c r="E2" s="600"/>
      <c r="F2" s="600"/>
      <c r="G2" s="600"/>
      <c r="H2" s="2"/>
      <c r="I2" s="2"/>
      <c r="J2" s="2"/>
      <c r="K2" s="3"/>
      <c r="IO2" s="1"/>
      <c r="IP2" s="1"/>
      <c r="IQ2" s="1"/>
      <c r="IR2" s="1"/>
      <c r="IS2" s="1"/>
      <c r="IT2" s="1"/>
      <c r="IU2" s="1"/>
      <c r="IV2" s="1"/>
    </row>
    <row r="3" spans="1:256" s="4" customFormat="1" ht="18" customHeight="1">
      <c r="A3" s="600" t="s">
        <v>49</v>
      </c>
      <c r="B3" s="600"/>
      <c r="C3" s="600"/>
      <c r="D3" s="600"/>
      <c r="E3" s="600"/>
      <c r="F3" s="600"/>
      <c r="G3" s="600"/>
      <c r="H3" s="2"/>
      <c r="I3" s="2"/>
      <c r="J3" s="2"/>
      <c r="K3" s="3"/>
      <c r="IO3" s="1"/>
      <c r="IP3" s="1"/>
      <c r="IQ3" s="1"/>
      <c r="IR3" s="1"/>
      <c r="IS3" s="1"/>
      <c r="IT3" s="1"/>
      <c r="IU3" s="1"/>
      <c r="IV3" s="1"/>
    </row>
    <row r="4" spans="1:256" s="4" customFormat="1" ht="11.25" customHeight="1">
      <c r="A4" s="1"/>
      <c r="B4" s="1"/>
      <c r="IO4" s="1"/>
      <c r="IP4" s="1"/>
      <c r="IQ4" s="1"/>
      <c r="IR4" s="1"/>
      <c r="IS4" s="1"/>
      <c r="IT4" s="1"/>
      <c r="IU4" s="1"/>
      <c r="IV4" s="1"/>
    </row>
    <row r="5" spans="1:256" s="4" customFormat="1" ht="12" customHeight="1">
      <c r="A5" s="7" t="s">
        <v>3</v>
      </c>
      <c r="B5" s="6"/>
      <c r="C5" s="722" t="str">
        <f>'Ap. 2 Ingresos C. Benef.'!$I$5</f>
        <v>BIENVALP</v>
      </c>
      <c r="D5" s="722"/>
      <c r="E5" s="1"/>
      <c r="F5" s="1"/>
      <c r="G5" s="1"/>
      <c r="H5" s="1"/>
      <c r="I5" s="3"/>
      <c r="IN5" s="1"/>
      <c r="IO5" s="1"/>
      <c r="IP5" s="1"/>
      <c r="IQ5" s="1"/>
      <c r="IR5" s="1"/>
      <c r="IS5" s="1"/>
      <c r="IT5" s="1"/>
      <c r="IU5" s="1"/>
      <c r="IV5" s="1"/>
    </row>
    <row r="6" spans="1:256" s="4" customFormat="1" ht="12" customHeight="1">
      <c r="A6" s="1"/>
      <c r="B6" s="1"/>
      <c r="C6" s="1"/>
      <c r="D6" s="1"/>
      <c r="E6" s="5"/>
      <c r="F6" s="7"/>
      <c r="G6" s="8"/>
      <c r="H6" s="8"/>
      <c r="I6" s="8"/>
      <c r="IO6" s="1"/>
      <c r="IP6" s="1"/>
      <c r="IQ6" s="1"/>
      <c r="IR6" s="1"/>
      <c r="IS6" s="1"/>
      <c r="IT6" s="1"/>
      <c r="IU6" s="1"/>
      <c r="IV6" s="1"/>
    </row>
    <row r="7" spans="1:256" s="19" customFormat="1" ht="16.5" customHeight="1">
      <c r="A7" s="17"/>
      <c r="B7" s="17"/>
      <c r="C7" s="18"/>
      <c r="D7" s="18"/>
      <c r="E7" s="18"/>
      <c r="F7" s="18"/>
      <c r="G7" s="18"/>
      <c r="H7" s="18"/>
      <c r="I7" s="18"/>
      <c r="IO7" s="21"/>
      <c r="IP7" s="21"/>
      <c r="IQ7" s="21"/>
      <c r="IR7" s="21"/>
      <c r="IS7" s="21"/>
      <c r="IT7" s="21"/>
      <c r="IU7" s="21"/>
      <c r="IV7" s="21"/>
    </row>
    <row r="8" spans="1:10" ht="12.75" customHeight="1">
      <c r="A8" s="710" t="str">
        <f>'Ap. 2 Ingresos C. Benef.'!A29</f>
        <v>JARDÍN INFANTIL "LOBITO MARINO" </v>
      </c>
      <c r="B8" s="710" t="str">
        <f>'Ap. 2 Ingresos C. Benef.'!B29</f>
        <v>Jardín [Media Jornada] Matricula proyectada 90</v>
      </c>
      <c r="C8" s="713" t="str">
        <f>'Ap. 2 Ingresos C. Benef.'!D27</f>
        <v>Matrícula</v>
      </c>
      <c r="D8" s="713"/>
      <c r="E8" s="713"/>
      <c r="F8" s="713"/>
      <c r="G8" s="712" t="str">
        <f>'Ap. 2 Ingresos C. Benef.'!H27</f>
        <v>Mensualidad</v>
      </c>
      <c r="H8" s="712"/>
      <c r="I8" s="712"/>
      <c r="J8" s="712"/>
    </row>
    <row r="9" spans="1:10" ht="41.25">
      <c r="A9" s="711">
        <f>'Ap. 2 Ingresos C. Benef.'!A30</f>
        <v>0</v>
      </c>
      <c r="B9" s="711">
        <f>'Ap. 2 Ingresos C. Benef.'!B30</f>
        <v>0</v>
      </c>
      <c r="C9" s="52" t="str">
        <f>'Ap. 2 Ingresos C. Benef.'!D28</f>
        <v>Personal Servicio Activo Armada y otras FFAA</v>
      </c>
      <c r="D9" s="52" t="str">
        <f>'Ap. 2 Ingresos C. Benef.'!E28</f>
        <v>Gendarmeria y PDI</v>
      </c>
      <c r="E9" s="52" t="str">
        <f>'Ap. 2 Ingresos C. Benef.'!F28</f>
        <v>Personal en Retiro</v>
      </c>
      <c r="F9" s="52" t="str">
        <f>'Ap. 2 Ingresos C. Benef.'!G28</f>
        <v>Casos Especiales</v>
      </c>
      <c r="G9" s="52" t="str">
        <f>'Ap. 2 Ingresos C. Benef.'!H28</f>
        <v>Personal Servicio Activo Armada y otras FFAA</v>
      </c>
      <c r="H9" s="52" t="str">
        <f>'Ap. 2 Ingresos C. Benef.'!I28</f>
        <v>Gendarmeria y PDI</v>
      </c>
      <c r="I9" s="52" t="str">
        <f>'Ap. 2 Ingresos C. Benef.'!J28</f>
        <v>Personal en Retiro</v>
      </c>
      <c r="J9" s="52" t="str">
        <f>'Ap. 2 Ingresos C. Benef.'!K28</f>
        <v>Casos Especiales</v>
      </c>
    </row>
    <row r="10" spans="1:10" ht="31.5" customHeight="1">
      <c r="A10" s="74" t="str">
        <f>'Ap. 2 Ingresos C. Benef.'!$A$29</f>
        <v>JARDÍN INFANTIL "LOBITO MARINO" </v>
      </c>
      <c r="B10" s="80" t="str">
        <f>'Ap. 2 Ingresos C. Benef.'!$B$29</f>
        <v>Jardín [Media Jornada] Matricula proyectada 90</v>
      </c>
      <c r="C10" s="37">
        <f>'Ap. 2 Ingresos C. Benef.'!D29</f>
        <v>66000</v>
      </c>
      <c r="D10" s="37">
        <f>'Ap. 2 Ingresos C. Benef.'!E29</f>
        <v>79200</v>
      </c>
      <c r="E10" s="37">
        <f>'Ap. 2 Ingresos C. Benef.'!F29</f>
        <v>88500</v>
      </c>
      <c r="F10" s="37">
        <f>'Ap. 2 Ingresos C. Benef.'!G29</f>
        <v>130200</v>
      </c>
      <c r="G10" s="37">
        <f>'Ap. 2 Ingresos C. Benef.'!H29</f>
        <v>66000</v>
      </c>
      <c r="H10" s="37">
        <f>'Ap. 2 Ingresos C. Benef.'!I29</f>
        <v>79200</v>
      </c>
      <c r="I10" s="37">
        <f>'Ap. 2 Ingresos C. Benef.'!J29</f>
        <v>88500</v>
      </c>
      <c r="J10" s="37">
        <f>'Ap. 2 Ingresos C. Benef.'!K29</f>
        <v>130200</v>
      </c>
    </row>
    <row r="11" spans="1:10" ht="24" customHeight="1">
      <c r="A11" s="74" t="str">
        <f>'Ap. 2 Ingresos C. Benef.'!$A$38</f>
        <v>JARDIN INFANTIL "LOS DELFINES"</v>
      </c>
      <c r="B11" s="80" t="str">
        <f>'Ap. 2 Ingresos C. Benef.'!$B$38</f>
        <v>Jardín [Jornada Completa]  Matrícula Proyectada 144</v>
      </c>
      <c r="C11" s="37">
        <f>'Ap. 2 Ingresos C. Benef.'!D38</f>
        <v>107900</v>
      </c>
      <c r="D11" s="37">
        <f>'Ap. 2 Ingresos C. Benef.'!E38</f>
        <v>124600</v>
      </c>
      <c r="E11" s="37">
        <f>'Ap. 2 Ingresos C. Benef.'!F38</f>
        <v>177100</v>
      </c>
      <c r="F11" s="37">
        <f>'Ap. 2 Ingresos C. Benef.'!G38</f>
        <v>271700</v>
      </c>
      <c r="G11" s="37">
        <f>'Ap. 2 Ingresos C. Benef.'!H38</f>
        <v>107900</v>
      </c>
      <c r="H11" s="37">
        <f>'Ap. 2 Ingresos C. Benef.'!I38</f>
        <v>124600</v>
      </c>
      <c r="I11" s="37">
        <f>'Ap. 2 Ingresos C. Benef.'!J38</f>
        <v>177100</v>
      </c>
      <c r="J11" s="37">
        <f>'Ap. 2 Ingresos C. Benef.'!K38</f>
        <v>271700</v>
      </c>
    </row>
    <row r="12" spans="1:10" ht="26.25" customHeight="1">
      <c r="A12" s="74" t="str">
        <f>'Ap. 2 Ingresos C. Benef.'!$A$42</f>
        <v>JARDIN INFANTIL "LORD COCHRANE"</v>
      </c>
      <c r="B12" s="80" t="str">
        <f>'Ap. 2 Ingresos C. Benef.'!$B$42</f>
        <v>Jardín [Media Jornada]  Matrícula Proyectada 20</v>
      </c>
      <c r="C12" s="37">
        <f>'Ap. 2 Ingresos C. Benef.'!D42</f>
        <v>66000</v>
      </c>
      <c r="D12" s="37">
        <f>'Ap. 2 Ingresos C. Benef.'!E42</f>
        <v>79200</v>
      </c>
      <c r="E12" s="37">
        <f>'Ap. 2 Ingresos C. Benef.'!F42</f>
        <v>88500</v>
      </c>
      <c r="F12" s="37">
        <f>'Ap. 2 Ingresos C. Benef.'!G42</f>
        <v>130200</v>
      </c>
      <c r="G12" s="37">
        <f>'Ap. 2 Ingresos C. Benef.'!H42</f>
        <v>66000</v>
      </c>
      <c r="H12" s="37">
        <f>'Ap. 2 Ingresos C. Benef.'!I42</f>
        <v>79200</v>
      </c>
      <c r="I12" s="37">
        <f>'Ap. 2 Ingresos C. Benef.'!J42</f>
        <v>88500</v>
      </c>
      <c r="J12" s="37">
        <f>'Ap. 2 Ingresos C. Benef.'!K42</f>
        <v>130200</v>
      </c>
    </row>
    <row r="13" spans="1:10" ht="29.25" customHeight="1">
      <c r="A13" s="74" t="str">
        <f>'Ap. 2 Ingresos C. Benef.'!$A$46</f>
        <v>JARDIN INFANTIL "PECECITOS DE COLORES"</v>
      </c>
      <c r="B13" s="80" t="str">
        <f>'Ap. 2 Ingresos C. Benef.'!$B$46</f>
        <v>Jardín [Media Jornada]  Matrícula Proyectada 32</v>
      </c>
      <c r="C13" s="37">
        <f>'Ap. 2 Ingresos C. Benef.'!D46</f>
        <v>25800</v>
      </c>
      <c r="D13" s="37">
        <f>'Ap. 2 Ingresos C. Benef.'!E46</f>
        <v>31000</v>
      </c>
      <c r="E13" s="37">
        <f>'Ap. 2 Ingresos C. Benef.'!F46</f>
        <v>32400</v>
      </c>
      <c r="F13" s="37">
        <f>'Ap. 2 Ingresos C. Benef.'!G46</f>
        <v>38700</v>
      </c>
      <c r="G13" s="37">
        <f>'Ap. 2 Ingresos C. Benef.'!H46</f>
        <v>25800</v>
      </c>
      <c r="H13" s="37">
        <f>'Ap. 2 Ingresos C. Benef.'!I46</f>
        <v>31000</v>
      </c>
      <c r="I13" s="37">
        <f>'Ap. 2 Ingresos C. Benef.'!J46</f>
        <v>32400</v>
      </c>
      <c r="J13" s="37">
        <f>'Ap. 2 Ingresos C. Benef.'!K46</f>
        <v>38700</v>
      </c>
    </row>
    <row r="14" spans="1:10" ht="24.75" customHeight="1">
      <c r="A14" s="713" t="str">
        <f>'Ap. 2 Ingresos C. Benef.'!$A$50</f>
        <v>JARDIN INFANTIL "CARACOLITO DE MAR"</v>
      </c>
      <c r="B14" s="80" t="str">
        <f>'Ap. 2 Ingresos C. Benef.'!$B$50</f>
        <v>Jardín [Media Jornada]  Matrícula Proyectada 2</v>
      </c>
      <c r="C14" s="37">
        <f>'Ap. 2 Ingresos C. Benef.'!D50</f>
        <v>66000</v>
      </c>
      <c r="D14" s="37">
        <f>'Ap. 2 Ingresos C. Benef.'!E50</f>
        <v>79200</v>
      </c>
      <c r="E14" s="37">
        <f>'Ap. 2 Ingresos C. Benef.'!F50</f>
        <v>88500</v>
      </c>
      <c r="F14" s="37">
        <f>'Ap. 2 Ingresos C. Benef.'!G50</f>
        <v>130200</v>
      </c>
      <c r="G14" s="37">
        <f>'Ap. 2 Ingresos C. Benef.'!H50</f>
        <v>66000</v>
      </c>
      <c r="H14" s="37">
        <f>'Ap. 2 Ingresos C. Benef.'!I50</f>
        <v>79200</v>
      </c>
      <c r="I14" s="37">
        <f>'Ap. 2 Ingresos C. Benef.'!J50</f>
        <v>88500</v>
      </c>
      <c r="J14" s="37">
        <f>'Ap. 2 Ingresos C. Benef.'!K50</f>
        <v>130200</v>
      </c>
    </row>
    <row r="15" spans="1:10" ht="20.25" customHeight="1">
      <c r="A15" s="713">
        <f>'Ap. 2 Ingresos C. Benef.'!A48</f>
        <v>0</v>
      </c>
      <c r="B15" s="80" t="str">
        <f>'Ap. 2 Ingresos C. Benef.'!$B$53</f>
        <v>Jardín [Jornada Completa]  Matrícula Proyectada total 56</v>
      </c>
      <c r="C15" s="37">
        <f>'Ap. 2 Ingresos C. Benef.'!D53</f>
        <v>107900</v>
      </c>
      <c r="D15" s="37">
        <f>'Ap. 2 Ingresos C. Benef.'!E53</f>
        <v>124600</v>
      </c>
      <c r="E15" s="37">
        <f>'Ap. 2 Ingresos C. Benef.'!F53</f>
        <v>177100</v>
      </c>
      <c r="F15" s="37">
        <f>'Ap. 2 Ingresos C. Benef.'!G53</f>
        <v>271700</v>
      </c>
      <c r="G15" s="37">
        <f>'Ap. 2 Ingresos C. Benef.'!H53</f>
        <v>107900</v>
      </c>
      <c r="H15" s="37">
        <f>'Ap. 2 Ingresos C. Benef.'!I53</f>
        <v>124600</v>
      </c>
      <c r="I15" s="37">
        <f>'Ap. 2 Ingresos C. Benef.'!J53</f>
        <v>177100</v>
      </c>
      <c r="J15" s="37">
        <f>'Ap. 2 Ingresos C. Benef.'!K53</f>
        <v>271700</v>
      </c>
    </row>
    <row r="16" spans="1:10" ht="22.5" customHeight="1">
      <c r="A16" s="714" t="str">
        <f>'Ap. 2 Ingresos C. Benef.'!$A$57</f>
        <v>SALA CUNA "CARACOLITO DE MAR"
DIURNA</v>
      </c>
      <c r="B16" s="80" t="str">
        <f>'Ap. 2 Ingresos C. Benef.'!$B$57</f>
        <v>Sala Cuna [Diurna] 26 Matrícula Proyectada 26</v>
      </c>
      <c r="C16" s="37">
        <f>'Ap. 2 Ingresos C. Benef.'!D57</f>
        <v>0</v>
      </c>
      <c r="D16" s="37">
        <f>'Ap. 2 Ingresos C. Benef.'!E57</f>
        <v>0</v>
      </c>
      <c r="E16" s="37">
        <f>'Ap. 2 Ingresos C. Benef.'!F57</f>
        <v>0</v>
      </c>
      <c r="F16" s="37">
        <f>'Ap. 2 Ingresos C. Benef.'!G57</f>
        <v>0</v>
      </c>
      <c r="G16" s="37">
        <f>'Ap. 2 Ingresos C. Benef.'!H57</f>
        <v>296400</v>
      </c>
      <c r="H16" s="37">
        <f>'Ap. 2 Ingresos C. Benef.'!I57</f>
        <v>355700</v>
      </c>
      <c r="I16" s="37">
        <f>'Ap. 2 Ingresos C. Benef.'!J57</f>
        <v>349400</v>
      </c>
      <c r="J16" s="37">
        <f>'Ap. 2 Ingresos C. Benef.'!K57</f>
        <v>407700</v>
      </c>
    </row>
    <row r="17" spans="1:10" ht="20.25" customHeight="1">
      <c r="A17" s="715"/>
      <c r="B17" s="80" t="str">
        <f>'Ap. 2 Ingresos C. Benef.'!B60</f>
        <v>Sala Cuna [media jornada] Matrícula Proyectada 0</v>
      </c>
      <c r="C17" s="37">
        <f>'Ap. 2 Ingresos C. Benef.'!D60</f>
        <v>0</v>
      </c>
      <c r="D17" s="37">
        <f>'Ap. 2 Ingresos C. Benef.'!E60</f>
        <v>0</v>
      </c>
      <c r="E17" s="37">
        <f>'Ap. 2 Ingresos C. Benef.'!F60</f>
        <v>0</v>
      </c>
      <c r="F17" s="37">
        <f>'Ap. 2 Ingresos C. Benef.'!G60</f>
        <v>0</v>
      </c>
      <c r="G17" s="37">
        <f>'Ap. 2 Ingresos C. Benef.'!H60</f>
        <v>164700</v>
      </c>
      <c r="H17" s="37">
        <f>'Ap. 2 Ingresos C. Benef.'!I60</f>
        <v>0</v>
      </c>
      <c r="I17" s="37">
        <f>'Ap. 2 Ingresos C. Benef.'!J60</f>
        <v>0</v>
      </c>
      <c r="J17" s="37">
        <f>'Ap. 2 Ingresos C. Benef.'!K60</f>
        <v>0</v>
      </c>
    </row>
    <row r="18" spans="1:10" ht="20.25" customHeight="1">
      <c r="A18" s="716"/>
      <c r="B18" s="80" t="str">
        <f>'Ap. 2 Ingresos C. Benef.'!B64</f>
        <v>Sala Cuna [Noche]  
Matrícula Proyectada 6</v>
      </c>
      <c r="C18" s="37">
        <f>'Ap. 2 Ingresos C. Benef.'!D64</f>
        <v>0</v>
      </c>
      <c r="D18" s="37">
        <f>'Ap. 2 Ingresos C. Benef.'!E64</f>
        <v>0</v>
      </c>
      <c r="E18" s="37">
        <f>'Ap. 2 Ingresos C. Benef.'!F64</f>
        <v>0</v>
      </c>
      <c r="F18" s="37">
        <f>'Ap. 2 Ingresos C. Benef.'!G64</f>
        <v>0</v>
      </c>
      <c r="G18" s="37">
        <f>'Ap. 2 Ingresos C. Benef.'!H64</f>
        <v>241600</v>
      </c>
      <c r="H18" s="37">
        <f>'Ap. 2 Ingresos C. Benef.'!I64</f>
        <v>0</v>
      </c>
      <c r="I18" s="37">
        <f>'Ap. 2 Ingresos C. Benef.'!J64</f>
        <v>0</v>
      </c>
      <c r="J18" s="37">
        <f>'Ap. 2 Ingresos C. Benef.'!K64</f>
        <v>0</v>
      </c>
    </row>
    <row r="19" spans="1:10" ht="21" customHeight="1">
      <c r="A19" s="713" t="str">
        <f>'Ap. 2 Ingresos C. Benef.'!A68</f>
        <v>SALA CUNA "MAR AZUL" DIURNA</v>
      </c>
      <c r="B19" s="80" t="str">
        <f>'Ap. 2 Ingresos C. Benef.'!B68</f>
        <v>Sala Cuna [Diurna] 88 Matrícula Proyectada 81</v>
      </c>
      <c r="C19" s="37">
        <f>'Ap. 2 Ingresos C. Benef.'!D68</f>
        <v>0</v>
      </c>
      <c r="D19" s="37">
        <f>'Ap. 2 Ingresos C. Benef.'!E68</f>
        <v>0</v>
      </c>
      <c r="E19" s="37">
        <f>'Ap. 2 Ingresos C. Benef.'!F68</f>
        <v>0</v>
      </c>
      <c r="F19" s="37">
        <f>'Ap. 2 Ingresos C. Benef.'!G68</f>
        <v>0</v>
      </c>
      <c r="G19" s="37">
        <f>'Ap. 2 Ingresos C. Benef.'!H68</f>
        <v>286100</v>
      </c>
      <c r="H19" s="37">
        <f>'Ap. 2 Ingresos C. Benef.'!I68</f>
        <v>350100</v>
      </c>
      <c r="I19" s="37">
        <f>'Ap. 2 Ingresos C. Benef.'!J68</f>
        <v>344000</v>
      </c>
      <c r="J19" s="37">
        <f>'Ap. 2 Ingresos C. Benef.'!K68</f>
        <v>401300</v>
      </c>
    </row>
    <row r="20" spans="1:10" ht="21" customHeight="1">
      <c r="A20" s="713"/>
      <c r="B20" s="80" t="str">
        <f>'Ap. 2 Ingresos C. Benef.'!B71</f>
        <v>Sala Cuna [media jornada] 1 Matrícula Proyectada 0</v>
      </c>
      <c r="C20" s="37">
        <f>'Ap. 2 Ingresos C. Benef.'!D71</f>
        <v>0</v>
      </c>
      <c r="D20" s="37">
        <f>'Ap. 2 Ingresos C. Benef.'!E71</f>
        <v>0</v>
      </c>
      <c r="E20" s="37">
        <f>'Ap. 2 Ingresos C. Benef.'!F71</f>
        <v>0</v>
      </c>
      <c r="F20" s="37">
        <f>'Ap. 2 Ingresos C. Benef.'!G71</f>
        <v>0</v>
      </c>
      <c r="G20" s="37">
        <f>'Ap. 2 Ingresos C. Benef.'!H71</f>
        <v>155800</v>
      </c>
      <c r="H20" s="37">
        <f>'Ap. 2 Ingresos C. Benef.'!I71</f>
        <v>0</v>
      </c>
      <c r="I20" s="37">
        <f>'Ap. 2 Ingresos C. Benef.'!J71</f>
        <v>0</v>
      </c>
      <c r="J20" s="37">
        <f>'Ap. 2 Ingresos C. Benef.'!K71</f>
        <v>0</v>
      </c>
    </row>
    <row r="21" spans="1:10" ht="21.75" customHeight="1">
      <c r="A21" s="713">
        <f>'Ap. 2 Ingresos C. Benef.'!A54</f>
        <v>0</v>
      </c>
      <c r="B21" s="80" t="str">
        <f>'Ap. 2 Ingresos C. Benef.'!B75</f>
        <v>Sala Cuna [Noche] 18 Matrícula Proyectada 18</v>
      </c>
      <c r="C21" s="37">
        <f>'Ap. 2 Ingresos C. Benef.'!D75</f>
        <v>0</v>
      </c>
      <c r="D21" s="37">
        <f>'Ap. 2 Ingresos C. Benef.'!E75</f>
        <v>0</v>
      </c>
      <c r="E21" s="37">
        <f>'Ap. 2 Ingresos C. Benef.'!F75</f>
        <v>0</v>
      </c>
      <c r="F21" s="37">
        <f>'Ap. 2 Ingresos C. Benef.'!G75</f>
        <v>0</v>
      </c>
      <c r="G21" s="37">
        <f>'Ap. 2 Ingresos C. Benef.'!H75</f>
        <v>233100</v>
      </c>
      <c r="H21" s="37">
        <f>'Ap. 2 Ingresos C. Benef.'!I75</f>
        <v>0</v>
      </c>
      <c r="I21" s="37">
        <f>'Ap. 2 Ingresos C. Benef.'!J75</f>
        <v>0</v>
      </c>
      <c r="J21" s="37">
        <f>'Ap. 2 Ingresos C. Benef.'!K75</f>
        <v>0</v>
      </c>
    </row>
  </sheetData>
  <sheetProtection selectLockedCells="1" selectUnlockedCells="1"/>
  <mergeCells count="11">
    <mergeCell ref="A14:A15"/>
    <mergeCell ref="A19:A21"/>
    <mergeCell ref="A8:A9"/>
    <mergeCell ref="B8:B9"/>
    <mergeCell ref="C8:F8"/>
    <mergeCell ref="A16:A18"/>
    <mergeCell ref="A1:G1"/>
    <mergeCell ref="A2:G2"/>
    <mergeCell ref="A3:G3"/>
    <mergeCell ref="C5:D5"/>
    <mergeCell ref="G8:J8"/>
  </mergeCells>
  <printOptions/>
  <pageMargins left="0" right="0.7480314960629921" top="0.984251968503937" bottom="0.984251968503937" header="0.4330708661417323" footer="0.4724409448818898"/>
  <pageSetup horizontalDpi="600" verticalDpi="600" orientation="landscape" scale="60" r:id="rId1"/>
  <headerFooter alignWithMargins="0">
    <oddHeader>&amp;LSEPT - 2004&amp;CDIRECTIVA D.B.S.A.
ORDINARIA&amp;R01-BS/0305/04</oddHeader>
    <oddFooter>&amp;LDEPARTAMENTO
RRHH Y GESTION&amp;C01-BS&amp;RPAG &amp;P</oddFooter>
  </headerFooter>
</worksheet>
</file>

<file path=xl/worksheets/sheet8.xml><?xml version="1.0" encoding="utf-8"?>
<worksheet xmlns="http://schemas.openxmlformats.org/spreadsheetml/2006/main" xmlns:r="http://schemas.openxmlformats.org/officeDocument/2006/relationships">
  <sheetPr codeName="Hoja5">
    <pageSetUpPr fitToPage="1"/>
  </sheetPr>
  <dimension ref="A1:IV27"/>
  <sheetViews>
    <sheetView showGridLines="0" zoomScale="90" zoomScaleNormal="90" zoomScalePageLayoutView="0" workbookViewId="0" topLeftCell="A1">
      <selection activeCell="G25" sqref="G25"/>
    </sheetView>
  </sheetViews>
  <sheetFormatPr defaultColWidth="11.421875" defaultRowHeight="12.75"/>
  <cols>
    <col min="1" max="1" width="34.421875" style="1" customWidth="1"/>
    <col min="2" max="2" width="40.8515625" style="1" customWidth="1"/>
    <col min="3" max="3" width="16.8515625" style="1" customWidth="1"/>
    <col min="4" max="4" width="18.421875" style="1" customWidth="1"/>
    <col min="5" max="5" width="19.28125" style="1" customWidth="1"/>
    <col min="6" max="6" width="19.8515625" style="1" customWidth="1"/>
    <col min="7" max="11" width="18.7109375" style="1" customWidth="1"/>
    <col min="12" max="16384" width="11.421875" style="1" customWidth="1"/>
  </cols>
  <sheetData>
    <row r="1" spans="1:256" s="4" customFormat="1" ht="12.75">
      <c r="A1" s="600" t="s">
        <v>0</v>
      </c>
      <c r="B1" s="600"/>
      <c r="C1" s="600"/>
      <c r="D1" s="600"/>
      <c r="E1" s="600"/>
      <c r="F1" s="3"/>
      <c r="G1" s="3"/>
      <c r="IK1" s="1"/>
      <c r="IL1" s="1"/>
      <c r="IM1" s="1"/>
      <c r="IN1" s="1"/>
      <c r="IO1" s="1"/>
      <c r="IP1" s="1"/>
      <c r="IQ1" s="1"/>
      <c r="IR1" s="1"/>
      <c r="IS1" s="1"/>
      <c r="IT1" s="1"/>
      <c r="IU1" s="1"/>
      <c r="IV1" s="1"/>
    </row>
    <row r="2" spans="1:256" s="4" customFormat="1" ht="15.75" customHeight="1">
      <c r="A2" s="600" t="s">
        <v>50</v>
      </c>
      <c r="B2" s="600"/>
      <c r="C2" s="600"/>
      <c r="D2" s="600"/>
      <c r="E2" s="600"/>
      <c r="F2" s="3"/>
      <c r="G2" s="3"/>
      <c r="IK2" s="1"/>
      <c r="IL2" s="1"/>
      <c r="IM2" s="1"/>
      <c r="IN2" s="1"/>
      <c r="IO2" s="1"/>
      <c r="IP2" s="1"/>
      <c r="IQ2" s="1"/>
      <c r="IR2" s="1"/>
      <c r="IS2" s="1"/>
      <c r="IT2" s="1"/>
      <c r="IU2" s="1"/>
      <c r="IV2" s="1"/>
    </row>
    <row r="3" spans="1:256" s="4" customFormat="1" ht="18" customHeight="1">
      <c r="A3" s="600" t="s">
        <v>51</v>
      </c>
      <c r="B3" s="600"/>
      <c r="C3" s="600"/>
      <c r="D3" s="600"/>
      <c r="E3" s="600"/>
      <c r="F3" s="3"/>
      <c r="G3" s="3"/>
      <c r="IK3" s="1"/>
      <c r="IL3" s="1"/>
      <c r="IM3" s="1"/>
      <c r="IN3" s="1"/>
      <c r="IO3" s="1"/>
      <c r="IP3" s="1"/>
      <c r="IQ3" s="1"/>
      <c r="IR3" s="1"/>
      <c r="IS3" s="1"/>
      <c r="IT3" s="1"/>
      <c r="IU3" s="1"/>
      <c r="IV3" s="1"/>
    </row>
    <row r="4" spans="1:256" s="4" customFormat="1" ht="11.25" customHeight="1">
      <c r="A4" s="1"/>
      <c r="B4" s="1"/>
      <c r="D4" s="1"/>
      <c r="F4" s="1"/>
      <c r="IK4" s="1"/>
      <c r="IL4" s="1"/>
      <c r="IM4" s="1"/>
      <c r="IN4" s="1"/>
      <c r="IO4" s="1"/>
      <c r="IP4" s="1"/>
      <c r="IQ4" s="1"/>
      <c r="IR4" s="1"/>
      <c r="IS4" s="1"/>
      <c r="IT4" s="1"/>
      <c r="IU4" s="1"/>
      <c r="IV4" s="1"/>
    </row>
    <row r="5" spans="1:256" s="4" customFormat="1" ht="12" customHeight="1">
      <c r="A5" s="724" t="s">
        <v>3</v>
      </c>
      <c r="B5" s="724"/>
      <c r="C5" s="38" t="str">
        <f>'Ap. 2 Ingresos C. Benef.'!$I$5</f>
        <v>BIENVALP</v>
      </c>
      <c r="D5" s="39"/>
      <c r="E5" s="1"/>
      <c r="F5" s="39"/>
      <c r="G5" s="1"/>
      <c r="IK5" s="1"/>
      <c r="IL5" s="1"/>
      <c r="IM5" s="1"/>
      <c r="IN5" s="1"/>
      <c r="IO5" s="1"/>
      <c r="IP5" s="1"/>
      <c r="IQ5" s="1"/>
      <c r="IR5" s="1"/>
      <c r="IS5" s="1"/>
      <c r="IT5" s="1"/>
      <c r="IU5" s="1"/>
      <c r="IV5" s="1"/>
    </row>
    <row r="6" spans="1:256" s="4" customFormat="1" ht="12" customHeight="1">
      <c r="A6" s="5"/>
      <c r="B6" s="7"/>
      <c r="C6" s="39"/>
      <c r="D6" s="39"/>
      <c r="E6" s="1"/>
      <c r="F6" s="39"/>
      <c r="G6" s="1"/>
      <c r="IK6" s="1"/>
      <c r="IL6" s="1"/>
      <c r="IM6" s="1"/>
      <c r="IN6" s="1"/>
      <c r="IO6" s="1"/>
      <c r="IP6" s="1"/>
      <c r="IQ6" s="1"/>
      <c r="IR6" s="1"/>
      <c r="IS6" s="1"/>
      <c r="IT6" s="1"/>
      <c r="IU6" s="1"/>
      <c r="IV6" s="1"/>
    </row>
    <row r="7" spans="1:256" s="4" customFormat="1" ht="12" customHeight="1">
      <c r="A7" s="5"/>
      <c r="B7" s="7"/>
      <c r="C7" s="39"/>
      <c r="D7" s="39"/>
      <c r="E7" s="1"/>
      <c r="F7" s="39"/>
      <c r="G7" s="1"/>
      <c r="IK7" s="1"/>
      <c r="IL7" s="1"/>
      <c r="IM7" s="1"/>
      <c r="IN7" s="1"/>
      <c r="IO7" s="1"/>
      <c r="IP7" s="1"/>
      <c r="IQ7" s="1"/>
      <c r="IR7" s="1"/>
      <c r="IS7" s="1"/>
      <c r="IT7" s="1"/>
      <c r="IU7" s="1"/>
      <c r="IV7" s="1"/>
    </row>
    <row r="8" spans="1:256" s="4" customFormat="1" ht="12" customHeight="1">
      <c r="A8" s="5"/>
      <c r="B8" s="7"/>
      <c r="C8" s="39"/>
      <c r="D8" s="39"/>
      <c r="E8" s="1"/>
      <c r="F8" s="39"/>
      <c r="G8" s="1"/>
      <c r="IK8" s="1"/>
      <c r="IL8" s="1"/>
      <c r="IM8" s="1"/>
      <c r="IN8" s="1"/>
      <c r="IO8" s="1"/>
      <c r="IP8" s="1"/>
      <c r="IQ8" s="1"/>
      <c r="IR8" s="1"/>
      <c r="IS8" s="1"/>
      <c r="IT8" s="1"/>
      <c r="IU8" s="1"/>
      <c r="IV8" s="1"/>
    </row>
    <row r="9" spans="1:256" s="4" customFormat="1" ht="12" customHeight="1">
      <c r="A9" s="5"/>
      <c r="B9" s="7"/>
      <c r="C9" s="39"/>
      <c r="D9" s="39"/>
      <c r="E9" s="1"/>
      <c r="F9" s="39"/>
      <c r="G9" s="1"/>
      <c r="IK9" s="1"/>
      <c r="IL9" s="1"/>
      <c r="IM9" s="1"/>
      <c r="IN9" s="1"/>
      <c r="IO9" s="1"/>
      <c r="IP9" s="1"/>
      <c r="IQ9" s="1"/>
      <c r="IR9" s="1"/>
      <c r="IS9" s="1"/>
      <c r="IT9" s="1"/>
      <c r="IU9" s="1"/>
      <c r="IV9" s="1"/>
    </row>
    <row r="10" spans="1:256" s="4" customFormat="1" ht="12" customHeight="1">
      <c r="A10" s="5"/>
      <c r="B10" s="7"/>
      <c r="C10" s="39"/>
      <c r="D10" s="39"/>
      <c r="E10" s="1"/>
      <c r="F10" s="39"/>
      <c r="G10" s="1"/>
      <c r="IK10" s="1"/>
      <c r="IL10" s="1"/>
      <c r="IM10" s="1"/>
      <c r="IN10" s="1"/>
      <c r="IO10" s="1"/>
      <c r="IP10" s="1"/>
      <c r="IQ10" s="1"/>
      <c r="IR10" s="1"/>
      <c r="IS10" s="1"/>
      <c r="IT10" s="1"/>
      <c r="IU10" s="1"/>
      <c r="IV10" s="1"/>
    </row>
    <row r="11" spans="1:256" s="4" customFormat="1" ht="12" customHeight="1">
      <c r="A11" s="5"/>
      <c r="B11" s="7"/>
      <c r="C11" s="39"/>
      <c r="D11" s="39"/>
      <c r="E11" s="1"/>
      <c r="F11" s="39"/>
      <c r="G11" s="1"/>
      <c r="IK11" s="1"/>
      <c r="IL11" s="1"/>
      <c r="IM11" s="1"/>
      <c r="IN11" s="1"/>
      <c r="IO11" s="1"/>
      <c r="IP11" s="1"/>
      <c r="IQ11" s="1"/>
      <c r="IR11" s="1"/>
      <c r="IS11" s="1"/>
      <c r="IT11" s="1"/>
      <c r="IU11" s="1"/>
      <c r="IV11" s="1"/>
    </row>
    <row r="12" spans="1:256" s="4" customFormat="1" ht="12" customHeight="1">
      <c r="A12" s="5"/>
      <c r="B12" s="7"/>
      <c r="C12" s="39"/>
      <c r="D12" s="39"/>
      <c r="E12" s="1"/>
      <c r="F12" s="39"/>
      <c r="G12" s="1"/>
      <c r="IK12" s="1"/>
      <c r="IL12" s="1"/>
      <c r="IM12" s="1"/>
      <c r="IN12" s="1"/>
      <c r="IO12" s="1"/>
      <c r="IP12" s="1"/>
      <c r="IQ12" s="1"/>
      <c r="IR12" s="1"/>
      <c r="IS12" s="1"/>
      <c r="IT12" s="1"/>
      <c r="IU12" s="1"/>
      <c r="IV12" s="1"/>
    </row>
    <row r="13" spans="1:256" s="4" customFormat="1" ht="12" customHeight="1">
      <c r="A13" s="40"/>
      <c r="B13" s="40"/>
      <c r="C13" s="40"/>
      <c r="D13" s="40"/>
      <c r="E13" s="40"/>
      <c r="F13" s="23"/>
      <c r="G13" s="23"/>
      <c r="H13" s="23"/>
      <c r="I13" s="23"/>
      <c r="J13" s="23"/>
      <c r="IK13" s="1"/>
      <c r="IL13" s="1"/>
      <c r="IM13" s="1"/>
      <c r="IN13" s="1"/>
      <c r="IO13" s="1"/>
      <c r="IP13" s="1"/>
      <c r="IQ13" s="1"/>
      <c r="IR13" s="1"/>
      <c r="IS13" s="1"/>
      <c r="IT13" s="1"/>
      <c r="IU13" s="1"/>
      <c r="IV13" s="1"/>
    </row>
    <row r="14" spans="1:256" s="19" customFormat="1" ht="12" customHeight="1">
      <c r="A14" s="41"/>
      <c r="B14" s="41"/>
      <c r="C14" s="42" t="s">
        <v>52</v>
      </c>
      <c r="D14" s="43"/>
      <c r="E14" s="44">
        <v>12</v>
      </c>
      <c r="F14" s="17"/>
      <c r="G14" s="18"/>
      <c r="IK14" s="21"/>
      <c r="IL14" s="21"/>
      <c r="IM14" s="21"/>
      <c r="IN14" s="21"/>
      <c r="IO14" s="21"/>
      <c r="IP14" s="21"/>
      <c r="IQ14" s="21"/>
      <c r="IR14" s="21"/>
      <c r="IS14" s="21"/>
      <c r="IT14" s="21"/>
      <c r="IU14" s="21"/>
      <c r="IV14" s="21"/>
    </row>
    <row r="15" spans="1:256" s="19" customFormat="1" ht="13.5" customHeight="1">
      <c r="A15" s="41"/>
      <c r="B15" s="41"/>
      <c r="C15" s="42" t="s">
        <v>220</v>
      </c>
      <c r="D15" s="43"/>
      <c r="E15" s="44">
        <v>10</v>
      </c>
      <c r="F15" s="17"/>
      <c r="G15" s="18"/>
      <c r="IK15" s="21"/>
      <c r="IL15" s="21"/>
      <c r="IM15" s="21"/>
      <c r="IN15" s="21"/>
      <c r="IO15" s="21"/>
      <c r="IP15" s="21"/>
      <c r="IQ15" s="21"/>
      <c r="IR15" s="21"/>
      <c r="IS15" s="21"/>
      <c r="IT15" s="21"/>
      <c r="IU15" s="21"/>
      <c r="IV15" s="21"/>
    </row>
    <row r="16" spans="1:256" s="19" customFormat="1" ht="13.5" customHeight="1">
      <c r="A16" s="41"/>
      <c r="B16" s="41"/>
      <c r="C16" s="45"/>
      <c r="D16" s="45"/>
      <c r="E16" s="46"/>
      <c r="F16" s="17"/>
      <c r="G16" s="18"/>
      <c r="IK16" s="21"/>
      <c r="IL16" s="21"/>
      <c r="IM16" s="21"/>
      <c r="IN16" s="21"/>
      <c r="IO16" s="21"/>
      <c r="IP16" s="21"/>
      <c r="IQ16" s="21"/>
      <c r="IR16" s="21"/>
      <c r="IS16" s="21"/>
      <c r="IT16" s="21"/>
      <c r="IU16" s="21"/>
      <c r="IV16" s="21"/>
    </row>
    <row r="17" spans="1:5" ht="12.75">
      <c r="A17" s="41"/>
      <c r="B17" s="41"/>
      <c r="C17" s="41"/>
      <c r="D17" s="41"/>
      <c r="E17" s="41"/>
    </row>
    <row r="18" spans="1:5" ht="12.75">
      <c r="A18" s="723" t="str">
        <f>'Ap. 5 Tarifado '!A8</f>
        <v>JARDÍN INFANTIL "LOBITO MARINO" </v>
      </c>
      <c r="B18" s="723" t="str">
        <f>'Ap. 5 Tarifado '!B8</f>
        <v>Jardín [Media Jornada] Matricula proyectada 90</v>
      </c>
      <c r="C18" s="47" t="str">
        <f>'Ap. 5 Tarifado '!C8</f>
        <v>Matrícula</v>
      </c>
      <c r="D18" s="48" t="str">
        <f>'Ap. 5 Tarifado '!G8</f>
        <v>Mensualidad</v>
      </c>
      <c r="E18" s="81" t="s">
        <v>53</v>
      </c>
    </row>
    <row r="19" spans="1:5" ht="38.25">
      <c r="A19" s="637">
        <f>'Ap. 5 Tarifado '!A9</f>
        <v>0</v>
      </c>
      <c r="B19" s="637">
        <f>'Ap. 5 Tarifado '!B9</f>
        <v>0</v>
      </c>
      <c r="C19" s="50" t="str">
        <f>'Ap. 5 Tarifado '!C9</f>
        <v>Personal Servicio Activo Armada y otras FFAA</v>
      </c>
      <c r="D19" s="50" t="str">
        <f>'Ap. 5 Tarifado '!G9</f>
        <v>Personal Servicio Activo Armada y otras FFAA</v>
      </c>
      <c r="E19" s="50" t="s">
        <v>54</v>
      </c>
    </row>
    <row r="20" spans="1:5" ht="30.75" customHeight="1">
      <c r="A20" s="83" t="str">
        <f>'Ap. 5 Tarifado '!A10</f>
        <v>JARDÍN INFANTIL "LOBITO MARINO" </v>
      </c>
      <c r="B20" s="84" t="str">
        <f>'Ap. 5 Tarifado '!B10</f>
        <v>Jardín [Media Jornada] Matricula proyectada 90</v>
      </c>
      <c r="C20" s="85">
        <f>'Ap. 5 Tarifado '!C10</f>
        <v>66000</v>
      </c>
      <c r="D20" s="85">
        <f>'Ap. 5 Tarifado '!G10</f>
        <v>66000</v>
      </c>
      <c r="E20" s="86">
        <f>C20+D20*$E$15</f>
        <v>726000</v>
      </c>
    </row>
    <row r="21" spans="1:5" ht="30.75" customHeight="1">
      <c r="A21" s="94" t="s">
        <v>170</v>
      </c>
      <c r="B21" s="88" t="s">
        <v>221</v>
      </c>
      <c r="C21" s="89">
        <v>100000</v>
      </c>
      <c r="D21" s="90">
        <v>105000</v>
      </c>
      <c r="E21" s="90">
        <v>1150000</v>
      </c>
    </row>
    <row r="22" spans="1:5" ht="30.75" customHeight="1">
      <c r="A22" s="87" t="str">
        <f>'Ap. 5 Tarifado '!A11</f>
        <v>JARDIN INFANTIL "LOS DELFINES"</v>
      </c>
      <c r="B22" s="82" t="str">
        <f>'Ap. 5 Tarifado '!B11</f>
        <v>Jardín [Jornada Completa]  Matrícula Proyectada 144</v>
      </c>
      <c r="C22" s="91">
        <f>'Ap. 5 Tarifado '!C11</f>
        <v>107900</v>
      </c>
      <c r="D22" s="91">
        <f>'Ap. 5 Tarifado '!G11</f>
        <v>107900</v>
      </c>
      <c r="E22" s="91">
        <f>C22+D22*$E$15</f>
        <v>1186900</v>
      </c>
    </row>
    <row r="23" spans="1:5" ht="30.75" customHeight="1">
      <c r="A23" s="94" t="s">
        <v>170</v>
      </c>
      <c r="B23" s="92" t="s">
        <v>222</v>
      </c>
      <c r="C23" s="93">
        <v>165000</v>
      </c>
      <c r="D23" s="93">
        <v>250000</v>
      </c>
      <c r="E23" s="93">
        <v>2665000</v>
      </c>
    </row>
    <row r="24" spans="1:5" ht="30" customHeight="1">
      <c r="A24" s="87" t="str">
        <f>'Ap. 5 Tarifado '!A16</f>
        <v>SALA CUNA "CARACOLITO DE MAR"
DIURNA</v>
      </c>
      <c r="B24" s="95" t="str">
        <f>'Ap. 5 Tarifado '!B16</f>
        <v>Sala Cuna [Diurna] 26 Matrícula Proyectada 26</v>
      </c>
      <c r="C24" s="91">
        <f>'Ap. 5 Tarifado '!C16</f>
        <v>0</v>
      </c>
      <c r="D24" s="91">
        <f>'Ap. 5 Tarifado '!G16</f>
        <v>296400</v>
      </c>
      <c r="E24" s="91">
        <f>C24+D24*$E$14</f>
        <v>3556800</v>
      </c>
    </row>
    <row r="25" spans="1:5" ht="30" customHeight="1">
      <c r="A25" s="94" t="s">
        <v>171</v>
      </c>
      <c r="B25" s="92" t="s">
        <v>222</v>
      </c>
      <c r="C25" s="93">
        <v>165000</v>
      </c>
      <c r="D25" s="93">
        <v>250000</v>
      </c>
      <c r="E25" s="93">
        <v>3165000</v>
      </c>
    </row>
    <row r="26" spans="1:5" ht="29.25" customHeight="1">
      <c r="A26" s="87" t="str">
        <f>'Ap. 5 Tarifado '!A19</f>
        <v>SALA CUNA "MAR AZUL" DIURNA</v>
      </c>
      <c r="B26" s="95" t="str">
        <f>'Ap. 5 Tarifado '!B19</f>
        <v>Sala Cuna [Diurna] 88 Matrícula Proyectada 81</v>
      </c>
      <c r="C26" s="91">
        <f>'Ap. 5 Tarifado '!C19</f>
        <v>0</v>
      </c>
      <c r="D26" s="91">
        <f>'Ap. 5 Tarifado '!G19</f>
        <v>286100</v>
      </c>
      <c r="E26" s="91">
        <f>C26+D26*$E$14</f>
        <v>3433200</v>
      </c>
    </row>
    <row r="27" spans="1:5" ht="27.75" customHeight="1">
      <c r="A27" s="97" t="s">
        <v>172</v>
      </c>
      <c r="B27" s="98" t="s">
        <v>222</v>
      </c>
      <c r="C27" s="96">
        <v>250000</v>
      </c>
      <c r="D27" s="49">
        <v>250000</v>
      </c>
      <c r="E27" s="99">
        <v>3250000</v>
      </c>
    </row>
  </sheetData>
  <sheetProtection selectLockedCells="1" selectUnlockedCells="1"/>
  <mergeCells count="6">
    <mergeCell ref="A18:A19"/>
    <mergeCell ref="B18:B19"/>
    <mergeCell ref="A1:E1"/>
    <mergeCell ref="A2:E2"/>
    <mergeCell ref="A3:E3"/>
    <mergeCell ref="A5:B5"/>
  </mergeCells>
  <printOptions/>
  <pageMargins left="0.7479166666666667" right="0.7479166666666667" top="0.8097222222222222" bottom="0.8902777777777777" header="0.4" footer="0.4"/>
  <pageSetup fitToHeight="1" fitToWidth="1" horizontalDpi="300" verticalDpi="300" orientation="landscape" r:id="rId4"/>
  <headerFooter alignWithMargins="0">
    <oddHeader>&amp;LSEPT - 2004&amp;CDIRECTIVA D.B.S.A.
ORDINARIA&amp;R01-BS/0305/04</oddHeader>
    <oddFooter>&amp;LDEPARTAMENTO
RRHH Y GESTION&amp;C01-BS&amp;RPAG &amp;P</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2:M99"/>
  <sheetViews>
    <sheetView zoomScalePageLayoutView="0" workbookViewId="0" topLeftCell="A1">
      <selection activeCell="L46" sqref="L46:L50"/>
    </sheetView>
  </sheetViews>
  <sheetFormatPr defaultColWidth="11.421875" defaultRowHeight="12.75"/>
  <cols>
    <col min="1" max="1" width="29.140625" style="0" bestFit="1" customWidth="1"/>
    <col min="2" max="2" width="13.8515625" style="0" hidden="1" customWidth="1"/>
    <col min="3" max="3" width="15.57421875" style="0" bestFit="1" customWidth="1"/>
    <col min="4" max="4" width="17.7109375" style="0" bestFit="1" customWidth="1"/>
    <col min="5" max="5" width="22.421875" style="0" bestFit="1" customWidth="1"/>
    <col min="6" max="6" width="13.8515625" style="0" hidden="1" customWidth="1"/>
    <col min="7" max="7" width="20.57421875" style="0" bestFit="1" customWidth="1"/>
    <col min="11" max="11" width="42.00390625" style="0" bestFit="1" customWidth="1"/>
    <col min="12" max="12" width="26.7109375" style="0" bestFit="1" customWidth="1"/>
  </cols>
  <sheetData>
    <row r="2" spans="11:12" ht="12.75">
      <c r="K2" s="725" t="s">
        <v>227</v>
      </c>
      <c r="L2" s="726"/>
    </row>
    <row r="3" spans="1:13" ht="12.75">
      <c r="A3" s="228" t="s">
        <v>165</v>
      </c>
      <c r="B3" s="228" t="s">
        <v>240</v>
      </c>
      <c r="C3" s="228" t="s">
        <v>347</v>
      </c>
      <c r="D3" s="228" t="s">
        <v>241</v>
      </c>
      <c r="E3" s="228" t="s">
        <v>346</v>
      </c>
      <c r="F3" s="228" t="s">
        <v>242</v>
      </c>
      <c r="G3" s="228" t="s">
        <v>243</v>
      </c>
      <c r="K3" s="226" t="s">
        <v>257</v>
      </c>
      <c r="L3" s="227" t="s">
        <v>258</v>
      </c>
      <c r="M3" t="s">
        <v>358</v>
      </c>
    </row>
    <row r="4" spans="1:12" s="225" customFormat="1" ht="12.75">
      <c r="A4" s="226" t="s">
        <v>244</v>
      </c>
      <c r="B4" s="229">
        <v>1210000</v>
      </c>
      <c r="C4" s="229">
        <f>+G4-E4-D4</f>
        <v>59248377.53798495</v>
      </c>
      <c r="D4" s="229">
        <v>3025000</v>
      </c>
      <c r="E4" s="229">
        <f>+B4+F4</f>
        <v>2548059.5616525672</v>
      </c>
      <c r="F4" s="229">
        <v>1338059.5616525672</v>
      </c>
      <c r="G4" s="229">
        <v>64821437.099637516</v>
      </c>
      <c r="K4" s="231" t="s">
        <v>247</v>
      </c>
      <c r="L4" s="232" t="s">
        <v>248</v>
      </c>
    </row>
    <row r="5" spans="1:12" ht="12.75">
      <c r="A5" s="226" t="s">
        <v>259</v>
      </c>
      <c r="B5" s="229">
        <v>2200000</v>
      </c>
      <c r="C5" s="229">
        <f aca="true" t="shared" si="0" ref="C5:C10">+G5-E5-D5</f>
        <v>100571944.28527172</v>
      </c>
      <c r="D5" s="229">
        <v>5500000</v>
      </c>
      <c r="E5" s="229">
        <f>+B5+F5</f>
        <v>4645925.142808784</v>
      </c>
      <c r="F5" s="229">
        <v>2445925.1428087833</v>
      </c>
      <c r="G5" s="229">
        <v>110717869.4280805</v>
      </c>
      <c r="H5" s="225"/>
      <c r="K5" s="231" t="s">
        <v>249</v>
      </c>
      <c r="L5" s="232" t="s">
        <v>248</v>
      </c>
    </row>
    <row r="6" spans="1:12" ht="12.75">
      <c r="A6" s="226" t="s">
        <v>282</v>
      </c>
      <c r="B6" s="229">
        <v>330000</v>
      </c>
      <c r="C6" s="229">
        <f t="shared" si="0"/>
        <v>15270933.477337878</v>
      </c>
      <c r="D6" s="229">
        <v>825000</v>
      </c>
      <c r="E6" s="229">
        <f>+B6+F6</f>
        <v>693074.6163198907</v>
      </c>
      <c r="F6" s="229">
        <v>363074.6163198907</v>
      </c>
      <c r="G6" s="229">
        <v>16789008.09365777</v>
      </c>
      <c r="K6" s="231" t="s">
        <v>250</v>
      </c>
      <c r="L6" s="232" t="s">
        <v>248</v>
      </c>
    </row>
    <row r="7" spans="1:12" ht="12.75">
      <c r="A7" s="226" t="s">
        <v>286</v>
      </c>
      <c r="B7" s="229">
        <v>110000</v>
      </c>
      <c r="C7" s="229">
        <f t="shared" si="0"/>
        <v>4531093.4399999995</v>
      </c>
      <c r="D7" s="229">
        <v>275000</v>
      </c>
      <c r="E7" s="229">
        <f>+B7+F7</f>
        <v>233364.94011976046</v>
      </c>
      <c r="F7" s="229">
        <v>123364.94011976047</v>
      </c>
      <c r="G7" s="229">
        <v>5039458.38011976</v>
      </c>
      <c r="K7" s="231" t="s">
        <v>251</v>
      </c>
      <c r="L7" s="232" t="s">
        <v>248</v>
      </c>
    </row>
    <row r="8" spans="1:12" ht="12.75">
      <c r="A8" s="230" t="s">
        <v>298</v>
      </c>
      <c r="B8" s="229">
        <v>550000</v>
      </c>
      <c r="C8" s="225">
        <f>+G8-E8-D8</f>
        <v>38741209.74479028</v>
      </c>
      <c r="D8" s="229">
        <v>2200000</v>
      </c>
      <c r="E8" s="229">
        <v>1858687.4334178702</v>
      </c>
      <c r="F8" s="229"/>
      <c r="G8" s="229">
        <v>42799897.17820815</v>
      </c>
      <c r="K8" s="231" t="s">
        <v>254</v>
      </c>
      <c r="L8" s="232" t="s">
        <v>248</v>
      </c>
    </row>
    <row r="9" spans="1:12" ht="12.75">
      <c r="A9" s="226" t="s">
        <v>299</v>
      </c>
      <c r="B9" s="229">
        <v>1430000</v>
      </c>
      <c r="C9" s="229">
        <f t="shared" si="0"/>
        <v>80633837.59617086</v>
      </c>
      <c r="D9" s="229">
        <v>3575000</v>
      </c>
      <c r="E9" s="229">
        <f>+B9+F9</f>
        <v>3004562.816793132</v>
      </c>
      <c r="F9" s="229">
        <v>1574562.816793132</v>
      </c>
      <c r="G9" s="229">
        <v>87213400.41296399</v>
      </c>
      <c r="K9" s="231" t="s">
        <v>255</v>
      </c>
      <c r="L9" s="232" t="s">
        <v>248</v>
      </c>
    </row>
    <row r="10" spans="1:12" ht="12.75">
      <c r="A10" s="230" t="s">
        <v>315</v>
      </c>
      <c r="B10" s="229">
        <v>3190000</v>
      </c>
      <c r="C10" s="229">
        <f t="shared" si="0"/>
        <v>170848296.51770836</v>
      </c>
      <c r="D10" s="229">
        <v>7975000</v>
      </c>
      <c r="E10" s="229">
        <f>+B10+F10</f>
        <v>6729348.857488519</v>
      </c>
      <c r="F10" s="229">
        <v>3539348.857488518</v>
      </c>
      <c r="G10" s="229">
        <v>185552645.37519687</v>
      </c>
      <c r="K10" s="231" t="s">
        <v>256</v>
      </c>
      <c r="L10" s="232" t="s">
        <v>248</v>
      </c>
    </row>
    <row r="11" spans="1:12" ht="12.75">
      <c r="A11" s="230"/>
      <c r="B11" s="229"/>
      <c r="C11" s="229"/>
      <c r="D11" s="229"/>
      <c r="E11" s="229"/>
      <c r="F11" s="229"/>
      <c r="G11" s="229"/>
      <c r="K11" s="226" t="s">
        <v>245</v>
      </c>
      <c r="L11" s="227" t="s">
        <v>246</v>
      </c>
    </row>
    <row r="12" spans="1:12" ht="12.75">
      <c r="A12" s="230"/>
      <c r="B12" s="229"/>
      <c r="C12" s="229"/>
      <c r="D12" s="229"/>
      <c r="E12" s="229"/>
      <c r="F12" s="229"/>
      <c r="G12" s="229"/>
      <c r="K12" s="226" t="s">
        <v>252</v>
      </c>
      <c r="L12" s="227" t="s">
        <v>246</v>
      </c>
    </row>
    <row r="13" spans="1:12" ht="12.75">
      <c r="A13" s="230"/>
      <c r="B13" s="229"/>
      <c r="C13" s="229"/>
      <c r="D13" s="229"/>
      <c r="E13" s="229"/>
      <c r="F13" s="229"/>
      <c r="G13" s="229"/>
      <c r="K13" s="226" t="s">
        <v>253</v>
      </c>
      <c r="L13" s="227" t="s">
        <v>246</v>
      </c>
    </row>
    <row r="14" spans="1:7" ht="12.75">
      <c r="A14" s="230"/>
      <c r="B14" s="229"/>
      <c r="C14" s="229"/>
      <c r="D14" s="229"/>
      <c r="E14" s="229"/>
      <c r="F14" s="229"/>
      <c r="G14" s="229"/>
    </row>
    <row r="15" spans="1:12" ht="12.75">
      <c r="A15" s="230"/>
      <c r="B15" s="229"/>
      <c r="C15" s="229"/>
      <c r="D15" s="229"/>
      <c r="E15" s="229"/>
      <c r="F15" s="229"/>
      <c r="G15" s="229"/>
      <c r="K15" s="725" t="s">
        <v>179</v>
      </c>
      <c r="L15" s="726"/>
    </row>
    <row r="16" spans="2:12" ht="12.75">
      <c r="B16" s="225"/>
      <c r="C16" s="225"/>
      <c r="D16" s="225"/>
      <c r="E16" s="225"/>
      <c r="F16" s="225"/>
      <c r="G16" s="225"/>
      <c r="K16" s="231" t="s">
        <v>262</v>
      </c>
      <c r="L16" s="232" t="s">
        <v>248</v>
      </c>
    </row>
    <row r="17" spans="2:12" ht="12.75">
      <c r="B17" s="225"/>
      <c r="C17" s="225"/>
      <c r="D17" s="225"/>
      <c r="E17" s="225"/>
      <c r="F17" s="225"/>
      <c r="G17" s="225"/>
      <c r="K17" s="231" t="s">
        <v>263</v>
      </c>
      <c r="L17" s="232" t="s">
        <v>248</v>
      </c>
    </row>
    <row r="18" spans="2:12" ht="12.75">
      <c r="B18" s="225"/>
      <c r="C18" s="225"/>
      <c r="D18" s="225"/>
      <c r="E18" s="225"/>
      <c r="F18" s="225"/>
      <c r="G18" s="225"/>
      <c r="K18" s="231" t="s">
        <v>267</v>
      </c>
      <c r="L18" s="232" t="s">
        <v>248</v>
      </c>
    </row>
    <row r="19" spans="2:12" ht="12.75">
      <c r="B19" s="225">
        <v>2200000</v>
      </c>
      <c r="D19" s="225"/>
      <c r="E19" s="225"/>
      <c r="F19" s="225"/>
      <c r="G19" s="225"/>
      <c r="K19" s="231" t="s">
        <v>268</v>
      </c>
      <c r="L19" s="232" t="s">
        <v>248</v>
      </c>
    </row>
    <row r="20" spans="2:12" ht="12.75">
      <c r="B20" s="225"/>
      <c r="C20" s="225"/>
      <c r="D20" s="225"/>
      <c r="E20" s="225"/>
      <c r="F20" s="225"/>
      <c r="G20" s="225"/>
      <c r="K20" s="231" t="s">
        <v>269</v>
      </c>
      <c r="L20" s="232" t="s">
        <v>248</v>
      </c>
    </row>
    <row r="21" spans="2:12" ht="12.75">
      <c r="B21" s="225"/>
      <c r="C21" s="225"/>
      <c r="E21" s="225"/>
      <c r="F21" s="225"/>
      <c r="G21" s="225"/>
      <c r="K21" s="231" t="s">
        <v>270</v>
      </c>
      <c r="L21" s="232" t="s">
        <v>248</v>
      </c>
    </row>
    <row r="22" spans="2:12" ht="12.75">
      <c r="B22" s="225"/>
      <c r="C22" s="225"/>
      <c r="D22" s="225"/>
      <c r="E22" s="225"/>
      <c r="F22" s="225"/>
      <c r="G22" s="225"/>
      <c r="K22" s="231" t="s">
        <v>271</v>
      </c>
      <c r="L22" s="232" t="s">
        <v>248</v>
      </c>
    </row>
    <row r="23" spans="2:12" ht="12.75">
      <c r="B23" s="225"/>
      <c r="C23" s="225"/>
      <c r="D23" s="225"/>
      <c r="E23" s="225"/>
      <c r="F23" s="225"/>
      <c r="G23" s="225"/>
      <c r="K23" s="231" t="s">
        <v>272</v>
      </c>
      <c r="L23" s="232" t="s">
        <v>248</v>
      </c>
    </row>
    <row r="24" spans="2:12" ht="12.75">
      <c r="B24" s="225"/>
      <c r="C24" s="225"/>
      <c r="D24" s="225"/>
      <c r="E24" s="225"/>
      <c r="F24" s="225"/>
      <c r="G24" s="225"/>
      <c r="K24" s="231" t="s">
        <v>273</v>
      </c>
      <c r="L24" s="232" t="s">
        <v>248</v>
      </c>
    </row>
    <row r="25" spans="2:12" ht="12.75">
      <c r="B25" s="225"/>
      <c r="C25" s="225"/>
      <c r="D25" s="225"/>
      <c r="E25" s="225"/>
      <c r="F25" s="225"/>
      <c r="G25" s="225"/>
      <c r="K25" s="231" t="s">
        <v>274</v>
      </c>
      <c r="L25" s="232" t="s">
        <v>248</v>
      </c>
    </row>
    <row r="26" spans="2:12" ht="12.75">
      <c r="B26" s="225"/>
      <c r="C26" s="225"/>
      <c r="D26" s="225"/>
      <c r="E26" s="225"/>
      <c r="F26" s="225"/>
      <c r="G26" s="225"/>
      <c r="K26" s="231" t="s">
        <v>275</v>
      </c>
      <c r="L26" s="232" t="s">
        <v>248</v>
      </c>
    </row>
    <row r="27" spans="2:12" ht="12.75">
      <c r="B27" s="225"/>
      <c r="C27" s="225"/>
      <c r="D27" s="225"/>
      <c r="E27" s="225"/>
      <c r="F27" s="225"/>
      <c r="G27" s="225"/>
      <c r="K27" s="226" t="s">
        <v>279</v>
      </c>
      <c r="L27" s="227" t="s">
        <v>280</v>
      </c>
    </row>
    <row r="28" spans="2:12" ht="12.75">
      <c r="B28" s="225"/>
      <c r="C28" s="225"/>
      <c r="D28" s="225"/>
      <c r="E28" s="225"/>
      <c r="F28" s="225"/>
      <c r="G28" s="225"/>
      <c r="K28" s="226" t="s">
        <v>281</v>
      </c>
      <c r="L28" s="227" t="s">
        <v>280</v>
      </c>
    </row>
    <row r="29" spans="2:12" ht="12.75">
      <c r="B29" s="225"/>
      <c r="C29" s="225"/>
      <c r="D29" s="225"/>
      <c r="E29" s="225"/>
      <c r="F29" s="225"/>
      <c r="G29" s="225"/>
      <c r="K29" s="231" t="s">
        <v>260</v>
      </c>
      <c r="L29" s="232" t="s">
        <v>246</v>
      </c>
    </row>
    <row r="30" spans="2:12" ht="12.75">
      <c r="B30" s="225"/>
      <c r="C30" s="225"/>
      <c r="D30" s="225"/>
      <c r="E30" s="225"/>
      <c r="F30" s="225"/>
      <c r="G30" s="225"/>
      <c r="K30" s="233" t="s">
        <v>261</v>
      </c>
      <c r="L30" s="232" t="s">
        <v>246</v>
      </c>
    </row>
    <row r="31" spans="2:12" ht="12.75">
      <c r="B31" s="225"/>
      <c r="C31" s="225"/>
      <c r="D31" s="225"/>
      <c r="E31" s="225"/>
      <c r="F31" s="225"/>
      <c r="G31" s="225"/>
      <c r="K31" s="226" t="s">
        <v>264</v>
      </c>
      <c r="L31" s="227" t="s">
        <v>265</v>
      </c>
    </row>
    <row r="32" spans="2:12" ht="12.75">
      <c r="B32" s="225"/>
      <c r="C32" s="225"/>
      <c r="D32" s="225"/>
      <c r="E32" s="225"/>
      <c r="F32" s="225"/>
      <c r="G32" s="225"/>
      <c r="K32" s="226" t="s">
        <v>266</v>
      </c>
      <c r="L32" s="227" t="s">
        <v>265</v>
      </c>
    </row>
    <row r="33" spans="2:12" ht="12.75">
      <c r="B33" s="225"/>
      <c r="C33" s="225"/>
      <c r="D33" s="225"/>
      <c r="E33" s="225"/>
      <c r="F33" s="225"/>
      <c r="G33" s="225"/>
      <c r="K33" s="226" t="s">
        <v>276</v>
      </c>
      <c r="L33" s="227" t="s">
        <v>265</v>
      </c>
    </row>
    <row r="34" spans="2:12" ht="12.75">
      <c r="B34" s="225"/>
      <c r="C34" s="225"/>
      <c r="D34" s="225"/>
      <c r="E34" s="225"/>
      <c r="F34" s="225"/>
      <c r="G34" s="225"/>
      <c r="K34" s="226" t="s">
        <v>277</v>
      </c>
      <c r="L34" s="227" t="s">
        <v>265</v>
      </c>
    </row>
    <row r="35" spans="2:12" ht="12.75">
      <c r="B35" s="225"/>
      <c r="C35" s="225"/>
      <c r="D35" s="225"/>
      <c r="E35" s="225"/>
      <c r="F35" s="225"/>
      <c r="G35" s="225"/>
      <c r="K35" s="226" t="s">
        <v>278</v>
      </c>
      <c r="L35" s="227" t="s">
        <v>265</v>
      </c>
    </row>
    <row r="36" spans="2:7" ht="12.75">
      <c r="B36" s="225"/>
      <c r="C36" s="225"/>
      <c r="D36" s="225"/>
      <c r="E36" s="225"/>
      <c r="F36" s="225"/>
      <c r="G36" s="225"/>
    </row>
    <row r="37" spans="2:12" ht="12.75">
      <c r="B37" s="225"/>
      <c r="C37" s="225"/>
      <c r="D37" s="225"/>
      <c r="E37" s="225"/>
      <c r="F37" s="225"/>
      <c r="G37" s="225"/>
      <c r="K37" s="725" t="s">
        <v>180</v>
      </c>
      <c r="L37" s="726"/>
    </row>
    <row r="38" spans="2:12" ht="12.75">
      <c r="B38" s="225"/>
      <c r="C38" s="225"/>
      <c r="D38" s="225"/>
      <c r="E38" s="225"/>
      <c r="F38" s="225"/>
      <c r="G38" s="225"/>
      <c r="K38" s="226" t="s">
        <v>283</v>
      </c>
      <c r="L38" s="227" t="s">
        <v>248</v>
      </c>
    </row>
    <row r="39" spans="2:12" ht="12.75">
      <c r="B39" s="225"/>
      <c r="C39" s="225"/>
      <c r="D39" s="225"/>
      <c r="E39" s="225"/>
      <c r="F39" s="225"/>
      <c r="G39" s="225"/>
      <c r="K39" s="226" t="s">
        <v>285</v>
      </c>
      <c r="L39" s="227" t="s">
        <v>248</v>
      </c>
    </row>
    <row r="40" spans="2:12" ht="12.75">
      <c r="B40" s="225"/>
      <c r="C40" s="225"/>
      <c r="D40" s="225"/>
      <c r="E40" s="225"/>
      <c r="F40" s="225"/>
      <c r="G40" s="225"/>
      <c r="K40" s="231" t="s">
        <v>284</v>
      </c>
      <c r="L40" s="232" t="s">
        <v>246</v>
      </c>
    </row>
    <row r="41" spans="2:7" ht="12.75">
      <c r="B41" s="225"/>
      <c r="C41" s="225"/>
      <c r="D41" s="225"/>
      <c r="E41" s="225"/>
      <c r="F41" s="225"/>
      <c r="G41" s="225"/>
    </row>
    <row r="42" spans="2:12" ht="12.75">
      <c r="B42" s="225"/>
      <c r="C42" s="225"/>
      <c r="D42" s="225"/>
      <c r="E42" s="225"/>
      <c r="F42" s="225"/>
      <c r="G42" s="225"/>
      <c r="K42" s="725" t="s">
        <v>288</v>
      </c>
      <c r="L42" s="726"/>
    </row>
    <row r="43" spans="2:12" ht="12.75">
      <c r="B43" s="225"/>
      <c r="C43" s="225"/>
      <c r="D43" s="225"/>
      <c r="E43" s="225"/>
      <c r="F43" s="225"/>
      <c r="G43" s="225"/>
      <c r="K43" s="226" t="s">
        <v>287</v>
      </c>
      <c r="L43" s="227" t="s">
        <v>248</v>
      </c>
    </row>
    <row r="44" spans="2:7" ht="12.75">
      <c r="B44" s="225"/>
      <c r="C44" s="225"/>
      <c r="D44" s="225"/>
      <c r="E44" s="225"/>
      <c r="F44" s="225"/>
      <c r="G44" s="225"/>
    </row>
    <row r="45" spans="2:12" ht="12.75">
      <c r="B45" s="225"/>
      <c r="C45" s="225"/>
      <c r="D45" s="225"/>
      <c r="E45" s="225"/>
      <c r="F45" s="225"/>
      <c r="G45" s="225"/>
      <c r="K45" s="725" t="s">
        <v>297</v>
      </c>
      <c r="L45" s="726"/>
    </row>
    <row r="46" spans="2:13" ht="12.75">
      <c r="B46" s="225"/>
      <c r="C46" s="225"/>
      <c r="D46" s="225"/>
      <c r="E46" s="225"/>
      <c r="F46" s="225"/>
      <c r="G46" s="225"/>
      <c r="K46" s="231" t="s">
        <v>290</v>
      </c>
      <c r="L46" s="232" t="s">
        <v>248</v>
      </c>
      <c r="M46" t="s">
        <v>358</v>
      </c>
    </row>
    <row r="47" spans="11:12" ht="12.75">
      <c r="K47" s="231" t="s">
        <v>291</v>
      </c>
      <c r="L47" s="232" t="s">
        <v>248</v>
      </c>
    </row>
    <row r="48" spans="11:12" ht="12.75">
      <c r="K48" s="231" t="s">
        <v>292</v>
      </c>
      <c r="L48" s="232" t="s">
        <v>248</v>
      </c>
    </row>
    <row r="49" spans="11:12" ht="12.75">
      <c r="K49" s="231" t="s">
        <v>293</v>
      </c>
      <c r="L49" s="232" t="s">
        <v>248</v>
      </c>
    </row>
    <row r="50" spans="11:12" ht="12.75">
      <c r="K50" s="231" t="s">
        <v>294</v>
      </c>
      <c r="L50" s="232" t="s">
        <v>248</v>
      </c>
    </row>
    <row r="51" spans="11:12" ht="12.75">
      <c r="K51" s="226" t="s">
        <v>289</v>
      </c>
      <c r="L51" s="227" t="s">
        <v>246</v>
      </c>
    </row>
    <row r="52" spans="11:12" ht="12.75">
      <c r="K52" s="231" t="s">
        <v>295</v>
      </c>
      <c r="L52" s="232" t="s">
        <v>265</v>
      </c>
    </row>
    <row r="53" spans="11:12" ht="12.75">
      <c r="K53" s="253" t="s">
        <v>296</v>
      </c>
      <c r="L53" s="254" t="s">
        <v>42</v>
      </c>
    </row>
    <row r="55" spans="11:12" ht="12.75">
      <c r="K55" s="725" t="s">
        <v>314</v>
      </c>
      <c r="L55" s="726"/>
    </row>
    <row r="56" spans="11:12" ht="12.75">
      <c r="K56" s="231" t="s">
        <v>302</v>
      </c>
      <c r="L56" s="232" t="s">
        <v>248</v>
      </c>
    </row>
    <row r="57" spans="1:12" ht="12.75">
      <c r="A57" t="s">
        <v>348</v>
      </c>
      <c r="K57" s="231" t="s">
        <v>304</v>
      </c>
      <c r="L57" s="232" t="s">
        <v>248</v>
      </c>
    </row>
    <row r="58" spans="1:12" ht="12.75">
      <c r="A58" t="s">
        <v>57</v>
      </c>
      <c r="C58" s="225">
        <v>61971376</v>
      </c>
      <c r="D58" s="225">
        <v>11859956</v>
      </c>
      <c r="E58" s="225">
        <f>+C58+D58</f>
        <v>73831332</v>
      </c>
      <c r="K58" s="231" t="s">
        <v>307</v>
      </c>
      <c r="L58" s="232" t="s">
        <v>248</v>
      </c>
    </row>
    <row r="59" spans="1:12" ht="12.75">
      <c r="A59" t="s">
        <v>181</v>
      </c>
      <c r="C59" s="225">
        <v>2750000</v>
      </c>
      <c r="D59" s="225">
        <v>550000</v>
      </c>
      <c r="E59" s="225">
        <f>+C59+D59</f>
        <v>3300000</v>
      </c>
      <c r="K59" s="231" t="s">
        <v>308</v>
      </c>
      <c r="L59" s="232" t="s">
        <v>248</v>
      </c>
    </row>
    <row r="60" spans="1:12" ht="12.75">
      <c r="A60" t="s">
        <v>59</v>
      </c>
      <c r="C60" s="225">
        <v>2307966</v>
      </c>
      <c r="D60" s="225">
        <v>463290</v>
      </c>
      <c r="E60" s="225">
        <f>+C60+D60</f>
        <v>2771256</v>
      </c>
      <c r="K60" s="231" t="s">
        <v>309</v>
      </c>
      <c r="L60" s="232" t="s">
        <v>248</v>
      </c>
    </row>
    <row r="61" spans="11:12" ht="12.75">
      <c r="K61" s="231" t="s">
        <v>311</v>
      </c>
      <c r="L61" s="232" t="s">
        <v>248</v>
      </c>
    </row>
    <row r="62" spans="11:13" ht="12.75">
      <c r="K62" s="231" t="s">
        <v>312</v>
      </c>
      <c r="L62" s="232" t="s">
        <v>248</v>
      </c>
      <c r="M62" t="s">
        <v>359</v>
      </c>
    </row>
    <row r="63" spans="1:12" ht="12.75">
      <c r="A63" t="s">
        <v>349</v>
      </c>
      <c r="K63" s="231" t="s">
        <v>313</v>
      </c>
      <c r="L63" s="232" t="s">
        <v>248</v>
      </c>
    </row>
    <row r="64" spans="1:12" ht="12.75">
      <c r="A64" t="s">
        <v>57</v>
      </c>
      <c r="K64" s="255" t="s">
        <v>300</v>
      </c>
      <c r="L64" s="256" t="s">
        <v>246</v>
      </c>
    </row>
    <row r="65" spans="1:12" ht="12.75">
      <c r="A65" t="s">
        <v>181</v>
      </c>
      <c r="K65" s="255" t="s">
        <v>301</v>
      </c>
      <c r="L65" s="256" t="s">
        <v>246</v>
      </c>
    </row>
    <row r="66" spans="1:13" ht="12.75">
      <c r="A66" t="s">
        <v>58</v>
      </c>
      <c r="C66">
        <v>0</v>
      </c>
      <c r="K66" s="226" t="s">
        <v>303</v>
      </c>
      <c r="L66" s="227" t="s">
        <v>306</v>
      </c>
      <c r="M66" t="s">
        <v>359</v>
      </c>
    </row>
    <row r="67" spans="1:12" ht="12.75">
      <c r="A67" t="s">
        <v>59</v>
      </c>
      <c r="K67" s="231" t="s">
        <v>305</v>
      </c>
      <c r="L67" s="232" t="s">
        <v>265</v>
      </c>
    </row>
    <row r="68" spans="11:12" ht="12.75">
      <c r="K68" s="231" t="s">
        <v>310</v>
      </c>
      <c r="L68" s="232" t="s">
        <v>265</v>
      </c>
    </row>
    <row r="70" spans="11:12" ht="12.75">
      <c r="K70" s="725" t="s">
        <v>316</v>
      </c>
      <c r="L70" s="726"/>
    </row>
    <row r="71" spans="11:12" ht="12.75">
      <c r="K71" s="231" t="s">
        <v>318</v>
      </c>
      <c r="L71" s="232" t="s">
        <v>248</v>
      </c>
    </row>
    <row r="72" spans="11:12" ht="12.75">
      <c r="K72" s="231" t="s">
        <v>319</v>
      </c>
      <c r="L72" s="232" t="s">
        <v>248</v>
      </c>
    </row>
    <row r="73" spans="11:12" ht="12.75">
      <c r="K73" s="231" t="s">
        <v>326</v>
      </c>
      <c r="L73" s="232" t="s">
        <v>248</v>
      </c>
    </row>
    <row r="74" spans="11:12" ht="12.75">
      <c r="K74" s="231" t="s">
        <v>327</v>
      </c>
      <c r="L74" s="232" t="s">
        <v>248</v>
      </c>
    </row>
    <row r="75" spans="11:12" ht="12.75">
      <c r="K75" s="231" t="s">
        <v>328</v>
      </c>
      <c r="L75" s="232" t="s">
        <v>248</v>
      </c>
    </row>
    <row r="76" spans="11:12" ht="12.75">
      <c r="K76" s="231" t="s">
        <v>331</v>
      </c>
      <c r="L76" s="232" t="s">
        <v>248</v>
      </c>
    </row>
    <row r="77" spans="11:12" ht="12.75">
      <c r="K77" s="231" t="s">
        <v>332</v>
      </c>
      <c r="L77" s="232" t="s">
        <v>248</v>
      </c>
    </row>
    <row r="78" spans="11:12" ht="12.75">
      <c r="K78" s="231" t="s">
        <v>333</v>
      </c>
      <c r="L78" s="232" t="s">
        <v>248</v>
      </c>
    </row>
    <row r="79" spans="11:12" ht="12.75">
      <c r="K79" s="231" t="s">
        <v>334</v>
      </c>
      <c r="L79" s="232" t="s">
        <v>248</v>
      </c>
    </row>
    <row r="80" spans="11:12" ht="12.75">
      <c r="K80" s="231" t="s">
        <v>335</v>
      </c>
      <c r="L80" s="232" t="s">
        <v>248</v>
      </c>
    </row>
    <row r="81" spans="11:12" ht="12.75">
      <c r="K81" s="231" t="s">
        <v>336</v>
      </c>
      <c r="L81" s="232" t="s">
        <v>248</v>
      </c>
    </row>
    <row r="82" spans="11:12" ht="12.75">
      <c r="K82" s="231" t="s">
        <v>337</v>
      </c>
      <c r="L82" s="232" t="s">
        <v>248</v>
      </c>
    </row>
    <row r="83" spans="11:12" ht="12.75">
      <c r="K83" s="231" t="s">
        <v>338</v>
      </c>
      <c r="L83" s="232" t="s">
        <v>248</v>
      </c>
    </row>
    <row r="84" spans="11:12" ht="12.75">
      <c r="K84" s="231" t="s">
        <v>339</v>
      </c>
      <c r="L84" s="232" t="s">
        <v>248</v>
      </c>
    </row>
    <row r="85" spans="11:12" ht="12.75">
      <c r="K85" s="231" t="s">
        <v>340</v>
      </c>
      <c r="L85" s="232" t="s">
        <v>248</v>
      </c>
    </row>
    <row r="86" spans="11:12" ht="12.75">
      <c r="K86" s="231" t="s">
        <v>341</v>
      </c>
      <c r="L86" s="232" t="s">
        <v>248</v>
      </c>
    </row>
    <row r="87" spans="11:12" ht="12.75">
      <c r="K87" s="231" t="s">
        <v>342</v>
      </c>
      <c r="L87" s="232" t="s">
        <v>248</v>
      </c>
    </row>
    <row r="88" spans="11:12" ht="12.75">
      <c r="K88" s="231" t="s">
        <v>343</v>
      </c>
      <c r="L88" s="232" t="s">
        <v>248</v>
      </c>
    </row>
    <row r="89" spans="11:12" ht="12.75">
      <c r="K89" s="231" t="s">
        <v>344</v>
      </c>
      <c r="L89" s="232" t="s">
        <v>248</v>
      </c>
    </row>
    <row r="90" spans="11:12" ht="12.75">
      <c r="K90" s="226" t="s">
        <v>317</v>
      </c>
      <c r="L90" s="227" t="s">
        <v>246</v>
      </c>
    </row>
    <row r="91" spans="11:12" ht="12.75">
      <c r="K91" s="226" t="s">
        <v>320</v>
      </c>
      <c r="L91" s="227" t="s">
        <v>246</v>
      </c>
    </row>
    <row r="92" spans="11:12" ht="12.75">
      <c r="K92" s="226" t="s">
        <v>321</v>
      </c>
      <c r="L92" s="227" t="s">
        <v>246</v>
      </c>
    </row>
    <row r="93" spans="11:12" ht="12.75">
      <c r="K93" s="226" t="s">
        <v>322</v>
      </c>
      <c r="L93" s="227" t="s">
        <v>246</v>
      </c>
    </row>
    <row r="94" spans="11:12" ht="12.75">
      <c r="K94" s="226" t="s">
        <v>323</v>
      </c>
      <c r="L94" s="227" t="s">
        <v>246</v>
      </c>
    </row>
    <row r="95" spans="11:12" ht="12.75">
      <c r="K95" s="226" t="s">
        <v>324</v>
      </c>
      <c r="L95" s="227" t="s">
        <v>246</v>
      </c>
    </row>
    <row r="96" spans="11:12" ht="12.75">
      <c r="K96" s="226" t="s">
        <v>325</v>
      </c>
      <c r="L96" s="227" t="s">
        <v>246</v>
      </c>
    </row>
    <row r="97" spans="11:12" ht="12.75">
      <c r="K97" s="231" t="s">
        <v>329</v>
      </c>
      <c r="L97" s="232" t="s">
        <v>265</v>
      </c>
    </row>
    <row r="98" spans="11:12" ht="12.75">
      <c r="K98" s="231" t="s">
        <v>330</v>
      </c>
      <c r="L98" s="232" t="s">
        <v>265</v>
      </c>
    </row>
    <row r="99" spans="11:12" ht="12.75">
      <c r="K99" s="231" t="s">
        <v>345</v>
      </c>
      <c r="L99" s="232" t="s">
        <v>265</v>
      </c>
    </row>
  </sheetData>
  <sheetProtection/>
  <mergeCells count="7">
    <mergeCell ref="K70:L70"/>
    <mergeCell ref="K2:L2"/>
    <mergeCell ref="K15:L15"/>
    <mergeCell ref="K37:L37"/>
    <mergeCell ref="K42:L42"/>
    <mergeCell ref="K45:L45"/>
    <mergeCell ref="K55:L55"/>
  </mergeCells>
  <printOptions/>
  <pageMargins left="0.7" right="0.7" top="0.75" bottom="0.75" header="0.3" footer="0.3"/>
  <pageSetup fitToHeight="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direbien_director</dc:creator>
  <cp:keywords/>
  <dc:description/>
  <cp:lastModifiedBy>lmondaca</cp:lastModifiedBy>
  <cp:lastPrinted>2016-09-22T13:13:57Z</cp:lastPrinted>
  <dcterms:created xsi:type="dcterms:W3CDTF">2004-08-23T01:48:25Z</dcterms:created>
  <dcterms:modified xsi:type="dcterms:W3CDTF">2017-12-12T18:00:01Z</dcterms:modified>
  <cp:category/>
  <cp:version/>
  <cp:contentType/>
  <cp:contentStatus/>
  <cp:revision>37</cp:revision>
</cp:coreProperties>
</file>