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820" tabRatio="814" activeTab="1"/>
  </bookViews>
  <sheets>
    <sheet name="Ap. 1 Est. Precios " sheetId="1" r:id="rId1"/>
    <sheet name="Ap. 2 Ingresos C. Benef." sheetId="2" r:id="rId2"/>
    <sheet name="Ap. 3 Costos Directos" sheetId="3" r:id="rId3"/>
    <sheet name="Ap. 4 Costos Indirectos" sheetId="4" r:id="rId4"/>
    <sheet name="Ap. 5 Tarifado " sheetId="5" r:id="rId5"/>
    <sheet name="Gráfico1" sheetId="6" r:id="rId6"/>
    <sheet name="Gráfico2" sheetId="7" r:id="rId7"/>
    <sheet name="Datos" sheetId="8" r:id="rId8"/>
    <sheet name="Cálculos" sheetId="9" r:id="rId9"/>
  </sheets>
  <externalReferences>
    <externalReference r:id="rId12"/>
  </externalReferences>
  <definedNames>
    <definedName name="_xlnm.Print_Area" localSheetId="0">'Ap. 1 Est. Precios '!$A$1:$E$27</definedName>
    <definedName name="_xlnm.Print_Area" localSheetId="1">'Ap. 2 Ingresos C. Benef.'!$A$1:$Q$62</definedName>
    <definedName name="_xlnm.Print_Area" localSheetId="2">'Ap. 3 Costos Directos'!$B$1:$O$94</definedName>
    <definedName name="_xlnm.Print_Area" localSheetId="3">'Ap. 4 Costos Indirectos'!$A$1:$C$55</definedName>
    <definedName name="_xlnm.Print_Area" localSheetId="4">'Ap. 5 Tarifado '!$A$1:$L$10</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1">'Ap. 2 Ingresos C. Benef.'!$1:$16</definedName>
    <definedName name="_xlnm.Print_Titles" localSheetId="2">'Ap. 3 Costos Directos'!$1:$8</definedName>
    <definedName name="_xlnm.Print_Titles" localSheetId="3">'Ap. 4 Costos Indirectos'!$7:$8</definedName>
  </definedNames>
  <calcPr fullCalcOnLoad="1"/>
</workbook>
</file>

<file path=xl/comments2.xml><?xml version="1.0" encoding="utf-8"?>
<comments xmlns="http://schemas.openxmlformats.org/spreadsheetml/2006/main">
  <authors>
    <author>Owner</author>
    <author>Bienvalp</author>
  </authors>
  <commentList>
    <comment ref="D9" authorId="0">
      <text>
        <r>
          <rPr>
            <b/>
            <sz val="9"/>
            <rFont val="Tahoma"/>
            <family val="2"/>
          </rPr>
          <t>Owner:</t>
        </r>
        <r>
          <rPr>
            <sz val="9"/>
            <rFont val="Tahoma"/>
            <family val="2"/>
          </rPr>
          <t xml:space="preserve">
VALOR ESTIMATIVO considerando promedio mensual de ingreso por socio: $1.900.000.-
INGRESO A SEP 2017 </t>
        </r>
        <r>
          <rPr>
            <u val="single"/>
            <sz val="9"/>
            <rFont val="Tahoma"/>
            <family val="2"/>
          </rPr>
          <t xml:space="preserve">18.000.000  PROYECTADO A DIC 2017 24 M 
MAS APOYO DE VIDA BASE 15 mm
</t>
        </r>
      </text>
    </comment>
    <comment ref="H8" authorId="1">
      <text>
        <r>
          <rPr>
            <b/>
            <sz val="8"/>
            <rFont val="Tahoma"/>
            <family val="2"/>
          </rPr>
          <t>Bienvalp:</t>
        </r>
        <r>
          <rPr>
            <sz val="8"/>
            <rFont val="Tahoma"/>
            <family val="2"/>
          </rPr>
          <t xml:space="preserve">
</t>
        </r>
      </text>
    </comment>
    <comment ref="H9" authorId="1">
      <text>
        <r>
          <rPr>
            <b/>
            <sz val="8"/>
            <rFont val="Tahoma"/>
            <family val="2"/>
          </rPr>
          <t>Bienvalp:</t>
        </r>
        <r>
          <rPr>
            <sz val="8"/>
            <rFont val="Tahoma"/>
            <family val="2"/>
          </rPr>
          <t xml:space="preserve">
REVISAR</t>
        </r>
      </text>
    </comment>
  </commentList>
</comments>
</file>

<file path=xl/comments3.xml><?xml version="1.0" encoding="utf-8"?>
<comments xmlns="http://schemas.openxmlformats.org/spreadsheetml/2006/main">
  <authors>
    <author>eduardo</author>
    <author>Usuario</author>
    <author>jgomezg</author>
    <author>Administrador</author>
    <author>salareuniones</author>
    <author>Taller</author>
    <author>Maria Jose Hernandez</author>
    <author>Bienvalp</author>
    <author>2.10.0 SILVA ALVAREZ MARIA VIRGINIA</author>
    <author>Sala Reuniones</author>
  </authors>
  <commentList>
    <comment ref="D69" authorId="0">
      <text>
        <r>
          <rPr>
            <sz val="8"/>
            <rFont val="Tahoma"/>
            <family val="2"/>
          </rPr>
          <t>Considera:
- Proyección gasto lavandería, según años anteriores.</t>
        </r>
      </text>
    </comment>
    <comment ref="D23" authorId="1">
      <text>
        <r>
          <rPr>
            <sz val="9"/>
            <rFont val="Tahoma"/>
            <family val="2"/>
          </rPr>
          <t xml:space="preserve">Rancho personal: $ 1680x 4personasx21díasx11meses: $1.552.320.-.-
Las 4 personas son:
Ley 18712: 
Directora
Psicóloga
Manipuladora de Alimentos
Personal de Aseo (servicios generales)
</t>
        </r>
      </text>
    </comment>
    <comment ref="D27" authorId="1">
      <text>
        <r>
          <rPr>
            <b/>
            <sz val="9"/>
            <rFont val="Tahoma"/>
            <family val="2"/>
          </rPr>
          <t xml:space="preserve">Usuario:
Vesturario para dotación:
</t>
        </r>
        <r>
          <rPr>
            <sz val="9"/>
            <rFont val="Tahoma"/>
            <family val="2"/>
          </rPr>
          <t xml:space="preserve">30 poleras institucionales: $12.399 c/u, delantalates personal faltante (07): $ 109.716.-    Valores referenciales.                                                                                                                                                                                                                                                  </t>
        </r>
      </text>
    </comment>
    <comment ref="D33" authorId="1">
      <text>
        <r>
          <rPr>
            <b/>
            <sz val="9"/>
            <rFont val="Tahoma"/>
            <family val="2"/>
          </rPr>
          <t>Usuario:</t>
        </r>
        <r>
          <rPr>
            <sz val="9"/>
            <rFont val="Tahoma"/>
            <family val="2"/>
          </rPr>
          <t xml:space="preserve">
Leccionarios y cuadernos de planificación profesionales.
</t>
        </r>
      </text>
    </comment>
    <comment ref="D24" authorId="1">
      <text>
        <r>
          <rPr>
            <b/>
            <sz val="9"/>
            <rFont val="Tahoma"/>
            <family val="2"/>
          </rPr>
          <t>Usuario:</t>
        </r>
        <r>
          <rPr>
            <sz val="9"/>
            <rFont val="Tahoma"/>
            <family val="2"/>
          </rPr>
          <t xml:space="preserve">
       Valor diario $734x26usuariosx21diasx11meses:
          $4.408.404    
</t>
        </r>
      </text>
    </comment>
    <comment ref="D36" authorId="1">
      <text>
        <r>
          <rPr>
            <b/>
            <sz val="9"/>
            <rFont val="Tahoma"/>
            <family val="2"/>
          </rPr>
          <t>Usuario:</t>
        </r>
        <r>
          <rPr>
            <sz val="9"/>
            <rFont val="Tahoma"/>
            <family val="2"/>
          </rPr>
          <t xml:space="preserve">
carga de extintores</t>
        </r>
      </text>
    </comment>
    <comment ref="D38" authorId="1">
      <text>
        <r>
          <rPr>
            <b/>
            <sz val="9"/>
            <rFont val="Tahoma"/>
            <family val="2"/>
          </rPr>
          <t>Usuario:</t>
        </r>
        <r>
          <rPr>
            <sz val="9"/>
            <rFont val="Tahoma"/>
            <family val="2"/>
          </rPr>
          <t xml:space="preserve">
guantes de latex, gasa, algodón, alcohol gel, mascarillas, gorros, etc. Se considera además renovación de  implementos de botiquines.
Proyección considerando gastos años anteriores
</t>
        </r>
      </text>
    </comment>
    <comment ref="D56" authorId="1">
      <text>
        <r>
          <rPr>
            <b/>
            <sz val="9"/>
            <rFont val="Tahoma"/>
            <family val="2"/>
          </rPr>
          <t xml:space="preserve">Usuario:
</t>
        </r>
        <r>
          <rPr>
            <sz val="9"/>
            <rFont val="Tahoma"/>
            <family val="2"/>
          </rPr>
          <t xml:space="preserve">revisión techumbre y canaletas; mantención eléctrica preventiva,mantención gasfitería preventiva, </t>
        </r>
      </text>
    </comment>
    <comment ref="D58" authorId="1">
      <text>
        <r>
          <rPr>
            <b/>
            <sz val="9"/>
            <rFont val="Tahoma"/>
            <family val="2"/>
          </rPr>
          <t>Usuario:</t>
        </r>
        <r>
          <rPr>
            <sz val="9"/>
            <rFont val="Tahoma"/>
            <family val="2"/>
          </rPr>
          <t xml:space="preserve">
caldera</t>
        </r>
      </text>
    </comment>
    <comment ref="D88" authorId="1">
      <text>
        <r>
          <rPr>
            <b/>
            <sz val="9"/>
            <rFont val="Tahoma"/>
            <family val="2"/>
          </rPr>
          <t>Usuario:</t>
        </r>
        <r>
          <rPr>
            <sz val="9"/>
            <rFont val="Tahoma"/>
            <family val="2"/>
          </rPr>
          <t xml:space="preserve">
1 notebook para los siguientes usos:
visitas delegaciones, charlas y escuelas para padres, capacitación varias.</t>
        </r>
      </text>
    </comment>
    <comment ref="D71" authorId="1">
      <text>
        <r>
          <rPr>
            <sz val="9"/>
            <rFont val="Tahoma"/>
            <family val="2"/>
          </rPr>
          <t>Proyección de acuerdo a gasto año 2015 y 2016.- Visitas bimensuales.</t>
        </r>
      </text>
    </comment>
    <comment ref="D19" authorId="2">
      <text>
        <r>
          <rPr>
            <sz val="8"/>
            <rFont val="Tahoma"/>
            <family val="2"/>
          </rPr>
          <t>Reunión anual de directoras. Pasaje aereo y viaticos</t>
        </r>
      </text>
    </comment>
    <comment ref="D65" authorId="3">
      <text>
        <r>
          <rPr>
            <b/>
            <sz val="8"/>
            <rFont val="Tahoma"/>
            <family val="2"/>
          </rPr>
          <t>Administrador:</t>
        </r>
        <r>
          <rPr>
            <sz val="8"/>
            <rFont val="Tahoma"/>
            <family val="2"/>
          </rPr>
          <t xml:space="preserve">
Folletos - trípticos, calendarios para actividades de difusión.</t>
        </r>
      </text>
    </comment>
    <comment ref="D41" authorId="4">
      <text>
        <r>
          <rPr>
            <sz val="9"/>
            <rFont val="Tahoma"/>
            <family val="2"/>
          </rPr>
          <t>Datos:
Costo anual SISBIEN 
2015: $2.573.043.-
2016: $2.578.918.-
primer semestre 2017: $1.208.782.-
proyección anual 2017: $2.417.564.</t>
        </r>
        <r>
          <rPr>
            <b/>
            <sz val="9"/>
            <rFont val="Tahoma"/>
            <family val="2"/>
          </rPr>
          <t xml:space="preserve">
</t>
        </r>
      </text>
    </comment>
    <comment ref="D46" authorId="4">
      <text>
        <r>
          <rPr>
            <sz val="9"/>
            <rFont val="Tahoma"/>
            <family val="2"/>
          </rPr>
          <t>De acuerdo a gastos proyección de gastos años anteriores y primer semestre 2017
(año 2015: $1.877.865;
año 2016: $ 2.076.094.-
proyección 2017: $1.300.309)</t>
        </r>
      </text>
    </comment>
    <comment ref="D47" authorId="4">
      <text>
        <r>
          <rPr>
            <sz val="9"/>
            <rFont val="Tahoma"/>
            <family val="2"/>
          </rPr>
          <t xml:space="preserve">Proyección de gastos años anteriores y primer semestre 2017.
(año 2015: $ 2.860.972; año 2016 $2.138.782; primeros 5 meses de 2017: $1.044.036.-)
</t>
        </r>
      </text>
    </comment>
    <comment ref="D48" authorId="4">
      <text>
        <r>
          <rPr>
            <b/>
            <sz val="9"/>
            <rFont val="Tahoma"/>
            <family val="2"/>
          </rPr>
          <t xml:space="preserve">
Datos reales</t>
        </r>
        <r>
          <rPr>
            <sz val="9"/>
            <rFont val="Tahoma"/>
            <family val="2"/>
          </rPr>
          <t>:
2015: $ 5.060.210.-
2016: $ 4.546.525.-
Proyección considerando gastos años anteriores.</t>
        </r>
      </text>
    </comment>
    <comment ref="D62" authorId="5">
      <text>
        <r>
          <rPr>
            <sz val="9"/>
            <rFont val="Tahoma"/>
            <family val="2"/>
          </rPr>
          <t>Proyección considerando mantención km de bus, reparación sistema de frenos, sistema eléctrico (trabajos que se han realizado durante los años 2016 y 2017</t>
        </r>
      </text>
    </comment>
    <comment ref="D28" authorId="6">
      <text>
        <r>
          <rPr>
            <b/>
            <sz val="9"/>
            <rFont val="Tahoma"/>
            <family val="2"/>
          </rPr>
          <t>Maria Jose Hernandez:</t>
        </r>
        <r>
          <rPr>
            <sz val="9"/>
            <rFont val="Tahoma"/>
            <family val="2"/>
          </rPr>
          <t xml:space="preserve">
Calzado para personal de cocina y aseo.
</t>
        </r>
      </text>
    </comment>
    <comment ref="D26" authorId="6">
      <text>
        <r>
          <rPr>
            <b/>
            <sz val="9"/>
            <rFont val="Tahoma"/>
            <family val="2"/>
          </rPr>
          <t>Maria Jose Hernandez:</t>
        </r>
        <r>
          <rPr>
            <sz val="9"/>
            <rFont val="Tahoma"/>
            <family val="2"/>
          </rPr>
          <t xml:space="preserve">
Cortinaje/roll on para 3 box de atención: psicología, fonoaudiología y enfermería, de acuerdo a revista sanitaria.</t>
        </r>
      </text>
    </comment>
    <comment ref="D42" authorId="6">
      <text>
        <r>
          <rPr>
            <b/>
            <sz val="9"/>
            <rFont val="Tahoma"/>
            <family val="2"/>
          </rPr>
          <t>Maria Jose Hernandez:</t>
        </r>
        <r>
          <rPr>
            <sz val="9"/>
            <rFont val="Tahoma"/>
            <family val="2"/>
          </rPr>
          <t xml:space="preserve">
Según gasto gasto 1er semestre 2017 y proyección anual de $603.190 (10 tonner;  5 semestrales) Más gasto en resma de hojas.</t>
        </r>
      </text>
    </comment>
    <comment ref="D40" authorId="6">
      <text>
        <r>
          <rPr>
            <b/>
            <sz val="9"/>
            <rFont val="Tahoma"/>
            <family val="2"/>
          </rPr>
          <t>Maria Jose Hernandez:</t>
        </r>
        <r>
          <rPr>
            <sz val="9"/>
            <rFont val="Tahoma"/>
            <family val="2"/>
          </rPr>
          <t xml:space="preserve">
proyección de acuerdo a gastos años anteriores.</t>
        </r>
      </text>
    </comment>
    <comment ref="D43" authorId="6">
      <text>
        <r>
          <rPr>
            <b/>
            <sz val="9"/>
            <rFont val="Tahoma"/>
            <family val="2"/>
          </rPr>
          <t>Maria Jose Hernandez:</t>
        </r>
        <r>
          <rPr>
            <sz val="9"/>
            <rFont val="Tahoma"/>
            <family val="2"/>
          </rPr>
          <t xml:space="preserve">
Proyección considerando gastos años anteriores,
para implementos de trabajo.</t>
        </r>
      </text>
    </comment>
    <comment ref="D78" authorId="6">
      <text>
        <r>
          <rPr>
            <b/>
            <sz val="9"/>
            <rFont val="Tahoma"/>
            <family val="2"/>
          </rPr>
          <t>Maria Jose Hernandez:</t>
        </r>
        <r>
          <rPr>
            <sz val="9"/>
            <rFont val="Tahoma"/>
            <family val="2"/>
          </rPr>
          <t xml:space="preserve">
Capacitación  Diplomado en Empleo con Apoyo para 2 profesionales:
$1.047.370 cada uno.</t>
        </r>
      </text>
    </comment>
    <comment ref="D57" authorId="6">
      <text>
        <r>
          <rPr>
            <b/>
            <sz val="9"/>
            <rFont val="Tahoma"/>
            <family val="2"/>
          </rPr>
          <t>Maria Jose Hernandez:</t>
        </r>
        <r>
          <rPr>
            <sz val="9"/>
            <rFont val="Tahoma"/>
            <family val="2"/>
          </rPr>
          <t xml:space="preserve">
Reparación mobiliario salas e implementos kinésicos (cubiertas de camillas, colchonetas e implementos varios), de acuerdo a evaluación sanitaria.</t>
        </r>
      </text>
    </comment>
    <comment ref="D59" authorId="6">
      <text>
        <r>
          <rPr>
            <b/>
            <sz val="9"/>
            <rFont val="Tahoma"/>
            <family val="2"/>
          </rPr>
          <t>Maria Jose Hernandez:</t>
        </r>
        <r>
          <rPr>
            <sz val="9"/>
            <rFont val="Tahoma"/>
            <family val="2"/>
          </rPr>
          <t xml:space="preserve">
Mantención refrigeradores, cocina, mantenedores cocina y casa proyecto.</t>
        </r>
      </text>
    </comment>
    <comment ref="D11" authorId="6">
      <text>
        <r>
          <rPr>
            <b/>
            <sz val="9"/>
            <rFont val="Tahoma"/>
            <family val="2"/>
          </rPr>
          <t>Maria Jose Hernandez:</t>
        </r>
        <r>
          <rPr>
            <sz val="9"/>
            <rFont val="Tahoma"/>
            <family val="2"/>
          </rPr>
          <t xml:space="preserve">
Profesionales: 
2 kine 20 hrs c/u
3 TO: 20, 20, 22 (17+5)
3 Fono: 26, 22, 22 hrs.
2 EDI: 25 y 30 hrs.
1 PSICOLOGA: 40 hrs.
1  Manipulad. Alim: 34 hrs.
1 DIRECTORA ($24.333.025) 
NO SE CONSIDERA  sueldo de Psicóloga Karen Schuffeneger  ($13.234.914) (sólo su gasto en bonos, aguinaldos y movilización, considerando que permanecerá con licencia).</t>
        </r>
      </text>
    </comment>
    <comment ref="D34" authorId="6">
      <text>
        <r>
          <rPr>
            <b/>
            <sz val="9"/>
            <rFont val="Tahoma"/>
            <family val="2"/>
          </rPr>
          <t>Maria Jose Hernandez:</t>
        </r>
        <r>
          <rPr>
            <sz val="9"/>
            <rFont val="Tahoma"/>
            <family val="2"/>
          </rPr>
          <t xml:space="preserve">
De acuerdo a gastos anuales anteriores.</t>
        </r>
      </text>
    </comment>
    <comment ref="D83" authorId="6">
      <text>
        <r>
          <rPr>
            <b/>
            <sz val="9"/>
            <rFont val="Tahoma"/>
            <family val="2"/>
          </rPr>
          <t>Maria Jose Hernandez:</t>
        </r>
        <r>
          <rPr>
            <sz val="9"/>
            <rFont val="Tahoma"/>
            <family val="2"/>
          </rPr>
          <t xml:space="preserve">
3 UTM
</t>
        </r>
      </text>
    </comment>
    <comment ref="D50" authorId="6">
      <text>
        <r>
          <rPr>
            <b/>
            <sz val="9"/>
            <rFont val="Tahoma"/>
            <family val="2"/>
          </rPr>
          <t>Maria Jose Hernandez:</t>
        </r>
        <r>
          <rPr>
            <sz val="9"/>
            <rFont val="Tahoma"/>
            <family val="2"/>
          </rPr>
          <t xml:space="preserve">
Proyección de acuerdo a gasto anuales anteriores.-
2015: $188.731.-</t>
        </r>
      </text>
    </comment>
    <comment ref="D51" authorId="6">
      <text>
        <r>
          <rPr>
            <b/>
            <sz val="9"/>
            <rFont val="Tahoma"/>
            <family val="2"/>
          </rPr>
          <t>Maria Jose Hernandez:</t>
        </r>
        <r>
          <rPr>
            <sz val="9"/>
            <rFont val="Tahoma"/>
            <family val="2"/>
          </rPr>
          <t xml:space="preserve">
1 celular Bus.</t>
        </r>
      </text>
    </comment>
    <comment ref="D76" authorId="6">
      <text>
        <r>
          <rPr>
            <b/>
            <sz val="9"/>
            <rFont val="Tahoma"/>
            <family val="2"/>
          </rPr>
          <t>Maria Jose Hernandez:</t>
        </r>
        <r>
          <rPr>
            <sz val="9"/>
            <rFont val="Tahoma"/>
            <family val="2"/>
          </rPr>
          <t xml:space="preserve">
valor  año 2017: $6.600x26usuarios.
Valor referencial.</t>
        </r>
      </text>
    </comment>
    <comment ref="D30" authorId="6">
      <text>
        <r>
          <rPr>
            <b/>
            <sz val="9"/>
            <rFont val="Tahoma"/>
            <family val="2"/>
          </rPr>
          <t>Maria Jose Hernandez:</t>
        </r>
        <r>
          <rPr>
            <sz val="9"/>
            <rFont val="Tahoma"/>
            <family val="2"/>
          </rPr>
          <t xml:space="preserve">
Combustible bus. </t>
        </r>
      </text>
    </comment>
    <comment ref="D81" authorId="7">
      <text>
        <r>
          <rPr>
            <b/>
            <sz val="8"/>
            <rFont val="Tahoma"/>
            <family val="2"/>
          </rPr>
          <t>Bienvalp:</t>
        </r>
        <r>
          <rPr>
            <sz val="8"/>
            <rFont val="Tahoma"/>
            <family val="2"/>
          </rPr>
          <t xml:space="preserve">
Según datos años anteriores, procesos de reclutamiento.</t>
        </r>
      </text>
    </comment>
    <comment ref="D44" authorId="7">
      <text>
        <r>
          <rPr>
            <b/>
            <sz val="8"/>
            <rFont val="Tahoma"/>
            <family val="2"/>
          </rPr>
          <t>Bienvalp:</t>
        </r>
        <r>
          <rPr>
            <sz val="8"/>
            <rFont val="Tahoma"/>
            <family val="2"/>
          </rPr>
          <t xml:space="preserve">
Mat. Mantención Bus:
considera
reposición neumáticos 4, kit cinturones 4 sillas, otros repuestos.
Además de $356.007 por concepto de otros materiales para mantención y reparación</t>
        </r>
      </text>
    </comment>
    <comment ref="D39" authorId="7">
      <text>
        <r>
          <rPr>
            <b/>
            <sz val="8"/>
            <rFont val="Tahoma"/>
            <family val="2"/>
          </rPr>
          <t>Bienvalp:</t>
        </r>
        <r>
          <rPr>
            <sz val="8"/>
            <rFont val="Tahoma"/>
            <family val="2"/>
          </rPr>
          <t xml:space="preserve">
Fumigación
340000 CONVENIO GENDARMERIA X 4
</t>
        </r>
      </text>
    </comment>
    <comment ref="D20" authorId="7">
      <text>
        <r>
          <rPr>
            <b/>
            <sz val="8"/>
            <rFont val="Tahoma"/>
            <family val="2"/>
          </rPr>
          <t>Bienvalp:</t>
        </r>
        <r>
          <rPr>
            <sz val="8"/>
            <rFont val="Tahoma"/>
            <family val="2"/>
          </rPr>
          <t xml:space="preserve">
valor $280.800 x 11 meses x 2 personal embarazada FFPP.</t>
        </r>
      </text>
    </comment>
    <comment ref="D14" authorId="7">
      <text>
        <r>
          <rPr>
            <b/>
            <sz val="8"/>
            <rFont val="Tahoma"/>
            <family val="2"/>
          </rPr>
          <t>Bienvalp:</t>
        </r>
        <r>
          <rPr>
            <sz val="8"/>
            <rFont val="Tahoma"/>
            <family val="2"/>
          </rPr>
          <t xml:space="preserve">
aguinaldo y bono </t>
        </r>
      </text>
    </comment>
    <comment ref="D15" authorId="7">
      <text>
        <r>
          <rPr>
            <b/>
            <sz val="14"/>
            <rFont val="Tahoma"/>
            <family val="2"/>
          </rPr>
          <t>Bienvalp:</t>
        </r>
        <r>
          <rPr>
            <sz val="14"/>
            <rFont val="Tahoma"/>
            <family val="2"/>
          </rPr>
          <t xml:space="preserve">
Reemplazo 1 PAC FINANCIADO POR dp
  1 profesional EECC jornada completa SEGÚN REMUENRACIONES EDUC PARV JI POR 5 MESES DE MARZO A JULIO 2018
</t>
        </r>
      </text>
    </comment>
    <comment ref="N11" authorId="8">
      <text>
        <r>
          <rPr>
            <b/>
            <sz val="9"/>
            <rFont val="Tahoma"/>
            <family val="2"/>
          </rPr>
          <t>2.10.0 SILVA ALVAREZ MARIA VIRGINIA:</t>
        </r>
        <r>
          <rPr>
            <sz val="9"/>
            <rFont val="Tahoma"/>
            <family val="2"/>
          </rPr>
          <t xml:space="preserve">
educ media jornada de trabajo</t>
        </r>
      </text>
    </comment>
    <comment ref="O11" authorId="9">
      <text>
        <r>
          <rPr>
            <b/>
            <sz val="9"/>
            <rFont val="Tahoma"/>
            <family val="2"/>
          </rPr>
          <t>María José Hernández:
no se considera la 4ta TO pero si la cantidad de horas.</t>
        </r>
      </text>
    </comment>
    <comment ref="N12" authorId="8">
      <text>
        <r>
          <rPr>
            <b/>
            <sz val="9"/>
            <rFont val="Tahoma"/>
            <family val="2"/>
          </rPr>
          <t>2.10.0 SILVA ALVAREZ MARIA VIRGINIA:</t>
        </r>
        <r>
          <rPr>
            <sz val="9"/>
            <rFont val="Tahoma"/>
            <family val="2"/>
          </rPr>
          <t xml:space="preserve">
2  tecnicos para cada nivel   menor y mayor 
1 tecnico para cada nivel prekinder</t>
        </r>
      </text>
    </comment>
  </commentList>
</comments>
</file>

<file path=xl/sharedStrings.xml><?xml version="1.0" encoding="utf-8"?>
<sst xmlns="http://schemas.openxmlformats.org/spreadsheetml/2006/main" count="398" uniqueCount="296">
  <si>
    <t>ANEXO A</t>
  </si>
  <si>
    <t>APENDICE 2 AL ANEXO A</t>
  </si>
  <si>
    <t>ESTIMACION DE INGRESOS DE CENTRO DE BENEFICIO EDUCACIONAL</t>
  </si>
  <si>
    <t>REPARTICION:</t>
  </si>
  <si>
    <t>RESUMEN DE INGRESOS Y COSTOS DE LOS CENTROS DE BENEFICIO EDUCACIONALES</t>
  </si>
  <si>
    <t>ING. MENS.</t>
  </si>
  <si>
    <t>ING.TOTAL</t>
  </si>
  <si>
    <t>COSTOS DIR</t>
  </si>
  <si>
    <t>C.IND. Dp.</t>
  </si>
  <si>
    <t>C. TOTAL</t>
  </si>
  <si>
    <t>EXCEDENTE</t>
  </si>
  <si>
    <t>Centro Beneficio</t>
  </si>
  <si>
    <t>Cálculo Ingreso</t>
  </si>
  <si>
    <t>Matrícula</t>
  </si>
  <si>
    <t>Ingresos
Matrícula</t>
  </si>
  <si>
    <t>Ingresos
Mensualidad</t>
  </si>
  <si>
    <t xml:space="preserve">Total Anual </t>
  </si>
  <si>
    <t>Tarifa [$/U]</t>
  </si>
  <si>
    <t>Unid. Anuales [Nr]</t>
  </si>
  <si>
    <t>Ingreso Anual [$]</t>
  </si>
  <si>
    <t>Jardín [Jornada Completa]</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</si>
  <si>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</si>
  <si>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</si>
  <si>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</si>
  <si>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</si>
  <si>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</si>
  <si>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</si>
  <si>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</si>
  <si>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</si>
  <si>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</si>
  <si>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</si>
  <si>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</si>
  <si>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</si>
  <si>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</si>
  <si>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</si>
  <si>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</si>
  <si>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</si>
  <si>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</si>
  <si>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</si>
  <si>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</si>
  <si>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</si>
  <si>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</si>
  <si>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</si>
  <si>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</si>
  <si>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</si>
  <si>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</si>
  <si>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</si>
  <si>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</si>
  <si>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</si>
  <si>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</si>
  <si>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</si>
  <si>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t>
  </si>
  <si>
    <t>Sueldos y Sobresueldos (Personal Estable)</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</si>
  <si>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</si>
  <si>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</si>
  <si>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</si>
  <si>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</si>
  <si>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</si>
  <si>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</si>
  <si>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</si>
  <si>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</si>
  <si>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</si>
  <si>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</si>
  <si>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</si>
  <si>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</si>
  <si>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</si>
  <si>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</si>
  <si>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</si>
  <si>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</si>
  <si>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</si>
  <si>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</si>
  <si>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</si>
  <si>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</si>
  <si>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</si>
  <si>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</si>
  <si>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</si>
  <si>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</si>
  <si>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</si>
  <si>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</si>
  <si>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</si>
  <si>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</si>
  <si>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</si>
  <si>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</si>
  <si>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</si>
  <si>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</si>
  <si>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</si>
  <si>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</si>
  <si>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</si>
  <si>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</si>
  <si>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</si>
  <si>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</si>
  <si>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</si>
  <si>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</si>
  <si>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</si>
  <si>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</si>
  <si>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</si>
  <si>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</si>
  <si>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</si>
  <si>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</si>
  <si>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</si>
  <si>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</si>
  <si>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</si>
  <si>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</si>
  <si>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</si>
  <si>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</si>
  <si>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</si>
  <si>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</si>
  <si>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</si>
  <si>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</si>
  <si>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</si>
  <si>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</si>
  <si>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</si>
  <si>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</si>
  <si>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</si>
  <si>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</si>
  <si>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</si>
  <si>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</si>
  <si>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</si>
  <si>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</si>
  <si>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</si>
  <si>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</si>
  <si>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</si>
  <si>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</si>
  <si>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Personal por reemplazo (reemplazos EAC o EC no FF.PP. puesto que estos reemplazos se pagan con el sueldo del reemplazado)</t>
  </si>
  <si>
    <t xml:space="preserve">Electricidad </t>
  </si>
  <si>
    <t>Muebles para implementación de sala</t>
  </si>
  <si>
    <t>Servicio de entretención para niños</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</si>
  <si>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</si>
  <si>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</si>
  <si>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</si>
  <si>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</si>
  <si>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</si>
  <si>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</si>
  <si>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</si>
  <si>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</si>
  <si>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</si>
  <si>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</si>
  <si>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</si>
  <si>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</si>
  <si>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</si>
  <si>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</si>
  <si>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</si>
  <si>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</si>
  <si>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</si>
  <si>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</si>
  <si>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</si>
  <si>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</si>
  <si>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</si>
  <si>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</si>
  <si>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</si>
  <si>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</si>
  <si>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</si>
  <si>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</si>
  <si>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</si>
  <si>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</si>
  <si>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</si>
  <si>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</si>
  <si>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</si>
  <si>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</si>
  <si>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</si>
  <si>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BIENVALP</t>
  </si>
  <si>
    <t>Comparación Jardín Viña del Mar</t>
  </si>
  <si>
    <t>Comparación Sala Cuna Valparaíso</t>
  </si>
  <si>
    <t>Comparación Sala Cuna Viña del Mar</t>
  </si>
  <si>
    <t>Materiales de Apoyo Educativo/Mejoramiento</t>
  </si>
  <si>
    <t>Otros servicios técnicos y profesionales/Cuota actividades extraprogramáticas</t>
  </si>
  <si>
    <t>DALEGRÍA</t>
  </si>
  <si>
    <t>AMBULATORIO</t>
  </si>
  <si>
    <t>TOTAL DALEGRÍA</t>
  </si>
  <si>
    <t>APOYO INSTITUCIONAL</t>
  </si>
  <si>
    <t>BONO FIN DE AÑO</t>
  </si>
  <si>
    <t>1% PROVISIÓN SOBRE EL GASTO ANUAL</t>
  </si>
  <si>
    <t>ESTA CONSIDERADO JUNTO CON TELEF FIJA</t>
  </si>
  <si>
    <t>NO TIENEN SERVICIO DE TV CABLE O SATELITAL</t>
  </si>
  <si>
    <t>NO APLICA</t>
  </si>
  <si>
    <t xml:space="preserve">   </t>
  </si>
  <si>
    <t>3) CASOS ESPECIALES</t>
  </si>
  <si>
    <t>JORNADA COMPLETA (con alim.)</t>
  </si>
  <si>
    <t>MEDIA JORNADA (con alim.)</t>
  </si>
  <si>
    <t>COLEGIO Y CENTRO (jornada completa c/alim.)</t>
  </si>
  <si>
    <t>COLEGIO  media jornada (c/alim.)</t>
  </si>
  <si>
    <t>ENERO</t>
  </si>
  <si>
    <t>MENSUALID.</t>
  </si>
  <si>
    <t xml:space="preserve">1) PERSONAL SERVICIO ACTIVO: Oficiales/EE.CC., Otras Ramas FF.AA. </t>
  </si>
  <si>
    <t>1) PERSONAL SERVICIO ACTIVO: GM., Otras ramas FF.AA.</t>
  </si>
  <si>
    <t>CAP MAX</t>
  </si>
  <si>
    <t>PROYECCIÓN</t>
  </si>
  <si>
    <t>INCREMENTO GRADUAL A 3 AÑOS, PARA EQUIPARAR AL 3ER AÑO.</t>
  </si>
  <si>
    <t>BUS</t>
  </si>
  <si>
    <t>OFICIAL</t>
  </si>
  <si>
    <t>GM</t>
  </si>
  <si>
    <t>REAJUSTE</t>
  </si>
  <si>
    <t>CASOS ESPECIALES</t>
  </si>
  <si>
    <t>CATEGORÍA ACTIVO</t>
  </si>
  <si>
    <t>J.C.</t>
  </si>
  <si>
    <t>MEDIA J.</t>
  </si>
  <si>
    <t>AÑO 2014</t>
  </si>
  <si>
    <t>AÑO 2015</t>
  </si>
  <si>
    <t>CATEGORÍA RETIRO</t>
  </si>
  <si>
    <t>VAR. $</t>
  </si>
  <si>
    <t>GM.</t>
  </si>
  <si>
    <t>PROMEDIO</t>
  </si>
  <si>
    <t>VAR. $ OF.</t>
  </si>
  <si>
    <t>VAR. $ GM.</t>
  </si>
  <si>
    <t>CATEGORÍA CASOS ESPECIALES</t>
  </si>
  <si>
    <t>TARIFA</t>
  </si>
  <si>
    <t>N°</t>
  </si>
  <si>
    <t>NO EXISTE</t>
  </si>
  <si>
    <t>CANT. NIÑOS</t>
  </si>
  <si>
    <t>2) PERSONAL EN RETIRO:                                 Oficiales/EE. CC</t>
  </si>
  <si>
    <t>2) PERSONAL EN RETIRO: GM</t>
  </si>
  <si>
    <t>Calzado para manipuladora y personal de aseo: $36.000 c/u</t>
  </si>
  <si>
    <t>Trípticos, tarjetas, calendarios; material de difusión.</t>
  </si>
  <si>
    <t>Mantención sistema de calefacción.</t>
  </si>
  <si>
    <t>Reparación mobiliario salas e implementos kinésicos.</t>
  </si>
  <si>
    <t xml:space="preserve">Reparación refrigeradores, cocina y mantenedores cocina y casa proyecto. </t>
  </si>
  <si>
    <t>Certificación de Caldera.</t>
  </si>
  <si>
    <t>FO.FI. ASIGNADO  3UTM: rendición promedio 7 anuales.</t>
  </si>
  <si>
    <t>Modalidad Escolar  media jornada (c/alim.)</t>
  </si>
  <si>
    <t>Modalidad  Escolar  Y Talleres pm  (jornada completa c/alim.)</t>
  </si>
  <si>
    <t>Programa Especial (atención ambulatoria)</t>
  </si>
  <si>
    <t>Cortinas roll-on para 3 box de atención, de acuerdo a lo solicitado por Convenio.</t>
  </si>
  <si>
    <t>Según gasto 2015: 7 extintores centro y 1 bus.</t>
  </si>
  <si>
    <t>De acuerdo a plan de mantenimiento: revisión techumbre, canaletas, mantención eléctrica, gasfitería preventiva. Se incorpora refuerzo y reposición de cielo americano por indicación revista sanitaria.</t>
  </si>
  <si>
    <t>Valor seguro $6.400x59 usuarios.-</t>
  </si>
  <si>
    <t>viatico reunion directoras</t>
  </si>
  <si>
    <t>Programa Especial (atención ambulatoria CONVENIO DIRECSAN)KINESIOLOGIA</t>
  </si>
  <si>
    <t>Programa Especial (atención ambulatoria CONVENIO DIRECSAN)FONOAUDIOLOGIA</t>
  </si>
  <si>
    <t>Mensualidad/Prestacion</t>
  </si>
  <si>
    <t>Programa Especial (atención ambulatoria CONVENIO DIRECSAN)PSICOLOGIA</t>
  </si>
  <si>
    <t>Informes de Evaluación Multidisciplinario</t>
  </si>
  <si>
    <t>Informes de Evaluación TEA</t>
  </si>
  <si>
    <t>4 leccionarios y cuadernos de planificación profesionales.</t>
  </si>
  <si>
    <t>De acuerdo a gasto años anteriores</t>
  </si>
  <si>
    <t>Proyección según gasto años anteriores.</t>
  </si>
  <si>
    <t>De acuerdo al gasto de años anteriores.</t>
  </si>
  <si>
    <t>Según gasto años anteriores.</t>
  </si>
  <si>
    <t>Según gastos años anteriores (reposición por urgencia/prioridad)</t>
  </si>
  <si>
    <t>De acuerdo a gasto años anteriores y gasto proyectado 2017</t>
  </si>
  <si>
    <t>10 tonner anual y 55 resmas de papel anual.</t>
  </si>
  <si>
    <t>Proyección gastos años anteriores.</t>
  </si>
  <si>
    <t>Proyección de acuerdo al gasto anual de años anteriores.</t>
  </si>
  <si>
    <t>Proyección de acuerdo a gasto anual años anteriores.-</t>
  </si>
  <si>
    <t>1 celular Bus.</t>
  </si>
  <si>
    <t>Mantenciones y reparaciones del Bus: km, sistema de frenos, eléctrico.</t>
  </si>
  <si>
    <t>Considera lavandería costos referenciales año 2015, 2016 y primer semestre 2017.-</t>
  </si>
  <si>
    <t>REAJUSTE 2018</t>
  </si>
  <si>
    <t>ACTIVOS</t>
  </si>
  <si>
    <t>RETIRADOS</t>
  </si>
  <si>
    <t>CASOS ESPEC.</t>
  </si>
  <si>
    <t>REAJUSTE CONSIDERADO 3,7%%</t>
  </si>
  <si>
    <t>ESTADO DE RESULTADO</t>
  </si>
  <si>
    <t>Reemplazo 1 PAC honorarios y 1 profesional EECC jornadas completa.</t>
  </si>
  <si>
    <t>DOTACION (21)</t>
  </si>
  <si>
    <t>Bono Término de Conflicto</t>
  </si>
  <si>
    <t>OCUPACIÓN PROYECTADA</t>
  </si>
  <si>
    <t>Aguinaldos y Bonos de Vac.</t>
  </si>
  <si>
    <t>Man. De Alimentos</t>
  </si>
  <si>
    <t>AGUINALDO</t>
  </si>
  <si>
    <t>BONO VACACIONES</t>
  </si>
  <si>
    <t>Remuneración Mensual</t>
  </si>
  <si>
    <t>TOTAL</t>
  </si>
  <si>
    <t>Remuneración Anual</t>
  </si>
  <si>
    <t>Reajuste</t>
  </si>
  <si>
    <t>Remuneración anual 2018</t>
  </si>
  <si>
    <t>Profesionales</t>
  </si>
  <si>
    <t>Aux. De Aseo</t>
  </si>
  <si>
    <t>combustible</t>
  </si>
  <si>
    <t>CR</t>
  </si>
  <si>
    <t>padres</t>
  </si>
  <si>
    <t>mantenciones</t>
  </si>
  <si>
    <t>repuestos</t>
  </si>
  <si>
    <t>90% /10%</t>
  </si>
  <si>
    <t>total</t>
  </si>
  <si>
    <t>Combustible bus 90%</t>
  </si>
  <si>
    <t>Considera reclutamiento. Ex psicologicos y manip</t>
  </si>
  <si>
    <t>Programa Especial (evaluaciones CONVENIO DIRECSAN) fono</t>
  </si>
  <si>
    <t>Programa Especial (evaluacion CONVENIO DIRECSAN)KINESIOLOGIA</t>
  </si>
  <si>
    <t>Programa Especial (evaluación CONVENIO DIRECSAN)PSICOLOGIA</t>
  </si>
  <si>
    <t>Prestación usuario [Unidad]</t>
  </si>
  <si>
    <t>ING. MATR. VERANO</t>
  </si>
  <si>
    <t>Mantención área verdes, $75000 se consideran hasta 4 visitas al año.</t>
  </si>
  <si>
    <t xml:space="preserve"> </t>
  </si>
  <si>
    <t>$1680x 3 personasFFPPx21díasx11meses.-</t>
  </si>
  <si>
    <t>10 PADRES</t>
  </si>
  <si>
    <t>IDA Y VUELTA</t>
  </si>
  <si>
    <t>1 VIAJE</t>
  </si>
  <si>
    <t>TARIFAS 2017</t>
  </si>
  <si>
    <t>TARIFAS 2018</t>
  </si>
  <si>
    <t>delantal para personal faltante 07.</t>
  </si>
  <si>
    <t>prestaciones</t>
  </si>
  <si>
    <t>categoria</t>
  </si>
  <si>
    <t>activo</t>
  </si>
  <si>
    <t>en retiro</t>
  </si>
  <si>
    <t>casos especua</t>
  </si>
  <si>
    <t>ING. SOC +APOYO VIDA BASE</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</si>
</sst>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quot;-$&quot;* #,##0.00_-;_-\$* \-??_-;_-@_-"/>
    <numFmt numFmtId="181" formatCode="_-\$* #,##0_-;&quot;-$&quot;* #,##0_-;_-\$* \-_-;_-@_-"/>
    <numFmt numFmtId="182" formatCode="\$#,##0;[Red]&quot;-$&quot;#,##0"/>
    <numFmt numFmtId="183" formatCode="\$#,##0_);[Red]&quot;($&quot;#,##0\)"/>
    <numFmt numFmtId="184" formatCode="_-* #,##0.00_-;\-* #,##0.00_-;_-* \-??_-;_-@_-"/>
    <numFmt numFmtId="185" formatCode="_-* #,##0.0_-;\-* #,##0.0_-;_-* \-??_-;_-@_-"/>
    <numFmt numFmtId="186" formatCode="_-* #,##0_-;\-* #,##0_-;_-* \-??_-;_-@_-"/>
    <numFmt numFmtId="187" formatCode="_-&quot;$&quot;* #,##0.00_-;\-&quot;$&quot;* #,##0.00_-;_-&quot;$&quot;* &quot;-&quot;??_-;_-@_-"/>
    <numFmt numFmtId="188" formatCode="#,##0_ ;[Red]\-#,##0\ "/>
    <numFmt numFmtId="189" formatCode="_-[$€]* #,##0.00_-;\-[$€]* #,##0.00_-;_-[$€]* &quot;-&quot;??_-;_-@_-"/>
    <numFmt numFmtId="190" formatCode="[$-340A]dddd\,\ dd&quot; de &quot;mmmm&quot; de &quot;yyyy"/>
    <numFmt numFmtId="191" formatCode="#,##0\ _€"/>
    <numFmt numFmtId="192" formatCode="[$$-340A]\ #,##0"/>
    <numFmt numFmtId="193" formatCode="0.000"/>
    <numFmt numFmtId="194" formatCode="0.0"/>
    <numFmt numFmtId="195" formatCode="#,##0\ &quot;€&quot;"/>
    <numFmt numFmtId="196" formatCode="0.0%"/>
    <numFmt numFmtId="197" formatCode="#,##0.00_ ;[Red]\-#,##0.00\ "/>
    <numFmt numFmtId="198" formatCode="[$$-340A]\ #,##0;[Red]\-[$$-340A]\ #,##0"/>
    <numFmt numFmtId="199" formatCode="_-\$* #,##0_-;&quot;-$&quot;* #,##0_-;_-\$* \-??_-;_-@_-"/>
    <numFmt numFmtId="200" formatCode="_ &quot;$&quot;* #,##0_ ;_ &quot;$&quot;* \-#,##0_ ;_ &quot;$&quot;* &quot;-&quot;_ ;_ @_ "/>
    <numFmt numFmtId="201" formatCode="\$#,##0.0;[Red]&quot;-$&quot;#,##0.0"/>
    <numFmt numFmtId="202" formatCode="\$#,##0.00;[Red]&quot;-$&quot;#,##0.00"/>
    <numFmt numFmtId="203" formatCode="#,##0.000"/>
    <numFmt numFmtId="204" formatCode="_-&quot;$&quot;* #,##0_-;\-&quot;$&quot;* #,##0_-;_-&quot;$&quot;* &quot;-&quot;_-;_-@_-"/>
    <numFmt numFmtId="205" formatCode="_-\$* #,##0.000_-;&quot;-$&quot;* #,##0.000_-;_-\$* \-??_-;_-@_-"/>
    <numFmt numFmtId="206" formatCode="_-\$* #,##0.0_-;&quot;-$&quot;* #,##0.0_-;_-\$* \-??_-;_-@_-"/>
  </numFmts>
  <fonts count="87">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i/>
      <sz val="10"/>
      <name val="Arial Narrow"/>
      <family val="2"/>
    </font>
    <font>
      <sz val="11"/>
      <color indexed="8"/>
      <name val="Calibri"/>
      <family val="2"/>
    </font>
    <font>
      <sz val="8"/>
      <name val="Arial"/>
      <family val="2"/>
    </font>
    <font>
      <u val="single"/>
      <sz val="10"/>
      <color indexed="12"/>
      <name val="Arial"/>
      <family val="2"/>
    </font>
    <font>
      <u val="single"/>
      <sz val="10"/>
      <color indexed="36"/>
      <name val="Arial"/>
      <family val="2"/>
    </font>
    <font>
      <sz val="8"/>
      <name val="Tahoma"/>
      <family val="2"/>
    </font>
    <font>
      <b/>
      <sz val="10"/>
      <color indexed="8"/>
      <name val="Arial"/>
      <family val="2"/>
    </font>
    <font>
      <sz val="10"/>
      <color indexed="8"/>
      <name val="Arial"/>
      <family val="2"/>
    </font>
    <font>
      <b/>
      <sz val="10"/>
      <name val="Arial"/>
      <family val="2"/>
    </font>
    <font>
      <b/>
      <sz val="10"/>
      <color indexed="10"/>
      <name val="Arial Narrow"/>
      <family val="2"/>
    </font>
    <font>
      <sz val="9"/>
      <name val="Tahoma"/>
      <family val="2"/>
    </font>
    <font>
      <b/>
      <sz val="9"/>
      <name val="Tahoma"/>
      <family val="2"/>
    </font>
    <font>
      <b/>
      <sz val="8"/>
      <name val="Tahoma"/>
      <family val="2"/>
    </font>
    <font>
      <sz val="11"/>
      <name val="Arial Narrow"/>
      <family val="2"/>
    </font>
    <font>
      <b/>
      <sz val="11"/>
      <name val="Arial Narrow"/>
      <family val="2"/>
    </font>
    <font>
      <b/>
      <sz val="9"/>
      <name val="Arial Narrow"/>
      <family val="2"/>
    </font>
    <font>
      <b/>
      <sz val="8"/>
      <name val="Arial Narrow"/>
      <family val="2"/>
    </font>
    <font>
      <sz val="9"/>
      <name val="Arial"/>
      <family val="2"/>
    </font>
    <font>
      <b/>
      <sz val="14"/>
      <name val="Arial Narrow"/>
      <family val="2"/>
    </font>
    <font>
      <b/>
      <sz val="9"/>
      <name val="Arial"/>
      <family val="2"/>
    </font>
    <font>
      <b/>
      <sz val="10"/>
      <color indexed="30"/>
      <name val="Arial Narrow"/>
      <family val="2"/>
    </font>
    <font>
      <sz val="10"/>
      <color indexed="10"/>
      <name val="Arial"/>
      <family val="2"/>
    </font>
    <font>
      <b/>
      <sz val="10"/>
      <color indexed="30"/>
      <name val="Arial"/>
      <family val="2"/>
    </font>
    <font>
      <b/>
      <sz val="10"/>
      <color indexed="10"/>
      <name val="Arial"/>
      <family val="2"/>
    </font>
    <font>
      <sz val="11"/>
      <color indexed="8"/>
      <name val="Arial Narrow"/>
      <family val="2"/>
    </font>
    <font>
      <b/>
      <sz val="11"/>
      <color indexed="8"/>
      <name val="Arial Narrow"/>
      <family val="2"/>
    </font>
    <font>
      <sz val="10"/>
      <color indexed="10"/>
      <name val="Arial Narrow"/>
      <family val="2"/>
    </font>
    <font>
      <b/>
      <sz val="14"/>
      <name val="Tahoma"/>
      <family val="2"/>
    </font>
    <font>
      <sz val="14"/>
      <name val="Tahoma"/>
      <family val="2"/>
    </font>
    <font>
      <u val="single"/>
      <sz val="9"/>
      <name val="Tahoma"/>
      <family val="2"/>
    </font>
    <font>
      <sz val="14"/>
      <name val="Arial"/>
      <family val="2"/>
    </font>
    <font>
      <sz val="2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3"/>
      <color indexed="62"/>
      <name val="Calibri"/>
      <family val="2"/>
    </font>
    <font>
      <b/>
      <sz val="11"/>
      <color indexed="8"/>
      <name val="Calibri"/>
      <family val="2"/>
    </font>
    <font>
      <b/>
      <sz val="18"/>
      <color indexed="17"/>
      <name val="Arial Narrow"/>
      <family val="2"/>
    </font>
    <font>
      <b/>
      <sz val="18"/>
      <color indexed="10"/>
      <name val="Arial"/>
      <family val="2"/>
    </font>
    <font>
      <sz val="7.7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Narrow"/>
      <family val="2"/>
    </font>
    <font>
      <b/>
      <sz val="18"/>
      <color rgb="FF00B050"/>
      <name val="Arial Narrow"/>
      <family val="2"/>
    </font>
    <font>
      <sz val="10"/>
      <color rgb="FFFF0000"/>
      <name val="Arial Narrow"/>
      <family val="2"/>
    </font>
    <font>
      <sz val="10"/>
      <color rgb="FFFF0000"/>
      <name val="Arial"/>
      <family val="2"/>
    </font>
    <font>
      <b/>
      <sz val="18"/>
      <color rgb="FFFF0000"/>
      <name val="Arial"/>
      <family val="2"/>
    </font>
    <font>
      <sz val="10"/>
      <color theme="1"/>
      <name val="Arial"/>
      <family val="2"/>
    </font>
    <font>
      <b/>
      <sz val="8"/>
      <name val="Arial"/>
      <family val="2"/>
    </font>
  </fonts>
  <fills count="7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58"/>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lightUp">
        <bgColor indexed="31"/>
      </patternFill>
    </fill>
    <fill>
      <patternFill patternType="lightUp">
        <fgColor indexed="55"/>
        <bgColor indexed="23"/>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
      <patternFill patternType="solid">
        <fgColor indexed="51"/>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rgb="FFFFFF99"/>
        <bgColor indexed="64"/>
      </patternFill>
    </fill>
    <fill>
      <patternFill patternType="solid">
        <fgColor theme="0"/>
        <bgColor indexed="64"/>
      </patternFill>
    </fill>
    <fill>
      <patternFill patternType="solid">
        <fgColor indexed="45"/>
        <bgColor indexed="64"/>
      </patternFill>
    </fill>
    <fill>
      <patternFill patternType="solid">
        <fgColor indexed="50"/>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color indexed="8"/>
      </left>
      <right style="thin">
        <color indexed="8"/>
      </right>
      <top>
        <color indexed="63"/>
      </top>
      <bottom>
        <color indexed="63"/>
      </bottom>
    </border>
    <border>
      <left style="thin"/>
      <right/>
      <top style="thin"/>
      <bottom style="thin"/>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thin">
        <color indexed="8"/>
      </left>
      <right style="medium"/>
      <top>
        <color indexed="63"/>
      </top>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style="thin"/>
      <bottom style="medium"/>
    </border>
    <border>
      <left style="medium"/>
      <right style="thin">
        <color indexed="8"/>
      </right>
      <top>
        <color indexed="63"/>
      </top>
      <bottom style="thin">
        <color indexed="8"/>
      </bottom>
    </border>
    <border>
      <left style="medium"/>
      <right style="thin">
        <color indexed="8"/>
      </right>
      <top style="medium"/>
      <bottom style="thin">
        <color indexed="8"/>
      </bottom>
    </border>
    <border>
      <left style="medium"/>
      <right style="thin">
        <color indexed="8"/>
      </right>
      <top style="thin">
        <color indexed="8"/>
      </top>
      <bottom>
        <color indexed="63"/>
      </bottom>
    </border>
    <border>
      <left style="medium"/>
      <right style="medium">
        <color indexed="8"/>
      </right>
      <top style="medium"/>
      <bottom style="medium">
        <color indexed="8"/>
      </bottom>
    </border>
    <border>
      <left style="thin">
        <color indexed="8"/>
      </left>
      <right>
        <color indexed="63"/>
      </right>
      <top style="medium"/>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medium"/>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color indexed="8"/>
      </left>
      <right style="medium"/>
      <top>
        <color indexed="63"/>
      </top>
      <bottom>
        <color indexed="63"/>
      </bottom>
    </border>
    <border>
      <left style="medium">
        <color indexed="8"/>
      </left>
      <right style="thin">
        <color indexed="8"/>
      </right>
      <top style="medium">
        <color indexed="8"/>
      </top>
      <bottom style="medium">
        <color indexed="8"/>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medium"/>
      <top style="medium"/>
      <bottom>
        <color indexed="63"/>
      </bottom>
    </border>
    <border>
      <left>
        <color indexed="63"/>
      </left>
      <right/>
      <top style="thin"/>
      <bottom style="thin"/>
    </border>
    <border>
      <left/>
      <right style="thin"/>
      <top style="thin"/>
      <bottom style="thin"/>
    </border>
    <border>
      <left>
        <color indexed="63"/>
      </left>
      <right style="thin"/>
      <top style="thin"/>
      <bottom style="medium"/>
    </border>
    <border>
      <left style="medium"/>
      <right>
        <color indexed="63"/>
      </right>
      <top style="medium"/>
      <bottom style="thin">
        <color indexed="8"/>
      </bottom>
    </border>
    <border>
      <left>
        <color indexed="63"/>
      </left>
      <right>
        <color indexed="63"/>
      </right>
      <top style="medium"/>
      <bottom style="thin">
        <color indexed="8"/>
      </bottom>
    </border>
    <border>
      <left style="thin"/>
      <right style="thin"/>
      <top style="medium"/>
      <bottom style="thin"/>
    </border>
    <border>
      <left>
        <color indexed="63"/>
      </left>
      <right style="thin">
        <color indexed="8"/>
      </right>
      <top style="medium"/>
      <bottom style="thin">
        <color indexed="8"/>
      </bottom>
    </border>
    <border>
      <left style="medium"/>
      <right>
        <color indexed="63"/>
      </right>
      <top style="thin">
        <color indexed="8"/>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medium"/>
      <right>
        <color indexed="63"/>
      </right>
      <top style="medium"/>
      <bottom style="medium"/>
    </border>
    <border>
      <left style="thin">
        <color indexed="8"/>
      </left>
      <right>
        <color indexed="63"/>
      </right>
      <top>
        <color indexed="63"/>
      </top>
      <bottom style="mediu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style="medium"/>
    </border>
    <border>
      <left>
        <color indexed="63"/>
      </left>
      <right style="thin">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style="thin">
        <color indexed="8"/>
      </right>
      <top style="medium"/>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color indexed="8"/>
      </left>
      <right style="thin">
        <color indexed="8"/>
      </right>
      <top>
        <color indexed="63"/>
      </top>
      <bottom style="medium">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right style="medium"/>
      <top style="thin"/>
      <bottom style="thin"/>
    </border>
    <border>
      <left style="thin"/>
      <right>
        <color indexed="63"/>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top style="thin"/>
      <bottom style="medium"/>
    </border>
    <border>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189" fontId="1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72" fillId="30" borderId="0" applyNumberFormat="0" applyBorder="0" applyAlignment="0" applyProtection="0"/>
    <xf numFmtId="184"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42" fontId="0" fillId="0" borderId="0" applyFill="0" applyBorder="0" applyAlignment="0" applyProtection="0"/>
    <xf numFmtId="0" fontId="73" fillId="31" borderId="0" applyNumberFormat="0" applyBorder="0" applyAlignment="0" applyProtection="0"/>
    <xf numFmtId="0" fontId="12" fillId="0" borderId="0">
      <alignment/>
      <protection/>
    </xf>
    <xf numFmtId="0" fontId="0" fillId="32" borderId="5" applyNumberFormat="0" applyFont="0" applyAlignment="0" applyProtection="0"/>
    <xf numFmtId="9" fontId="0" fillId="0" borderId="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581">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81" fontId="2" fillId="33" borderId="0" xfId="52"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1" fillId="33" borderId="0" xfId="0" applyFont="1" applyFill="1" applyAlignment="1" applyProtection="1">
      <alignment vertical="center"/>
      <protection/>
    </xf>
    <xf numFmtId="0" fontId="2" fillId="0" borderId="0" xfId="0" applyFont="1" applyFill="1" applyBorder="1" applyAlignment="1" applyProtection="1">
      <alignment vertical="center"/>
      <protection/>
    </xf>
    <xf numFmtId="180" fontId="2" fillId="0" borderId="0" xfId="52"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0"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Fill="1" applyAlignment="1" applyProtection="1">
      <alignment vertical="center"/>
      <protection/>
    </xf>
    <xf numFmtId="185" fontId="1" fillId="0" borderId="0" xfId="50"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2" fillId="34" borderId="11" xfId="0"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0" fontId="2" fillId="35" borderId="12" xfId="0" applyFont="1" applyFill="1" applyBorder="1" applyAlignment="1" applyProtection="1">
      <alignment horizontal="center" vertical="center" wrapText="1"/>
      <protection/>
    </xf>
    <xf numFmtId="181" fontId="4" fillId="36" borderId="13" xfId="52" applyNumberFormat="1" applyFont="1" applyFill="1" applyBorder="1" applyAlignment="1" applyProtection="1">
      <alignment vertical="center"/>
      <protection/>
    </xf>
    <xf numFmtId="181" fontId="4" fillId="35" borderId="11" xfId="52" applyNumberFormat="1" applyFont="1" applyFill="1" applyBorder="1" applyAlignment="1" applyProtection="1">
      <alignment vertical="center"/>
      <protection/>
    </xf>
    <xf numFmtId="181" fontId="4" fillId="37" borderId="11" xfId="52" applyNumberFormat="1" applyFont="1" applyFill="1" applyBorder="1" applyAlignment="1" applyProtection="1">
      <alignment vertical="center"/>
      <protection/>
    </xf>
    <xf numFmtId="184" fontId="6" fillId="0" borderId="11" xfId="50" applyFont="1" applyFill="1" applyBorder="1" applyAlignment="1" applyProtection="1">
      <alignment vertical="center"/>
      <protection/>
    </xf>
    <xf numFmtId="184" fontId="4" fillId="0" borderId="11" xfId="50" applyFont="1" applyFill="1" applyBorder="1" applyAlignment="1" applyProtection="1">
      <alignment vertical="center"/>
      <protection/>
    </xf>
    <xf numFmtId="180" fontId="1" fillId="0" borderId="0" xfId="52"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8" borderId="11" xfId="0" applyFont="1" applyFill="1" applyBorder="1" applyAlignment="1" applyProtection="1">
      <alignment vertical="center" wrapText="1"/>
      <protection/>
    </xf>
    <xf numFmtId="0" fontId="2" fillId="34" borderId="11" xfId="0" applyFont="1" applyFill="1" applyBorder="1" applyAlignment="1" applyProtection="1">
      <alignment vertical="center"/>
      <protection/>
    </xf>
    <xf numFmtId="181" fontId="1" fillId="34" borderId="11" xfId="52" applyNumberFormat="1" applyFont="1" applyFill="1" applyBorder="1" applyAlignment="1" applyProtection="1">
      <alignment vertical="center"/>
      <protection/>
    </xf>
    <xf numFmtId="0" fontId="2" fillId="34" borderId="1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9" borderId="0" xfId="0" applyFont="1" applyFill="1" applyAlignment="1" applyProtection="1">
      <alignment horizontal="left" vertical="center"/>
      <protection/>
    </xf>
    <xf numFmtId="0" fontId="1" fillId="39" borderId="0" xfId="0" applyFont="1" applyFill="1" applyAlignment="1" applyProtection="1">
      <alignment vertical="center"/>
      <protection/>
    </xf>
    <xf numFmtId="0" fontId="2" fillId="39" borderId="15" xfId="0" applyFont="1" applyFill="1" applyBorder="1" applyAlignment="1" applyProtection="1">
      <alignment vertical="center"/>
      <protection/>
    </xf>
    <xf numFmtId="0" fontId="2" fillId="39" borderId="14" xfId="0" applyFont="1" applyFill="1" applyBorder="1" applyAlignment="1" applyProtection="1">
      <alignment vertical="center"/>
      <protection/>
    </xf>
    <xf numFmtId="0" fontId="2" fillId="39" borderId="0" xfId="0" applyFont="1" applyFill="1" applyBorder="1" applyAlignment="1" applyProtection="1">
      <alignment vertical="center"/>
      <protection/>
    </xf>
    <xf numFmtId="186" fontId="2" fillId="39" borderId="0" xfId="50" applyNumberFormat="1"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wrapText="1"/>
      <protection/>
    </xf>
    <xf numFmtId="0" fontId="1" fillId="37" borderId="15" xfId="0" applyFont="1" applyFill="1" applyBorder="1" applyAlignment="1" applyProtection="1">
      <alignment horizontal="center" vertical="center" wrapText="1"/>
      <protection/>
    </xf>
    <xf numFmtId="0" fontId="1" fillId="40" borderId="12" xfId="0" applyFont="1" applyFill="1" applyBorder="1" applyAlignment="1" applyProtection="1">
      <alignment horizontal="center" vertical="center" wrapText="1"/>
      <protection/>
    </xf>
    <xf numFmtId="0" fontId="1" fillId="37" borderId="12" xfId="0" applyFont="1" applyFill="1" applyBorder="1" applyAlignment="1" applyProtection="1">
      <alignment horizontal="center" vertical="center" wrapText="1"/>
      <protection/>
    </xf>
    <xf numFmtId="0" fontId="1" fillId="34" borderId="12" xfId="0" applyFont="1" applyFill="1" applyBorder="1" applyAlignment="1" applyProtection="1">
      <alignment horizontal="center" vertical="center" wrapText="1"/>
      <protection/>
    </xf>
    <xf numFmtId="0" fontId="1" fillId="39" borderId="12" xfId="0" applyFont="1" applyFill="1" applyBorder="1" applyAlignment="1" applyProtection="1">
      <alignment horizontal="center" vertical="center" wrapText="1"/>
      <protection/>
    </xf>
    <xf numFmtId="0" fontId="1" fillId="40" borderId="11" xfId="0" applyFont="1" applyFill="1" applyBorder="1" applyAlignment="1" applyProtection="1">
      <alignment horizontal="center" vertical="center" wrapText="1"/>
      <protection/>
    </xf>
    <xf numFmtId="181" fontId="4" fillId="35" borderId="12" xfId="52" applyNumberFormat="1" applyFont="1" applyFill="1" applyBorder="1" applyAlignment="1" applyProtection="1">
      <alignment vertical="center"/>
      <protection/>
    </xf>
    <xf numFmtId="181" fontId="4" fillId="37" borderId="12" xfId="52" applyNumberFormat="1" applyFont="1" applyFill="1" applyBorder="1" applyAlignment="1" applyProtection="1">
      <alignment vertical="center"/>
      <protection/>
    </xf>
    <xf numFmtId="184" fontId="6" fillId="0" borderId="12" xfId="50" applyFont="1" applyFill="1" applyBorder="1" applyAlignment="1" applyProtection="1">
      <alignment vertical="center"/>
      <protection/>
    </xf>
    <xf numFmtId="0" fontId="4" fillId="40" borderId="12" xfId="0" applyFont="1" applyFill="1" applyBorder="1" applyAlignment="1" applyProtection="1">
      <alignment vertical="center"/>
      <protection/>
    </xf>
    <xf numFmtId="181" fontId="4" fillId="36" borderId="16" xfId="52" applyNumberFormat="1" applyFont="1" applyFill="1" applyBorder="1" applyAlignment="1" applyProtection="1">
      <alignment vertical="center"/>
      <protection/>
    </xf>
    <xf numFmtId="181" fontId="4" fillId="36" borderId="17" xfId="52" applyNumberFormat="1" applyFont="1" applyFill="1" applyBorder="1" applyAlignment="1" applyProtection="1">
      <alignment vertical="center"/>
      <protection/>
    </xf>
    <xf numFmtId="181" fontId="4" fillId="37" borderId="18" xfId="52" applyNumberFormat="1" applyFont="1" applyFill="1" applyBorder="1" applyAlignment="1" applyProtection="1">
      <alignment vertical="center"/>
      <protection/>
    </xf>
    <xf numFmtId="181" fontId="4" fillId="36" borderId="19" xfId="52" applyNumberFormat="1" applyFont="1" applyFill="1" applyBorder="1" applyAlignment="1" applyProtection="1">
      <alignment vertical="center"/>
      <protection/>
    </xf>
    <xf numFmtId="181" fontId="4" fillId="37" borderId="20" xfId="52" applyNumberFormat="1" applyFont="1" applyFill="1" applyBorder="1" applyAlignment="1" applyProtection="1">
      <alignment vertical="center"/>
      <protection/>
    </xf>
    <xf numFmtId="181" fontId="1" fillId="41" borderId="21" xfId="0" applyNumberFormat="1" applyFont="1" applyFill="1" applyBorder="1" applyAlignment="1" applyProtection="1">
      <alignment vertical="center"/>
      <protection/>
    </xf>
    <xf numFmtId="181" fontId="2" fillId="41" borderId="21" xfId="0" applyNumberFormat="1" applyFont="1" applyFill="1" applyBorder="1" applyAlignment="1" applyProtection="1">
      <alignment vertical="center"/>
      <protection/>
    </xf>
    <xf numFmtId="181" fontId="2" fillId="41" borderId="22" xfId="0" applyNumberFormat="1" applyFont="1" applyFill="1" applyBorder="1" applyAlignment="1" applyProtection="1">
      <alignment vertical="center"/>
      <protection/>
    </xf>
    <xf numFmtId="185" fontId="1" fillId="42" borderId="21" xfId="50" applyNumberFormat="1" applyFont="1" applyFill="1" applyBorder="1" applyAlignment="1" applyProtection="1">
      <alignment vertical="center"/>
      <protection/>
    </xf>
    <xf numFmtId="185" fontId="4" fillId="43" borderId="13" xfId="50" applyNumberFormat="1" applyFont="1" applyFill="1" applyBorder="1" applyAlignment="1" applyProtection="1">
      <alignment vertical="center"/>
      <protection/>
    </xf>
    <xf numFmtId="185" fontId="4" fillId="43" borderId="16" xfId="50" applyNumberFormat="1" applyFont="1" applyFill="1" applyBorder="1" applyAlignment="1" applyProtection="1">
      <alignment vertical="center"/>
      <protection/>
    </xf>
    <xf numFmtId="0" fontId="4" fillId="34" borderId="23"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7" borderId="11"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2" fillId="37" borderId="12" xfId="0" applyFont="1" applyFill="1" applyBorder="1" applyAlignment="1" applyProtection="1">
      <alignment horizontal="center" vertical="center"/>
      <protection/>
    </xf>
    <xf numFmtId="0" fontId="2" fillId="44" borderId="0" xfId="0" applyFont="1" applyFill="1"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2" fillId="45" borderId="23" xfId="0" applyFont="1" applyFill="1" applyBorder="1" applyAlignment="1" applyProtection="1">
      <alignment vertical="center"/>
      <protection/>
    </xf>
    <xf numFmtId="165" fontId="4" fillId="45" borderId="23" xfId="52" applyNumberFormat="1" applyFont="1" applyFill="1" applyBorder="1" applyAlignment="1" applyProtection="1">
      <alignment vertical="center"/>
      <protection/>
    </xf>
    <xf numFmtId="0" fontId="6" fillId="46" borderId="23" xfId="0" applyFont="1" applyFill="1" applyBorder="1" applyAlignment="1" applyProtection="1">
      <alignment vertical="center"/>
      <protection/>
    </xf>
    <xf numFmtId="0" fontId="4" fillId="45" borderId="25" xfId="0" applyFont="1" applyFill="1" applyBorder="1" applyAlignment="1" applyProtection="1">
      <alignment horizontal="left" vertical="center"/>
      <protection/>
    </xf>
    <xf numFmtId="0" fontId="1" fillId="46" borderId="23" xfId="0" applyFont="1" applyFill="1" applyBorder="1" applyAlignment="1" applyProtection="1">
      <alignment vertical="center"/>
      <protection/>
    </xf>
    <xf numFmtId="181" fontId="6" fillId="40" borderId="12" xfId="52" applyNumberFormat="1"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1" fillId="44" borderId="0" xfId="0" applyFont="1" applyFill="1" applyBorder="1" applyAlignment="1" applyProtection="1">
      <alignment vertical="center"/>
      <protection/>
    </xf>
    <xf numFmtId="0" fontId="2" fillId="34" borderId="11" xfId="0" applyFont="1" applyFill="1" applyBorder="1" applyAlignment="1" applyProtection="1">
      <alignment horizontal="center" vertical="center" wrapText="1"/>
      <protection/>
    </xf>
    <xf numFmtId="0" fontId="1" fillId="39" borderId="15" xfId="0" applyFont="1" applyFill="1" applyBorder="1" applyAlignment="1" applyProtection="1">
      <alignment vertical="center" wrapText="1"/>
      <protection/>
    </xf>
    <xf numFmtId="183" fontId="1" fillId="39" borderId="26" xfId="52" applyNumberFormat="1" applyFont="1" applyFill="1" applyBorder="1" applyAlignment="1" applyProtection="1">
      <alignment vertical="center"/>
      <protection/>
    </xf>
    <xf numFmtId="3" fontId="1" fillId="47" borderId="27" xfId="52" applyNumberFormat="1" applyFont="1" applyFill="1" applyBorder="1" applyAlignment="1" applyProtection="1">
      <alignment vertical="center"/>
      <protection/>
    </xf>
    <xf numFmtId="3" fontId="1" fillId="47" borderId="23" xfId="52" applyNumberFormat="1" applyFont="1" applyFill="1" applyBorder="1" applyAlignment="1" applyProtection="1">
      <alignment vertical="center"/>
      <protection/>
    </xf>
    <xf numFmtId="183" fontId="1" fillId="47" borderId="23" xfId="52" applyNumberFormat="1" applyFont="1" applyFill="1" applyBorder="1" applyAlignment="1" applyProtection="1">
      <alignment vertical="center"/>
      <protection/>
    </xf>
    <xf numFmtId="183" fontId="1" fillId="47" borderId="28" xfId="52" applyNumberFormat="1" applyFont="1" applyFill="1" applyBorder="1" applyAlignment="1" applyProtection="1">
      <alignment vertical="center"/>
      <protection/>
    </xf>
    <xf numFmtId="183" fontId="1" fillId="47" borderId="29" xfId="52" applyNumberFormat="1" applyFont="1" applyFill="1" applyBorder="1" applyAlignment="1" applyProtection="1">
      <alignment vertical="center"/>
      <protection/>
    </xf>
    <xf numFmtId="183" fontId="1" fillId="47" borderId="30" xfId="52" applyNumberFormat="1" applyFont="1" applyFill="1" applyBorder="1" applyAlignment="1" applyProtection="1">
      <alignment vertical="center"/>
      <protection/>
    </xf>
    <xf numFmtId="183" fontId="1" fillId="39" borderId="31" xfId="52" applyNumberFormat="1" applyFont="1" applyFill="1" applyBorder="1" applyAlignment="1" applyProtection="1">
      <alignment vertical="center"/>
      <protection/>
    </xf>
    <xf numFmtId="183" fontId="1" fillId="34" borderId="32" xfId="52" applyNumberFormat="1" applyFont="1" applyFill="1" applyBorder="1" applyAlignment="1" applyProtection="1">
      <alignment vertical="center" wrapText="1"/>
      <protection/>
    </xf>
    <xf numFmtId="3" fontId="1" fillId="47" borderId="33" xfId="52" applyNumberFormat="1" applyFont="1" applyFill="1" applyBorder="1" applyAlignment="1" applyProtection="1">
      <alignment vertical="center"/>
      <protection/>
    </xf>
    <xf numFmtId="3" fontId="1" fillId="47" borderId="30" xfId="52" applyNumberFormat="1" applyFont="1" applyFill="1" applyBorder="1" applyAlignment="1" applyProtection="1">
      <alignment vertical="center"/>
      <protection/>
    </xf>
    <xf numFmtId="0" fontId="0" fillId="37" borderId="11" xfId="0" applyFont="1" applyFill="1" applyBorder="1" applyAlignment="1" applyProtection="1">
      <alignment horizontal="center"/>
      <protection/>
    </xf>
    <xf numFmtId="0" fontId="1" fillId="34" borderId="34" xfId="0" applyFont="1" applyFill="1" applyBorder="1" applyAlignment="1" applyProtection="1">
      <alignment vertical="center" wrapText="1"/>
      <protection/>
    </xf>
    <xf numFmtId="0" fontId="2" fillId="34" borderId="35" xfId="0" applyFont="1" applyFill="1" applyBorder="1" applyAlignment="1" applyProtection="1">
      <alignment vertical="center" wrapText="1"/>
      <protection/>
    </xf>
    <xf numFmtId="0" fontId="1" fillId="34" borderId="36" xfId="0" applyFont="1" applyFill="1" applyBorder="1" applyAlignment="1" applyProtection="1">
      <alignment vertical="center" wrapText="1"/>
      <protection/>
    </xf>
    <xf numFmtId="181" fontId="1" fillId="34" borderId="36" xfId="52" applyNumberFormat="1" applyFont="1" applyFill="1" applyBorder="1" applyAlignment="1" applyProtection="1">
      <alignment vertical="center"/>
      <protection/>
    </xf>
    <xf numFmtId="181" fontId="1" fillId="34" borderId="37" xfId="52" applyNumberFormat="1" applyFont="1" applyFill="1" applyBorder="1" applyAlignment="1" applyProtection="1">
      <alignment vertical="center"/>
      <protection/>
    </xf>
    <xf numFmtId="0" fontId="2" fillId="34" borderId="38" xfId="0" applyFont="1" applyFill="1" applyBorder="1" applyAlignment="1" applyProtection="1">
      <alignment vertical="center" wrapText="1"/>
      <protection/>
    </xf>
    <xf numFmtId="0" fontId="1" fillId="33" borderId="36" xfId="0" applyFont="1" applyFill="1" applyBorder="1" applyAlignment="1" applyProtection="1">
      <alignment vertical="center" wrapText="1"/>
      <protection/>
    </xf>
    <xf numFmtId="181" fontId="1" fillId="33" borderId="39" xfId="52" applyNumberFormat="1" applyFont="1" applyFill="1" applyBorder="1" applyAlignment="1" applyProtection="1">
      <alignment vertical="center"/>
      <protection/>
    </xf>
    <xf numFmtId="181" fontId="1" fillId="33" borderId="13" xfId="52" applyNumberFormat="1" applyFont="1" applyFill="1" applyBorder="1" applyAlignment="1" applyProtection="1">
      <alignment vertical="center"/>
      <protection/>
    </xf>
    <xf numFmtId="181" fontId="1" fillId="34" borderId="12" xfId="52" applyNumberFormat="1" applyFont="1" applyFill="1" applyBorder="1" applyAlignment="1" applyProtection="1">
      <alignment vertical="center"/>
      <protection/>
    </xf>
    <xf numFmtId="0" fontId="1" fillId="33" borderId="23" xfId="0" applyFont="1" applyFill="1" applyBorder="1" applyAlignment="1" applyProtection="1">
      <alignment vertical="center" wrapText="1"/>
      <protection/>
    </xf>
    <xf numFmtId="181" fontId="1" fillId="33" borderId="23" xfId="52" applyNumberFormat="1" applyFont="1" applyFill="1" applyBorder="1" applyAlignment="1" applyProtection="1">
      <alignment vertical="center"/>
      <protection/>
    </xf>
    <xf numFmtId="0" fontId="11" fillId="33" borderId="23" xfId="0" applyFont="1" applyFill="1" applyBorder="1" applyAlignment="1" applyProtection="1">
      <alignment vertical="center" wrapText="1"/>
      <protection/>
    </xf>
    <xf numFmtId="0" fontId="1" fillId="34" borderId="23" xfId="0" applyFont="1" applyFill="1" applyBorder="1" applyAlignment="1" applyProtection="1">
      <alignment vertical="center" wrapText="1"/>
      <protection/>
    </xf>
    <xf numFmtId="0" fontId="11" fillId="33" borderId="23" xfId="0" applyFont="1" applyFill="1" applyBorder="1" applyAlignment="1" applyProtection="1">
      <alignment horizontal="left" vertical="center" wrapText="1"/>
      <protection/>
    </xf>
    <xf numFmtId="181" fontId="1" fillId="48" borderId="11" xfId="52" applyNumberFormat="1" applyFont="1" applyFill="1" applyBorder="1" applyAlignment="1" applyProtection="1">
      <alignment vertical="center"/>
      <protection/>
    </xf>
    <xf numFmtId="181" fontId="18" fillId="35" borderId="40" xfId="52" applyNumberFormat="1" applyFont="1" applyFill="1" applyBorder="1" applyAlignment="1" applyProtection="1">
      <alignment vertical="center"/>
      <protection/>
    </xf>
    <xf numFmtId="181" fontId="19" fillId="41" borderId="41" xfId="0" applyNumberFormat="1" applyFont="1" applyFill="1" applyBorder="1" applyAlignment="1" applyProtection="1">
      <alignment vertical="center"/>
      <protection/>
    </xf>
    <xf numFmtId="181" fontId="17" fillId="36" borderId="42" xfId="52" applyNumberFormat="1" applyFont="1" applyFill="1" applyBorder="1" applyAlignment="1" applyProtection="1">
      <alignment vertical="center"/>
      <protection/>
    </xf>
    <xf numFmtId="181" fontId="17" fillId="36" borderId="43" xfId="52" applyNumberFormat="1" applyFont="1" applyFill="1" applyBorder="1" applyAlignment="1" applyProtection="1">
      <alignment vertical="center"/>
      <protection/>
    </xf>
    <xf numFmtId="181" fontId="17" fillId="35" borderId="40" xfId="52" applyNumberFormat="1" applyFont="1" applyFill="1" applyBorder="1" applyAlignment="1" applyProtection="1">
      <alignment vertical="center"/>
      <protection/>
    </xf>
    <xf numFmtId="42" fontId="18" fillId="35" borderId="40" xfId="52" applyNumberFormat="1" applyFont="1" applyFill="1" applyBorder="1" applyAlignment="1" applyProtection="1">
      <alignment vertical="center"/>
      <protection/>
    </xf>
    <xf numFmtId="42" fontId="17" fillId="35" borderId="40" xfId="52" applyNumberFormat="1" applyFont="1" applyFill="1" applyBorder="1" applyAlignment="1" applyProtection="1">
      <alignment horizontal="right" vertical="center"/>
      <protection/>
    </xf>
    <xf numFmtId="181" fontId="17" fillId="35" borderId="44" xfId="52" applyNumberFormat="1" applyFont="1" applyFill="1" applyBorder="1" applyAlignment="1" applyProtection="1">
      <alignment vertical="center"/>
      <protection/>
    </xf>
    <xf numFmtId="0" fontId="2" fillId="49" borderId="45" xfId="0" applyFont="1" applyFill="1" applyBorder="1" applyAlignment="1" applyProtection="1">
      <alignment horizontal="center" vertical="center" wrapText="1"/>
      <protection/>
    </xf>
    <xf numFmtId="3" fontId="2" fillId="0" borderId="0" xfId="0" applyNumberFormat="1" applyFont="1" applyFill="1" applyAlignment="1" applyProtection="1">
      <alignment vertical="center"/>
      <protection/>
    </xf>
    <xf numFmtId="3" fontId="2" fillId="0" borderId="0" xfId="52" applyNumberFormat="1" applyFont="1" applyFill="1" applyBorder="1" applyAlignment="1" applyProtection="1">
      <alignment vertical="center"/>
      <protection/>
    </xf>
    <xf numFmtId="0" fontId="1" fillId="39" borderId="46" xfId="0" applyFont="1" applyFill="1" applyBorder="1" applyAlignment="1" applyProtection="1">
      <alignment vertical="center" wrapText="1"/>
      <protection/>
    </xf>
    <xf numFmtId="0" fontId="1" fillId="39" borderId="47" xfId="0" applyFont="1" applyFill="1" applyBorder="1" applyAlignment="1" applyProtection="1">
      <alignment vertical="center" wrapText="1"/>
      <protection/>
    </xf>
    <xf numFmtId="0" fontId="2" fillId="34" borderId="48" xfId="0" applyFont="1" applyFill="1" applyBorder="1" applyAlignment="1" applyProtection="1">
      <alignment vertical="center" wrapText="1"/>
      <protection/>
    </xf>
    <xf numFmtId="0" fontId="3" fillId="0" borderId="0" xfId="0" applyFont="1" applyBorder="1" applyAlignment="1" applyProtection="1">
      <alignment vertical="center"/>
      <protection/>
    </xf>
    <xf numFmtId="183" fontId="1" fillId="39" borderId="31" xfId="0" applyNumberFormat="1" applyFont="1" applyFill="1" applyBorder="1" applyAlignment="1" applyProtection="1">
      <alignment vertical="center"/>
      <protection/>
    </xf>
    <xf numFmtId="183" fontId="1" fillId="34" borderId="49" xfId="52" applyNumberFormat="1" applyFont="1" applyFill="1" applyBorder="1" applyAlignment="1" applyProtection="1">
      <alignment vertical="center" wrapText="1"/>
      <protection/>
    </xf>
    <xf numFmtId="183" fontId="1" fillId="34" borderId="50" xfId="52" applyNumberFormat="1" applyFont="1" applyFill="1" applyBorder="1" applyAlignment="1" applyProtection="1">
      <alignment vertical="center" wrapText="1"/>
      <protection/>
    </xf>
    <xf numFmtId="183" fontId="1" fillId="39" borderId="23" xfId="52" applyNumberFormat="1" applyFont="1" applyFill="1" applyBorder="1" applyAlignment="1" applyProtection="1">
      <alignment vertical="center"/>
      <protection/>
    </xf>
    <xf numFmtId="183" fontId="1" fillId="39" borderId="51" xfId="52" applyNumberFormat="1" applyFont="1" applyFill="1" applyBorder="1" applyAlignment="1" applyProtection="1">
      <alignment vertical="center"/>
      <protection/>
    </xf>
    <xf numFmtId="183" fontId="1" fillId="39" borderId="30" xfId="0" applyNumberFormat="1" applyFont="1" applyFill="1" applyBorder="1" applyAlignment="1" applyProtection="1">
      <alignment vertical="center"/>
      <protection/>
    </xf>
    <xf numFmtId="183" fontId="1" fillId="34" borderId="41" xfId="52" applyNumberFormat="1" applyFont="1" applyFill="1" applyBorder="1" applyAlignment="1" applyProtection="1">
      <alignment vertical="center" wrapText="1"/>
      <protection/>
    </xf>
    <xf numFmtId="183" fontId="1" fillId="34" borderId="21" xfId="52" applyNumberFormat="1" applyFont="1" applyFill="1" applyBorder="1" applyAlignment="1" applyProtection="1">
      <alignment vertical="center" wrapText="1"/>
      <protection/>
    </xf>
    <xf numFmtId="183" fontId="1" fillId="34" borderId="22" xfId="52" applyNumberFormat="1" applyFont="1" applyFill="1" applyBorder="1" applyAlignment="1" applyProtection="1">
      <alignment vertical="center" wrapText="1"/>
      <protection/>
    </xf>
    <xf numFmtId="0" fontId="1" fillId="39" borderId="52" xfId="0" applyFont="1" applyFill="1" applyBorder="1" applyAlignment="1" applyProtection="1">
      <alignment vertical="center" wrapText="1"/>
      <protection/>
    </xf>
    <xf numFmtId="0" fontId="1" fillId="39" borderId="53" xfId="0" applyFont="1" applyFill="1" applyBorder="1" applyAlignment="1" applyProtection="1">
      <alignment vertical="center" wrapText="1"/>
      <protection/>
    </xf>
    <xf numFmtId="183" fontId="1" fillId="39" borderId="41" xfId="52" applyNumberFormat="1" applyFont="1" applyFill="1" applyBorder="1" applyAlignment="1" applyProtection="1">
      <alignment vertical="center"/>
      <protection/>
    </xf>
    <xf numFmtId="183" fontId="1" fillId="39" borderId="21" xfId="52" applyNumberFormat="1" applyFont="1" applyFill="1" applyBorder="1" applyAlignment="1" applyProtection="1">
      <alignment vertical="center"/>
      <protection/>
    </xf>
    <xf numFmtId="183" fontId="1" fillId="39" borderId="22" xfId="0" applyNumberFormat="1" applyFont="1" applyFill="1" applyBorder="1" applyAlignment="1" applyProtection="1">
      <alignment vertical="center"/>
      <protection/>
    </xf>
    <xf numFmtId="183" fontId="1" fillId="39" borderId="54" xfId="52" applyNumberFormat="1" applyFont="1" applyFill="1" applyBorder="1" applyAlignment="1" applyProtection="1">
      <alignment vertical="center"/>
      <protection/>
    </xf>
    <xf numFmtId="183" fontId="1" fillId="39" borderId="55" xfId="52" applyNumberFormat="1" applyFont="1" applyFill="1" applyBorder="1" applyAlignment="1" applyProtection="1">
      <alignment vertical="center"/>
      <protection/>
    </xf>
    <xf numFmtId="183" fontId="1" fillId="39" borderId="55" xfId="0" applyNumberFormat="1" applyFont="1" applyFill="1" applyBorder="1" applyAlignment="1" applyProtection="1">
      <alignment vertical="center"/>
      <protection/>
    </xf>
    <xf numFmtId="0" fontId="1" fillId="39" borderId="56" xfId="0" applyFont="1" applyFill="1" applyBorder="1" applyAlignment="1" applyProtection="1">
      <alignment vertical="center" wrapText="1"/>
      <protection/>
    </xf>
    <xf numFmtId="183" fontId="1" fillId="39" borderId="57" xfId="52" applyNumberFormat="1" applyFont="1" applyFill="1" applyBorder="1" applyAlignment="1" applyProtection="1">
      <alignment vertical="center"/>
      <protection/>
    </xf>
    <xf numFmtId="183" fontId="1" fillId="39" borderId="58" xfId="52" applyNumberFormat="1" applyFont="1" applyFill="1" applyBorder="1" applyAlignment="1" applyProtection="1">
      <alignment vertical="center"/>
      <protection/>
    </xf>
    <xf numFmtId="183" fontId="1" fillId="39" borderId="59" xfId="0" applyNumberFormat="1" applyFont="1" applyFill="1" applyBorder="1" applyAlignment="1" applyProtection="1">
      <alignment vertical="center"/>
      <protection/>
    </xf>
    <xf numFmtId="183" fontId="1" fillId="39" borderId="24" xfId="52" applyNumberFormat="1" applyFont="1" applyFill="1" applyBorder="1" applyAlignment="1" applyProtection="1">
      <alignment vertical="center"/>
      <protection/>
    </xf>
    <xf numFmtId="183" fontId="1" fillId="39" borderId="60" xfId="0" applyNumberFormat="1" applyFont="1" applyFill="1" applyBorder="1" applyAlignment="1" applyProtection="1">
      <alignment vertical="center"/>
      <protection/>
    </xf>
    <xf numFmtId="188" fontId="24" fillId="0" borderId="0" xfId="0" applyNumberFormat="1" applyFont="1" applyAlignment="1" applyProtection="1">
      <alignment vertical="center"/>
      <protection/>
    </xf>
    <xf numFmtId="188" fontId="24" fillId="0" borderId="0" xfId="0" applyNumberFormat="1" applyFont="1" applyFill="1" applyAlignment="1" applyProtection="1">
      <alignment vertical="center"/>
      <protection/>
    </xf>
    <xf numFmtId="188" fontId="25" fillId="0" borderId="0" xfId="0" applyNumberFormat="1" applyFont="1" applyAlignment="1" applyProtection="1">
      <alignment vertical="center"/>
      <protection/>
    </xf>
    <xf numFmtId="42" fontId="2" fillId="0" borderId="0" xfId="52" applyNumberFormat="1" applyFont="1" applyFill="1" applyBorder="1" applyAlignment="1" applyProtection="1">
      <alignment vertical="center"/>
      <protection/>
    </xf>
    <xf numFmtId="1" fontId="2" fillId="34" borderId="61" xfId="0" applyNumberFormat="1" applyFont="1" applyFill="1" applyBorder="1" applyAlignment="1" applyProtection="1">
      <alignment horizontal="center" vertical="center" wrapText="1"/>
      <protection/>
    </xf>
    <xf numFmtId="180" fontId="27" fillId="0" borderId="0" xfId="52" applyFont="1" applyFill="1" applyBorder="1" applyAlignment="1" applyProtection="1">
      <alignment horizontal="center" vertical="center"/>
      <protection/>
    </xf>
    <xf numFmtId="0" fontId="1" fillId="50" borderId="0" xfId="0" applyFont="1" applyFill="1" applyAlignment="1" applyProtection="1">
      <alignment vertical="center"/>
      <protection/>
    </xf>
    <xf numFmtId="9" fontId="0" fillId="50" borderId="0" xfId="57" applyFill="1" applyAlignment="1" applyProtection="1">
      <alignment vertical="center"/>
      <protection/>
    </xf>
    <xf numFmtId="0" fontId="31" fillId="0" borderId="0" xfId="0" applyFont="1" applyAlignment="1" applyProtection="1">
      <alignment vertical="center"/>
      <protection/>
    </xf>
    <xf numFmtId="0" fontId="5" fillId="38" borderId="12" xfId="0" applyFont="1" applyFill="1" applyBorder="1" applyAlignment="1" applyProtection="1">
      <alignment horizontal="center" vertical="center"/>
      <protection/>
    </xf>
    <xf numFmtId="188" fontId="0" fillId="44" borderId="62" xfId="0" applyNumberFormat="1" applyFont="1" applyFill="1" applyBorder="1" applyAlignment="1" applyProtection="1">
      <alignment horizontal="right" vertical="center" wrapText="1"/>
      <protection/>
    </xf>
    <xf numFmtId="198" fontId="0" fillId="44" borderId="62" xfId="0" applyNumberFormat="1" applyFont="1" applyFill="1" applyBorder="1" applyAlignment="1" applyProtection="1">
      <alignment horizontal="right" vertical="center" wrapText="1"/>
      <protection/>
    </xf>
    <xf numFmtId="188" fontId="0" fillId="44" borderId="63" xfId="0" applyNumberFormat="1" applyFont="1" applyFill="1" applyBorder="1" applyAlignment="1" applyProtection="1">
      <alignment horizontal="right" vertical="center" wrapText="1"/>
      <protection/>
    </xf>
    <xf numFmtId="198" fontId="0" fillId="44" borderId="63" xfId="0" applyNumberFormat="1" applyFont="1" applyFill="1" applyBorder="1" applyAlignment="1" applyProtection="1">
      <alignment horizontal="right" vertical="center" wrapText="1"/>
      <protection/>
    </xf>
    <xf numFmtId="188" fontId="0" fillId="44" borderId="64" xfId="0" applyNumberFormat="1" applyFont="1" applyFill="1" applyBorder="1" applyAlignment="1" applyProtection="1">
      <alignment horizontal="right" vertical="center" wrapText="1"/>
      <protection/>
    </xf>
    <xf numFmtId="188" fontId="0" fillId="44" borderId="65" xfId="0" applyNumberFormat="1" applyFont="1" applyFill="1" applyBorder="1" applyAlignment="1" applyProtection="1">
      <alignment horizontal="center" vertical="center" wrapText="1"/>
      <protection/>
    </xf>
    <xf numFmtId="188" fontId="0" fillId="44" borderId="66" xfId="0" applyNumberFormat="1" applyFont="1" applyFill="1" applyBorder="1" applyAlignment="1" applyProtection="1">
      <alignment horizontal="center" vertical="center" wrapText="1"/>
      <protection/>
    </xf>
    <xf numFmtId="188" fontId="0" fillId="44" borderId="67" xfId="0" applyNumberFormat="1" applyFont="1" applyFill="1" applyBorder="1" applyAlignment="1" applyProtection="1">
      <alignment horizontal="center" vertical="center" wrapText="1"/>
      <protection/>
    </xf>
    <xf numFmtId="0" fontId="0" fillId="44" borderId="0" xfId="0" applyFill="1" applyAlignment="1">
      <alignment/>
    </xf>
    <xf numFmtId="0" fontId="2" fillId="51" borderId="0" xfId="0" applyFont="1" applyFill="1" applyBorder="1" applyAlignment="1" applyProtection="1">
      <alignment horizontal="center" vertical="center" wrapText="1"/>
      <protection/>
    </xf>
    <xf numFmtId="188" fontId="0" fillId="44" borderId="0" xfId="0" applyNumberFormat="1" applyFont="1" applyFill="1" applyBorder="1" applyAlignment="1" applyProtection="1">
      <alignment horizontal="center" vertical="center" wrapText="1"/>
      <protection/>
    </xf>
    <xf numFmtId="0" fontId="0" fillId="44" borderId="0" xfId="0" applyFill="1" applyBorder="1" applyAlignment="1">
      <alignment horizontal="center" vertical="center"/>
    </xf>
    <xf numFmtId="0" fontId="0" fillId="44" borderId="0" xfId="0" applyFill="1" applyBorder="1" applyAlignment="1">
      <alignment/>
    </xf>
    <xf numFmtId="0" fontId="19" fillId="44" borderId="0" xfId="0" applyFont="1" applyFill="1" applyBorder="1" applyAlignment="1">
      <alignment/>
    </xf>
    <xf numFmtId="0" fontId="2" fillId="33" borderId="0" xfId="0" applyFont="1" applyFill="1" applyBorder="1" applyAlignment="1" applyProtection="1">
      <alignment horizontal="center" vertical="center"/>
      <protection/>
    </xf>
    <xf numFmtId="199" fontId="0" fillId="44" borderId="68" xfId="52" applyNumberFormat="1" applyFill="1" applyBorder="1" applyAlignment="1" applyProtection="1">
      <alignment horizontal="right" vertical="center" wrapText="1"/>
      <protection/>
    </xf>
    <xf numFmtId="0" fontId="2" fillId="52" borderId="69" xfId="0" applyFont="1" applyFill="1" applyBorder="1" applyAlignment="1" applyProtection="1">
      <alignment horizontal="center" vertical="center" wrapText="1"/>
      <protection/>
    </xf>
    <xf numFmtId="0" fontId="2" fillId="53" borderId="69" xfId="0" applyFont="1" applyFill="1" applyBorder="1" applyAlignment="1" applyProtection="1">
      <alignment horizontal="center" vertical="center" wrapText="1"/>
      <protection/>
    </xf>
    <xf numFmtId="0" fontId="2" fillId="53" borderId="62" xfId="0" applyFont="1" applyFill="1" applyBorder="1" applyAlignment="1" applyProtection="1">
      <alignment horizontal="center" vertical="center" wrapText="1"/>
      <protection/>
    </xf>
    <xf numFmtId="0" fontId="2" fillId="53" borderId="65" xfId="0" applyFont="1" applyFill="1" applyBorder="1" applyAlignment="1" applyProtection="1">
      <alignment horizontal="center" vertical="center" wrapText="1"/>
      <protection/>
    </xf>
    <xf numFmtId="0" fontId="0" fillId="0" borderId="0" xfId="0" applyFill="1" applyBorder="1" applyAlignment="1">
      <alignment/>
    </xf>
    <xf numFmtId="0" fontId="30" fillId="54" borderId="23" xfId="0" applyFont="1" applyFill="1" applyBorder="1" applyAlignment="1">
      <alignment/>
    </xf>
    <xf numFmtId="0" fontId="26" fillId="54" borderId="23" xfId="0" applyFont="1" applyFill="1" applyBorder="1" applyAlignment="1" applyProtection="1">
      <alignment horizontal="center" vertical="center"/>
      <protection/>
    </xf>
    <xf numFmtId="0" fontId="26" fillId="33" borderId="23" xfId="0" applyFont="1" applyFill="1" applyBorder="1" applyAlignment="1" applyProtection="1">
      <alignment horizontal="center" vertical="center"/>
      <protection/>
    </xf>
    <xf numFmtId="0" fontId="30" fillId="54" borderId="23" xfId="0" applyFont="1" applyFill="1" applyBorder="1" applyAlignment="1">
      <alignment horizontal="center" vertical="center"/>
    </xf>
    <xf numFmtId="188" fontId="0" fillId="44" borderId="0" xfId="0" applyNumberFormat="1" applyFont="1" applyFill="1" applyBorder="1" applyAlignment="1" applyProtection="1">
      <alignment horizontal="right" vertical="center" wrapText="1"/>
      <protection/>
    </xf>
    <xf numFmtId="0" fontId="19" fillId="54" borderId="69" xfId="0" applyFont="1" applyFill="1" applyBorder="1" applyAlignment="1">
      <alignment horizontal="center" vertical="center" wrapText="1"/>
    </xf>
    <xf numFmtId="0" fontId="19" fillId="52" borderId="70" xfId="0" applyFont="1" applyFill="1" applyBorder="1" applyAlignment="1">
      <alignment horizontal="center"/>
    </xf>
    <xf numFmtId="0" fontId="19" fillId="52" borderId="30" xfId="0" applyFont="1" applyFill="1" applyBorder="1" applyAlignment="1">
      <alignment horizontal="center"/>
    </xf>
    <xf numFmtId="0" fontId="19" fillId="52" borderId="25" xfId="0" applyFont="1" applyFill="1" applyBorder="1" applyAlignment="1">
      <alignment horizontal="center"/>
    </xf>
    <xf numFmtId="0" fontId="19" fillId="52" borderId="23" xfId="0" applyFont="1" applyFill="1" applyBorder="1" applyAlignment="1">
      <alignment horizontal="center"/>
    </xf>
    <xf numFmtId="188" fontId="0" fillId="44" borderId="71" xfId="0" applyNumberFormat="1" applyFont="1" applyFill="1" applyBorder="1" applyAlignment="1" applyProtection="1">
      <alignment horizontal="right" vertical="center" wrapText="1"/>
      <protection/>
    </xf>
    <xf numFmtId="188" fontId="0" fillId="44" borderId="38" xfId="0" applyNumberFormat="1" applyFont="1" applyFill="1" applyBorder="1" applyAlignment="1" applyProtection="1">
      <alignment horizontal="right" vertical="center" wrapText="1"/>
      <protection/>
    </xf>
    <xf numFmtId="199" fontId="0" fillId="44" borderId="72" xfId="52" applyNumberFormat="1" applyFill="1" applyBorder="1" applyAlignment="1" applyProtection="1">
      <alignment horizontal="right" vertical="center" wrapText="1"/>
      <protection/>
    </xf>
    <xf numFmtId="199" fontId="0" fillId="44" borderId="59" xfId="52" applyNumberFormat="1" applyFill="1" applyBorder="1" applyAlignment="1" applyProtection="1">
      <alignment horizontal="right" vertical="center" wrapText="1"/>
      <protection/>
    </xf>
    <xf numFmtId="0" fontId="2" fillId="0" borderId="0" xfId="0" applyFont="1" applyFill="1" applyBorder="1" applyAlignment="1" applyProtection="1">
      <alignment horizontal="center" vertical="center" wrapText="1"/>
      <protection/>
    </xf>
    <xf numFmtId="0" fontId="19" fillId="52" borderId="58" xfId="0" applyFont="1" applyFill="1" applyBorder="1" applyAlignment="1">
      <alignment horizontal="center"/>
    </xf>
    <xf numFmtId="199" fontId="0" fillId="44" borderId="58" xfId="52" applyNumberFormat="1" applyFill="1" applyBorder="1" applyAlignment="1" applyProtection="1">
      <alignment horizontal="right" vertical="center" wrapText="1"/>
      <protection/>
    </xf>
    <xf numFmtId="198" fontId="0" fillId="44" borderId="38" xfId="0" applyNumberFormat="1" applyFont="1" applyFill="1" applyBorder="1" applyAlignment="1" applyProtection="1">
      <alignment horizontal="right" vertical="center" wrapText="1"/>
      <protection/>
    </xf>
    <xf numFmtId="198" fontId="0" fillId="44" borderId="73" xfId="0" applyNumberFormat="1" applyFont="1" applyFill="1" applyBorder="1" applyAlignment="1" applyProtection="1">
      <alignment horizontal="right" vertical="center" wrapText="1"/>
      <protection/>
    </xf>
    <xf numFmtId="199" fontId="33" fillId="44" borderId="74" xfId="52" applyNumberFormat="1" applyFont="1" applyFill="1" applyBorder="1" applyAlignment="1" applyProtection="1">
      <alignment horizontal="right" vertical="center" wrapText="1"/>
      <protection/>
    </xf>
    <xf numFmtId="198" fontId="34" fillId="44" borderId="75" xfId="0" applyNumberFormat="1" applyFont="1" applyFill="1" applyBorder="1" applyAlignment="1" applyProtection="1">
      <alignment horizontal="right" vertical="center" wrapText="1"/>
      <protection/>
    </xf>
    <xf numFmtId="198" fontId="34" fillId="44" borderId="76" xfId="0" applyNumberFormat="1" applyFont="1" applyFill="1" applyBorder="1" applyAlignment="1" applyProtection="1">
      <alignment horizontal="right" vertical="center" wrapText="1"/>
      <protection/>
    </xf>
    <xf numFmtId="188" fontId="0" fillId="44" borderId="75" xfId="0" applyNumberFormat="1" applyFont="1" applyFill="1" applyBorder="1" applyAlignment="1" applyProtection="1">
      <alignment horizontal="right" vertical="center" wrapText="1"/>
      <protection/>
    </xf>
    <xf numFmtId="188" fontId="0" fillId="44" borderId="77" xfId="0" applyNumberFormat="1" applyFont="1" applyFill="1" applyBorder="1" applyAlignment="1" applyProtection="1">
      <alignment horizontal="center" vertical="center" wrapText="1"/>
      <protection/>
    </xf>
    <xf numFmtId="199" fontId="33" fillId="44" borderId="78" xfId="52" applyNumberFormat="1" applyFont="1" applyFill="1" applyBorder="1" applyAlignment="1" applyProtection="1">
      <alignment horizontal="right" vertical="center" wrapText="1"/>
      <protection/>
    </xf>
    <xf numFmtId="198" fontId="34" fillId="44" borderId="0" xfId="0" applyNumberFormat="1" applyFont="1" applyFill="1" applyBorder="1" applyAlignment="1" applyProtection="1">
      <alignment horizontal="right" vertical="center" wrapText="1"/>
      <protection/>
    </xf>
    <xf numFmtId="198" fontId="34" fillId="44" borderId="79" xfId="0" applyNumberFormat="1" applyFont="1" applyFill="1" applyBorder="1" applyAlignment="1" applyProtection="1">
      <alignment horizontal="right" vertical="center" wrapText="1"/>
      <protection/>
    </xf>
    <xf numFmtId="188" fontId="34" fillId="44" borderId="0" xfId="0" applyNumberFormat="1" applyFont="1" applyFill="1" applyBorder="1" applyAlignment="1" applyProtection="1">
      <alignment horizontal="right" vertical="center" wrapText="1"/>
      <protection/>
    </xf>
    <xf numFmtId="188" fontId="34" fillId="44" borderId="80" xfId="0" applyNumberFormat="1" applyFont="1" applyFill="1" applyBorder="1" applyAlignment="1" applyProtection="1">
      <alignment horizontal="center" vertical="center" wrapText="1"/>
      <protection/>
    </xf>
    <xf numFmtId="199" fontId="0" fillId="44" borderId="57" xfId="52" applyNumberFormat="1" applyFill="1" applyBorder="1" applyAlignment="1" applyProtection="1">
      <alignment horizontal="right" vertical="center" wrapText="1"/>
      <protection/>
    </xf>
    <xf numFmtId="198" fontId="0" fillId="44" borderId="81" xfId="0" applyNumberFormat="1" applyFont="1" applyFill="1" applyBorder="1" applyAlignment="1" applyProtection="1">
      <alignment horizontal="right" vertical="center" wrapText="1"/>
      <protection/>
    </xf>
    <xf numFmtId="198" fontId="0" fillId="44" borderId="82" xfId="0" applyNumberFormat="1" applyFont="1" applyFill="1" applyBorder="1" applyAlignment="1" applyProtection="1">
      <alignment horizontal="right" vertical="center" wrapText="1"/>
      <protection/>
    </xf>
    <xf numFmtId="188" fontId="0" fillId="44" borderId="81" xfId="0" applyNumberFormat="1" applyFont="1" applyFill="1" applyBorder="1" applyAlignment="1" applyProtection="1">
      <alignment horizontal="right" vertical="center" wrapText="1"/>
      <protection/>
    </xf>
    <xf numFmtId="188" fontId="0" fillId="44" borderId="83" xfId="0" applyNumberFormat="1" applyFont="1" applyFill="1" applyBorder="1" applyAlignment="1" applyProtection="1">
      <alignment horizontal="center" vertical="center" wrapText="1"/>
      <protection/>
    </xf>
    <xf numFmtId="188" fontId="0" fillId="44" borderId="84" xfId="0" applyNumberFormat="1" applyFont="1" applyFill="1" applyBorder="1" applyAlignment="1" applyProtection="1">
      <alignment horizontal="center" vertical="center" wrapText="1"/>
      <protection/>
    </xf>
    <xf numFmtId="199" fontId="34" fillId="44" borderId="73" xfId="52" applyNumberFormat="1" applyFont="1" applyFill="1" applyBorder="1" applyAlignment="1" applyProtection="1">
      <alignment horizontal="right" vertical="center" wrapText="1"/>
      <protection/>
    </xf>
    <xf numFmtId="199" fontId="34" fillId="44" borderId="58" xfId="52" applyNumberFormat="1" applyFont="1" applyFill="1" applyBorder="1" applyAlignment="1" applyProtection="1">
      <alignment horizontal="right" vertical="center" wrapText="1"/>
      <protection/>
    </xf>
    <xf numFmtId="199" fontId="34" fillId="44" borderId="38" xfId="52" applyNumberFormat="1" applyFont="1" applyFill="1" applyBorder="1" applyAlignment="1" applyProtection="1">
      <alignment horizontal="right" vertical="center" wrapText="1"/>
      <protection/>
    </xf>
    <xf numFmtId="199" fontId="34" fillId="44" borderId="68" xfId="52" applyNumberFormat="1" applyFont="1" applyFill="1" applyBorder="1" applyAlignment="1" applyProtection="1">
      <alignment horizontal="right" vertical="center" wrapText="1"/>
      <protection/>
    </xf>
    <xf numFmtId="199" fontId="34" fillId="44" borderId="64" xfId="52" applyNumberFormat="1" applyFont="1" applyFill="1" applyBorder="1" applyAlignment="1" applyProtection="1">
      <alignment horizontal="right" vertical="center" wrapText="1"/>
      <protection/>
    </xf>
    <xf numFmtId="199" fontId="34" fillId="44" borderId="71" xfId="52" applyNumberFormat="1" applyFont="1" applyFill="1" applyBorder="1" applyAlignment="1" applyProtection="1">
      <alignment horizontal="right" vertical="center" wrapText="1"/>
      <protection/>
    </xf>
    <xf numFmtId="199" fontId="0" fillId="44" borderId="62" xfId="52" applyNumberFormat="1" applyFill="1" applyBorder="1" applyAlignment="1" applyProtection="1">
      <alignment horizontal="right" vertical="center" wrapText="1"/>
      <protection/>
    </xf>
    <xf numFmtId="199" fontId="0" fillId="44" borderId="85" xfId="52" applyNumberFormat="1" applyFill="1" applyBorder="1" applyAlignment="1" applyProtection="1">
      <alignment horizontal="right" vertical="center" wrapText="1"/>
      <protection/>
    </xf>
    <xf numFmtId="199" fontId="0" fillId="44" borderId="63" xfId="52" applyNumberFormat="1" applyFill="1" applyBorder="1" applyAlignment="1" applyProtection="1">
      <alignment horizontal="right" vertical="center" wrapText="1"/>
      <protection/>
    </xf>
    <xf numFmtId="199" fontId="0" fillId="44" borderId="86" xfId="52" applyNumberFormat="1" applyFill="1" applyBorder="1" applyAlignment="1" applyProtection="1">
      <alignment horizontal="right" vertical="center" wrapText="1"/>
      <protection/>
    </xf>
    <xf numFmtId="0" fontId="19" fillId="52" borderId="57" xfId="0" applyFont="1" applyFill="1" applyBorder="1" applyAlignment="1">
      <alignment horizontal="center"/>
    </xf>
    <xf numFmtId="0" fontId="19" fillId="52" borderId="59" xfId="0" applyFont="1" applyFill="1" applyBorder="1" applyAlignment="1">
      <alignment horizontal="center"/>
    </xf>
    <xf numFmtId="199" fontId="33" fillId="44" borderId="59" xfId="52" applyNumberFormat="1" applyFont="1" applyFill="1" applyBorder="1" applyAlignment="1" applyProtection="1">
      <alignment horizontal="right" vertical="center" wrapText="1"/>
      <protection/>
    </xf>
    <xf numFmtId="199" fontId="33" fillId="44" borderId="85" xfId="52" applyNumberFormat="1" applyFont="1" applyFill="1" applyBorder="1" applyAlignment="1" applyProtection="1">
      <alignment horizontal="right" vertical="center" wrapText="1"/>
      <protection/>
    </xf>
    <xf numFmtId="199" fontId="33" fillId="44" borderId="86" xfId="52" applyNumberFormat="1" applyFont="1" applyFill="1" applyBorder="1" applyAlignment="1" applyProtection="1">
      <alignment horizontal="right" vertical="center" wrapText="1"/>
      <protection/>
    </xf>
    <xf numFmtId="198" fontId="0" fillId="44" borderId="83" xfId="0" applyNumberFormat="1" applyFont="1" applyFill="1" applyBorder="1" applyAlignment="1" applyProtection="1">
      <alignment horizontal="right" vertical="center" wrapText="1"/>
      <protection/>
    </xf>
    <xf numFmtId="199" fontId="34" fillId="44" borderId="84" xfId="52" applyNumberFormat="1" applyFont="1" applyFill="1" applyBorder="1" applyAlignment="1" applyProtection="1">
      <alignment horizontal="right" vertical="center" wrapText="1"/>
      <protection/>
    </xf>
    <xf numFmtId="199" fontId="33" fillId="44" borderId="66" xfId="52" applyNumberFormat="1" applyFont="1" applyFill="1" applyBorder="1" applyAlignment="1" applyProtection="1">
      <alignment horizontal="right" vertical="center" wrapText="1"/>
      <protection/>
    </xf>
    <xf numFmtId="0" fontId="28" fillId="44" borderId="0" xfId="0" applyFont="1" applyFill="1" applyBorder="1" applyAlignment="1">
      <alignment horizontal="center" vertical="center"/>
    </xf>
    <xf numFmtId="0" fontId="2" fillId="52" borderId="62" xfId="0" applyFont="1" applyFill="1" applyBorder="1" applyAlignment="1" applyProtection="1">
      <alignment horizontal="center" vertical="center" wrapText="1"/>
      <protection/>
    </xf>
    <xf numFmtId="0" fontId="2" fillId="52" borderId="72" xfId="0" applyFont="1" applyFill="1" applyBorder="1" applyAlignment="1" applyProtection="1">
      <alignment horizontal="center" vertical="center" wrapText="1"/>
      <protection/>
    </xf>
    <xf numFmtId="0" fontId="2" fillId="52" borderId="65" xfId="0" applyFont="1" applyFill="1" applyBorder="1" applyAlignment="1" applyProtection="1">
      <alignment horizontal="center" vertical="center" wrapText="1"/>
      <protection/>
    </xf>
    <xf numFmtId="188" fontId="19" fillId="54" borderId="87" xfId="0" applyNumberFormat="1" applyFont="1" applyFill="1" applyBorder="1" applyAlignment="1" applyProtection="1">
      <alignment horizontal="center" vertical="center" wrapText="1"/>
      <protection/>
    </xf>
    <xf numFmtId="199" fontId="0" fillId="44" borderId="88" xfId="52" applyNumberFormat="1" applyFill="1" applyBorder="1" applyAlignment="1">
      <alignment/>
    </xf>
    <xf numFmtId="0" fontId="0" fillId="44" borderId="89" xfId="0" applyFill="1" applyBorder="1" applyAlignment="1">
      <alignment/>
    </xf>
    <xf numFmtId="0" fontId="0" fillId="44" borderId="90" xfId="0" applyFill="1" applyBorder="1" applyAlignment="1">
      <alignment/>
    </xf>
    <xf numFmtId="199" fontId="0" fillId="44" borderId="91" xfId="52" applyNumberFormat="1" applyFill="1" applyBorder="1" applyAlignment="1">
      <alignment/>
    </xf>
    <xf numFmtId="0" fontId="0" fillId="44" borderId="92" xfId="0" applyFill="1" applyBorder="1" applyAlignment="1">
      <alignment/>
    </xf>
    <xf numFmtId="0" fontId="2" fillId="52" borderId="0" xfId="0" applyFont="1" applyFill="1" applyBorder="1" applyAlignment="1" applyProtection="1">
      <alignment horizontal="center" vertical="center" wrapText="1"/>
      <protection/>
    </xf>
    <xf numFmtId="0" fontId="2" fillId="52" borderId="93" xfId="0" applyFont="1" applyFill="1" applyBorder="1" applyAlignment="1" applyProtection="1">
      <alignment horizontal="center" vertical="center" wrapText="1"/>
      <protection/>
    </xf>
    <xf numFmtId="0" fontId="2" fillId="52" borderId="77" xfId="0" applyFont="1" applyFill="1" applyBorder="1" applyAlignment="1" applyProtection="1">
      <alignment horizontal="center" vertical="center" wrapText="1"/>
      <protection/>
    </xf>
    <xf numFmtId="0" fontId="19" fillId="54" borderId="62" xfId="0" applyFont="1" applyFill="1" applyBorder="1" applyAlignment="1">
      <alignment horizontal="center" vertical="center" wrapText="1"/>
    </xf>
    <xf numFmtId="0" fontId="2" fillId="55" borderId="69" xfId="0" applyFont="1" applyFill="1" applyBorder="1" applyAlignment="1" applyProtection="1">
      <alignment horizontal="center" vertical="center" wrapText="1"/>
      <protection/>
    </xf>
    <xf numFmtId="0" fontId="2" fillId="55" borderId="62" xfId="0" applyFont="1" applyFill="1" applyBorder="1" applyAlignment="1" applyProtection="1">
      <alignment horizontal="center" vertical="center" wrapText="1"/>
      <protection/>
    </xf>
    <xf numFmtId="0" fontId="2" fillId="55" borderId="65" xfId="0" applyFont="1" applyFill="1" applyBorder="1" applyAlignment="1" applyProtection="1">
      <alignment horizontal="center" vertical="center" wrapText="1"/>
      <protection/>
    </xf>
    <xf numFmtId="0" fontId="2" fillId="53" borderId="93" xfId="0" applyFont="1" applyFill="1" applyBorder="1" applyAlignment="1" applyProtection="1">
      <alignment horizontal="center" vertical="center" wrapText="1"/>
      <protection/>
    </xf>
    <xf numFmtId="0" fontId="2" fillId="53" borderId="77" xfId="0" applyFont="1" applyFill="1" applyBorder="1" applyAlignment="1" applyProtection="1">
      <alignment horizontal="center" vertical="center" wrapText="1"/>
      <protection/>
    </xf>
    <xf numFmtId="0" fontId="19" fillId="52" borderId="94" xfId="0" applyFont="1" applyFill="1" applyBorder="1" applyAlignment="1">
      <alignment horizontal="center"/>
    </xf>
    <xf numFmtId="199" fontId="0" fillId="44" borderId="78" xfId="52" applyNumberFormat="1" applyFill="1" applyBorder="1" applyAlignment="1" applyProtection="1">
      <alignment horizontal="right" vertical="center" wrapText="1"/>
      <protection/>
    </xf>
    <xf numFmtId="188" fontId="0" fillId="44" borderId="80" xfId="0" applyNumberFormat="1" applyFont="1" applyFill="1" applyBorder="1" applyAlignment="1" applyProtection="1">
      <alignment horizontal="center" vertical="center" wrapText="1"/>
      <protection/>
    </xf>
    <xf numFmtId="199" fontId="0" fillId="44" borderId="0" xfId="52" applyNumberFormat="1" applyFill="1" applyBorder="1" applyAlignment="1" applyProtection="1">
      <alignment horizontal="right" vertical="center" wrapText="1"/>
      <protection/>
    </xf>
    <xf numFmtId="199" fontId="0" fillId="44" borderId="79" xfId="52" applyNumberFormat="1" applyFill="1" applyBorder="1" applyAlignment="1" applyProtection="1">
      <alignment horizontal="right" vertical="center" wrapText="1"/>
      <protection/>
    </xf>
    <xf numFmtId="0" fontId="19" fillId="54" borderId="95" xfId="0" applyFont="1" applyFill="1" applyBorder="1" applyAlignment="1">
      <alignment horizontal="center" vertical="center" wrapText="1"/>
    </xf>
    <xf numFmtId="0" fontId="19" fillId="54" borderId="96" xfId="0" applyFont="1" applyFill="1" applyBorder="1" applyAlignment="1">
      <alignment horizontal="center" vertical="center" wrapText="1"/>
    </xf>
    <xf numFmtId="0" fontId="2" fillId="52" borderId="68" xfId="0" applyFont="1" applyFill="1" applyBorder="1" applyAlignment="1" applyProtection="1">
      <alignment horizontal="center" vertical="center" wrapText="1"/>
      <protection/>
    </xf>
    <xf numFmtId="0" fontId="2" fillId="52" borderId="64" xfId="0" applyFont="1" applyFill="1" applyBorder="1" applyAlignment="1" applyProtection="1">
      <alignment horizontal="center" vertical="center" wrapText="1"/>
      <protection/>
    </xf>
    <xf numFmtId="0" fontId="2" fillId="52" borderId="71" xfId="0" applyFont="1" applyFill="1" applyBorder="1" applyAlignment="1" applyProtection="1">
      <alignment horizontal="center" vertical="center" wrapText="1"/>
      <protection/>
    </xf>
    <xf numFmtId="0" fontId="2" fillId="52" borderId="57" xfId="0" applyFont="1" applyFill="1" applyBorder="1" applyAlignment="1" applyProtection="1">
      <alignment horizontal="center" vertical="center" wrapText="1"/>
      <protection/>
    </xf>
    <xf numFmtId="0" fontId="2" fillId="52" borderId="81" xfId="0" applyFont="1" applyFill="1" applyBorder="1" applyAlignment="1" applyProtection="1">
      <alignment horizontal="center" vertical="center" wrapText="1"/>
      <protection/>
    </xf>
    <xf numFmtId="0" fontId="2" fillId="52" borderId="82" xfId="0"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0" fontId="26" fillId="40" borderId="41" xfId="0" applyFont="1" applyFill="1" applyBorder="1" applyAlignment="1" applyProtection="1">
      <alignment horizontal="center" vertical="center" wrapText="1"/>
      <protection/>
    </xf>
    <xf numFmtId="0" fontId="26" fillId="40" borderId="21" xfId="0" applyFont="1" applyFill="1" applyBorder="1" applyAlignment="1" applyProtection="1">
      <alignment horizontal="center" vertical="center" wrapText="1"/>
      <protection/>
    </xf>
    <xf numFmtId="0" fontId="2" fillId="40" borderId="22" xfId="0" applyFont="1" applyFill="1" applyBorder="1" applyAlignment="1" applyProtection="1">
      <alignment horizontal="center" vertical="center" wrapText="1"/>
      <protection/>
    </xf>
    <xf numFmtId="0" fontId="2" fillId="40" borderId="97" xfId="0" applyFont="1" applyFill="1" applyBorder="1" applyAlignment="1" applyProtection="1">
      <alignment vertical="center"/>
      <protection/>
    </xf>
    <xf numFmtId="0" fontId="2" fillId="40" borderId="98" xfId="0" applyFont="1" applyFill="1" applyBorder="1" applyAlignment="1" applyProtection="1">
      <alignment vertical="center"/>
      <protection/>
    </xf>
    <xf numFmtId="0" fontId="2" fillId="40" borderId="99" xfId="0" applyFont="1" applyFill="1" applyBorder="1" applyAlignment="1" applyProtection="1">
      <alignment horizontal="center" vertical="center" wrapText="1"/>
      <protection/>
    </xf>
    <xf numFmtId="0" fontId="2" fillId="40" borderId="100" xfId="0" applyFont="1" applyFill="1" applyBorder="1" applyAlignment="1" applyProtection="1">
      <alignment horizontal="center" vertical="center"/>
      <protection/>
    </xf>
    <xf numFmtId="0" fontId="2" fillId="40" borderId="16" xfId="0" applyFont="1" applyFill="1" applyBorder="1" applyAlignment="1" applyProtection="1">
      <alignment horizontal="center" vertical="center"/>
      <protection/>
    </xf>
    <xf numFmtId="0" fontId="2" fillId="40" borderId="17" xfId="0" applyFont="1" applyFill="1" applyBorder="1" applyAlignment="1" applyProtection="1">
      <alignment horizontal="center" vertical="center"/>
      <protection/>
    </xf>
    <xf numFmtId="0" fontId="0" fillId="56" borderId="101" xfId="0" applyFill="1" applyBorder="1" applyAlignment="1" applyProtection="1">
      <alignment vertical="center"/>
      <protection/>
    </xf>
    <xf numFmtId="192" fontId="0" fillId="56" borderId="21" xfId="0" applyNumberFormat="1" applyFill="1" applyBorder="1" applyAlignment="1" applyProtection="1">
      <alignment vertical="center"/>
      <protection/>
    </xf>
    <xf numFmtId="181" fontId="1" fillId="56" borderId="102" xfId="52" applyNumberFormat="1" applyFont="1" applyFill="1" applyBorder="1" applyAlignment="1" applyProtection="1">
      <alignment vertical="center"/>
      <protection/>
    </xf>
    <xf numFmtId="181" fontId="1" fillId="56" borderId="103" xfId="52" applyNumberFormat="1" applyFont="1" applyFill="1" applyBorder="1" applyAlignment="1" applyProtection="1">
      <alignment vertical="center"/>
      <protection/>
    </xf>
    <xf numFmtId="181" fontId="1" fillId="56" borderId="103" xfId="52" applyNumberFormat="1" applyFont="1" applyFill="1" applyBorder="1" applyAlignment="1" applyProtection="1">
      <alignment horizontal="right" vertical="center"/>
      <protection/>
    </xf>
    <xf numFmtId="42" fontId="20" fillId="54" borderId="23" xfId="52" applyNumberFormat="1" applyFont="1" applyFill="1" applyBorder="1" applyAlignment="1" applyProtection="1">
      <alignment vertical="center"/>
      <protection/>
    </xf>
    <xf numFmtId="0" fontId="2" fillId="40" borderId="21" xfId="0" applyFont="1" applyFill="1" applyBorder="1" applyAlignment="1" applyProtection="1">
      <alignment horizontal="center" vertical="center" wrapText="1"/>
      <protection/>
    </xf>
    <xf numFmtId="188" fontId="24" fillId="0" borderId="0" xfId="0" applyNumberFormat="1" applyFont="1" applyAlignment="1" applyProtection="1">
      <alignment horizontal="left" vertical="center"/>
      <protection/>
    </xf>
    <xf numFmtId="42" fontId="18" fillId="57" borderId="40" xfId="52" applyNumberFormat="1" applyFont="1" applyFill="1" applyBorder="1" applyAlignment="1" applyProtection="1">
      <alignment vertical="center"/>
      <protection/>
    </xf>
    <xf numFmtId="42" fontId="18" fillId="58" borderId="40" xfId="52" applyNumberFormat="1" applyFont="1" applyFill="1" applyBorder="1" applyAlignment="1" applyProtection="1">
      <alignment vertical="center"/>
      <protection/>
    </xf>
    <xf numFmtId="181" fontId="18" fillId="57" borderId="40" xfId="52" applyNumberFormat="1" applyFont="1" applyFill="1" applyBorder="1" applyAlignment="1" applyProtection="1">
      <alignment vertical="center"/>
      <protection/>
    </xf>
    <xf numFmtId="181" fontId="17" fillId="57" borderId="40" xfId="52" applyNumberFormat="1" applyFont="1" applyFill="1" applyBorder="1" applyAlignment="1" applyProtection="1">
      <alignment vertical="center"/>
      <protection/>
    </xf>
    <xf numFmtId="3" fontId="1" fillId="47" borderId="24" xfId="52" applyNumberFormat="1" applyFont="1" applyFill="1" applyBorder="1" applyAlignment="1" applyProtection="1">
      <alignment vertical="center"/>
      <protection/>
    </xf>
    <xf numFmtId="3" fontId="1" fillId="47" borderId="60" xfId="52" applyNumberFormat="1" applyFont="1" applyFill="1" applyBorder="1" applyAlignment="1" applyProtection="1">
      <alignment vertical="center"/>
      <protection/>
    </xf>
    <xf numFmtId="183" fontId="1" fillId="39" borderId="60" xfId="52" applyNumberFormat="1" applyFont="1" applyFill="1" applyBorder="1" applyAlignment="1" applyProtection="1">
      <alignment vertical="center"/>
      <protection/>
    </xf>
    <xf numFmtId="3" fontId="1" fillId="0" borderId="0" xfId="0" applyNumberFormat="1" applyFont="1" applyAlignment="1" applyProtection="1">
      <alignment vertical="center"/>
      <protection/>
    </xf>
    <xf numFmtId="0" fontId="2" fillId="44" borderId="23" xfId="0" applyFont="1" applyFill="1" applyBorder="1" applyAlignment="1" applyProtection="1">
      <alignment horizontal="center" vertical="center"/>
      <protection/>
    </xf>
    <xf numFmtId="183" fontId="1" fillId="39" borderId="21" xfId="0" applyNumberFormat="1" applyFont="1" applyFill="1" applyBorder="1" applyAlignment="1" applyProtection="1">
      <alignment vertical="center"/>
      <protection/>
    </xf>
    <xf numFmtId="183" fontId="1" fillId="39" borderId="58" xfId="0" applyNumberFormat="1" applyFont="1" applyFill="1" applyBorder="1" applyAlignment="1" applyProtection="1">
      <alignment vertical="center"/>
      <protection/>
    </xf>
    <xf numFmtId="183" fontId="1" fillId="39" borderId="23" xfId="0" applyNumberFormat="1" applyFont="1" applyFill="1" applyBorder="1" applyAlignment="1" applyProtection="1">
      <alignment vertical="center"/>
      <protection/>
    </xf>
    <xf numFmtId="183" fontId="1" fillId="39" borderId="54" xfId="0" applyNumberFormat="1" applyFont="1" applyFill="1" applyBorder="1" applyAlignment="1" applyProtection="1">
      <alignment vertical="center"/>
      <protection/>
    </xf>
    <xf numFmtId="183" fontId="1" fillId="39" borderId="24" xfId="0" applyNumberFormat="1" applyFont="1" applyFill="1" applyBorder="1" applyAlignment="1" applyProtection="1">
      <alignment vertical="center"/>
      <protection/>
    </xf>
    <xf numFmtId="183" fontId="1" fillId="39" borderId="26" xfId="0" applyNumberFormat="1" applyFont="1" applyFill="1" applyBorder="1" applyAlignment="1" applyProtection="1">
      <alignment vertical="center"/>
      <protection/>
    </xf>
    <xf numFmtId="0" fontId="24" fillId="0" borderId="0" xfId="0" applyFont="1" applyAlignment="1" applyProtection="1">
      <alignment vertical="center"/>
      <protection/>
    </xf>
    <xf numFmtId="42" fontId="1" fillId="0" borderId="0" xfId="0" applyNumberFormat="1" applyFont="1" applyAlignment="1" applyProtection="1">
      <alignment vertical="center"/>
      <protection/>
    </xf>
    <xf numFmtId="181" fontId="20" fillId="59" borderId="11" xfId="52" applyNumberFormat="1" applyFont="1" applyFill="1" applyBorder="1" applyAlignment="1" applyProtection="1">
      <alignment vertical="center"/>
      <protection/>
    </xf>
    <xf numFmtId="184" fontId="37" fillId="44" borderId="11" xfId="50" applyFont="1" applyFill="1" applyBorder="1" applyAlignment="1" applyProtection="1">
      <alignment vertical="center"/>
      <protection/>
    </xf>
    <xf numFmtId="181" fontId="20" fillId="35" borderId="11" xfId="52" applyNumberFormat="1" applyFont="1" applyFill="1" applyBorder="1" applyAlignment="1" applyProtection="1">
      <alignment vertical="center"/>
      <protection/>
    </xf>
    <xf numFmtId="181" fontId="20" fillId="37" borderId="18" xfId="52" applyNumberFormat="1" applyFont="1" applyFill="1" applyBorder="1" applyAlignment="1" applyProtection="1">
      <alignment vertical="center"/>
      <protection/>
    </xf>
    <xf numFmtId="181" fontId="0" fillId="58" borderId="40" xfId="52" applyNumberFormat="1" applyFont="1" applyFill="1" applyBorder="1" applyAlignment="1" applyProtection="1">
      <alignment vertical="center"/>
      <protection/>
    </xf>
    <xf numFmtId="42" fontId="0" fillId="58" borderId="40" xfId="52" applyNumberFormat="1" applyFont="1" applyFill="1" applyBorder="1" applyAlignment="1" applyProtection="1">
      <alignment vertical="center"/>
      <protection/>
    </xf>
    <xf numFmtId="181" fontId="18" fillId="58" borderId="44" xfId="52" applyNumberFormat="1" applyFont="1" applyFill="1" applyBorder="1" applyAlignment="1" applyProtection="1">
      <alignment vertical="center"/>
      <protection/>
    </xf>
    <xf numFmtId="42" fontId="0" fillId="57" borderId="40" xfId="52" applyNumberFormat="1" applyFont="1" applyFill="1" applyBorder="1" applyAlignment="1" applyProtection="1">
      <alignment vertical="center"/>
      <protection/>
    </xf>
    <xf numFmtId="0" fontId="27" fillId="0" borderId="23" xfId="0" applyFont="1" applyFill="1" applyBorder="1" applyAlignment="1" applyProtection="1">
      <alignment vertical="center"/>
      <protection/>
    </xf>
    <xf numFmtId="0" fontId="2" fillId="60" borderId="23" xfId="0" applyFont="1" applyFill="1" applyBorder="1" applyAlignment="1" applyProtection="1">
      <alignment horizontal="center" vertical="center"/>
      <protection/>
    </xf>
    <xf numFmtId="0" fontId="20" fillId="40" borderId="16" xfId="0" applyFont="1" applyFill="1" applyBorder="1" applyAlignment="1" applyProtection="1">
      <alignment horizontal="center" vertical="center"/>
      <protection/>
    </xf>
    <xf numFmtId="181" fontId="37" fillId="56" borderId="103" xfId="52" applyNumberFormat="1" applyFont="1" applyFill="1" applyBorder="1" applyAlignment="1" applyProtection="1">
      <alignment vertical="center"/>
      <protection/>
    </xf>
    <xf numFmtId="0" fontId="80" fillId="0" borderId="0" xfId="0" applyFont="1" applyAlignment="1" applyProtection="1">
      <alignment vertical="center"/>
      <protection/>
    </xf>
    <xf numFmtId="0" fontId="1" fillId="0" borderId="23" xfId="0" applyFont="1" applyBorder="1" applyAlignment="1" applyProtection="1">
      <alignment vertical="center"/>
      <protection/>
    </xf>
    <xf numFmtId="3" fontId="1" fillId="0" borderId="23" xfId="0" applyNumberFormat="1" applyFont="1" applyBorder="1" applyAlignment="1" applyProtection="1">
      <alignment horizontal="center" vertical="center"/>
      <protection/>
    </xf>
    <xf numFmtId="0" fontId="81" fillId="0" borderId="104" xfId="0" applyFont="1" applyBorder="1" applyAlignment="1" applyProtection="1">
      <alignment horizontal="right" vertical="center"/>
      <protection/>
    </xf>
    <xf numFmtId="0" fontId="81" fillId="0" borderId="87" xfId="0" applyFont="1" applyBorder="1" applyAlignment="1" applyProtection="1">
      <alignment horizontal="center" vertical="center"/>
      <protection/>
    </xf>
    <xf numFmtId="0" fontId="81" fillId="0" borderId="0" xfId="0" applyFont="1" applyBorder="1" applyAlignment="1" applyProtection="1">
      <alignment horizontal="right" vertical="center"/>
      <protection/>
    </xf>
    <xf numFmtId="0" fontId="81" fillId="0" borderId="0" xfId="0" applyFont="1" applyBorder="1" applyAlignment="1" applyProtection="1">
      <alignment horizontal="center" vertical="center"/>
      <protection/>
    </xf>
    <xf numFmtId="192" fontId="1" fillId="0" borderId="23" xfId="0" applyNumberFormat="1" applyFont="1" applyBorder="1" applyAlignment="1" applyProtection="1">
      <alignment vertical="center"/>
      <protection/>
    </xf>
    <xf numFmtId="3" fontId="82" fillId="0" borderId="0" xfId="0" applyNumberFormat="1" applyFont="1" applyAlignment="1" applyProtection="1">
      <alignment vertical="center"/>
      <protection/>
    </xf>
    <xf numFmtId="203" fontId="1" fillId="0" borderId="23" xfId="0" applyNumberFormat="1" applyFont="1" applyBorder="1" applyAlignment="1" applyProtection="1">
      <alignment horizontal="right" vertical="center"/>
      <protection/>
    </xf>
    <xf numFmtId="192" fontId="2" fillId="0" borderId="23" xfId="0" applyNumberFormat="1" applyFont="1" applyBorder="1" applyAlignment="1" applyProtection="1">
      <alignment vertical="center"/>
      <protection/>
    </xf>
    <xf numFmtId="0" fontId="2" fillId="61" borderId="23" xfId="0" applyFont="1" applyFill="1" applyBorder="1" applyAlignment="1" applyProtection="1">
      <alignment vertical="center"/>
      <protection/>
    </xf>
    <xf numFmtId="3" fontId="1" fillId="0" borderId="23" xfId="0" applyNumberFormat="1" applyFont="1" applyBorder="1" applyAlignment="1" applyProtection="1">
      <alignment vertical="center"/>
      <protection/>
    </xf>
    <xf numFmtId="3" fontId="2" fillId="0" borderId="23" xfId="0" applyNumberFormat="1" applyFont="1" applyBorder="1" applyAlignment="1" applyProtection="1">
      <alignment vertical="center"/>
      <protection/>
    </xf>
    <xf numFmtId="192" fontId="0" fillId="0" borderId="23" xfId="0" applyNumberFormat="1" applyFont="1" applyBorder="1" applyAlignment="1" applyProtection="1">
      <alignment horizontal="right" vertical="center"/>
      <protection/>
    </xf>
    <xf numFmtId="199" fontId="0" fillId="0" borderId="23" xfId="52" applyNumberFormat="1" applyBorder="1" applyAlignment="1" applyProtection="1">
      <alignment vertical="center"/>
      <protection/>
    </xf>
    <xf numFmtId="0" fontId="1" fillId="0" borderId="25" xfId="0" applyFont="1" applyBorder="1" applyAlignment="1" applyProtection="1">
      <alignment vertical="center"/>
      <protection/>
    </xf>
    <xf numFmtId="0" fontId="2" fillId="0" borderId="23" xfId="0" applyFont="1" applyBorder="1" applyAlignment="1" applyProtection="1">
      <alignment horizontal="center" vertical="center"/>
      <protection/>
    </xf>
    <xf numFmtId="199" fontId="2" fillId="0" borderId="23" xfId="0" applyNumberFormat="1" applyFont="1" applyBorder="1" applyAlignment="1" applyProtection="1">
      <alignment vertical="center"/>
      <protection/>
    </xf>
    <xf numFmtId="183" fontId="1" fillId="39" borderId="105" xfId="0" applyNumberFormat="1" applyFont="1" applyFill="1" applyBorder="1" applyAlignment="1" applyProtection="1">
      <alignment vertical="center"/>
      <protection/>
    </xf>
    <xf numFmtId="3" fontId="1" fillId="47" borderId="106" xfId="52" applyNumberFormat="1" applyFont="1" applyFill="1" applyBorder="1" applyAlignment="1" applyProtection="1">
      <alignment vertical="center"/>
      <protection/>
    </xf>
    <xf numFmtId="3" fontId="1" fillId="47" borderId="95" xfId="52" applyNumberFormat="1" applyFont="1" applyFill="1" applyBorder="1" applyAlignment="1" applyProtection="1">
      <alignment vertical="center"/>
      <protection/>
    </xf>
    <xf numFmtId="183" fontId="1" fillId="39" borderId="34" xfId="52" applyNumberFormat="1" applyFont="1" applyFill="1" applyBorder="1" applyAlignment="1" applyProtection="1">
      <alignment vertical="center"/>
      <protection/>
    </xf>
    <xf numFmtId="183" fontId="80" fillId="39" borderId="51" xfId="52" applyNumberFormat="1" applyFont="1" applyFill="1" applyBorder="1" applyAlignment="1" applyProtection="1">
      <alignment vertical="center"/>
      <protection/>
    </xf>
    <xf numFmtId="183" fontId="80" fillId="39" borderId="23" xfId="52" applyNumberFormat="1" applyFont="1" applyFill="1" applyBorder="1" applyAlignment="1" applyProtection="1">
      <alignment vertical="center"/>
      <protection/>
    </xf>
    <xf numFmtId="183" fontId="80" fillId="39" borderId="23" xfId="0" applyNumberFormat="1" applyFont="1" applyFill="1" applyBorder="1" applyAlignment="1" applyProtection="1">
      <alignment vertical="center"/>
      <protection/>
    </xf>
    <xf numFmtId="183" fontId="80" fillId="39" borderId="30" xfId="0" applyNumberFormat="1" applyFont="1" applyFill="1" applyBorder="1" applyAlignment="1" applyProtection="1">
      <alignment vertical="center"/>
      <protection/>
    </xf>
    <xf numFmtId="199" fontId="1" fillId="0" borderId="0" xfId="0" applyNumberFormat="1" applyFont="1" applyAlignment="1" applyProtection="1">
      <alignment vertical="center"/>
      <protection/>
    </xf>
    <xf numFmtId="9" fontId="0" fillId="0" borderId="0" xfId="57" applyAlignment="1" applyProtection="1">
      <alignment vertical="center"/>
      <protection/>
    </xf>
    <xf numFmtId="199" fontId="1" fillId="0" borderId="23" xfId="0" applyNumberFormat="1" applyFont="1" applyBorder="1" applyAlignment="1" applyProtection="1">
      <alignment vertical="center"/>
      <protection/>
    </xf>
    <xf numFmtId="199" fontId="1" fillId="62" borderId="23" xfId="0" applyNumberFormat="1" applyFont="1" applyFill="1" applyBorder="1" applyAlignment="1" applyProtection="1">
      <alignment vertical="center"/>
      <protection/>
    </xf>
    <xf numFmtId="0" fontId="2" fillId="62" borderId="23" xfId="0" applyFont="1" applyFill="1" applyBorder="1" applyAlignment="1" applyProtection="1">
      <alignment vertical="center"/>
      <protection/>
    </xf>
    <xf numFmtId="199" fontId="2" fillId="0" borderId="23" xfId="0" applyNumberFormat="1" applyFont="1" applyBorder="1" applyAlignment="1" applyProtection="1">
      <alignment horizontal="center" vertical="center"/>
      <protection/>
    </xf>
    <xf numFmtId="0" fontId="2" fillId="63" borderId="0" xfId="0" applyFont="1" applyFill="1" applyBorder="1" applyAlignment="1" applyProtection="1">
      <alignment horizontal="center" vertical="center" wrapText="1"/>
      <protection/>
    </xf>
    <xf numFmtId="192" fontId="0" fillId="64" borderId="0" xfId="0" applyNumberFormat="1" applyFill="1" applyBorder="1" applyAlignment="1" applyProtection="1">
      <alignment vertical="center"/>
      <protection/>
    </xf>
    <xf numFmtId="192" fontId="32" fillId="64" borderId="0" xfId="0" applyNumberFormat="1" applyFont="1" applyFill="1" applyBorder="1" applyAlignment="1" applyProtection="1">
      <alignment vertical="center"/>
      <protection/>
    </xf>
    <xf numFmtId="0" fontId="2" fillId="65" borderId="0" xfId="0" applyFont="1" applyFill="1" applyBorder="1" applyAlignment="1" applyProtection="1">
      <alignment vertical="center"/>
      <protection/>
    </xf>
    <xf numFmtId="192" fontId="20" fillId="65" borderId="0" xfId="0" applyNumberFormat="1" applyFont="1" applyFill="1" applyBorder="1" applyAlignment="1" applyProtection="1">
      <alignment vertical="center"/>
      <protection/>
    </xf>
    <xf numFmtId="4" fontId="2" fillId="60" borderId="23" xfId="0" applyNumberFormat="1" applyFont="1" applyFill="1" applyBorder="1" applyAlignment="1" applyProtection="1">
      <alignment horizontal="center" vertical="center"/>
      <protection/>
    </xf>
    <xf numFmtId="199" fontId="0" fillId="0" borderId="0" xfId="52" applyNumberFormat="1" applyBorder="1" applyAlignment="1" applyProtection="1">
      <alignment horizontal="center" vertical="center"/>
      <protection/>
    </xf>
    <xf numFmtId="199" fontId="0" fillId="0" borderId="0" xfId="52" applyNumberFormat="1" applyAlignment="1" applyProtection="1">
      <alignment vertical="center"/>
      <protection/>
    </xf>
    <xf numFmtId="199" fontId="0" fillId="0" borderId="0" xfId="52" applyNumberFormat="1" applyFill="1" applyAlignment="1" applyProtection="1">
      <alignment vertical="center"/>
      <protection/>
    </xf>
    <xf numFmtId="199" fontId="0" fillId="37" borderId="14" xfId="52" applyNumberFormat="1" applyFill="1" applyBorder="1" applyAlignment="1" applyProtection="1">
      <alignment horizontal="center" vertical="center" wrapText="1"/>
      <protection/>
    </xf>
    <xf numFmtId="199" fontId="0" fillId="37" borderId="107" xfId="52" applyNumberFormat="1" applyFill="1" applyBorder="1" applyAlignment="1" applyProtection="1">
      <alignment horizontal="center" vertical="center" wrapText="1"/>
      <protection/>
    </xf>
    <xf numFmtId="199" fontId="0" fillId="66" borderId="108" xfId="52" applyNumberFormat="1" applyFill="1" applyBorder="1" applyAlignment="1" applyProtection="1">
      <alignment vertical="center"/>
      <protection/>
    </xf>
    <xf numFmtId="199" fontId="0" fillId="66" borderId="95" xfId="52" applyNumberFormat="1" applyFill="1" applyBorder="1" applyAlignment="1" applyProtection="1">
      <alignment vertical="center"/>
      <protection/>
    </xf>
    <xf numFmtId="199" fontId="0" fillId="66" borderId="39" xfId="52" applyNumberFormat="1" applyFill="1" applyBorder="1" applyAlignment="1" applyProtection="1">
      <alignment vertical="center"/>
      <protection/>
    </xf>
    <xf numFmtId="199" fontId="0" fillId="66" borderId="106" xfId="52" applyNumberFormat="1" applyFill="1" applyBorder="1" applyAlignment="1" applyProtection="1">
      <alignment vertical="center"/>
      <protection/>
    </xf>
    <xf numFmtId="199" fontId="0" fillId="66" borderId="109" xfId="52" applyNumberFormat="1" applyFill="1" applyBorder="1" applyAlignment="1" applyProtection="1">
      <alignment vertical="center"/>
      <protection/>
    </xf>
    <xf numFmtId="199" fontId="0" fillId="66" borderId="34" xfId="52" applyNumberFormat="1" applyFill="1" applyBorder="1" applyAlignment="1" applyProtection="1">
      <alignment vertical="center"/>
      <protection/>
    </xf>
    <xf numFmtId="199" fontId="0" fillId="66" borderId="23" xfId="52" applyNumberFormat="1" applyFill="1" applyBorder="1" applyAlignment="1" applyProtection="1">
      <alignment vertical="center"/>
      <protection/>
    </xf>
    <xf numFmtId="199" fontId="0" fillId="34" borderId="110" xfId="52" applyNumberFormat="1" applyFill="1" applyBorder="1" applyAlignment="1" applyProtection="1">
      <alignment vertical="center" wrapText="1"/>
      <protection/>
    </xf>
    <xf numFmtId="199" fontId="0" fillId="67" borderId="23" xfId="52" applyNumberFormat="1" applyFill="1" applyBorder="1" applyAlignment="1" applyProtection="1">
      <alignment vertical="center"/>
      <protection/>
    </xf>
    <xf numFmtId="199" fontId="2" fillId="67" borderId="23" xfId="0" applyNumberFormat="1" applyFont="1" applyFill="1" applyBorder="1" applyAlignment="1" applyProtection="1">
      <alignment vertical="center"/>
      <protection/>
    </xf>
    <xf numFmtId="9" fontId="1" fillId="0" borderId="0" xfId="0" applyNumberFormat="1" applyFont="1" applyAlignment="1" applyProtection="1">
      <alignment vertical="center"/>
      <protection/>
    </xf>
    <xf numFmtId="0" fontId="0" fillId="56" borderId="0" xfId="0" applyFill="1" applyBorder="1" applyAlignment="1" applyProtection="1">
      <alignment vertical="center"/>
      <protection/>
    </xf>
    <xf numFmtId="192" fontId="0" fillId="56" borderId="0" xfId="0" applyNumberFormat="1" applyFill="1" applyBorder="1" applyAlignment="1" applyProtection="1">
      <alignment vertical="center"/>
      <protection/>
    </xf>
    <xf numFmtId="181" fontId="1" fillId="56" borderId="0" xfId="52" applyNumberFormat="1" applyFont="1" applyFill="1" applyBorder="1" applyAlignment="1" applyProtection="1">
      <alignment vertical="center"/>
      <protection/>
    </xf>
    <xf numFmtId="181" fontId="37" fillId="56" borderId="0" xfId="52" applyNumberFormat="1" applyFont="1" applyFill="1" applyBorder="1" applyAlignment="1" applyProtection="1">
      <alignment vertical="center"/>
      <protection/>
    </xf>
    <xf numFmtId="181" fontId="1" fillId="56" borderId="0" xfId="52" applyNumberFormat="1" applyFont="1" applyFill="1" applyBorder="1" applyAlignment="1" applyProtection="1">
      <alignment horizontal="right" vertical="center"/>
      <protection/>
    </xf>
    <xf numFmtId="181" fontId="1" fillId="56" borderId="12" xfId="52" applyNumberFormat="1" applyFont="1" applyFill="1" applyBorder="1" applyAlignment="1" applyProtection="1">
      <alignment vertical="center"/>
      <protection/>
    </xf>
    <xf numFmtId="181" fontId="1" fillId="56" borderId="23" xfId="52" applyNumberFormat="1" applyFont="1" applyFill="1" applyBorder="1" applyAlignment="1" applyProtection="1">
      <alignment vertical="center"/>
      <protection/>
    </xf>
    <xf numFmtId="181" fontId="0" fillId="65" borderId="0" xfId="0" applyNumberFormat="1" applyFill="1" applyBorder="1" applyAlignment="1" applyProtection="1">
      <alignment/>
      <protection/>
    </xf>
    <xf numFmtId="199" fontId="0" fillId="65" borderId="0" xfId="52" applyNumberFormat="1" applyFill="1" applyBorder="1" applyAlignment="1" applyProtection="1">
      <alignment vertical="center"/>
      <protection/>
    </xf>
    <xf numFmtId="199" fontId="83" fillId="65" borderId="0" xfId="52" applyNumberFormat="1" applyFont="1" applyFill="1" applyBorder="1" applyAlignment="1" applyProtection="1">
      <alignment vertical="center"/>
      <protection/>
    </xf>
    <xf numFmtId="0" fontId="28" fillId="68" borderId="0" xfId="0" applyFont="1" applyFill="1" applyBorder="1" applyAlignment="1" applyProtection="1">
      <alignment/>
      <protection/>
    </xf>
    <xf numFmtId="0" fontId="26" fillId="65" borderId="0" xfId="0" applyFont="1" applyFill="1" applyBorder="1" applyAlignment="1" applyProtection="1">
      <alignment vertical="center"/>
      <protection/>
    </xf>
    <xf numFmtId="199" fontId="84" fillId="65" borderId="0" xfId="52" applyNumberFormat="1" applyFont="1" applyFill="1" applyBorder="1" applyAlignment="1" applyProtection="1">
      <alignment vertical="center"/>
      <protection/>
    </xf>
    <xf numFmtId="181" fontId="20" fillId="56" borderId="20" xfId="52" applyNumberFormat="1" applyFont="1" applyFill="1" applyBorder="1" applyAlignment="1" applyProtection="1">
      <alignment vertical="center"/>
      <protection/>
    </xf>
    <xf numFmtId="181" fontId="2" fillId="56" borderId="23" xfId="52" applyNumberFormat="1" applyFont="1" applyFill="1" applyBorder="1" applyAlignment="1" applyProtection="1">
      <alignment vertical="center"/>
      <protection/>
    </xf>
    <xf numFmtId="0" fontId="0" fillId="56" borderId="111" xfId="0" applyFill="1" applyBorder="1" applyAlignment="1" applyProtection="1">
      <alignment vertical="center"/>
      <protection/>
    </xf>
    <xf numFmtId="0" fontId="0" fillId="56" borderId="23" xfId="0" applyFill="1" applyBorder="1" applyAlignment="1" applyProtection="1">
      <alignment vertical="center"/>
      <protection/>
    </xf>
    <xf numFmtId="0" fontId="0" fillId="0" borderId="0" xfId="0" applyAlignment="1">
      <alignment horizontal="center"/>
    </xf>
    <xf numFmtId="0" fontId="0" fillId="0" borderId="23" xfId="0" applyBorder="1" applyAlignment="1">
      <alignment/>
    </xf>
    <xf numFmtId="1" fontId="0" fillId="0" borderId="23" xfId="0" applyNumberFormat="1" applyBorder="1" applyAlignment="1">
      <alignment horizontal="center"/>
    </xf>
    <xf numFmtId="0" fontId="0" fillId="0" borderId="23" xfId="0" applyBorder="1" applyAlignment="1">
      <alignment horizontal="center"/>
    </xf>
    <xf numFmtId="1" fontId="19" fillId="0" borderId="23" xfId="0" applyNumberFormat="1" applyFont="1" applyBorder="1" applyAlignment="1">
      <alignment horizontal="center"/>
    </xf>
    <xf numFmtId="0" fontId="19" fillId="0" borderId="0" xfId="0" applyFont="1" applyAlignment="1">
      <alignment horizontal="center"/>
    </xf>
    <xf numFmtId="0" fontId="41" fillId="65" borderId="0" xfId="0" applyFont="1" applyFill="1" applyBorder="1" applyAlignment="1" applyProtection="1">
      <alignment/>
      <protection/>
    </xf>
    <xf numFmtId="181" fontId="42" fillId="65" borderId="0" xfId="0" applyNumberFormat="1" applyFont="1" applyFill="1" applyBorder="1" applyAlignment="1" applyProtection="1">
      <alignment/>
      <protection/>
    </xf>
    <xf numFmtId="0" fontId="2" fillId="61" borderId="23" xfId="0"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2" fillId="0" borderId="34" xfId="0" applyFont="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1" fontId="1" fillId="34" borderId="11" xfId="0" applyNumberFormat="1" applyFont="1" applyFill="1" applyBorder="1" applyAlignment="1" applyProtection="1">
      <alignment horizontal="center" vertical="center" wrapText="1"/>
      <protection/>
    </xf>
    <xf numFmtId="0" fontId="2" fillId="40" borderId="11" xfId="0" applyFont="1" applyFill="1" applyBorder="1" applyAlignment="1" applyProtection="1">
      <alignment vertical="center" wrapText="1"/>
      <protection/>
    </xf>
    <xf numFmtId="0" fontId="2" fillId="40" borderId="12" xfId="0" applyFont="1" applyFill="1" applyBorder="1" applyAlignment="1" applyProtection="1">
      <alignment vertical="center" wrapText="1"/>
      <protection/>
    </xf>
    <xf numFmtId="0" fontId="2" fillId="0" borderId="0" xfId="0" applyFont="1" applyBorder="1" applyAlignment="1" applyProtection="1">
      <alignment horizontal="center" vertical="center"/>
      <protection/>
    </xf>
    <xf numFmtId="0" fontId="2" fillId="0" borderId="34" xfId="0" applyFont="1" applyBorder="1" applyAlignment="1" applyProtection="1">
      <alignment horizontal="right" vertical="center"/>
      <protection/>
    </xf>
    <xf numFmtId="0" fontId="8" fillId="0" borderId="15"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1" fontId="82" fillId="34" borderId="112" xfId="0" applyNumberFormat="1" applyFont="1" applyFill="1" applyBorder="1" applyAlignment="1" applyProtection="1">
      <alignment horizontal="center" vertical="center" wrapText="1"/>
      <protection/>
    </xf>
    <xf numFmtId="0" fontId="82" fillId="34" borderId="113" xfId="0" applyFont="1" applyFill="1" applyBorder="1" applyAlignment="1" applyProtection="1">
      <alignment horizontal="center" vertical="center" wrapText="1"/>
      <protection/>
    </xf>
    <xf numFmtId="0" fontId="82" fillId="34" borderId="114" xfId="0" applyFont="1" applyFill="1" applyBorder="1" applyAlignment="1" applyProtection="1">
      <alignment horizontal="center" vertical="center" wrapText="1"/>
      <protection/>
    </xf>
    <xf numFmtId="0" fontId="2" fillId="49" borderId="115" xfId="0" applyFont="1" applyFill="1" applyBorder="1" applyAlignment="1" applyProtection="1">
      <alignment horizontal="center" vertical="center" wrapText="1"/>
      <protection/>
    </xf>
    <xf numFmtId="0" fontId="2" fillId="49" borderId="116" xfId="0" applyFont="1" applyFill="1" applyBorder="1" applyAlignment="1" applyProtection="1">
      <alignment horizontal="center" vertical="center" wrapText="1"/>
      <protection/>
    </xf>
    <xf numFmtId="0" fontId="2" fillId="49" borderId="117" xfId="0" applyFont="1" applyFill="1" applyBorder="1" applyAlignment="1" applyProtection="1">
      <alignment horizontal="center" vertical="center" wrapText="1"/>
      <protection/>
    </xf>
    <xf numFmtId="1" fontId="1" fillId="34" borderId="112" xfId="0" applyNumberFormat="1" applyFont="1" applyFill="1" applyBorder="1" applyAlignment="1" applyProtection="1">
      <alignment horizontal="center" vertical="center" wrapText="1"/>
      <protection/>
    </xf>
    <xf numFmtId="0" fontId="1" fillId="34" borderId="113" xfId="0" applyFont="1" applyFill="1" applyBorder="1" applyAlignment="1" applyProtection="1">
      <alignment horizontal="center" vertical="center" wrapText="1"/>
      <protection/>
    </xf>
    <xf numFmtId="0" fontId="1" fillId="34" borderId="114" xfId="0" applyFont="1" applyFill="1" applyBorder="1" applyAlignment="1" applyProtection="1">
      <alignment horizontal="center" vertical="center" wrapText="1"/>
      <protection/>
    </xf>
    <xf numFmtId="0" fontId="8" fillId="34" borderId="118" xfId="0" applyFont="1" applyFill="1" applyBorder="1" applyAlignment="1" applyProtection="1">
      <alignment horizontal="center" vertical="center" wrapText="1"/>
      <protection/>
    </xf>
    <xf numFmtId="0" fontId="8" fillId="34" borderId="119" xfId="0" applyFont="1" applyFill="1" applyBorder="1" applyAlignment="1" applyProtection="1">
      <alignment horizontal="center" vertical="center" wrapText="1"/>
      <protection/>
    </xf>
    <xf numFmtId="0" fontId="8" fillId="34" borderId="120" xfId="0" applyFont="1" applyFill="1" applyBorder="1" applyAlignment="1" applyProtection="1">
      <alignment horizontal="center" vertical="center" wrapText="1"/>
      <protection/>
    </xf>
    <xf numFmtId="0" fontId="8" fillId="37" borderId="69" xfId="0" applyFont="1" applyFill="1" applyBorder="1" applyAlignment="1" applyProtection="1">
      <alignment horizontal="center" vertical="center" wrapText="1"/>
      <protection/>
    </xf>
    <xf numFmtId="0" fontId="8" fillId="37" borderId="121" xfId="0" applyFont="1" applyFill="1" applyBorder="1" applyAlignment="1" applyProtection="1">
      <alignment horizontal="center" vertical="center" wrapText="1"/>
      <protection/>
    </xf>
    <xf numFmtId="0" fontId="8" fillId="37" borderId="93" xfId="0" applyFont="1" applyFill="1" applyBorder="1" applyAlignment="1" applyProtection="1">
      <alignment horizontal="center" vertical="center" wrapText="1"/>
      <protection/>
    </xf>
    <xf numFmtId="180" fontId="2" fillId="0" borderId="23" xfId="52" applyFont="1" applyFill="1" applyBorder="1" applyAlignment="1" applyProtection="1">
      <alignment horizontal="right" vertical="center"/>
      <protection/>
    </xf>
    <xf numFmtId="0" fontId="2" fillId="40" borderId="12" xfId="0" applyFont="1" applyFill="1" applyBorder="1" applyAlignment="1" applyProtection="1">
      <alignment horizontal="center" vertical="center" wrapText="1"/>
      <protection/>
    </xf>
    <xf numFmtId="0" fontId="2" fillId="40" borderId="54" xfId="0" applyFont="1" applyFill="1" applyBorder="1" applyAlignment="1" applyProtection="1">
      <alignment horizontal="center" vertical="center" wrapText="1"/>
      <protection/>
    </xf>
    <xf numFmtId="0" fontId="2" fillId="40" borderId="56" xfId="0" applyFont="1" applyFill="1" applyBorder="1" applyAlignment="1" applyProtection="1">
      <alignment horizontal="center" vertical="center" wrapText="1"/>
      <protection/>
    </xf>
    <xf numFmtId="0" fontId="2" fillId="40" borderId="105" xfId="0" applyFont="1" applyFill="1" applyBorder="1" applyAlignment="1" applyProtection="1">
      <alignment horizontal="center" vertical="center" wrapText="1"/>
      <protection/>
    </xf>
    <xf numFmtId="0" fontId="2" fillId="55" borderId="115" xfId="0" applyFont="1" applyFill="1" applyBorder="1" applyAlignment="1" applyProtection="1">
      <alignment horizontal="center" vertical="center" wrapText="1"/>
      <protection/>
    </xf>
    <xf numFmtId="0" fontId="2" fillId="55" borderId="116" xfId="0" applyFont="1" applyFill="1" applyBorder="1" applyAlignment="1" applyProtection="1">
      <alignment horizontal="center" vertical="center" wrapText="1"/>
      <protection/>
    </xf>
    <xf numFmtId="0" fontId="2" fillId="55" borderId="117" xfId="0" applyFont="1" applyFill="1" applyBorder="1" applyAlignment="1" applyProtection="1">
      <alignment horizontal="center" vertical="center" wrapText="1"/>
      <protection/>
    </xf>
    <xf numFmtId="0" fontId="2" fillId="69" borderId="115" xfId="0" applyFont="1" applyFill="1" applyBorder="1" applyAlignment="1" applyProtection="1">
      <alignment horizontal="center" vertical="center" wrapText="1"/>
      <protection/>
    </xf>
    <xf numFmtId="0" fontId="2" fillId="69" borderId="116" xfId="0" applyFont="1" applyFill="1" applyBorder="1" applyAlignment="1" applyProtection="1">
      <alignment horizontal="center" vertical="center" wrapText="1"/>
      <protection/>
    </xf>
    <xf numFmtId="0" fontId="2" fillId="69" borderId="117" xfId="0" applyFont="1" applyFill="1" applyBorder="1" applyAlignment="1" applyProtection="1">
      <alignment horizontal="center" vertical="center" wrapText="1"/>
      <protection/>
    </xf>
    <xf numFmtId="0" fontId="2" fillId="70" borderId="115" xfId="0" applyFont="1" applyFill="1" applyBorder="1" applyAlignment="1" applyProtection="1">
      <alignment horizontal="center" vertical="center" wrapText="1"/>
      <protection/>
    </xf>
    <xf numFmtId="0" fontId="2" fillId="70" borderId="116" xfId="0" applyFont="1" applyFill="1" applyBorder="1" applyAlignment="1" applyProtection="1">
      <alignment horizontal="center" vertical="center" wrapText="1"/>
      <protection/>
    </xf>
    <xf numFmtId="0" fontId="2" fillId="70" borderId="117" xfId="0" applyFont="1" applyFill="1" applyBorder="1" applyAlignment="1" applyProtection="1">
      <alignment horizontal="center" vertical="center" wrapText="1"/>
      <protection/>
    </xf>
    <xf numFmtId="0" fontId="1" fillId="34" borderId="122" xfId="0" applyFont="1" applyFill="1" applyBorder="1" applyAlignment="1" applyProtection="1">
      <alignment horizontal="center" vertical="center" wrapText="1"/>
      <protection/>
    </xf>
    <xf numFmtId="0" fontId="1" fillId="34" borderId="112" xfId="0" applyFont="1" applyFill="1" applyBorder="1" applyAlignment="1" applyProtection="1">
      <alignment horizontal="center" vertical="center" wrapText="1"/>
      <protection/>
    </xf>
    <xf numFmtId="1" fontId="1" fillId="34" borderId="113" xfId="0" applyNumberFormat="1" applyFont="1" applyFill="1" applyBorder="1" applyAlignment="1" applyProtection="1">
      <alignment horizontal="center" vertical="center" wrapText="1"/>
      <protection/>
    </xf>
    <xf numFmtId="0" fontId="2" fillId="61" borderId="23" xfId="0" applyFont="1" applyFill="1" applyBorder="1" applyAlignment="1" applyProtection="1">
      <alignment horizontal="center" vertical="center"/>
      <protection/>
    </xf>
    <xf numFmtId="0" fontId="80" fillId="61" borderId="23" xfId="0" applyFont="1" applyFill="1" applyBorder="1" applyAlignment="1" applyProtection="1">
      <alignment horizontal="center" vertical="center"/>
      <protection/>
    </xf>
    <xf numFmtId="0" fontId="1" fillId="65" borderId="23" xfId="0" applyFont="1" applyFill="1" applyBorder="1" applyAlignment="1" applyProtection="1">
      <alignment horizontal="right" vertical="center"/>
      <protection/>
    </xf>
    <xf numFmtId="0" fontId="2" fillId="65" borderId="23" xfId="0" applyFont="1" applyFill="1" applyBorder="1" applyAlignment="1" applyProtection="1">
      <alignment horizontal="center" vertical="center"/>
      <protection/>
    </xf>
    <xf numFmtId="181" fontId="4" fillId="71" borderId="123" xfId="52" applyNumberFormat="1" applyFont="1" applyFill="1" applyBorder="1" applyAlignment="1" applyProtection="1">
      <alignment horizontal="center" vertical="center"/>
      <protection/>
    </xf>
    <xf numFmtId="181" fontId="4" fillId="71" borderId="124" xfId="52" applyNumberFormat="1" applyFont="1" applyFill="1" applyBorder="1" applyAlignment="1" applyProtection="1">
      <alignment horizontal="center" vertical="center"/>
      <protection/>
    </xf>
    <xf numFmtId="181" fontId="4" fillId="71" borderId="125" xfId="52" applyNumberFormat="1" applyFont="1" applyFill="1" applyBorder="1" applyAlignment="1" applyProtection="1">
      <alignment horizontal="center" vertical="center"/>
      <protection/>
    </xf>
    <xf numFmtId="0" fontId="4" fillId="45" borderId="70" xfId="0" applyFont="1" applyFill="1" applyBorder="1" applyAlignment="1" applyProtection="1">
      <alignment horizontal="left" vertical="center"/>
      <protection/>
    </xf>
    <xf numFmtId="0" fontId="4" fillId="45" borderId="126" xfId="0" applyFont="1" applyFill="1" applyBorder="1" applyAlignment="1" applyProtection="1">
      <alignment horizontal="left" vertical="center"/>
      <protection/>
    </xf>
    <xf numFmtId="0" fontId="4" fillId="72" borderId="70" xfId="0" applyFont="1" applyFill="1" applyBorder="1" applyAlignment="1" applyProtection="1">
      <alignment horizontal="left" vertical="center"/>
      <protection/>
    </xf>
    <xf numFmtId="0" fontId="4" fillId="72" borderId="126" xfId="0" applyFont="1" applyFill="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8" fillId="34" borderId="25" xfId="0" applyFont="1" applyFill="1" applyBorder="1" applyAlignment="1" applyProtection="1">
      <alignment horizontal="center" vertical="center"/>
      <protection/>
    </xf>
    <xf numFmtId="0" fontId="8" fillId="34" borderId="95" xfId="0" applyFont="1" applyFill="1" applyBorder="1" applyAlignment="1" applyProtection="1">
      <alignment horizontal="center" vertical="center"/>
      <protection/>
    </xf>
    <xf numFmtId="0" fontId="4" fillId="35" borderId="127"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40" borderId="12" xfId="0" applyFont="1" applyFill="1" applyBorder="1" applyAlignment="1" applyProtection="1">
      <alignment vertical="center"/>
      <protection/>
    </xf>
    <xf numFmtId="0" fontId="4" fillId="36" borderId="43" xfId="0" applyFont="1" applyFill="1" applyBorder="1" applyAlignment="1" applyProtection="1">
      <alignment vertical="center"/>
      <protection/>
    </xf>
    <xf numFmtId="0" fontId="4" fillId="36" borderId="17" xfId="0" applyFont="1" applyFill="1" applyBorder="1" applyAlignment="1" applyProtection="1">
      <alignment vertical="center"/>
      <protection/>
    </xf>
    <xf numFmtId="0" fontId="36" fillId="72" borderId="70" xfId="0" applyFont="1" applyFill="1" applyBorder="1" applyAlignment="1" applyProtection="1">
      <alignment horizontal="left" vertical="center"/>
      <protection/>
    </xf>
    <xf numFmtId="0" fontId="36" fillId="72" borderId="126" xfId="0" applyFont="1" applyFill="1" applyBorder="1" applyAlignment="1" applyProtection="1">
      <alignment horizontal="left" vertical="center"/>
      <protection/>
    </xf>
    <xf numFmtId="0" fontId="4" fillId="59" borderId="0" xfId="0" applyFont="1" applyFill="1" applyBorder="1" applyAlignment="1" applyProtection="1">
      <alignment vertical="center"/>
      <protection/>
    </xf>
    <xf numFmtId="181" fontId="4" fillId="73" borderId="128" xfId="52" applyNumberFormat="1" applyFont="1" applyFill="1" applyBorder="1" applyAlignment="1" applyProtection="1">
      <alignment horizontal="center" vertical="center"/>
      <protection/>
    </xf>
    <xf numFmtId="181" fontId="4" fillId="73" borderId="10" xfId="52" applyNumberFormat="1" applyFont="1" applyFill="1" applyBorder="1" applyAlignment="1" applyProtection="1">
      <alignment horizontal="center" vertical="center"/>
      <protection/>
    </xf>
    <xf numFmtId="181" fontId="4" fillId="73" borderId="129" xfId="52" applyNumberFormat="1" applyFont="1" applyFill="1" applyBorder="1" applyAlignment="1" applyProtection="1">
      <alignment horizontal="center" vertical="center"/>
      <protection/>
    </xf>
    <xf numFmtId="0" fontId="29" fillId="69" borderId="88" xfId="0" applyFont="1" applyFill="1" applyBorder="1" applyAlignment="1" applyProtection="1">
      <alignment horizontal="center" vertical="center" wrapText="1"/>
      <protection/>
    </xf>
    <xf numFmtId="0" fontId="29" fillId="69" borderId="89" xfId="0" applyFont="1" applyFill="1" applyBorder="1" applyAlignment="1" applyProtection="1">
      <alignment horizontal="center" vertical="center" wrapText="1"/>
      <protection/>
    </xf>
    <xf numFmtId="0" fontId="29" fillId="69" borderId="92" xfId="0" applyFont="1" applyFill="1" applyBorder="1" applyAlignment="1" applyProtection="1">
      <alignment horizontal="center" vertical="center" wrapText="1"/>
      <protection/>
    </xf>
    <xf numFmtId="0" fontId="1" fillId="72" borderId="70" xfId="0" applyFont="1" applyFill="1" applyBorder="1" applyAlignment="1" applyProtection="1">
      <alignment horizontal="center" vertical="center"/>
      <protection/>
    </xf>
    <xf numFmtId="0" fontId="1" fillId="72" borderId="94" xfId="0" applyFont="1" applyFill="1" applyBorder="1" applyAlignment="1" applyProtection="1">
      <alignment horizontal="center" vertical="center"/>
      <protection/>
    </xf>
    <xf numFmtId="0" fontId="1" fillId="72" borderId="126" xfId="0" applyFont="1" applyFill="1" applyBorder="1" applyAlignment="1" applyProtection="1">
      <alignment horizontal="center" vertical="center"/>
      <protection/>
    </xf>
    <xf numFmtId="0" fontId="2" fillId="72" borderId="94" xfId="0" applyFont="1" applyFill="1" applyBorder="1" applyAlignment="1" applyProtection="1">
      <alignment horizontal="left" vertical="center"/>
      <protection/>
    </xf>
    <xf numFmtId="0" fontId="2" fillId="72" borderId="95" xfId="0" applyFont="1" applyFill="1" applyBorder="1" applyAlignment="1" applyProtection="1">
      <alignment horizontal="left" vertical="center"/>
      <protection/>
    </xf>
    <xf numFmtId="0" fontId="2" fillId="40" borderId="13"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xf>
    <xf numFmtId="0" fontId="2" fillId="34" borderId="124"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7" borderId="11" xfId="0" applyFont="1" applyFill="1" applyBorder="1" applyAlignment="1" applyProtection="1">
      <alignment horizontal="center" vertical="center" wrapText="1"/>
      <protection/>
    </xf>
    <xf numFmtId="0" fontId="2" fillId="53" borderId="69" xfId="0" applyFont="1" applyFill="1" applyBorder="1" applyAlignment="1" applyProtection="1">
      <alignment horizontal="center" vertical="center" wrapText="1"/>
      <protection/>
    </xf>
    <xf numFmtId="0" fontId="2" fillId="53" borderId="62" xfId="0" applyFont="1" applyFill="1" applyBorder="1" applyAlignment="1" applyProtection="1">
      <alignment horizontal="center" vertical="center" wrapText="1"/>
      <protection/>
    </xf>
    <xf numFmtId="0" fontId="2" fillId="53" borderId="65" xfId="0" applyFont="1" applyFill="1" applyBorder="1" applyAlignment="1" applyProtection="1">
      <alignment horizontal="center" vertical="center" wrapText="1"/>
      <protection/>
    </xf>
    <xf numFmtId="0" fontId="2" fillId="55" borderId="88" xfId="0" applyFont="1" applyFill="1" applyBorder="1" applyAlignment="1" applyProtection="1">
      <alignment horizontal="center" vertical="center" wrapText="1"/>
      <protection/>
    </xf>
    <xf numFmtId="0" fontId="2" fillId="55" borderId="89" xfId="0" applyFont="1" applyFill="1" applyBorder="1" applyAlignment="1" applyProtection="1">
      <alignment horizontal="center" vertical="center" wrapText="1"/>
      <protection/>
    </xf>
    <xf numFmtId="0" fontId="2" fillId="55" borderId="92" xfId="0" applyFont="1" applyFill="1" applyBorder="1" applyAlignment="1" applyProtection="1">
      <alignment horizontal="center" vertical="center" wrapText="1"/>
      <protection/>
    </xf>
    <xf numFmtId="0" fontId="2" fillId="53" borderId="130" xfId="0" applyFont="1" applyFill="1" applyBorder="1" applyAlignment="1" applyProtection="1">
      <alignment horizontal="center" vertical="center" wrapText="1"/>
      <protection/>
    </xf>
    <xf numFmtId="0" fontId="2" fillId="53" borderId="131" xfId="0" applyFont="1" applyFill="1" applyBorder="1" applyAlignment="1" applyProtection="1">
      <alignment horizontal="center" vertical="center" wrapText="1"/>
      <protection/>
    </xf>
    <xf numFmtId="0" fontId="19" fillId="54" borderId="118" xfId="0" applyFont="1" applyFill="1" applyBorder="1" applyAlignment="1">
      <alignment horizontal="center"/>
    </xf>
    <xf numFmtId="0" fontId="19" fillId="54" borderId="119" xfId="0" applyFont="1" applyFill="1" applyBorder="1" applyAlignment="1">
      <alignment horizontal="center"/>
    </xf>
    <xf numFmtId="0" fontId="19" fillId="54" borderId="120" xfId="0" applyFont="1" applyFill="1" applyBorder="1" applyAlignment="1">
      <alignment horizontal="center"/>
    </xf>
    <xf numFmtId="0" fontId="2" fillId="52" borderId="69" xfId="0" applyFont="1" applyFill="1" applyBorder="1" applyAlignment="1" applyProtection="1">
      <alignment horizontal="center" vertical="center" wrapText="1"/>
      <protection/>
    </xf>
    <xf numFmtId="0" fontId="2" fillId="52" borderId="62" xfId="0" applyFont="1" applyFill="1" applyBorder="1" applyAlignment="1" applyProtection="1">
      <alignment horizontal="center" vertical="center" wrapText="1"/>
      <protection/>
    </xf>
    <xf numFmtId="0" fontId="2" fillId="52" borderId="65" xfId="0" applyFont="1" applyFill="1" applyBorder="1" applyAlignment="1" applyProtection="1">
      <alignment horizontal="center" vertical="center" wrapText="1"/>
      <protection/>
    </xf>
    <xf numFmtId="0" fontId="19" fillId="74" borderId="69" xfId="0" applyFont="1" applyFill="1" applyBorder="1" applyAlignment="1">
      <alignment horizontal="center"/>
    </xf>
    <xf numFmtId="0" fontId="0" fillId="0" borderId="121" xfId="0" applyBorder="1" applyAlignment="1">
      <alignment horizontal="center"/>
    </xf>
    <xf numFmtId="0" fontId="0" fillId="0" borderId="93" xfId="0" applyBorder="1" applyAlignment="1">
      <alignment horizontal="center"/>
    </xf>
    <xf numFmtId="0" fontId="30" fillId="54" borderId="23" xfId="0" applyFont="1" applyFill="1" applyBorder="1" applyAlignment="1">
      <alignment horizontal="center" vertical="center"/>
    </xf>
    <xf numFmtId="0" fontId="19" fillId="54" borderId="69" xfId="0" applyFont="1" applyFill="1" applyBorder="1" applyAlignment="1">
      <alignment horizontal="center" vertical="center" wrapText="1"/>
    </xf>
    <xf numFmtId="0" fontId="19" fillId="54" borderId="65" xfId="0" applyFont="1" applyFill="1" applyBorder="1" applyAlignment="1">
      <alignment horizontal="center" vertical="center" wrapText="1"/>
    </xf>
    <xf numFmtId="0" fontId="19" fillId="74" borderId="118" xfId="0" applyFont="1" applyFill="1" applyBorder="1" applyAlignment="1">
      <alignment horizontal="center"/>
    </xf>
    <xf numFmtId="0" fontId="19" fillId="74" borderId="119" xfId="0" applyFont="1" applyFill="1" applyBorder="1" applyAlignment="1">
      <alignment horizontal="center"/>
    </xf>
    <xf numFmtId="0" fontId="19" fillId="74" borderId="120" xfId="0" applyFont="1" applyFill="1" applyBorder="1" applyAlignment="1">
      <alignment horizontal="center"/>
    </xf>
    <xf numFmtId="0" fontId="19" fillId="0" borderId="0" xfId="0" applyFont="1" applyFill="1" applyBorder="1" applyAlignment="1">
      <alignment horizontal="center" vertical="center" wrapText="1"/>
    </xf>
    <xf numFmtId="0" fontId="19" fillId="74" borderId="118" xfId="0" applyFont="1" applyFill="1" applyBorder="1" applyAlignment="1">
      <alignment horizontal="center" vertical="center"/>
    </xf>
    <xf numFmtId="0" fontId="19" fillId="74" borderId="119" xfId="0" applyFont="1" applyFill="1" applyBorder="1" applyAlignment="1">
      <alignment horizontal="center" vertical="center"/>
    </xf>
    <xf numFmtId="188" fontId="19" fillId="0" borderId="0" xfId="0" applyNumberFormat="1" applyFont="1" applyFill="1" applyBorder="1" applyAlignment="1" applyProtection="1">
      <alignment horizontal="center" vertical="center" wrapText="1"/>
      <protection/>
    </xf>
    <xf numFmtId="0" fontId="19" fillId="54" borderId="51" xfId="0" applyFont="1" applyFill="1" applyBorder="1" applyAlignment="1">
      <alignment horizontal="center" vertical="center" wrapText="1"/>
    </xf>
    <xf numFmtId="0" fontId="19" fillId="54" borderId="41" xfId="0" applyFont="1" applyFill="1" applyBorder="1" applyAlignment="1">
      <alignment horizontal="center" vertical="center" wrapText="1"/>
    </xf>
    <xf numFmtId="0" fontId="19" fillId="52" borderId="23" xfId="0" applyFont="1" applyFill="1" applyBorder="1" applyAlignment="1">
      <alignment horizontal="center" vertical="center" wrapText="1"/>
    </xf>
    <xf numFmtId="0" fontId="19" fillId="52" borderId="21" xfId="0" applyFont="1" applyFill="1" applyBorder="1" applyAlignment="1">
      <alignment horizontal="center" vertical="center" wrapText="1"/>
    </xf>
    <xf numFmtId="0" fontId="19" fillId="52" borderId="88" xfId="0" applyFont="1" applyFill="1" applyBorder="1" applyAlignment="1">
      <alignment horizontal="center" wrapText="1"/>
    </xf>
    <xf numFmtId="0" fontId="19" fillId="52" borderId="89" xfId="0" applyFont="1" applyFill="1" applyBorder="1" applyAlignment="1">
      <alignment horizontal="center" wrapText="1"/>
    </xf>
    <xf numFmtId="0" fontId="2" fillId="0" borderId="0" xfId="0" applyFont="1" applyFill="1" applyBorder="1" applyAlignment="1" applyProtection="1">
      <alignment horizontal="center" vertical="center" wrapText="1"/>
      <protection/>
    </xf>
    <xf numFmtId="0" fontId="0" fillId="44" borderId="69" xfId="0" applyFill="1" applyBorder="1" applyAlignment="1">
      <alignment horizontal="center" vertical="center"/>
    </xf>
    <xf numFmtId="0" fontId="0" fillId="44" borderId="62" xfId="0" applyFill="1" applyBorder="1" applyAlignment="1">
      <alignment horizontal="center" vertical="center"/>
    </xf>
    <xf numFmtId="0" fontId="0" fillId="44" borderId="65" xfId="0" applyFill="1" applyBorder="1" applyAlignment="1">
      <alignment horizontal="center" vertical="center"/>
    </xf>
    <xf numFmtId="199" fontId="0" fillId="0" borderId="0" xfId="52" applyNumberFormat="1" applyFill="1" applyBorder="1" applyAlignment="1">
      <alignment horizontal="center"/>
    </xf>
    <xf numFmtId="186" fontId="2" fillId="33" borderId="11" xfId="50" applyNumberFormat="1" applyFont="1" applyFill="1" applyBorder="1" applyAlignment="1" applyProtection="1">
      <alignment horizontal="center" vertical="center"/>
      <protection/>
    </xf>
    <xf numFmtId="0" fontId="1" fillId="0" borderId="23" xfId="0" applyFont="1" applyFill="1" applyBorder="1" applyAlignment="1" applyProtection="1">
      <alignment vertical="center"/>
      <protection/>
    </xf>
    <xf numFmtId="181" fontId="1" fillId="0" borderId="14" xfId="52" applyNumberFormat="1" applyFont="1" applyFill="1" applyBorder="1" applyAlignment="1" applyProtection="1">
      <alignment vertical="center"/>
      <protection/>
    </xf>
    <xf numFmtId="181" fontId="1" fillId="0" borderId="11" xfId="52" applyNumberFormat="1" applyFont="1" applyFill="1" applyBorder="1" applyAlignment="1" applyProtection="1">
      <alignment vertical="center"/>
      <protection/>
    </xf>
    <xf numFmtId="182" fontId="1" fillId="0" borderId="82" xfId="52" applyNumberFormat="1" applyFont="1" applyFill="1" applyBorder="1" applyAlignment="1" applyProtection="1">
      <alignment vertical="center"/>
      <protection/>
    </xf>
    <xf numFmtId="182" fontId="1" fillId="44" borderId="73" xfId="52" applyNumberFormat="1" applyFont="1" applyFill="1" applyBorder="1" applyAlignment="1" applyProtection="1">
      <alignment vertical="center"/>
      <protection/>
    </xf>
    <xf numFmtId="182" fontId="1" fillId="0" borderId="73" xfId="52" applyNumberFormat="1" applyFont="1" applyFill="1" applyBorder="1" applyAlignment="1" applyProtection="1">
      <alignment vertical="center"/>
      <protection/>
    </xf>
    <xf numFmtId="182" fontId="1" fillId="0" borderId="86" xfId="52" applyNumberFormat="1" applyFont="1" applyFill="1" applyBorder="1" applyAlignment="1" applyProtection="1">
      <alignment vertical="center"/>
      <protection/>
    </xf>
    <xf numFmtId="182" fontId="1" fillId="0" borderId="24" xfId="52" applyNumberFormat="1" applyFont="1" applyFill="1" applyBorder="1" applyAlignment="1" applyProtection="1">
      <alignment vertical="center"/>
      <protection/>
    </xf>
    <xf numFmtId="182" fontId="1" fillId="0" borderId="60" xfId="52" applyNumberFormat="1" applyFont="1" applyFill="1" applyBorder="1" applyAlignment="1" applyProtection="1">
      <alignment vertical="center"/>
      <protection/>
    </xf>
    <xf numFmtId="1" fontId="1" fillId="0" borderId="51" xfId="52" applyNumberFormat="1" applyFont="1" applyFill="1" applyBorder="1" applyAlignment="1" applyProtection="1">
      <alignment vertical="center"/>
      <protection/>
    </xf>
    <xf numFmtId="1" fontId="1" fillId="0" borderId="23" xfId="52" applyNumberFormat="1" applyFont="1" applyFill="1" applyBorder="1" applyAlignment="1" applyProtection="1">
      <alignment vertical="center"/>
      <protection/>
    </xf>
    <xf numFmtId="1" fontId="1" fillId="0" borderId="30" xfId="52" applyNumberFormat="1" applyFont="1" applyFill="1" applyBorder="1" applyAlignment="1" applyProtection="1">
      <alignment vertical="center"/>
      <protection/>
    </xf>
    <xf numFmtId="182" fontId="1" fillId="0" borderId="132" xfId="52" applyNumberFormat="1" applyFont="1" applyFill="1" applyBorder="1" applyAlignment="1" applyProtection="1">
      <alignment vertical="center"/>
      <protection/>
    </xf>
    <xf numFmtId="182" fontId="1" fillId="0" borderId="99" xfId="52" applyNumberFormat="1" applyFont="1" applyFill="1" applyBorder="1" applyAlignment="1" applyProtection="1">
      <alignment vertical="center"/>
      <protection/>
    </xf>
    <xf numFmtId="182" fontId="1" fillId="0" borderId="133" xfId="52" applyNumberFormat="1" applyFont="1" applyFill="1" applyBorder="1" applyAlignment="1" applyProtection="1">
      <alignment vertical="center"/>
      <protection/>
    </xf>
    <xf numFmtId="182" fontId="1" fillId="0" borderId="28" xfId="52" applyNumberFormat="1" applyFont="1" applyFill="1" applyBorder="1" applyAlignment="1" applyProtection="1">
      <alignment vertical="center"/>
      <protection/>
    </xf>
    <xf numFmtId="3" fontId="1" fillId="0" borderId="29" xfId="52" applyNumberFormat="1" applyFont="1" applyFill="1" applyBorder="1" applyAlignment="1" applyProtection="1">
      <alignment vertical="center"/>
      <protection/>
    </xf>
    <xf numFmtId="182" fontId="1" fillId="0" borderId="71" xfId="52" applyNumberFormat="1" applyFont="1" applyFill="1" applyBorder="1" applyAlignment="1" applyProtection="1">
      <alignment vertical="center"/>
      <protection/>
    </xf>
    <xf numFmtId="1" fontId="1" fillId="0" borderId="25" xfId="52" applyNumberFormat="1" applyFont="1" applyFill="1" applyBorder="1" applyAlignment="1" applyProtection="1">
      <alignment vertical="center"/>
      <protection/>
    </xf>
    <xf numFmtId="182" fontId="1" fillId="0" borderId="29" xfId="52" applyNumberFormat="1" applyFont="1" applyFill="1" applyBorder="1" applyAlignment="1" applyProtection="1">
      <alignment vertical="center"/>
      <protection/>
    </xf>
    <xf numFmtId="182" fontId="80" fillId="0" borderId="82" xfId="52" applyNumberFormat="1" applyFont="1" applyFill="1" applyBorder="1" applyAlignment="1" applyProtection="1">
      <alignment vertical="center"/>
      <protection/>
    </xf>
    <xf numFmtId="182" fontId="80" fillId="67" borderId="82" xfId="52" applyNumberFormat="1" applyFont="1" applyFill="1" applyBorder="1" applyAlignment="1" applyProtection="1">
      <alignment vertical="center"/>
      <protection/>
    </xf>
    <xf numFmtId="1" fontId="80" fillId="0" borderId="51" xfId="52" applyNumberFormat="1" applyFont="1" applyFill="1" applyBorder="1" applyAlignment="1" applyProtection="1">
      <alignment vertical="center"/>
      <protection/>
    </xf>
    <xf numFmtId="1" fontId="80" fillId="0" borderId="23" xfId="52" applyNumberFormat="1" applyFont="1" applyFill="1" applyBorder="1" applyAlignment="1" applyProtection="1">
      <alignment vertical="center"/>
      <protection/>
    </xf>
    <xf numFmtId="1" fontId="80" fillId="0" borderId="30" xfId="52" applyNumberFormat="1" applyFont="1" applyFill="1" applyBorder="1" applyAlignment="1" applyProtection="1">
      <alignment vertical="center"/>
      <protection/>
    </xf>
    <xf numFmtId="169" fontId="6" fillId="54" borderId="70" xfId="0" applyNumberFormat="1" applyFont="1" applyFill="1" applyBorder="1" applyAlignment="1" applyProtection="1">
      <alignment horizontal="left"/>
      <protection/>
    </xf>
    <xf numFmtId="169" fontId="6" fillId="54" borderId="126" xfId="0" applyNumberFormat="1" applyFont="1" applyFill="1" applyBorder="1" applyAlignment="1" applyProtection="1">
      <alignment horizontal="left"/>
      <protection/>
    </xf>
    <xf numFmtId="192" fontId="0" fillId="60" borderId="23" xfId="55" applyNumberFormat="1" applyFont="1" applyFill="1" applyBorder="1" applyAlignment="1" applyProtection="1">
      <alignment horizontal="right"/>
      <protection/>
    </xf>
    <xf numFmtId="204" fontId="85" fillId="0" borderId="23" xfId="0" applyNumberFormat="1" applyFont="1" applyBorder="1" applyAlignment="1" applyProtection="1">
      <alignment horizontal="right"/>
      <protection/>
    </xf>
    <xf numFmtId="169" fontId="1" fillId="54" borderId="70" xfId="0" applyNumberFormat="1" applyFont="1" applyFill="1" applyBorder="1" applyAlignment="1" applyProtection="1">
      <alignment horizontal="left"/>
      <protection/>
    </xf>
    <xf numFmtId="169" fontId="1" fillId="54" borderId="126" xfId="0" applyNumberFormat="1" applyFont="1" applyFill="1" applyBorder="1" applyAlignment="1" applyProtection="1">
      <alignment horizontal="left"/>
      <protection/>
    </xf>
    <xf numFmtId="42" fontId="0" fillId="60" borderId="23" xfId="55" applyNumberFormat="1" applyFont="1" applyFill="1" applyBorder="1" applyAlignment="1" applyProtection="1">
      <alignment horizontal="right"/>
      <protection/>
    </xf>
    <xf numFmtId="169" fontId="6" fillId="54" borderId="70" xfId="0" applyNumberFormat="1" applyFont="1" applyFill="1" applyBorder="1" applyAlignment="1" applyProtection="1">
      <alignment/>
      <protection/>
    </xf>
    <xf numFmtId="169" fontId="6" fillId="54" borderId="126" xfId="0" applyNumberFormat="1" applyFont="1" applyFill="1" applyBorder="1" applyAlignment="1" applyProtection="1">
      <alignment/>
      <protection/>
    </xf>
    <xf numFmtId="169" fontId="1" fillId="54" borderId="70" xfId="0" applyNumberFormat="1" applyFont="1" applyFill="1" applyBorder="1" applyAlignment="1" applyProtection="1">
      <alignment/>
      <protection/>
    </xf>
    <xf numFmtId="169" fontId="2" fillId="72" borderId="70" xfId="0" applyNumberFormat="1" applyFont="1" applyFill="1" applyBorder="1" applyAlignment="1" applyProtection="1">
      <alignment horizontal="left"/>
      <protection/>
    </xf>
    <xf numFmtId="169" fontId="2" fillId="72" borderId="126" xfId="0" applyNumberFormat="1" applyFont="1" applyFill="1" applyBorder="1" applyAlignment="1" applyProtection="1">
      <alignment horizontal="left"/>
      <protection/>
    </xf>
    <xf numFmtId="42" fontId="0" fillId="75" borderId="25" xfId="55" applyNumberFormat="1" applyFont="1" applyFill="1" applyBorder="1" applyProtection="1">
      <alignment/>
      <protection/>
    </xf>
    <xf numFmtId="169" fontId="1" fillId="54" borderId="70" xfId="0" applyNumberFormat="1" applyFont="1" applyFill="1" applyBorder="1" applyAlignment="1" applyProtection="1">
      <alignment horizontal="left"/>
      <protection/>
    </xf>
    <xf numFmtId="169" fontId="1" fillId="54" borderId="126" xfId="0" applyNumberFormat="1" applyFont="1" applyFill="1" applyBorder="1" applyAlignment="1" applyProtection="1">
      <alignment horizontal="left"/>
      <protection/>
    </xf>
    <xf numFmtId="42" fontId="0" fillId="50" borderId="25" xfId="55" applyNumberFormat="1" applyFont="1" applyFill="1" applyBorder="1" applyProtection="1">
      <alignment/>
      <protection/>
    </xf>
    <xf numFmtId="169" fontId="24" fillId="54" borderId="70" xfId="0" applyNumberFormat="1" applyFont="1" applyFill="1" applyBorder="1" applyAlignment="1" applyProtection="1">
      <alignment horizontal="left"/>
      <protection/>
    </xf>
    <xf numFmtId="169" fontId="24" fillId="54" borderId="126" xfId="0" applyNumberFormat="1" applyFont="1" applyFill="1" applyBorder="1" applyAlignment="1" applyProtection="1">
      <alignment horizontal="left"/>
      <protection/>
    </xf>
    <xf numFmtId="42" fontId="0" fillId="60" borderId="25" xfId="55" applyNumberFormat="1" applyFont="1" applyFill="1" applyBorder="1" applyProtection="1">
      <alignment/>
      <protection/>
    </xf>
    <xf numFmtId="169" fontId="24" fillId="54" borderId="70" xfId="0" applyNumberFormat="1" applyFont="1" applyFill="1" applyBorder="1" applyAlignment="1" applyProtection="1">
      <alignment horizontal="left"/>
      <protection/>
    </xf>
    <xf numFmtId="169" fontId="24" fillId="54" borderId="126" xfId="0" applyNumberFormat="1" applyFont="1" applyFill="1" applyBorder="1" applyAlignment="1" applyProtection="1">
      <alignment horizontal="left"/>
      <protection/>
    </xf>
    <xf numFmtId="169" fontId="25" fillId="72" borderId="70" xfId="0" applyNumberFormat="1" applyFont="1" applyFill="1" applyBorder="1" applyAlignment="1" applyProtection="1">
      <alignment horizontal="left"/>
      <protection/>
    </xf>
    <xf numFmtId="169" fontId="25" fillId="72" borderId="126" xfId="0" applyNumberFormat="1" applyFont="1" applyFill="1" applyBorder="1" applyAlignment="1" applyProtection="1">
      <alignment horizontal="left"/>
      <protection/>
    </xf>
    <xf numFmtId="169" fontId="35" fillId="54" borderId="70" xfId="0" applyNumberFormat="1" applyFont="1" applyFill="1" applyBorder="1" applyAlignment="1" applyProtection="1">
      <alignment horizontal="left"/>
      <protection/>
    </xf>
    <xf numFmtId="169" fontId="35" fillId="54" borderId="126" xfId="0" applyNumberFormat="1" applyFont="1" applyFill="1" applyBorder="1" applyAlignment="1" applyProtection="1">
      <alignment horizontal="left"/>
      <protection/>
    </xf>
    <xf numFmtId="169" fontId="35" fillId="54" borderId="126" xfId="0" applyNumberFormat="1" applyFont="1" applyFill="1" applyBorder="1" applyAlignment="1" applyProtection="1">
      <alignment horizontal="left"/>
      <protection/>
    </xf>
    <xf numFmtId="169" fontId="35" fillId="54" borderId="70" xfId="0" applyNumberFormat="1" applyFont="1" applyFill="1" applyBorder="1" applyAlignment="1" applyProtection="1">
      <alignment horizontal="left"/>
      <protection/>
    </xf>
    <xf numFmtId="169" fontId="25" fillId="45" borderId="70" xfId="0" applyNumberFormat="1" applyFont="1" applyFill="1" applyBorder="1" applyAlignment="1" applyProtection="1">
      <alignment horizontal="left"/>
      <protection/>
    </xf>
    <xf numFmtId="169" fontId="25" fillId="45" borderId="126" xfId="0" applyNumberFormat="1" applyFont="1" applyFill="1" applyBorder="1" applyAlignment="1" applyProtection="1">
      <alignment horizontal="left"/>
      <protection/>
    </xf>
    <xf numFmtId="0" fontId="24" fillId="54" borderId="70" xfId="0" applyFont="1" applyFill="1" applyBorder="1" applyAlignment="1" applyProtection="1">
      <alignment horizontal="left"/>
      <protection/>
    </xf>
    <xf numFmtId="0" fontId="24" fillId="54" borderId="126" xfId="0" applyFont="1" applyFill="1" applyBorder="1" applyAlignment="1" applyProtection="1">
      <alignment horizontal="left"/>
      <protection/>
    </xf>
    <xf numFmtId="0" fontId="36" fillId="52" borderId="134" xfId="0" applyFont="1" applyFill="1" applyBorder="1" applyAlignment="1" applyProtection="1">
      <alignment vertical="center"/>
      <protection/>
    </xf>
    <xf numFmtId="0" fontId="36" fillId="52" borderId="135" xfId="0" applyFont="1" applyFill="1" applyBorder="1" applyAlignment="1" applyProtection="1">
      <alignment vertical="center"/>
      <protection/>
    </xf>
    <xf numFmtId="165" fontId="6" fillId="0" borderId="23" xfId="52" applyNumberFormat="1" applyFont="1" applyFill="1" applyBorder="1" applyAlignment="1" applyProtection="1">
      <alignment vertical="center"/>
      <protection/>
    </xf>
    <xf numFmtId="169" fontId="6" fillId="46" borderId="23" xfId="0" applyNumberFormat="1" applyFont="1" applyFill="1" applyBorder="1" applyAlignment="1" applyProtection="1">
      <alignment/>
      <protection/>
    </xf>
    <xf numFmtId="169" fontId="2" fillId="72" borderId="25" xfId="0" applyNumberFormat="1" applyFont="1" applyFill="1" applyBorder="1" applyAlignment="1" applyProtection="1">
      <alignment horizontal="left"/>
      <protection/>
    </xf>
    <xf numFmtId="169" fontId="2" fillId="72" borderId="95" xfId="0" applyNumberFormat="1" applyFont="1" applyFill="1" applyBorder="1" applyAlignment="1" applyProtection="1">
      <alignment horizontal="left"/>
      <protection/>
    </xf>
    <xf numFmtId="165" fontId="1" fillId="0" borderId="23" xfId="52" applyNumberFormat="1" applyFont="1" applyFill="1" applyBorder="1" applyAlignment="1" applyProtection="1">
      <alignment vertical="center"/>
      <protection/>
    </xf>
    <xf numFmtId="169" fontId="1" fillId="46" borderId="25" xfId="0" applyNumberFormat="1" applyFont="1" applyFill="1" applyBorder="1" applyAlignment="1" applyProtection="1">
      <alignment horizontal="left"/>
      <protection/>
    </xf>
    <xf numFmtId="181" fontId="6" fillId="33" borderId="0" xfId="52" applyNumberFormat="1" applyFont="1" applyFill="1" applyBorder="1" applyAlignment="1" applyProtection="1">
      <alignmen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A.Educacion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225"/>
          <c:w val="0.63425"/>
          <c:h val="0.95025"/>
        </c:manualLayout>
      </c:layout>
      <c:barChart>
        <c:barDir val="col"/>
        <c:grouping val="clustered"/>
        <c:varyColors val="0"/>
        <c:ser>
          <c:idx val="0"/>
          <c:order val="0"/>
          <c:tx>
            <c:strRef>
              <c:f>'Ap. 2 Ingresos C. Benef.'!$D$7:$D$16</c:f>
              <c:strCache>
                <c:ptCount val="1"/>
                <c:pt idx="0">
                  <c:v>RESUMEN DE INGRESOS Y COSTOS DE LOS CENTROS DE BENEFICIO EDUCACIONALES ING. SOC +APOYO VIDA BASE $ 39.000.000 BUS CASOS ESPEC. 1,1 Matrícula 1) PERSONAL SERVICIO ACTIVO: Oficiales/EE.CC.,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Benef.'!$D$17:$D$56</c:f>
              <c:numCache>
                <c:ptCount val="40"/>
                <c:pt idx="0">
                  <c:v>84209</c:v>
                </c:pt>
                <c:pt idx="1">
                  <c:v>1</c:v>
                </c:pt>
                <c:pt idx="2">
                  <c:v>84209</c:v>
                </c:pt>
                <c:pt idx="3">
                  <c:v>41409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62809.00000000001</c:v>
                </c:pt>
                <c:pt idx="25">
                  <c:v>10</c:v>
                </c:pt>
                <c:pt idx="26">
                  <c:v>628090.0000000001</c:v>
                </c:pt>
                <c:pt idx="27">
                  <c:v>92234</c:v>
                </c:pt>
                <c:pt idx="28">
                  <c:v>0</c:v>
                </c:pt>
                <c:pt idx="29">
                  <c:v>0</c:v>
                </c:pt>
                <c:pt idx="30">
                  <c:v>62809.00000000001</c:v>
                </c:pt>
                <c:pt idx="31">
                  <c:v>1</c:v>
                </c:pt>
                <c:pt idx="32">
                  <c:v>62809.00000000001</c:v>
                </c:pt>
                <c:pt idx="33">
                  <c:v>33480</c:v>
                </c:pt>
                <c:pt idx="34">
                  <c:v>2</c:v>
                </c:pt>
                <c:pt idx="35">
                  <c:v>66960</c:v>
                </c:pt>
                <c:pt idx="36">
                  <c:v>52430</c:v>
                </c:pt>
                <c:pt idx="37">
                  <c:v>5</c:v>
                </c:pt>
                <c:pt idx="38">
                  <c:v>262150</c:v>
                </c:pt>
                <c:pt idx="39">
                  <c:v>1104218</c:v>
                </c:pt>
              </c:numCache>
            </c:numRef>
          </c:val>
        </c:ser>
        <c:ser>
          <c:idx val="1"/>
          <c:order val="1"/>
          <c:tx>
            <c:strRef>
              <c:f>'Ap. 2 Ingresos C. Benef.'!$E$7:$E$16</c:f>
              <c:strCache>
                <c:ptCount val="1"/>
                <c:pt idx="0">
                  <c:v>RESUMEN DE INGRESOS Y COSTOS DE LOS CENTROS DE BENEFICIO EDUCACIONALES ING. MATR. VERANO  $8.315.796  BUS CASOS ESPEC. 1,1 Matrícula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Benef.'!$E$17:$E$56</c:f>
              <c:numCache>
                <c:ptCount val="40"/>
                <c:pt idx="0">
                  <c:v>70941</c:v>
                </c:pt>
                <c:pt idx="1">
                  <c:v>2</c:v>
                </c:pt>
                <c:pt idx="2">
                  <c:v>141882</c:v>
                </c:pt>
                <c:pt idx="3">
                  <c:v>36166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49434</c:v>
                </c:pt>
                <c:pt idx="25">
                  <c:v>32</c:v>
                </c:pt>
                <c:pt idx="26">
                  <c:v>1581888</c:v>
                </c:pt>
                <c:pt idx="27">
                  <c:v>78859</c:v>
                </c:pt>
                <c:pt idx="28">
                  <c:v>6</c:v>
                </c:pt>
                <c:pt idx="29">
                  <c:v>473154</c:v>
                </c:pt>
                <c:pt idx="30">
                  <c:v>56175</c:v>
                </c:pt>
                <c:pt idx="31">
                  <c:v>0</c:v>
                </c:pt>
                <c:pt idx="32">
                  <c:v>0</c:v>
                </c:pt>
                <c:pt idx="33">
                  <c:v>33170</c:v>
                </c:pt>
                <c:pt idx="34">
                  <c:v>4</c:v>
                </c:pt>
                <c:pt idx="35">
                  <c:v>132680</c:v>
                </c:pt>
                <c:pt idx="36">
                  <c:v>52430</c:v>
                </c:pt>
                <c:pt idx="37">
                  <c:v>14</c:v>
                </c:pt>
                <c:pt idx="38">
                  <c:v>734020</c:v>
                </c:pt>
                <c:pt idx="39">
                  <c:v>3063624</c:v>
                </c:pt>
              </c:numCache>
            </c:numRef>
          </c:val>
        </c:ser>
        <c:ser>
          <c:idx val="2"/>
          <c:order val="2"/>
          <c:tx>
            <c:strRef>
              <c:f>'Ap. 2 Ingresos C. Benef.'!$F$7:$F$16</c:f>
              <c:strCache>
                <c:ptCount val="1"/>
                <c:pt idx="0">
                  <c:v>RESUMEN DE INGRESOS Y COSTOS DE LOS CENTROS DE BENEFICIO EDUCACIONALES ING. MENS.  $50.027.084  BUS CASOS ESPEC. 1,1 Matrícula 2) PERSONAL EN RETIRO:                                 Oficiales/EE.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Benef.'!$F$17:$F$56</c:f>
              <c:numCache>
                <c:ptCount val="40"/>
                <c:pt idx="0">
                  <c:v>116856.00000000001</c:v>
                </c:pt>
                <c:pt idx="1">
                  <c:v>2</c:v>
                </c:pt>
                <c:pt idx="2">
                  <c:v>233712.00000000003</c:v>
                </c:pt>
                <c:pt idx="3">
                  <c:v>55620.00000000001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84780</c:v>
                </c:pt>
                <c:pt idx="25">
                  <c:v>0</c:v>
                </c:pt>
                <c:pt idx="26">
                  <c:v>0</c:v>
                </c:pt>
                <c:pt idx="27">
                  <c:v>126468.00000000001</c:v>
                </c:pt>
                <c:pt idx="28">
                  <c:v>2</c:v>
                </c:pt>
                <c:pt idx="29">
                  <c:v>252936.00000000003</c:v>
                </c:pt>
                <c:pt idx="30">
                  <c:v>84780</c:v>
                </c:pt>
                <c:pt idx="31">
                  <c:v>1</c:v>
                </c:pt>
                <c:pt idx="32">
                  <c:v>84780</c:v>
                </c:pt>
                <c:pt idx="33">
                  <c:v>33480</c:v>
                </c:pt>
                <c:pt idx="34">
                  <c:v>1</c:v>
                </c:pt>
                <c:pt idx="35">
                  <c:v>33480</c:v>
                </c:pt>
                <c:pt idx="36">
                  <c:v>52430</c:v>
                </c:pt>
                <c:pt idx="37">
                  <c:v>1</c:v>
                </c:pt>
                <c:pt idx="38">
                  <c:v>52430</c:v>
                </c:pt>
                <c:pt idx="39">
                  <c:v>657338</c:v>
                </c:pt>
              </c:numCache>
            </c:numRef>
          </c:val>
        </c:ser>
        <c:ser>
          <c:idx val="3"/>
          <c:order val="3"/>
          <c:tx>
            <c:strRef>
              <c:f>'Ap. 2 Ingresos C. Benef.'!$G$7:$G$16</c:f>
              <c:strCache>
                <c:ptCount val="1"/>
                <c:pt idx="0">
                  <c:v>RESUMEN DE INGRESOS Y COSTOS DE LOS CENTROS DE BENEFICIO EDUCACIONALES ING.TOTAL  $127.443.879   $3.191.738  CASOS ESPEC. 1,1 Matrícula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Benef.'!$G$17:$G$56</c:f>
              <c:numCache>
                <c:ptCount val="40"/>
                <c:pt idx="0">
                  <c:v>101628</c:v>
                </c:pt>
                <c:pt idx="1">
                  <c:v>0</c:v>
                </c:pt>
                <c:pt idx="2">
                  <c:v>0</c:v>
                </c:pt>
                <c:pt idx="3">
                  <c:v>49572</c:v>
                </c:pt>
                <c:pt idx="4">
                  <c:v>1</c:v>
                </c:pt>
                <c:pt idx="5">
                  <c:v>49572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75168</c:v>
                </c:pt>
                <c:pt idx="25">
                  <c:v>2</c:v>
                </c:pt>
                <c:pt idx="26">
                  <c:v>150336</c:v>
                </c:pt>
                <c:pt idx="27">
                  <c:v>110484</c:v>
                </c:pt>
                <c:pt idx="28">
                  <c:v>3</c:v>
                </c:pt>
                <c:pt idx="29">
                  <c:v>331452</c:v>
                </c:pt>
                <c:pt idx="30">
                  <c:v>75168</c:v>
                </c:pt>
                <c:pt idx="31">
                  <c:v>2</c:v>
                </c:pt>
                <c:pt idx="32">
                  <c:v>150336</c:v>
                </c:pt>
                <c:pt idx="33">
                  <c:v>33170</c:v>
                </c:pt>
                <c:pt idx="34">
                  <c:v>3</c:v>
                </c:pt>
                <c:pt idx="35">
                  <c:v>99510</c:v>
                </c:pt>
                <c:pt idx="36">
                  <c:v>52430</c:v>
                </c:pt>
                <c:pt idx="37">
                  <c:v>2</c:v>
                </c:pt>
                <c:pt idx="38">
                  <c:v>104860</c:v>
                </c:pt>
                <c:pt idx="39">
                  <c:v>886066</c:v>
                </c:pt>
              </c:numCache>
            </c:numRef>
          </c:val>
        </c:ser>
        <c:ser>
          <c:idx val="4"/>
          <c:order val="4"/>
          <c:tx>
            <c:strRef>
              <c:f>'Ap. 2 Ingresos C. Benef.'!$H$7:$H$16</c:f>
              <c:strCache>
                <c:ptCount val="1"/>
                <c:pt idx="0">
                  <c:v>RESUMEN DE INGRESOS Y COSTOS DE LOS CENTROS DE BENEFICIO EDUCACIONALES COSTOS DIR  $139.635.618   $3.191.738  CASOS ESPEC. 1,1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Benef.'!$H$17:$H$56</c:f>
              <c:numCache>
                <c:ptCount val="40"/>
                <c:pt idx="0">
                  <c:v>129030.00000000001</c:v>
                </c:pt>
                <c:pt idx="1">
                  <c:v>0</c:v>
                </c:pt>
                <c:pt idx="2">
                  <c:v>0</c:v>
                </c:pt>
                <c:pt idx="3">
                  <c:v>57970.00000000001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93500.00000000001</c:v>
                </c:pt>
                <c:pt idx="25">
                  <c:v>1</c:v>
                </c:pt>
                <c:pt idx="26">
                  <c:v>93500.00000000001</c:v>
                </c:pt>
                <c:pt idx="27">
                  <c:v>131340</c:v>
                </c:pt>
                <c:pt idx="28">
                  <c:v>3</c:v>
                </c:pt>
                <c:pt idx="29">
                  <c:v>394020</c:v>
                </c:pt>
                <c:pt idx="30">
                  <c:v>99000.00000000001</c:v>
                </c:pt>
                <c:pt idx="31">
                  <c:v>2</c:v>
                </c:pt>
                <c:pt idx="32">
                  <c:v>198000.00000000003</c:v>
                </c:pt>
                <c:pt idx="33">
                  <c:v>34100</c:v>
                </c:pt>
                <c:pt idx="34">
                  <c:v>0</c:v>
                </c:pt>
                <c:pt idx="35">
                  <c:v>0</c:v>
                </c:pt>
                <c:pt idx="36">
                  <c:v>53900.00000000001</c:v>
                </c:pt>
                <c:pt idx="37">
                  <c:v>0</c:v>
                </c:pt>
                <c:pt idx="38">
                  <c:v>0</c:v>
                </c:pt>
                <c:pt idx="39">
                  <c:v>685520</c:v>
                </c:pt>
              </c:numCache>
            </c:numRef>
          </c:val>
        </c:ser>
        <c:ser>
          <c:idx val="5"/>
          <c:order val="5"/>
          <c:tx>
            <c:strRef>
              <c:f>'Ap. 2 Ingresos C. Benef.'!$I$7:$I$16</c:f>
              <c:strCache>
                <c:ptCount val="1"/>
                <c:pt idx="0">
                  <c:v>RESUMEN DE INGRESOS Y COSTOS DE LOS CENTROS DE BENEFICIO EDUCACIONALES C.IND. Dp.  $-   $3.191.738  ESTADO DE RESULTADO 1,1 Mensualidad/Prestacion 1) PERSONAL SERVICIO ACTIVO: Oficiales/EE.CC.,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Benef.'!$I$17:$I$56</c:f>
              <c:numCache>
                <c:ptCount val="40"/>
                <c:pt idx="0">
                  <c:v>84209</c:v>
                </c:pt>
                <c:pt idx="1">
                  <c:v>1</c:v>
                </c:pt>
                <c:pt idx="2">
                  <c:v>842090</c:v>
                </c:pt>
                <c:pt idx="3">
                  <c:v>41409</c:v>
                </c:pt>
                <c:pt idx="4">
                  <c:v>0</c:v>
                </c:pt>
                <c:pt idx="5">
                  <c:v>0</c:v>
                </c:pt>
                <c:pt idx="6">
                  <c:v>7956.75</c:v>
                </c:pt>
                <c:pt idx="7">
                  <c:v>0</c:v>
                </c:pt>
                <c:pt idx="8">
                  <c:v>0</c:v>
                </c:pt>
                <c:pt idx="9">
                  <c:v>6365.400000000001</c:v>
                </c:pt>
                <c:pt idx="10">
                  <c:v>0</c:v>
                </c:pt>
                <c:pt idx="11">
                  <c:v>0</c:v>
                </c:pt>
                <c:pt idx="12">
                  <c:v>22810.38</c:v>
                </c:pt>
                <c:pt idx="13">
                  <c:v>0</c:v>
                </c:pt>
                <c:pt idx="14">
                  <c:v>0</c:v>
                </c:pt>
                <c:pt idx="15">
                  <c:v>36595.9</c:v>
                </c:pt>
                <c:pt idx="16">
                  <c:v>0</c:v>
                </c:pt>
                <c:pt idx="17">
                  <c:v>0</c:v>
                </c:pt>
                <c:pt idx="18">
                  <c:v>13306.57</c:v>
                </c:pt>
                <c:pt idx="19">
                  <c:v>0</c:v>
                </c:pt>
                <c:pt idx="20">
                  <c:v>0</c:v>
                </c:pt>
                <c:pt idx="21">
                  <c:v>13306.57</c:v>
                </c:pt>
                <c:pt idx="22">
                  <c:v>0</c:v>
                </c:pt>
                <c:pt idx="23">
                  <c:v>0</c:v>
                </c:pt>
                <c:pt idx="24">
                  <c:v>62809.00000000001</c:v>
                </c:pt>
                <c:pt idx="25">
                  <c:v>10</c:v>
                </c:pt>
                <c:pt idx="26">
                  <c:v>6280900.000000001</c:v>
                </c:pt>
                <c:pt idx="27">
                  <c:v>92234</c:v>
                </c:pt>
                <c:pt idx="28">
                  <c:v>0</c:v>
                </c:pt>
                <c:pt idx="29">
                  <c:v>0</c:v>
                </c:pt>
                <c:pt idx="30">
                  <c:v>62809.00000000001</c:v>
                </c:pt>
                <c:pt idx="31">
                  <c:v>1</c:v>
                </c:pt>
                <c:pt idx="32">
                  <c:v>628090.0000000001</c:v>
                </c:pt>
                <c:pt idx="33">
                  <c:v>0</c:v>
                </c:pt>
                <c:pt idx="34">
                  <c:v>0</c:v>
                </c:pt>
                <c:pt idx="35">
                  <c:v>0</c:v>
                </c:pt>
                <c:pt idx="36">
                  <c:v>0</c:v>
                </c:pt>
                <c:pt idx="37">
                  <c:v>0</c:v>
                </c:pt>
                <c:pt idx="38">
                  <c:v>0</c:v>
                </c:pt>
                <c:pt idx="39">
                  <c:v>7751080.000000001</c:v>
                </c:pt>
              </c:numCache>
            </c:numRef>
          </c:val>
        </c:ser>
        <c:ser>
          <c:idx val="6"/>
          <c:order val="6"/>
          <c:tx>
            <c:strRef>
              <c:f>'Ap. 2 Ingresos C. Benef.'!$J$7:$J$16</c:f>
              <c:strCache>
                <c:ptCount val="1"/>
                <c:pt idx="0">
                  <c:v>RESUMEN DE INGRESOS Y COSTOS DE LOS CENTROS DE BENEFICIO EDUCACIONALES C. TOTAL  $139.635.618   $3.191.738  ESTADO DE RESULTADO 1,1 Mensualidad/Prestacion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Benef.'!$J$17:$J$56</c:f>
              <c:numCache>
                <c:ptCount val="40"/>
                <c:pt idx="0">
                  <c:v>70941</c:v>
                </c:pt>
                <c:pt idx="1">
                  <c:v>2</c:v>
                </c:pt>
                <c:pt idx="2">
                  <c:v>1418820</c:v>
                </c:pt>
                <c:pt idx="3">
                  <c:v>36166</c:v>
                </c:pt>
                <c:pt idx="4">
                  <c:v>0</c:v>
                </c:pt>
                <c:pt idx="5">
                  <c:v>0</c:v>
                </c:pt>
                <c:pt idx="6">
                  <c:v>7956.75</c:v>
                </c:pt>
                <c:pt idx="7">
                  <c:v>0</c:v>
                </c:pt>
                <c:pt idx="8">
                  <c:v>0</c:v>
                </c:pt>
                <c:pt idx="9">
                  <c:v>6365.400000000001</c:v>
                </c:pt>
                <c:pt idx="10">
                  <c:v>0</c:v>
                </c:pt>
                <c:pt idx="11">
                  <c:v>0</c:v>
                </c:pt>
                <c:pt idx="12">
                  <c:v>22810.38</c:v>
                </c:pt>
                <c:pt idx="13">
                  <c:v>0</c:v>
                </c:pt>
                <c:pt idx="14">
                  <c:v>0</c:v>
                </c:pt>
                <c:pt idx="15">
                  <c:v>36595.9</c:v>
                </c:pt>
                <c:pt idx="16">
                  <c:v>0</c:v>
                </c:pt>
                <c:pt idx="17">
                  <c:v>0</c:v>
                </c:pt>
                <c:pt idx="18">
                  <c:v>13306.57</c:v>
                </c:pt>
                <c:pt idx="19">
                  <c:v>0</c:v>
                </c:pt>
                <c:pt idx="20">
                  <c:v>0</c:v>
                </c:pt>
                <c:pt idx="21">
                  <c:v>13306.57</c:v>
                </c:pt>
                <c:pt idx="22">
                  <c:v>0</c:v>
                </c:pt>
                <c:pt idx="23">
                  <c:v>0</c:v>
                </c:pt>
                <c:pt idx="24">
                  <c:v>49434</c:v>
                </c:pt>
                <c:pt idx="25">
                  <c:v>32</c:v>
                </c:pt>
                <c:pt idx="26">
                  <c:v>15818880</c:v>
                </c:pt>
                <c:pt idx="27">
                  <c:v>78859</c:v>
                </c:pt>
                <c:pt idx="28">
                  <c:v>6</c:v>
                </c:pt>
                <c:pt idx="29">
                  <c:v>4731540</c:v>
                </c:pt>
                <c:pt idx="30">
                  <c:v>56175</c:v>
                </c:pt>
                <c:pt idx="31">
                  <c:v>0</c:v>
                </c:pt>
                <c:pt idx="32">
                  <c:v>0</c:v>
                </c:pt>
                <c:pt idx="33">
                  <c:v>0</c:v>
                </c:pt>
                <c:pt idx="34">
                  <c:v>0</c:v>
                </c:pt>
                <c:pt idx="35">
                  <c:v>0</c:v>
                </c:pt>
                <c:pt idx="36">
                  <c:v>0</c:v>
                </c:pt>
                <c:pt idx="37">
                  <c:v>0</c:v>
                </c:pt>
                <c:pt idx="38">
                  <c:v>0</c:v>
                </c:pt>
                <c:pt idx="39">
                  <c:v>21969240</c:v>
                </c:pt>
              </c:numCache>
            </c:numRef>
          </c:val>
        </c:ser>
        <c:ser>
          <c:idx val="7"/>
          <c:order val="7"/>
          <c:tx>
            <c:strRef>
              <c:f>'Ap. 2 Ingresos C. Benef.'!$K$7:$K$16</c:f>
              <c:strCache>
                <c:ptCount val="1"/>
                <c:pt idx="0">
                  <c:v>RESUMEN DE INGRESOS Y COSTOS DE LOS CENTROS DE BENEFICIO EDUCACIONALES EXCEDENTE -$12.191.738   $3.191.738  -$ 9.000.000  1,1 Mensualidad/Prestacion 2) PERSONAL EN RETIRO:                                 Oficiales/EE.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Benef.'!$K$17:$K$56</c:f>
              <c:numCache>
                <c:ptCount val="40"/>
                <c:pt idx="0">
                  <c:v>116856.00000000001</c:v>
                </c:pt>
                <c:pt idx="1">
                  <c:v>2</c:v>
                </c:pt>
                <c:pt idx="2">
                  <c:v>2337120.0000000005</c:v>
                </c:pt>
                <c:pt idx="3">
                  <c:v>55620.00000000001</c:v>
                </c:pt>
                <c:pt idx="4">
                  <c:v>0</c:v>
                </c:pt>
                <c:pt idx="5">
                  <c:v>0</c:v>
                </c:pt>
                <c:pt idx="6">
                  <c:v>7956.75</c:v>
                </c:pt>
                <c:pt idx="7">
                  <c:v>0</c:v>
                </c:pt>
                <c:pt idx="8">
                  <c:v>0</c:v>
                </c:pt>
                <c:pt idx="9">
                  <c:v>6365.400000000001</c:v>
                </c:pt>
                <c:pt idx="10">
                  <c:v>0</c:v>
                </c:pt>
                <c:pt idx="11">
                  <c:v>0</c:v>
                </c:pt>
                <c:pt idx="12">
                  <c:v>22810.38</c:v>
                </c:pt>
                <c:pt idx="13">
                  <c:v>0</c:v>
                </c:pt>
                <c:pt idx="14">
                  <c:v>0</c:v>
                </c:pt>
                <c:pt idx="15">
                  <c:v>36595.9</c:v>
                </c:pt>
                <c:pt idx="16">
                  <c:v>0</c:v>
                </c:pt>
                <c:pt idx="17">
                  <c:v>0</c:v>
                </c:pt>
                <c:pt idx="18">
                  <c:v>13306.57</c:v>
                </c:pt>
                <c:pt idx="19">
                  <c:v>0</c:v>
                </c:pt>
                <c:pt idx="20">
                  <c:v>0</c:v>
                </c:pt>
                <c:pt idx="21">
                  <c:v>13306.57</c:v>
                </c:pt>
                <c:pt idx="22">
                  <c:v>0</c:v>
                </c:pt>
                <c:pt idx="23">
                  <c:v>0</c:v>
                </c:pt>
                <c:pt idx="24">
                  <c:v>84780</c:v>
                </c:pt>
                <c:pt idx="25">
                  <c:v>0</c:v>
                </c:pt>
                <c:pt idx="26">
                  <c:v>0</c:v>
                </c:pt>
                <c:pt idx="27">
                  <c:v>126468.00000000001</c:v>
                </c:pt>
                <c:pt idx="28">
                  <c:v>2</c:v>
                </c:pt>
                <c:pt idx="29">
                  <c:v>2529360.0000000005</c:v>
                </c:pt>
                <c:pt idx="30">
                  <c:v>84780</c:v>
                </c:pt>
                <c:pt idx="31">
                  <c:v>1</c:v>
                </c:pt>
                <c:pt idx="32">
                  <c:v>847800</c:v>
                </c:pt>
                <c:pt idx="33">
                  <c:v>0</c:v>
                </c:pt>
                <c:pt idx="34">
                  <c:v>0</c:v>
                </c:pt>
                <c:pt idx="35">
                  <c:v>0</c:v>
                </c:pt>
                <c:pt idx="36">
                  <c:v>0</c:v>
                </c:pt>
                <c:pt idx="37">
                  <c:v>0</c:v>
                </c:pt>
                <c:pt idx="38">
                  <c:v>0</c:v>
                </c:pt>
                <c:pt idx="39">
                  <c:v>5714280.000000001</c:v>
                </c:pt>
              </c:numCache>
            </c:numRef>
          </c:val>
        </c:ser>
        <c:ser>
          <c:idx val="8"/>
          <c:order val="8"/>
          <c:tx>
            <c:strRef>
              <c:f>'Ap. 2 Ingresos C. Benef.'!$L$7:$L$16</c:f>
              <c:strCache>
                <c:ptCount val="1"/>
                <c:pt idx="0">
                  <c:v>RESUMEN DE INGRESOS Y COSTOS DE LOS CENTROS DE BENEFICIO EDUCACIONALES EXCEDENTE -$12.191.738   $3.191.738  -$ 9.000.000  1,1 Mensualidad/Prestacion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Benef.'!$L$17:$L$56</c:f>
              <c:numCache>
                <c:ptCount val="40"/>
                <c:pt idx="0">
                  <c:v>101628</c:v>
                </c:pt>
                <c:pt idx="1">
                  <c:v>0</c:v>
                </c:pt>
                <c:pt idx="2">
                  <c:v>0</c:v>
                </c:pt>
                <c:pt idx="3">
                  <c:v>49572</c:v>
                </c:pt>
                <c:pt idx="4">
                  <c:v>1</c:v>
                </c:pt>
                <c:pt idx="5">
                  <c:v>495720</c:v>
                </c:pt>
                <c:pt idx="6">
                  <c:v>7956.75</c:v>
                </c:pt>
                <c:pt idx="7">
                  <c:v>1</c:v>
                </c:pt>
                <c:pt idx="8">
                  <c:v>55697.25</c:v>
                </c:pt>
                <c:pt idx="9">
                  <c:v>6365.400000000001</c:v>
                </c:pt>
                <c:pt idx="10">
                  <c:v>1</c:v>
                </c:pt>
                <c:pt idx="11">
                  <c:v>6365.400000000001</c:v>
                </c:pt>
                <c:pt idx="12">
                  <c:v>22810.38</c:v>
                </c:pt>
                <c:pt idx="13">
                  <c:v>3</c:v>
                </c:pt>
                <c:pt idx="14">
                  <c:v>479017.98</c:v>
                </c:pt>
                <c:pt idx="15">
                  <c:v>36595.9</c:v>
                </c:pt>
                <c:pt idx="16">
                  <c:v>2</c:v>
                </c:pt>
                <c:pt idx="17">
                  <c:v>73191.8</c:v>
                </c:pt>
                <c:pt idx="18">
                  <c:v>13306.57</c:v>
                </c:pt>
                <c:pt idx="19">
                  <c:v>3</c:v>
                </c:pt>
                <c:pt idx="20">
                  <c:v>279437.97</c:v>
                </c:pt>
                <c:pt idx="21">
                  <c:v>13306.57</c:v>
                </c:pt>
                <c:pt idx="22">
                  <c:v>2</c:v>
                </c:pt>
                <c:pt idx="23">
                  <c:v>26613.14</c:v>
                </c:pt>
                <c:pt idx="24">
                  <c:v>75168</c:v>
                </c:pt>
                <c:pt idx="25">
                  <c:v>2</c:v>
                </c:pt>
                <c:pt idx="26">
                  <c:v>1503360</c:v>
                </c:pt>
                <c:pt idx="27">
                  <c:v>110484</c:v>
                </c:pt>
                <c:pt idx="28">
                  <c:v>3</c:v>
                </c:pt>
                <c:pt idx="29">
                  <c:v>3314520</c:v>
                </c:pt>
                <c:pt idx="30">
                  <c:v>75168</c:v>
                </c:pt>
                <c:pt idx="31">
                  <c:v>2</c:v>
                </c:pt>
                <c:pt idx="32">
                  <c:v>1503360</c:v>
                </c:pt>
                <c:pt idx="33">
                  <c:v>0</c:v>
                </c:pt>
                <c:pt idx="34">
                  <c:v>0</c:v>
                </c:pt>
                <c:pt idx="35">
                  <c:v>0</c:v>
                </c:pt>
                <c:pt idx="36">
                  <c:v>0</c:v>
                </c:pt>
                <c:pt idx="37">
                  <c:v>0</c:v>
                </c:pt>
                <c:pt idx="38">
                  <c:v>0</c:v>
                </c:pt>
                <c:pt idx="39">
                  <c:v>6816960</c:v>
                </c:pt>
              </c:numCache>
            </c:numRef>
          </c:val>
        </c:ser>
        <c:ser>
          <c:idx val="9"/>
          <c:order val="9"/>
          <c:tx>
            <c:strRef>
              <c:f>'Ap. 2 Ingresos C. Benef.'!$M$7:$M$16</c:f>
              <c:strCache>
                <c:ptCount val="1"/>
                <c:pt idx="0">
                  <c:v>RESUMEN DE INGRESOS Y COSTOS DE LOS CENTROS DE BENEFICIO EDUCACIONALES EXCEDENTE -$12.191.738   $3.191.738  -$ 9.000.000  1,1 Mensualidad/Prestacion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Benef.'!$M$17:$M$56</c:f>
              <c:numCache>
                <c:ptCount val="40"/>
                <c:pt idx="0">
                  <c:v>129030.00000000001</c:v>
                </c:pt>
                <c:pt idx="1">
                  <c:v>0</c:v>
                </c:pt>
                <c:pt idx="2">
                  <c:v>0</c:v>
                </c:pt>
                <c:pt idx="3">
                  <c:v>57970.00000000001</c:v>
                </c:pt>
                <c:pt idx="4">
                  <c:v>0</c:v>
                </c:pt>
                <c:pt idx="5">
                  <c:v>0</c:v>
                </c:pt>
                <c:pt idx="6">
                  <c:v>7956.75</c:v>
                </c:pt>
                <c:pt idx="7">
                  <c:v>0</c:v>
                </c:pt>
                <c:pt idx="8">
                  <c:v>0</c:v>
                </c:pt>
                <c:pt idx="9">
                  <c:v>6365.400000000001</c:v>
                </c:pt>
                <c:pt idx="10">
                  <c:v>0</c:v>
                </c:pt>
                <c:pt idx="11">
                  <c:v>0</c:v>
                </c:pt>
                <c:pt idx="12">
                  <c:v>22810.38</c:v>
                </c:pt>
                <c:pt idx="13">
                  <c:v>0</c:v>
                </c:pt>
                <c:pt idx="14">
                  <c:v>0</c:v>
                </c:pt>
                <c:pt idx="15">
                  <c:v>0</c:v>
                </c:pt>
                <c:pt idx="16">
                  <c:v>0</c:v>
                </c:pt>
                <c:pt idx="17">
                  <c:v>0</c:v>
                </c:pt>
                <c:pt idx="18">
                  <c:v>0</c:v>
                </c:pt>
                <c:pt idx="19">
                  <c:v>0</c:v>
                </c:pt>
                <c:pt idx="20">
                  <c:v>0</c:v>
                </c:pt>
                <c:pt idx="21">
                  <c:v>0</c:v>
                </c:pt>
                <c:pt idx="22">
                  <c:v>0</c:v>
                </c:pt>
                <c:pt idx="23">
                  <c:v>0</c:v>
                </c:pt>
                <c:pt idx="24">
                  <c:v>93500.00000000001</c:v>
                </c:pt>
                <c:pt idx="25">
                  <c:v>1</c:v>
                </c:pt>
                <c:pt idx="26">
                  <c:v>935000.0000000001</c:v>
                </c:pt>
                <c:pt idx="27">
                  <c:v>131340</c:v>
                </c:pt>
                <c:pt idx="28">
                  <c:v>3</c:v>
                </c:pt>
                <c:pt idx="29">
                  <c:v>3940200</c:v>
                </c:pt>
                <c:pt idx="30">
                  <c:v>99000.00000000001</c:v>
                </c:pt>
                <c:pt idx="31">
                  <c:v>2</c:v>
                </c:pt>
                <c:pt idx="32">
                  <c:v>1980000.0000000002</c:v>
                </c:pt>
                <c:pt idx="33">
                  <c:v>0</c:v>
                </c:pt>
                <c:pt idx="34">
                  <c:v>0</c:v>
                </c:pt>
                <c:pt idx="35">
                  <c:v>0</c:v>
                </c:pt>
                <c:pt idx="36">
                  <c:v>0</c:v>
                </c:pt>
                <c:pt idx="37">
                  <c:v>0</c:v>
                </c:pt>
                <c:pt idx="38">
                  <c:v>0</c:v>
                </c:pt>
                <c:pt idx="39">
                  <c:v>6855200</c:v>
                </c:pt>
              </c:numCache>
            </c:numRef>
          </c:val>
        </c:ser>
        <c:ser>
          <c:idx val="10"/>
          <c:order val="10"/>
          <c:tx>
            <c:strRef>
              <c:f>'Ap. 2 Ingresos C. Benef.'!$N$7:$N$16</c:f>
              <c:strCache>
                <c:ptCount val="1"/>
                <c:pt idx="0">
                  <c:v>RESUMEN DE INGRESOS Y COSTOS DE LOS CENTROS DE BENEFICIO EDUCACIONALES EXCEDENTE -$12.191.738   $3.191.738  -$ 9.000.000  1,1 MENSUALID. ENERO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Benef.'!$N$17:$N$56</c:f>
              <c:numCache>
                <c:ptCount val="40"/>
                <c:pt idx="2">
                  <c:v>137940.9</c:v>
                </c:pt>
                <c:pt idx="5">
                  <c:v>14871.599999999999</c:v>
                </c:pt>
                <c:pt idx="8">
                  <c:v>0</c:v>
                </c:pt>
                <c:pt idx="12">
                  <c:v>0</c:v>
                </c:pt>
                <c:pt idx="14">
                  <c:v>0</c:v>
                </c:pt>
                <c:pt idx="23">
                  <c:v>0</c:v>
                </c:pt>
                <c:pt idx="26">
                  <c:v>736144.2</c:v>
                </c:pt>
                <c:pt idx="29">
                  <c:v>435468.6</c:v>
                </c:pt>
                <c:pt idx="32">
                  <c:v>148777.5</c:v>
                </c:pt>
                <c:pt idx="35">
                  <c:v>99789</c:v>
                </c:pt>
                <c:pt idx="38">
                  <c:v>346038</c:v>
                </c:pt>
                <c:pt idx="39">
                  <c:v>1919029.7999999998</c:v>
                </c:pt>
              </c:numCache>
            </c:numRef>
          </c:val>
        </c:ser>
        <c:ser>
          <c:idx val="11"/>
          <c:order val="11"/>
          <c:tx>
            <c:strRef>
              <c:f>'Ap. 2 Ingresos C. Benef.'!$O$7:$O$16</c:f>
              <c:strCache>
                <c:ptCount val="1"/>
                <c:pt idx="0">
                  <c:v>RESUMEN DE INGRESOS Y COSTOS DE LOS CENTROS DE BENEFICIO EDUCACIONALES EXCEDENTE -$12.191.738   $3.191.738  -$ 9.000.000  1,1 MENSUALID.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Benef.'!$O$17:$O$56</c:f>
              <c:numCache>
                <c:ptCount val="40"/>
                <c:pt idx="2">
                  <c:v>459803</c:v>
                </c:pt>
                <c:pt idx="5">
                  <c:v>49572</c:v>
                </c:pt>
                <c:pt idx="8">
                  <c:v>0</c:v>
                </c:pt>
                <c:pt idx="11">
                  <c:v>0</c:v>
                </c:pt>
                <c:pt idx="14">
                  <c:v>0</c:v>
                </c:pt>
                <c:pt idx="17">
                  <c:v>0</c:v>
                </c:pt>
                <c:pt idx="20">
                  <c:v>0</c:v>
                </c:pt>
                <c:pt idx="23">
                  <c:v>0</c:v>
                </c:pt>
                <c:pt idx="26">
                  <c:v>2453814</c:v>
                </c:pt>
                <c:pt idx="29">
                  <c:v>1451562</c:v>
                </c:pt>
                <c:pt idx="32">
                  <c:v>495925</c:v>
                </c:pt>
                <c:pt idx="35">
                  <c:v>332630</c:v>
                </c:pt>
                <c:pt idx="38">
                  <c:v>1153460</c:v>
                </c:pt>
                <c:pt idx="39">
                  <c:v>6396766</c:v>
                </c:pt>
              </c:numCache>
            </c:numRef>
          </c:val>
        </c:ser>
        <c:ser>
          <c:idx val="12"/>
          <c:order val="12"/>
          <c:tx>
            <c:strRef>
              <c:f>'Ap. 2 Ingresos C. Benef.'!$P$7:$P$16</c:f>
              <c:strCache>
                <c:ptCount val="1"/>
                <c:pt idx="0">
                  <c:v>RESUMEN DE INGRESOS Y COSTOS DE LOS CENTROS DE BENEFICIO EDUCACIONALES EXCEDENTE -$12.191.738   $3.191.738  -$ 9.000.000  1,1 MENSUALID.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Benef.'!$P$17:$P$56</c:f>
              <c:numCache>
                <c:ptCount val="40"/>
                <c:pt idx="2">
                  <c:v>4598030</c:v>
                </c:pt>
                <c:pt idx="5">
                  <c:v>495720</c:v>
                </c:pt>
                <c:pt idx="8">
                  <c:v>55697.25</c:v>
                </c:pt>
                <c:pt idx="11">
                  <c:v>6365.400000000001</c:v>
                </c:pt>
                <c:pt idx="14">
                  <c:v>479017.98</c:v>
                </c:pt>
                <c:pt idx="17">
                  <c:v>73191.8</c:v>
                </c:pt>
                <c:pt idx="20">
                  <c:v>279437.97</c:v>
                </c:pt>
                <c:pt idx="23">
                  <c:v>26613.14</c:v>
                </c:pt>
                <c:pt idx="26">
                  <c:v>24538140</c:v>
                </c:pt>
                <c:pt idx="29">
                  <c:v>14515620</c:v>
                </c:pt>
                <c:pt idx="32">
                  <c:v>4959250</c:v>
                </c:pt>
                <c:pt idx="35">
                  <c:v>0</c:v>
                </c:pt>
                <c:pt idx="38">
                  <c:v>0</c:v>
                </c:pt>
                <c:pt idx="39">
                  <c:v>50027083.54</c:v>
                </c:pt>
              </c:numCache>
            </c:numRef>
          </c:val>
        </c:ser>
        <c:ser>
          <c:idx val="13"/>
          <c:order val="13"/>
          <c:tx>
            <c:strRef>
              <c:f>'Ap. 2 Ingresos C. Benef.'!$Q$7:$Q$16</c:f>
              <c:strCache>
                <c:ptCount val="1"/>
                <c:pt idx="0">
                  <c:v>RESUMEN DE INGRESOS Y COSTOS DE LOS CENTROS DE BENEFICIO EDUCACIONALES EXCEDENTE -$12.191.738   $3.191.738  -$ 9.000.000  1,1 MENSUALID.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Benef.'!$Q$17:$Q$56</c:f>
              <c:numCache>
                <c:ptCount val="40"/>
                <c:pt idx="2">
                  <c:v>5195773.9</c:v>
                </c:pt>
                <c:pt idx="5">
                  <c:v>560163.6</c:v>
                </c:pt>
                <c:pt idx="8">
                  <c:v>55697.25</c:v>
                </c:pt>
                <c:pt idx="11">
                  <c:v>6365.400000000001</c:v>
                </c:pt>
                <c:pt idx="14">
                  <c:v>479017.98</c:v>
                </c:pt>
                <c:pt idx="17">
                  <c:v>73191.8</c:v>
                </c:pt>
                <c:pt idx="20">
                  <c:v>279437.97</c:v>
                </c:pt>
                <c:pt idx="23">
                  <c:v>26613.14</c:v>
                </c:pt>
                <c:pt idx="26">
                  <c:v>27728098.2</c:v>
                </c:pt>
                <c:pt idx="29">
                  <c:v>16402650.6</c:v>
                </c:pt>
                <c:pt idx="32">
                  <c:v>5603952.5</c:v>
                </c:pt>
                <c:pt idx="35">
                  <c:v>432419</c:v>
                </c:pt>
                <c:pt idx="38">
                  <c:v>1499498</c:v>
                </c:pt>
                <c:pt idx="39">
                  <c:v>58342879.34</c:v>
                </c:pt>
              </c:numCache>
            </c:numRef>
          </c:val>
        </c:ser>
        <c:axId val="37410190"/>
        <c:axId val="11153687"/>
      </c:barChart>
      <c:catAx>
        <c:axId val="37410190"/>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11153687"/>
        <c:crosses val="autoZero"/>
        <c:auto val="1"/>
        <c:lblOffset val="100"/>
        <c:tickLblSkip val="2"/>
        <c:noMultiLvlLbl val="0"/>
      </c:catAx>
      <c:valAx>
        <c:axId val="11153687"/>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37410190"/>
        <c:crossesAt val="1"/>
        <c:crossBetween val="between"/>
        <c:dispUnits/>
      </c:valAx>
      <c:spPr>
        <a:solidFill>
          <a:srgbClr val="FFFFFF"/>
        </a:solidFill>
        <a:ln w="3175">
          <a:noFill/>
        </a:ln>
      </c:spPr>
    </c:plotArea>
    <c:legend>
      <c:legendPos val="r"/>
      <c:layout>
        <c:manualLayout>
          <c:xMode val="edge"/>
          <c:yMode val="edge"/>
          <c:x val="0.62925"/>
          <c:y val="0.0705"/>
          <c:w val="0.36775"/>
          <c:h val="0.85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225"/>
          <c:w val="0.63425"/>
          <c:h val="0.95025"/>
        </c:manualLayout>
      </c:layout>
      <c:barChart>
        <c:barDir val="col"/>
        <c:grouping val="clustered"/>
        <c:varyColors val="0"/>
        <c:ser>
          <c:idx val="0"/>
          <c:order val="0"/>
          <c:tx>
            <c:strRef>
              <c:f>'Ap. 2 Ingresos C. Benef.'!$D$7:$D$16</c:f>
              <c:strCache>
                <c:ptCount val="1"/>
                <c:pt idx="0">
                  <c:v>RESUMEN DE INGRESOS Y COSTOS DE LOS CENTROS DE BENEFICIO EDUCACIONALES ING. SOC +APOYO VIDA BASE $ 39.000.000 BUS CASOS ESPEC. 1,1 Matrícula 1) PERSONAL SERVICIO ACTIVO: Oficiales/EE.CC.,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Benef.'!$D$17:$D$56</c:f>
              <c:numCache>
                <c:ptCount val="40"/>
                <c:pt idx="0">
                  <c:v>84209</c:v>
                </c:pt>
                <c:pt idx="1">
                  <c:v>1</c:v>
                </c:pt>
                <c:pt idx="2">
                  <c:v>84209</c:v>
                </c:pt>
                <c:pt idx="3">
                  <c:v>41409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62809.00000000001</c:v>
                </c:pt>
                <c:pt idx="25">
                  <c:v>10</c:v>
                </c:pt>
                <c:pt idx="26">
                  <c:v>628090.0000000001</c:v>
                </c:pt>
                <c:pt idx="27">
                  <c:v>92234</c:v>
                </c:pt>
                <c:pt idx="28">
                  <c:v>0</c:v>
                </c:pt>
                <c:pt idx="29">
                  <c:v>0</c:v>
                </c:pt>
                <c:pt idx="30">
                  <c:v>62809.00000000001</c:v>
                </c:pt>
                <c:pt idx="31">
                  <c:v>1</c:v>
                </c:pt>
                <c:pt idx="32">
                  <c:v>62809.00000000001</c:v>
                </c:pt>
                <c:pt idx="33">
                  <c:v>33480</c:v>
                </c:pt>
                <c:pt idx="34">
                  <c:v>2</c:v>
                </c:pt>
                <c:pt idx="35">
                  <c:v>66960</c:v>
                </c:pt>
                <c:pt idx="36">
                  <c:v>52430</c:v>
                </c:pt>
                <c:pt idx="37">
                  <c:v>5</c:v>
                </c:pt>
                <c:pt idx="38">
                  <c:v>262150</c:v>
                </c:pt>
                <c:pt idx="39">
                  <c:v>1104218</c:v>
                </c:pt>
              </c:numCache>
            </c:numRef>
          </c:val>
        </c:ser>
        <c:ser>
          <c:idx val="1"/>
          <c:order val="1"/>
          <c:tx>
            <c:strRef>
              <c:f>'Ap. 2 Ingresos C. Benef.'!$E$7:$E$16</c:f>
              <c:strCache>
                <c:ptCount val="1"/>
                <c:pt idx="0">
                  <c:v>RESUMEN DE INGRESOS Y COSTOS DE LOS CENTROS DE BENEFICIO EDUCACIONALES ING. MATR. VERANO  $8.315.796  BUS CASOS ESPEC. 1,1 Matrícula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Benef.'!$E$17:$E$56</c:f>
              <c:numCache>
                <c:ptCount val="40"/>
                <c:pt idx="0">
                  <c:v>70941</c:v>
                </c:pt>
                <c:pt idx="1">
                  <c:v>2</c:v>
                </c:pt>
                <c:pt idx="2">
                  <c:v>141882</c:v>
                </c:pt>
                <c:pt idx="3">
                  <c:v>36166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49434</c:v>
                </c:pt>
                <c:pt idx="25">
                  <c:v>32</c:v>
                </c:pt>
                <c:pt idx="26">
                  <c:v>1581888</c:v>
                </c:pt>
                <c:pt idx="27">
                  <c:v>78859</c:v>
                </c:pt>
                <c:pt idx="28">
                  <c:v>6</c:v>
                </c:pt>
                <c:pt idx="29">
                  <c:v>473154</c:v>
                </c:pt>
                <c:pt idx="30">
                  <c:v>56175</c:v>
                </c:pt>
                <c:pt idx="31">
                  <c:v>0</c:v>
                </c:pt>
                <c:pt idx="32">
                  <c:v>0</c:v>
                </c:pt>
                <c:pt idx="33">
                  <c:v>33170</c:v>
                </c:pt>
                <c:pt idx="34">
                  <c:v>4</c:v>
                </c:pt>
                <c:pt idx="35">
                  <c:v>132680</c:v>
                </c:pt>
                <c:pt idx="36">
                  <c:v>52430</c:v>
                </c:pt>
                <c:pt idx="37">
                  <c:v>14</c:v>
                </c:pt>
                <c:pt idx="38">
                  <c:v>734020</c:v>
                </c:pt>
                <c:pt idx="39">
                  <c:v>3063624</c:v>
                </c:pt>
              </c:numCache>
            </c:numRef>
          </c:val>
        </c:ser>
        <c:ser>
          <c:idx val="2"/>
          <c:order val="2"/>
          <c:tx>
            <c:strRef>
              <c:f>'Ap. 2 Ingresos C. Benef.'!$F$7:$F$16</c:f>
              <c:strCache>
                <c:ptCount val="1"/>
                <c:pt idx="0">
                  <c:v>RESUMEN DE INGRESOS Y COSTOS DE LOS CENTROS DE BENEFICIO EDUCACIONALES ING. MENS.  $50.027.084  BUS CASOS ESPEC. 1,1 Matrícula 2) PERSONAL EN RETIRO:                                 Oficiales/EE.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Benef.'!$F$17:$F$56</c:f>
              <c:numCache>
                <c:ptCount val="40"/>
                <c:pt idx="0">
                  <c:v>116856.00000000001</c:v>
                </c:pt>
                <c:pt idx="1">
                  <c:v>2</c:v>
                </c:pt>
                <c:pt idx="2">
                  <c:v>233712.00000000003</c:v>
                </c:pt>
                <c:pt idx="3">
                  <c:v>55620.00000000001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84780</c:v>
                </c:pt>
                <c:pt idx="25">
                  <c:v>0</c:v>
                </c:pt>
                <c:pt idx="26">
                  <c:v>0</c:v>
                </c:pt>
                <c:pt idx="27">
                  <c:v>126468.00000000001</c:v>
                </c:pt>
                <c:pt idx="28">
                  <c:v>2</c:v>
                </c:pt>
                <c:pt idx="29">
                  <c:v>252936.00000000003</c:v>
                </c:pt>
                <c:pt idx="30">
                  <c:v>84780</c:v>
                </c:pt>
                <c:pt idx="31">
                  <c:v>1</c:v>
                </c:pt>
                <c:pt idx="32">
                  <c:v>84780</c:v>
                </c:pt>
                <c:pt idx="33">
                  <c:v>33480</c:v>
                </c:pt>
                <c:pt idx="34">
                  <c:v>1</c:v>
                </c:pt>
                <c:pt idx="35">
                  <c:v>33480</c:v>
                </c:pt>
                <c:pt idx="36">
                  <c:v>52430</c:v>
                </c:pt>
                <c:pt idx="37">
                  <c:v>1</c:v>
                </c:pt>
                <c:pt idx="38">
                  <c:v>52430</c:v>
                </c:pt>
                <c:pt idx="39">
                  <c:v>657338</c:v>
                </c:pt>
              </c:numCache>
            </c:numRef>
          </c:val>
        </c:ser>
        <c:ser>
          <c:idx val="3"/>
          <c:order val="3"/>
          <c:tx>
            <c:strRef>
              <c:f>'Ap. 2 Ingresos C. Benef.'!$G$7:$G$16</c:f>
              <c:strCache>
                <c:ptCount val="1"/>
                <c:pt idx="0">
                  <c:v>RESUMEN DE INGRESOS Y COSTOS DE LOS CENTROS DE BENEFICIO EDUCACIONALES ING.TOTAL  $127.443.879   $3.191.738  CASOS ESPEC. 1,1 Matrícula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Benef.'!$G$17:$G$56</c:f>
              <c:numCache>
                <c:ptCount val="40"/>
                <c:pt idx="0">
                  <c:v>101628</c:v>
                </c:pt>
                <c:pt idx="1">
                  <c:v>0</c:v>
                </c:pt>
                <c:pt idx="2">
                  <c:v>0</c:v>
                </c:pt>
                <c:pt idx="3">
                  <c:v>49572</c:v>
                </c:pt>
                <c:pt idx="4">
                  <c:v>1</c:v>
                </c:pt>
                <c:pt idx="5">
                  <c:v>49572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75168</c:v>
                </c:pt>
                <c:pt idx="25">
                  <c:v>2</c:v>
                </c:pt>
                <c:pt idx="26">
                  <c:v>150336</c:v>
                </c:pt>
                <c:pt idx="27">
                  <c:v>110484</c:v>
                </c:pt>
                <c:pt idx="28">
                  <c:v>3</c:v>
                </c:pt>
                <c:pt idx="29">
                  <c:v>331452</c:v>
                </c:pt>
                <c:pt idx="30">
                  <c:v>75168</c:v>
                </c:pt>
                <c:pt idx="31">
                  <c:v>2</c:v>
                </c:pt>
                <c:pt idx="32">
                  <c:v>150336</c:v>
                </c:pt>
                <c:pt idx="33">
                  <c:v>33170</c:v>
                </c:pt>
                <c:pt idx="34">
                  <c:v>3</c:v>
                </c:pt>
                <c:pt idx="35">
                  <c:v>99510</c:v>
                </c:pt>
                <c:pt idx="36">
                  <c:v>52430</c:v>
                </c:pt>
                <c:pt idx="37">
                  <c:v>2</c:v>
                </c:pt>
                <c:pt idx="38">
                  <c:v>104860</c:v>
                </c:pt>
                <c:pt idx="39">
                  <c:v>886066</c:v>
                </c:pt>
              </c:numCache>
            </c:numRef>
          </c:val>
        </c:ser>
        <c:ser>
          <c:idx val="4"/>
          <c:order val="4"/>
          <c:tx>
            <c:strRef>
              <c:f>'Ap. 2 Ingresos C. Benef.'!$H$7:$H$16</c:f>
              <c:strCache>
                <c:ptCount val="1"/>
                <c:pt idx="0">
                  <c:v>RESUMEN DE INGRESOS Y COSTOS DE LOS CENTROS DE BENEFICIO EDUCACIONALES COSTOS DIR  $139.635.618   $3.191.738  CASOS ESPEC. 1,1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Benef.'!$H$17:$H$56</c:f>
              <c:numCache>
                <c:ptCount val="40"/>
                <c:pt idx="0">
                  <c:v>129030.00000000001</c:v>
                </c:pt>
                <c:pt idx="1">
                  <c:v>0</c:v>
                </c:pt>
                <c:pt idx="2">
                  <c:v>0</c:v>
                </c:pt>
                <c:pt idx="3">
                  <c:v>57970.00000000001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93500.00000000001</c:v>
                </c:pt>
                <c:pt idx="25">
                  <c:v>1</c:v>
                </c:pt>
                <c:pt idx="26">
                  <c:v>93500.00000000001</c:v>
                </c:pt>
                <c:pt idx="27">
                  <c:v>131340</c:v>
                </c:pt>
                <c:pt idx="28">
                  <c:v>3</c:v>
                </c:pt>
                <c:pt idx="29">
                  <c:v>394020</c:v>
                </c:pt>
                <c:pt idx="30">
                  <c:v>99000.00000000001</c:v>
                </c:pt>
                <c:pt idx="31">
                  <c:v>2</c:v>
                </c:pt>
                <c:pt idx="32">
                  <c:v>198000.00000000003</c:v>
                </c:pt>
                <c:pt idx="33">
                  <c:v>34100</c:v>
                </c:pt>
                <c:pt idx="34">
                  <c:v>0</c:v>
                </c:pt>
                <c:pt idx="35">
                  <c:v>0</c:v>
                </c:pt>
                <c:pt idx="36">
                  <c:v>53900.00000000001</c:v>
                </c:pt>
                <c:pt idx="37">
                  <c:v>0</c:v>
                </c:pt>
                <c:pt idx="38">
                  <c:v>0</c:v>
                </c:pt>
                <c:pt idx="39">
                  <c:v>685520</c:v>
                </c:pt>
              </c:numCache>
            </c:numRef>
          </c:val>
        </c:ser>
        <c:ser>
          <c:idx val="5"/>
          <c:order val="5"/>
          <c:tx>
            <c:strRef>
              <c:f>'Ap. 2 Ingresos C. Benef.'!$I$7:$I$16</c:f>
              <c:strCache>
                <c:ptCount val="1"/>
                <c:pt idx="0">
                  <c:v>RESUMEN DE INGRESOS Y COSTOS DE LOS CENTROS DE BENEFICIO EDUCACIONALES C.IND. Dp.  $-   $3.191.738  ESTADO DE RESULTADO 1,1 Mensualidad/Prestacion 1) PERSONAL SERVICIO ACTIVO: Oficiales/EE.CC.,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Benef.'!$I$17:$I$56</c:f>
              <c:numCache>
                <c:ptCount val="40"/>
                <c:pt idx="0">
                  <c:v>84209</c:v>
                </c:pt>
                <c:pt idx="1">
                  <c:v>1</c:v>
                </c:pt>
                <c:pt idx="2">
                  <c:v>842090</c:v>
                </c:pt>
                <c:pt idx="3">
                  <c:v>41409</c:v>
                </c:pt>
                <c:pt idx="4">
                  <c:v>0</c:v>
                </c:pt>
                <c:pt idx="5">
                  <c:v>0</c:v>
                </c:pt>
                <c:pt idx="6">
                  <c:v>7956.75</c:v>
                </c:pt>
                <c:pt idx="7">
                  <c:v>0</c:v>
                </c:pt>
                <c:pt idx="8">
                  <c:v>0</c:v>
                </c:pt>
                <c:pt idx="9">
                  <c:v>6365.400000000001</c:v>
                </c:pt>
                <c:pt idx="10">
                  <c:v>0</c:v>
                </c:pt>
                <c:pt idx="11">
                  <c:v>0</c:v>
                </c:pt>
                <c:pt idx="12">
                  <c:v>22810.38</c:v>
                </c:pt>
                <c:pt idx="13">
                  <c:v>0</c:v>
                </c:pt>
                <c:pt idx="14">
                  <c:v>0</c:v>
                </c:pt>
                <c:pt idx="15">
                  <c:v>36595.9</c:v>
                </c:pt>
                <c:pt idx="16">
                  <c:v>0</c:v>
                </c:pt>
                <c:pt idx="17">
                  <c:v>0</c:v>
                </c:pt>
                <c:pt idx="18">
                  <c:v>13306.57</c:v>
                </c:pt>
                <c:pt idx="19">
                  <c:v>0</c:v>
                </c:pt>
                <c:pt idx="20">
                  <c:v>0</c:v>
                </c:pt>
                <c:pt idx="21">
                  <c:v>13306.57</c:v>
                </c:pt>
                <c:pt idx="22">
                  <c:v>0</c:v>
                </c:pt>
                <c:pt idx="23">
                  <c:v>0</c:v>
                </c:pt>
                <c:pt idx="24">
                  <c:v>62809.00000000001</c:v>
                </c:pt>
                <c:pt idx="25">
                  <c:v>10</c:v>
                </c:pt>
                <c:pt idx="26">
                  <c:v>6280900.000000001</c:v>
                </c:pt>
                <c:pt idx="27">
                  <c:v>92234</c:v>
                </c:pt>
                <c:pt idx="28">
                  <c:v>0</c:v>
                </c:pt>
                <c:pt idx="29">
                  <c:v>0</c:v>
                </c:pt>
                <c:pt idx="30">
                  <c:v>62809.00000000001</c:v>
                </c:pt>
                <c:pt idx="31">
                  <c:v>1</c:v>
                </c:pt>
                <c:pt idx="32">
                  <c:v>628090.0000000001</c:v>
                </c:pt>
                <c:pt idx="33">
                  <c:v>0</c:v>
                </c:pt>
                <c:pt idx="34">
                  <c:v>0</c:v>
                </c:pt>
                <c:pt idx="35">
                  <c:v>0</c:v>
                </c:pt>
                <c:pt idx="36">
                  <c:v>0</c:v>
                </c:pt>
                <c:pt idx="37">
                  <c:v>0</c:v>
                </c:pt>
                <c:pt idx="38">
                  <c:v>0</c:v>
                </c:pt>
                <c:pt idx="39">
                  <c:v>7751080.000000001</c:v>
                </c:pt>
              </c:numCache>
            </c:numRef>
          </c:val>
        </c:ser>
        <c:ser>
          <c:idx val="6"/>
          <c:order val="6"/>
          <c:tx>
            <c:strRef>
              <c:f>'Ap. 2 Ingresos C. Benef.'!$J$7:$J$16</c:f>
              <c:strCache>
                <c:ptCount val="1"/>
                <c:pt idx="0">
                  <c:v>RESUMEN DE INGRESOS Y COSTOS DE LOS CENTROS DE BENEFICIO EDUCACIONALES C. TOTAL  $139.635.618   $3.191.738  ESTADO DE RESULTADO 1,1 Mensualidad/Prestacion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Benef.'!$J$17:$J$56</c:f>
              <c:numCache>
                <c:ptCount val="40"/>
                <c:pt idx="0">
                  <c:v>70941</c:v>
                </c:pt>
                <c:pt idx="1">
                  <c:v>2</c:v>
                </c:pt>
                <c:pt idx="2">
                  <c:v>1418820</c:v>
                </c:pt>
                <c:pt idx="3">
                  <c:v>36166</c:v>
                </c:pt>
                <c:pt idx="4">
                  <c:v>0</c:v>
                </c:pt>
                <c:pt idx="5">
                  <c:v>0</c:v>
                </c:pt>
                <c:pt idx="6">
                  <c:v>7956.75</c:v>
                </c:pt>
                <c:pt idx="7">
                  <c:v>0</c:v>
                </c:pt>
                <c:pt idx="8">
                  <c:v>0</c:v>
                </c:pt>
                <c:pt idx="9">
                  <c:v>6365.400000000001</c:v>
                </c:pt>
                <c:pt idx="10">
                  <c:v>0</c:v>
                </c:pt>
                <c:pt idx="11">
                  <c:v>0</c:v>
                </c:pt>
                <c:pt idx="12">
                  <c:v>22810.38</c:v>
                </c:pt>
                <c:pt idx="13">
                  <c:v>0</c:v>
                </c:pt>
                <c:pt idx="14">
                  <c:v>0</c:v>
                </c:pt>
                <c:pt idx="15">
                  <c:v>36595.9</c:v>
                </c:pt>
                <c:pt idx="16">
                  <c:v>0</c:v>
                </c:pt>
                <c:pt idx="17">
                  <c:v>0</c:v>
                </c:pt>
                <c:pt idx="18">
                  <c:v>13306.57</c:v>
                </c:pt>
                <c:pt idx="19">
                  <c:v>0</c:v>
                </c:pt>
                <c:pt idx="20">
                  <c:v>0</c:v>
                </c:pt>
                <c:pt idx="21">
                  <c:v>13306.57</c:v>
                </c:pt>
                <c:pt idx="22">
                  <c:v>0</c:v>
                </c:pt>
                <c:pt idx="23">
                  <c:v>0</c:v>
                </c:pt>
                <c:pt idx="24">
                  <c:v>49434</c:v>
                </c:pt>
                <c:pt idx="25">
                  <c:v>32</c:v>
                </c:pt>
                <c:pt idx="26">
                  <c:v>15818880</c:v>
                </c:pt>
                <c:pt idx="27">
                  <c:v>78859</c:v>
                </c:pt>
                <c:pt idx="28">
                  <c:v>6</c:v>
                </c:pt>
                <c:pt idx="29">
                  <c:v>4731540</c:v>
                </c:pt>
                <c:pt idx="30">
                  <c:v>56175</c:v>
                </c:pt>
                <c:pt idx="31">
                  <c:v>0</c:v>
                </c:pt>
                <c:pt idx="32">
                  <c:v>0</c:v>
                </c:pt>
                <c:pt idx="33">
                  <c:v>0</c:v>
                </c:pt>
                <c:pt idx="34">
                  <c:v>0</c:v>
                </c:pt>
                <c:pt idx="35">
                  <c:v>0</c:v>
                </c:pt>
                <c:pt idx="36">
                  <c:v>0</c:v>
                </c:pt>
                <c:pt idx="37">
                  <c:v>0</c:v>
                </c:pt>
                <c:pt idx="38">
                  <c:v>0</c:v>
                </c:pt>
                <c:pt idx="39">
                  <c:v>21969240</c:v>
                </c:pt>
              </c:numCache>
            </c:numRef>
          </c:val>
        </c:ser>
        <c:ser>
          <c:idx val="7"/>
          <c:order val="7"/>
          <c:tx>
            <c:strRef>
              <c:f>'Ap. 2 Ingresos C. Benef.'!$K$7:$K$16</c:f>
              <c:strCache>
                <c:ptCount val="1"/>
                <c:pt idx="0">
                  <c:v>RESUMEN DE INGRESOS Y COSTOS DE LOS CENTROS DE BENEFICIO EDUCACIONALES EXCEDENTE -$12.191.738   $3.191.738  -$ 9.000.000  1,1 Mensualidad/Prestacion 2) PERSONAL EN RETIRO:                                 Oficiales/EE.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Benef.'!$K$17:$K$56</c:f>
              <c:numCache>
                <c:ptCount val="40"/>
                <c:pt idx="0">
                  <c:v>116856.00000000001</c:v>
                </c:pt>
                <c:pt idx="1">
                  <c:v>2</c:v>
                </c:pt>
                <c:pt idx="2">
                  <c:v>2337120.0000000005</c:v>
                </c:pt>
                <c:pt idx="3">
                  <c:v>55620.00000000001</c:v>
                </c:pt>
                <c:pt idx="4">
                  <c:v>0</c:v>
                </c:pt>
                <c:pt idx="5">
                  <c:v>0</c:v>
                </c:pt>
                <c:pt idx="6">
                  <c:v>7956.75</c:v>
                </c:pt>
                <c:pt idx="7">
                  <c:v>0</c:v>
                </c:pt>
                <c:pt idx="8">
                  <c:v>0</c:v>
                </c:pt>
                <c:pt idx="9">
                  <c:v>6365.400000000001</c:v>
                </c:pt>
                <c:pt idx="10">
                  <c:v>0</c:v>
                </c:pt>
                <c:pt idx="11">
                  <c:v>0</c:v>
                </c:pt>
                <c:pt idx="12">
                  <c:v>22810.38</c:v>
                </c:pt>
                <c:pt idx="13">
                  <c:v>0</c:v>
                </c:pt>
                <c:pt idx="14">
                  <c:v>0</c:v>
                </c:pt>
                <c:pt idx="15">
                  <c:v>36595.9</c:v>
                </c:pt>
                <c:pt idx="16">
                  <c:v>0</c:v>
                </c:pt>
                <c:pt idx="17">
                  <c:v>0</c:v>
                </c:pt>
                <c:pt idx="18">
                  <c:v>13306.57</c:v>
                </c:pt>
                <c:pt idx="19">
                  <c:v>0</c:v>
                </c:pt>
                <c:pt idx="20">
                  <c:v>0</c:v>
                </c:pt>
                <c:pt idx="21">
                  <c:v>13306.57</c:v>
                </c:pt>
                <c:pt idx="22">
                  <c:v>0</c:v>
                </c:pt>
                <c:pt idx="23">
                  <c:v>0</c:v>
                </c:pt>
                <c:pt idx="24">
                  <c:v>84780</c:v>
                </c:pt>
                <c:pt idx="25">
                  <c:v>0</c:v>
                </c:pt>
                <c:pt idx="26">
                  <c:v>0</c:v>
                </c:pt>
                <c:pt idx="27">
                  <c:v>126468.00000000001</c:v>
                </c:pt>
                <c:pt idx="28">
                  <c:v>2</c:v>
                </c:pt>
                <c:pt idx="29">
                  <c:v>2529360.0000000005</c:v>
                </c:pt>
                <c:pt idx="30">
                  <c:v>84780</c:v>
                </c:pt>
                <c:pt idx="31">
                  <c:v>1</c:v>
                </c:pt>
                <c:pt idx="32">
                  <c:v>847800</c:v>
                </c:pt>
                <c:pt idx="33">
                  <c:v>0</c:v>
                </c:pt>
                <c:pt idx="34">
                  <c:v>0</c:v>
                </c:pt>
                <c:pt idx="35">
                  <c:v>0</c:v>
                </c:pt>
                <c:pt idx="36">
                  <c:v>0</c:v>
                </c:pt>
                <c:pt idx="37">
                  <c:v>0</c:v>
                </c:pt>
                <c:pt idx="38">
                  <c:v>0</c:v>
                </c:pt>
                <c:pt idx="39">
                  <c:v>5714280.000000001</c:v>
                </c:pt>
              </c:numCache>
            </c:numRef>
          </c:val>
        </c:ser>
        <c:ser>
          <c:idx val="8"/>
          <c:order val="8"/>
          <c:tx>
            <c:strRef>
              <c:f>'Ap. 2 Ingresos C. Benef.'!$L$7:$L$16</c:f>
              <c:strCache>
                <c:ptCount val="1"/>
                <c:pt idx="0">
                  <c:v>RESUMEN DE INGRESOS Y COSTOS DE LOS CENTROS DE BENEFICIO EDUCACIONALES EXCEDENTE -$12.191.738   $3.191.738  -$ 9.000.000  1,1 Mensualidad/Prestacion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Benef.'!$L$17:$L$56</c:f>
              <c:numCache>
                <c:ptCount val="40"/>
                <c:pt idx="0">
                  <c:v>101628</c:v>
                </c:pt>
                <c:pt idx="1">
                  <c:v>0</c:v>
                </c:pt>
                <c:pt idx="2">
                  <c:v>0</c:v>
                </c:pt>
                <c:pt idx="3">
                  <c:v>49572</c:v>
                </c:pt>
                <c:pt idx="4">
                  <c:v>1</c:v>
                </c:pt>
                <c:pt idx="5">
                  <c:v>495720</c:v>
                </c:pt>
                <c:pt idx="6">
                  <c:v>7956.75</c:v>
                </c:pt>
                <c:pt idx="7">
                  <c:v>1</c:v>
                </c:pt>
                <c:pt idx="8">
                  <c:v>55697.25</c:v>
                </c:pt>
                <c:pt idx="9">
                  <c:v>6365.400000000001</c:v>
                </c:pt>
                <c:pt idx="10">
                  <c:v>1</c:v>
                </c:pt>
                <c:pt idx="11">
                  <c:v>6365.400000000001</c:v>
                </c:pt>
                <c:pt idx="12">
                  <c:v>22810.38</c:v>
                </c:pt>
                <c:pt idx="13">
                  <c:v>3</c:v>
                </c:pt>
                <c:pt idx="14">
                  <c:v>479017.98</c:v>
                </c:pt>
                <c:pt idx="15">
                  <c:v>36595.9</c:v>
                </c:pt>
                <c:pt idx="16">
                  <c:v>2</c:v>
                </c:pt>
                <c:pt idx="17">
                  <c:v>73191.8</c:v>
                </c:pt>
                <c:pt idx="18">
                  <c:v>13306.57</c:v>
                </c:pt>
                <c:pt idx="19">
                  <c:v>3</c:v>
                </c:pt>
                <c:pt idx="20">
                  <c:v>279437.97</c:v>
                </c:pt>
                <c:pt idx="21">
                  <c:v>13306.57</c:v>
                </c:pt>
                <c:pt idx="22">
                  <c:v>2</c:v>
                </c:pt>
                <c:pt idx="23">
                  <c:v>26613.14</c:v>
                </c:pt>
                <c:pt idx="24">
                  <c:v>75168</c:v>
                </c:pt>
                <c:pt idx="25">
                  <c:v>2</c:v>
                </c:pt>
                <c:pt idx="26">
                  <c:v>1503360</c:v>
                </c:pt>
                <c:pt idx="27">
                  <c:v>110484</c:v>
                </c:pt>
                <c:pt idx="28">
                  <c:v>3</c:v>
                </c:pt>
                <c:pt idx="29">
                  <c:v>3314520</c:v>
                </c:pt>
                <c:pt idx="30">
                  <c:v>75168</c:v>
                </c:pt>
                <c:pt idx="31">
                  <c:v>2</c:v>
                </c:pt>
                <c:pt idx="32">
                  <c:v>1503360</c:v>
                </c:pt>
                <c:pt idx="33">
                  <c:v>0</c:v>
                </c:pt>
                <c:pt idx="34">
                  <c:v>0</c:v>
                </c:pt>
                <c:pt idx="35">
                  <c:v>0</c:v>
                </c:pt>
                <c:pt idx="36">
                  <c:v>0</c:v>
                </c:pt>
                <c:pt idx="37">
                  <c:v>0</c:v>
                </c:pt>
                <c:pt idx="38">
                  <c:v>0</c:v>
                </c:pt>
                <c:pt idx="39">
                  <c:v>6816960</c:v>
                </c:pt>
              </c:numCache>
            </c:numRef>
          </c:val>
        </c:ser>
        <c:ser>
          <c:idx val="9"/>
          <c:order val="9"/>
          <c:tx>
            <c:strRef>
              <c:f>'Ap. 2 Ingresos C. Benef.'!$M$7:$M$16</c:f>
              <c:strCache>
                <c:ptCount val="1"/>
                <c:pt idx="0">
                  <c:v>RESUMEN DE INGRESOS Y COSTOS DE LOS CENTROS DE BENEFICIO EDUCACIONALES EXCEDENTE -$12.191.738   $3.191.738  -$ 9.000.000  1,1 Mensualidad/Prestacion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Benef.'!$M$17:$M$56</c:f>
              <c:numCache>
                <c:ptCount val="40"/>
                <c:pt idx="0">
                  <c:v>129030.00000000001</c:v>
                </c:pt>
                <c:pt idx="1">
                  <c:v>0</c:v>
                </c:pt>
                <c:pt idx="2">
                  <c:v>0</c:v>
                </c:pt>
                <c:pt idx="3">
                  <c:v>57970.00000000001</c:v>
                </c:pt>
                <c:pt idx="4">
                  <c:v>0</c:v>
                </c:pt>
                <c:pt idx="5">
                  <c:v>0</c:v>
                </c:pt>
                <c:pt idx="6">
                  <c:v>7956.75</c:v>
                </c:pt>
                <c:pt idx="7">
                  <c:v>0</c:v>
                </c:pt>
                <c:pt idx="8">
                  <c:v>0</c:v>
                </c:pt>
                <c:pt idx="9">
                  <c:v>6365.400000000001</c:v>
                </c:pt>
                <c:pt idx="10">
                  <c:v>0</c:v>
                </c:pt>
                <c:pt idx="11">
                  <c:v>0</c:v>
                </c:pt>
                <c:pt idx="12">
                  <c:v>22810.38</c:v>
                </c:pt>
                <c:pt idx="13">
                  <c:v>0</c:v>
                </c:pt>
                <c:pt idx="14">
                  <c:v>0</c:v>
                </c:pt>
                <c:pt idx="15">
                  <c:v>0</c:v>
                </c:pt>
                <c:pt idx="16">
                  <c:v>0</c:v>
                </c:pt>
                <c:pt idx="17">
                  <c:v>0</c:v>
                </c:pt>
                <c:pt idx="18">
                  <c:v>0</c:v>
                </c:pt>
                <c:pt idx="19">
                  <c:v>0</c:v>
                </c:pt>
                <c:pt idx="20">
                  <c:v>0</c:v>
                </c:pt>
                <c:pt idx="21">
                  <c:v>0</c:v>
                </c:pt>
                <c:pt idx="22">
                  <c:v>0</c:v>
                </c:pt>
                <c:pt idx="23">
                  <c:v>0</c:v>
                </c:pt>
                <c:pt idx="24">
                  <c:v>93500.00000000001</c:v>
                </c:pt>
                <c:pt idx="25">
                  <c:v>1</c:v>
                </c:pt>
                <c:pt idx="26">
                  <c:v>935000.0000000001</c:v>
                </c:pt>
                <c:pt idx="27">
                  <c:v>131340</c:v>
                </c:pt>
                <c:pt idx="28">
                  <c:v>3</c:v>
                </c:pt>
                <c:pt idx="29">
                  <c:v>3940200</c:v>
                </c:pt>
                <c:pt idx="30">
                  <c:v>99000.00000000001</c:v>
                </c:pt>
                <c:pt idx="31">
                  <c:v>2</c:v>
                </c:pt>
                <c:pt idx="32">
                  <c:v>1980000.0000000002</c:v>
                </c:pt>
                <c:pt idx="33">
                  <c:v>0</c:v>
                </c:pt>
                <c:pt idx="34">
                  <c:v>0</c:v>
                </c:pt>
                <c:pt idx="35">
                  <c:v>0</c:v>
                </c:pt>
                <c:pt idx="36">
                  <c:v>0</c:v>
                </c:pt>
                <c:pt idx="37">
                  <c:v>0</c:v>
                </c:pt>
                <c:pt idx="38">
                  <c:v>0</c:v>
                </c:pt>
                <c:pt idx="39">
                  <c:v>6855200</c:v>
                </c:pt>
              </c:numCache>
            </c:numRef>
          </c:val>
        </c:ser>
        <c:ser>
          <c:idx val="10"/>
          <c:order val="10"/>
          <c:tx>
            <c:strRef>
              <c:f>'Ap. 2 Ingresos C. Benef.'!$N$7:$N$16</c:f>
              <c:strCache>
                <c:ptCount val="1"/>
                <c:pt idx="0">
                  <c:v>RESUMEN DE INGRESOS Y COSTOS DE LOS CENTROS DE BENEFICIO EDUCACIONALES EXCEDENTE -$12.191.738   $3.191.738  -$ 9.000.000  1,1 MENSUALID. ENERO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Benef.'!$N$17:$N$56</c:f>
              <c:numCache>
                <c:ptCount val="40"/>
                <c:pt idx="2">
                  <c:v>137940.9</c:v>
                </c:pt>
                <c:pt idx="5">
                  <c:v>14871.599999999999</c:v>
                </c:pt>
                <c:pt idx="8">
                  <c:v>0</c:v>
                </c:pt>
                <c:pt idx="12">
                  <c:v>0</c:v>
                </c:pt>
                <c:pt idx="14">
                  <c:v>0</c:v>
                </c:pt>
                <c:pt idx="23">
                  <c:v>0</c:v>
                </c:pt>
                <c:pt idx="26">
                  <c:v>736144.2</c:v>
                </c:pt>
                <c:pt idx="29">
                  <c:v>435468.6</c:v>
                </c:pt>
                <c:pt idx="32">
                  <c:v>148777.5</c:v>
                </c:pt>
                <c:pt idx="35">
                  <c:v>99789</c:v>
                </c:pt>
                <c:pt idx="38">
                  <c:v>346038</c:v>
                </c:pt>
                <c:pt idx="39">
                  <c:v>1919029.7999999998</c:v>
                </c:pt>
              </c:numCache>
            </c:numRef>
          </c:val>
        </c:ser>
        <c:ser>
          <c:idx val="11"/>
          <c:order val="11"/>
          <c:tx>
            <c:strRef>
              <c:f>'Ap. 2 Ingresos C. Benef.'!$O$7:$O$16</c:f>
              <c:strCache>
                <c:ptCount val="1"/>
                <c:pt idx="0">
                  <c:v>RESUMEN DE INGRESOS Y COSTOS DE LOS CENTROS DE BENEFICIO EDUCACIONALES EXCEDENTE -$12.191.738   $3.191.738  -$ 9.000.000  1,1 MENSUALID.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Benef.'!$O$17:$O$56</c:f>
              <c:numCache>
                <c:ptCount val="40"/>
                <c:pt idx="2">
                  <c:v>459803</c:v>
                </c:pt>
                <c:pt idx="5">
                  <c:v>49572</c:v>
                </c:pt>
                <c:pt idx="8">
                  <c:v>0</c:v>
                </c:pt>
                <c:pt idx="11">
                  <c:v>0</c:v>
                </c:pt>
                <c:pt idx="14">
                  <c:v>0</c:v>
                </c:pt>
                <c:pt idx="17">
                  <c:v>0</c:v>
                </c:pt>
                <c:pt idx="20">
                  <c:v>0</c:v>
                </c:pt>
                <c:pt idx="23">
                  <c:v>0</c:v>
                </c:pt>
                <c:pt idx="26">
                  <c:v>2453814</c:v>
                </c:pt>
                <c:pt idx="29">
                  <c:v>1451562</c:v>
                </c:pt>
                <c:pt idx="32">
                  <c:v>495925</c:v>
                </c:pt>
                <c:pt idx="35">
                  <c:v>332630</c:v>
                </c:pt>
                <c:pt idx="38">
                  <c:v>1153460</c:v>
                </c:pt>
                <c:pt idx="39">
                  <c:v>6396766</c:v>
                </c:pt>
              </c:numCache>
            </c:numRef>
          </c:val>
        </c:ser>
        <c:ser>
          <c:idx val="12"/>
          <c:order val="12"/>
          <c:tx>
            <c:strRef>
              <c:f>'Ap. 2 Ingresos C. Benef.'!$P$7:$P$16</c:f>
              <c:strCache>
                <c:ptCount val="1"/>
                <c:pt idx="0">
                  <c:v>RESUMEN DE INGRESOS Y COSTOS DE LOS CENTROS DE BENEFICIO EDUCACIONALES EXCEDENTE -$12.191.738   $3.191.738  -$ 9.000.000  1,1 MENSUALID.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Benef.'!$P$17:$P$56</c:f>
              <c:numCache>
                <c:ptCount val="40"/>
                <c:pt idx="2">
                  <c:v>4598030</c:v>
                </c:pt>
                <c:pt idx="5">
                  <c:v>495720</c:v>
                </c:pt>
                <c:pt idx="8">
                  <c:v>55697.25</c:v>
                </c:pt>
                <c:pt idx="11">
                  <c:v>6365.400000000001</c:v>
                </c:pt>
                <c:pt idx="14">
                  <c:v>479017.98</c:v>
                </c:pt>
                <c:pt idx="17">
                  <c:v>73191.8</c:v>
                </c:pt>
                <c:pt idx="20">
                  <c:v>279437.97</c:v>
                </c:pt>
                <c:pt idx="23">
                  <c:v>26613.14</c:v>
                </c:pt>
                <c:pt idx="26">
                  <c:v>24538140</c:v>
                </c:pt>
                <c:pt idx="29">
                  <c:v>14515620</c:v>
                </c:pt>
                <c:pt idx="32">
                  <c:v>4959250</c:v>
                </c:pt>
                <c:pt idx="35">
                  <c:v>0</c:v>
                </c:pt>
                <c:pt idx="38">
                  <c:v>0</c:v>
                </c:pt>
                <c:pt idx="39">
                  <c:v>50027083.54</c:v>
                </c:pt>
              </c:numCache>
            </c:numRef>
          </c:val>
        </c:ser>
        <c:ser>
          <c:idx val="13"/>
          <c:order val="13"/>
          <c:tx>
            <c:strRef>
              <c:f>'Ap. 2 Ingresos C. Benef.'!$Q$7:$Q$16</c:f>
              <c:strCache>
                <c:ptCount val="1"/>
                <c:pt idx="0">
                  <c:v>RESUMEN DE INGRESOS Y COSTOS DE LOS CENTROS DE BENEFICIO EDUCACIONALES EXCEDENTE -$12.191.738   $3.191.738  -$ 9.000.000  1,1 MENSUALID.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Benef.'!$A$17:$C$56</c:f>
              <c:multiLvlStrCache>
                <c:ptCount val="40"/>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Tarifa [$/U]</c:v>
                  </c:pt>
                  <c:pt idx="25">
                    <c:v>Unid. Anuales [Nr]</c:v>
                  </c:pt>
                  <c:pt idx="26">
                    <c:v>Ingreso Anual [$]</c:v>
                  </c:pt>
                  <c:pt idx="27">
                    <c:v>Tarifa [$/U]</c:v>
                  </c:pt>
                  <c:pt idx="28">
                    <c:v>Unid. Anuales [Nr]</c:v>
                  </c:pt>
                  <c:pt idx="29">
                    <c:v>Ingreso Anual [$]</c:v>
                  </c:pt>
                  <c:pt idx="30">
                    <c:v>Tarifa [$/U]</c:v>
                  </c:pt>
                  <c:pt idx="31">
                    <c:v>Unid. Anuales [Nr]</c:v>
                  </c:pt>
                  <c:pt idx="32">
                    <c:v>Ingreso Anual [$]</c:v>
                  </c:pt>
                  <c:pt idx="33">
                    <c:v>Tarifa [$/U]</c:v>
                  </c:pt>
                  <c:pt idx="34">
                    <c:v>Unid. Anuales [Nr]</c:v>
                  </c:pt>
                  <c:pt idx="35">
                    <c:v>Ingreso Anual [$]</c:v>
                  </c:pt>
                  <c:pt idx="36">
                    <c:v>Tarifa [$/U]</c:v>
                  </c:pt>
                  <c:pt idx="37">
                    <c:v>Unid. Anuales [Nr]</c:v>
                  </c:pt>
                  <c:pt idx="38">
                    <c:v>Ingreso Anual [$]</c:v>
                  </c:pt>
                  <c:pt idx="39">
                    <c:v>Ing. Tot. Anual[$]</c:v>
                  </c:pt>
                </c:lvl>
                <c:lvl>
                  <c:pt idx="0">
                    <c:v>5</c:v>
                  </c:pt>
                  <c:pt idx="3">
                    <c:v>1</c:v>
                  </c:pt>
                  <c:pt idx="6">
                    <c:v>1</c:v>
                  </c:pt>
                  <c:pt idx="9">
                    <c:v>1</c:v>
                  </c:pt>
                  <c:pt idx="12">
                    <c:v>3</c:v>
                  </c:pt>
                  <c:pt idx="15">
                    <c:v>2</c:v>
                  </c:pt>
                  <c:pt idx="18">
                    <c:v>3</c:v>
                  </c:pt>
                  <c:pt idx="21">
                    <c:v>2</c:v>
                  </c:pt>
                  <c:pt idx="24">
                    <c:v>45</c:v>
                  </c:pt>
                  <c:pt idx="27">
                    <c:v>14</c:v>
                  </c:pt>
                  <c:pt idx="30">
                    <c:v>6</c:v>
                  </c:pt>
                  <c:pt idx="33">
                    <c:v>10</c:v>
                  </c:pt>
                  <c:pt idx="36">
                    <c:v>22</c:v>
                  </c:pt>
                  <c:pt idx="39">
                    <c:v>115</c:v>
                  </c:pt>
                </c:lvl>
                <c:lvl>
                  <c:pt idx="0">
                    <c:v>JORNADA COMPLETA (con alim.)</c:v>
                  </c:pt>
                  <c:pt idx="3">
                    <c:v>MEDIA JORNADA (con alim.)</c:v>
                  </c:pt>
                  <c:pt idx="6">
                    <c:v>Programa Especial (atención ambulatoria CONVENIO DIRECSAN)KINESIOLOGIA</c:v>
                  </c:pt>
                  <c:pt idx="9">
                    <c:v>Programa Especial (evaluacion CONVENIO DIRECSAN)KINESIOLOGIA</c:v>
                  </c:pt>
                  <c:pt idx="12">
                    <c:v>Programa Especial (atención ambulatoria CONVENIO DIRECSAN)FONOAUDIOLOGIA</c:v>
                  </c:pt>
                  <c:pt idx="15">
                    <c:v>Programa Especial (evaluaciones CONVENIO DIRECSAN) fono</c:v>
                  </c:pt>
                  <c:pt idx="18">
                    <c:v>Programa Especial (atención ambulatoria CONVENIO DIRECSAN)PSICOLOGIA</c:v>
                  </c:pt>
                  <c:pt idx="21">
                    <c:v>Programa Especial (evaluación CONVENIO DIRECSAN)PSICOLOGIA</c:v>
                  </c:pt>
                  <c:pt idx="24">
                    <c:v>Programa Especial (atención ambulatoria)</c:v>
                  </c:pt>
                  <c:pt idx="27">
                    <c:v>Modalidad  Escolar  Y Talleres pm  (jornada completa c/alim.)</c:v>
                  </c:pt>
                  <c:pt idx="30">
                    <c:v>Modalidad Escolar  media jornada (c/alim.)</c:v>
                  </c:pt>
                  <c:pt idx="33">
                    <c:v>Informes de Evaluación Multidisciplinario</c:v>
                  </c:pt>
                  <c:pt idx="36">
                    <c:v>Informes de Evaluación TEA</c:v>
                  </c:pt>
                  <c:pt idx="39">
                    <c:v>TOTAL DALEGRÍA</c:v>
                  </c:pt>
                </c:lvl>
              </c:multiLvlStrCache>
            </c:multiLvlStrRef>
          </c:cat>
          <c:val>
            <c:numRef>
              <c:f>'Ap. 2 Ingresos C. Benef.'!$Q$17:$Q$56</c:f>
              <c:numCache>
                <c:ptCount val="40"/>
                <c:pt idx="2">
                  <c:v>5195773.9</c:v>
                </c:pt>
                <c:pt idx="5">
                  <c:v>560163.6</c:v>
                </c:pt>
                <c:pt idx="8">
                  <c:v>55697.25</c:v>
                </c:pt>
                <c:pt idx="11">
                  <c:v>6365.400000000001</c:v>
                </c:pt>
                <c:pt idx="14">
                  <c:v>479017.98</c:v>
                </c:pt>
                <c:pt idx="17">
                  <c:v>73191.8</c:v>
                </c:pt>
                <c:pt idx="20">
                  <c:v>279437.97</c:v>
                </c:pt>
                <c:pt idx="23">
                  <c:v>26613.14</c:v>
                </c:pt>
                <c:pt idx="26">
                  <c:v>27728098.2</c:v>
                </c:pt>
                <c:pt idx="29">
                  <c:v>16402650.6</c:v>
                </c:pt>
                <c:pt idx="32">
                  <c:v>5603952.5</c:v>
                </c:pt>
                <c:pt idx="35">
                  <c:v>432419</c:v>
                </c:pt>
                <c:pt idx="38">
                  <c:v>1499498</c:v>
                </c:pt>
                <c:pt idx="39">
                  <c:v>58342879.34</c:v>
                </c:pt>
              </c:numCache>
            </c:numRef>
          </c:val>
        </c:ser>
        <c:axId val="55021468"/>
        <c:axId val="52118701"/>
      </c:barChart>
      <c:catAx>
        <c:axId val="55021468"/>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52118701"/>
        <c:crosses val="autoZero"/>
        <c:auto val="1"/>
        <c:lblOffset val="100"/>
        <c:tickLblSkip val="2"/>
        <c:noMultiLvlLbl val="0"/>
      </c:catAx>
      <c:valAx>
        <c:axId val="52118701"/>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55021468"/>
        <c:crossesAt val="1"/>
        <c:crossBetween val="between"/>
        <c:dispUnits/>
      </c:valAx>
      <c:spPr>
        <a:solidFill>
          <a:srgbClr val="FFFFFF"/>
        </a:solidFill>
        <a:ln w="3175">
          <a:noFill/>
        </a:ln>
      </c:spPr>
    </c:plotArea>
    <c:legend>
      <c:legendPos val="r"/>
      <c:layout>
        <c:manualLayout>
          <c:xMode val="edge"/>
          <c:yMode val="edge"/>
          <c:x val="0.6145"/>
          <c:y val="0.0065"/>
          <c:w val="0.377"/>
          <c:h val="0.91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104775</xdr:rowOff>
    </xdr:from>
    <xdr:to>
      <xdr:col>4</xdr:col>
      <xdr:colOff>752475</xdr:colOff>
      <xdr:row>12</xdr:row>
      <xdr:rowOff>76200</xdr:rowOff>
    </xdr:to>
    <xdr:sp fLocksText="0">
      <xdr:nvSpPr>
        <xdr:cNvPr id="1" name="Text 1"/>
        <xdr:cNvSpPr txBox="1">
          <a:spLocks noChangeArrowheads="1"/>
        </xdr:cNvSpPr>
      </xdr:nvSpPr>
      <xdr:spPr>
        <a:xfrm>
          <a:off x="38100" y="1152525"/>
          <a:ext cx="8086725" cy="885825"/>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mondaca.DIREBIEN\Desktop\404%20EDUCACIONAL\JI%20Y%20SC\TARIFAS%20-%20EDUCACIONAL\TARIFA%202018\tarifas%202018%20ultima\Valpara&#237;so\TARIFAS%20EDUCACIONAL%202018\cr%20dalegria%20gmm\Copia%20de%20Gastos%20en%20RRHH%202018111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MUNERACIONES"/>
      <sheetName val="TODO BV"/>
      <sheetName val="EDUCACIONAL"/>
      <sheetName val="RECREATIVA"/>
      <sheetName val="Reajuste, Aguinaldos y Bonos"/>
      <sheetName val="RESUMEN"/>
    </sheetNames>
    <sheetDataSet>
      <sheetData sheetId="2">
        <row r="22">
          <cell r="BL22">
            <v>95322512.25636001</v>
          </cell>
        </row>
        <row r="25">
          <cell r="BF25">
            <v>1579021.213</v>
          </cell>
          <cell r="BG25">
            <v>1314590.945</v>
          </cell>
          <cell r="BH25">
            <v>788120</v>
          </cell>
        </row>
        <row r="36">
          <cell r="BK36">
            <v>343811.391078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27"/>
  <sheetViews>
    <sheetView showGridLines="0" zoomScale="90" zoomScaleNormal="90" zoomScalePageLayoutView="0" workbookViewId="0" topLeftCell="A1">
      <selection activeCell="C5" sqref="C5"/>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3.5">
      <c r="A1" s="402" t="s">
        <v>0</v>
      </c>
      <c r="B1" s="402"/>
      <c r="C1" s="402"/>
      <c r="D1" s="402"/>
      <c r="E1" s="402"/>
      <c r="F1" s="3"/>
      <c r="G1" s="3"/>
      <c r="IK1" s="1"/>
      <c r="IL1" s="1"/>
      <c r="IM1" s="1"/>
      <c r="IN1" s="1"/>
      <c r="IO1" s="1"/>
      <c r="IP1" s="1"/>
      <c r="IQ1" s="1"/>
      <c r="IR1" s="1"/>
      <c r="IS1" s="1"/>
      <c r="IT1" s="1"/>
      <c r="IU1" s="1"/>
      <c r="IV1" s="1"/>
    </row>
    <row r="2" spans="1:256" s="4" customFormat="1" ht="15.75" customHeight="1">
      <c r="A2" s="402" t="s">
        <v>45</v>
      </c>
      <c r="B2" s="402"/>
      <c r="C2" s="402"/>
      <c r="D2" s="402"/>
      <c r="E2" s="402"/>
      <c r="F2" s="3"/>
      <c r="G2" s="3"/>
      <c r="IK2" s="1"/>
      <c r="IL2" s="1"/>
      <c r="IM2" s="1"/>
      <c r="IN2" s="1"/>
      <c r="IO2" s="1"/>
      <c r="IP2" s="1"/>
      <c r="IQ2" s="1"/>
      <c r="IR2" s="1"/>
      <c r="IS2" s="1"/>
      <c r="IT2" s="1"/>
      <c r="IU2" s="1"/>
      <c r="IV2" s="1"/>
    </row>
    <row r="3" spans="1:256" s="4" customFormat="1" ht="18" customHeight="1">
      <c r="A3" s="402" t="s">
        <v>46</v>
      </c>
      <c r="B3" s="402"/>
      <c r="C3" s="402"/>
      <c r="D3" s="402"/>
      <c r="E3" s="402"/>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403" t="s">
        <v>3</v>
      </c>
      <c r="B5" s="403"/>
      <c r="C5" s="35" t="str">
        <f>'Ap. 2 Ingresos C. Benef.'!$I$5</f>
        <v>BIENVALP</v>
      </c>
      <c r="D5" s="36"/>
      <c r="E5" s="1"/>
      <c r="F5" s="36"/>
      <c r="G5" s="1"/>
      <c r="IK5" s="1"/>
      <c r="IL5" s="1"/>
      <c r="IM5" s="1"/>
      <c r="IN5" s="1"/>
      <c r="IO5" s="1"/>
      <c r="IP5" s="1"/>
      <c r="IQ5" s="1"/>
      <c r="IR5" s="1"/>
      <c r="IS5" s="1"/>
      <c r="IT5" s="1"/>
      <c r="IU5" s="1"/>
      <c r="IV5" s="1"/>
    </row>
    <row r="6" spans="1:256" s="4" customFormat="1" ht="12" customHeight="1">
      <c r="A6" s="5"/>
      <c r="B6" s="6"/>
      <c r="C6" s="36"/>
      <c r="D6" s="36"/>
      <c r="E6" s="1"/>
      <c r="F6" s="36"/>
      <c r="G6" s="1"/>
      <c r="IK6" s="1"/>
      <c r="IL6" s="1"/>
      <c r="IM6" s="1"/>
      <c r="IN6" s="1"/>
      <c r="IO6" s="1"/>
      <c r="IP6" s="1"/>
      <c r="IQ6" s="1"/>
      <c r="IR6" s="1"/>
      <c r="IS6" s="1"/>
      <c r="IT6" s="1"/>
      <c r="IU6" s="1"/>
      <c r="IV6" s="1"/>
    </row>
    <row r="7" spans="1:256" s="4" customFormat="1" ht="12" customHeight="1">
      <c r="A7" s="5"/>
      <c r="B7" s="6"/>
      <c r="C7" s="36"/>
      <c r="D7" s="36"/>
      <c r="E7" s="1"/>
      <c r="F7" s="36"/>
      <c r="G7" s="1"/>
      <c r="IK7" s="1"/>
      <c r="IL7" s="1"/>
      <c r="IM7" s="1"/>
      <c r="IN7" s="1"/>
      <c r="IO7" s="1"/>
      <c r="IP7" s="1"/>
      <c r="IQ7" s="1"/>
      <c r="IR7" s="1"/>
      <c r="IS7" s="1"/>
      <c r="IT7" s="1"/>
      <c r="IU7" s="1"/>
      <c r="IV7" s="1"/>
    </row>
    <row r="8" spans="1:256" s="4" customFormat="1" ht="12" customHeight="1">
      <c r="A8" s="5"/>
      <c r="B8" s="6"/>
      <c r="C8" s="36"/>
      <c r="D8" s="36"/>
      <c r="E8" s="1"/>
      <c r="F8" s="36"/>
      <c r="G8" s="1"/>
      <c r="IK8" s="1"/>
      <c r="IL8" s="1"/>
      <c r="IM8" s="1"/>
      <c r="IN8" s="1"/>
      <c r="IO8" s="1"/>
      <c r="IP8" s="1"/>
      <c r="IQ8" s="1"/>
      <c r="IR8" s="1"/>
      <c r="IS8" s="1"/>
      <c r="IT8" s="1"/>
      <c r="IU8" s="1"/>
      <c r="IV8" s="1"/>
    </row>
    <row r="9" spans="1:256" s="4" customFormat="1" ht="12" customHeight="1">
      <c r="A9" s="5"/>
      <c r="B9" s="6"/>
      <c r="C9" s="36"/>
      <c r="D9" s="36"/>
      <c r="E9" s="1"/>
      <c r="F9" s="36"/>
      <c r="G9" s="1"/>
      <c r="IK9" s="1"/>
      <c r="IL9" s="1"/>
      <c r="IM9" s="1"/>
      <c r="IN9" s="1"/>
      <c r="IO9" s="1"/>
      <c r="IP9" s="1"/>
      <c r="IQ9" s="1"/>
      <c r="IR9" s="1"/>
      <c r="IS9" s="1"/>
      <c r="IT9" s="1"/>
      <c r="IU9" s="1"/>
      <c r="IV9" s="1"/>
    </row>
    <row r="10" spans="1:256" s="4" customFormat="1" ht="12" customHeight="1">
      <c r="A10" s="5"/>
      <c r="B10" s="6"/>
      <c r="C10" s="36"/>
      <c r="D10" s="36"/>
      <c r="E10" s="1"/>
      <c r="F10" s="36"/>
      <c r="G10" s="1"/>
      <c r="IK10" s="1"/>
      <c r="IL10" s="1"/>
      <c r="IM10" s="1"/>
      <c r="IN10" s="1"/>
      <c r="IO10" s="1"/>
      <c r="IP10" s="1"/>
      <c r="IQ10" s="1"/>
      <c r="IR10" s="1"/>
      <c r="IS10" s="1"/>
      <c r="IT10" s="1"/>
      <c r="IU10" s="1"/>
      <c r="IV10" s="1"/>
    </row>
    <row r="11" spans="1:256" s="4" customFormat="1" ht="12" customHeight="1">
      <c r="A11" s="5"/>
      <c r="B11" s="6"/>
      <c r="C11" s="36"/>
      <c r="D11" s="36"/>
      <c r="E11" s="1"/>
      <c r="F11" s="36"/>
      <c r="G11" s="1"/>
      <c r="IK11" s="1"/>
      <c r="IL11" s="1"/>
      <c r="IM11" s="1"/>
      <c r="IN11" s="1"/>
      <c r="IO11" s="1"/>
      <c r="IP11" s="1"/>
      <c r="IQ11" s="1"/>
      <c r="IR11" s="1"/>
      <c r="IS11" s="1"/>
      <c r="IT11" s="1"/>
      <c r="IU11" s="1"/>
      <c r="IV11" s="1"/>
    </row>
    <row r="12" spans="1:256" s="4" customFormat="1" ht="12" customHeight="1">
      <c r="A12" s="5"/>
      <c r="B12" s="6"/>
      <c r="C12" s="36"/>
      <c r="D12" s="36"/>
      <c r="E12" s="1"/>
      <c r="F12" s="36"/>
      <c r="G12" s="1"/>
      <c r="IK12" s="1"/>
      <c r="IL12" s="1"/>
      <c r="IM12" s="1"/>
      <c r="IN12" s="1"/>
      <c r="IO12" s="1"/>
      <c r="IP12" s="1"/>
      <c r="IQ12" s="1"/>
      <c r="IR12" s="1"/>
      <c r="IS12" s="1"/>
      <c r="IT12" s="1"/>
      <c r="IU12" s="1"/>
      <c r="IV12" s="1"/>
    </row>
    <row r="13" spans="1:256" s="4" customFormat="1" ht="12" customHeight="1">
      <c r="A13" s="37"/>
      <c r="B13" s="37"/>
      <c r="C13" s="37"/>
      <c r="D13" s="37"/>
      <c r="E13" s="37"/>
      <c r="F13" s="20"/>
      <c r="G13" s="20"/>
      <c r="H13" s="20"/>
      <c r="I13" s="20"/>
      <c r="J13" s="20"/>
      <c r="IK13" s="1"/>
      <c r="IL13" s="1"/>
      <c r="IM13" s="1"/>
      <c r="IN13" s="1"/>
      <c r="IO13" s="1"/>
      <c r="IP13" s="1"/>
      <c r="IQ13" s="1"/>
      <c r="IR13" s="1"/>
      <c r="IS13" s="1"/>
      <c r="IT13" s="1"/>
      <c r="IU13" s="1"/>
      <c r="IV13" s="1"/>
    </row>
    <row r="14" spans="1:256" s="15" customFormat="1" ht="12" customHeight="1">
      <c r="A14" s="38"/>
      <c r="B14" s="38"/>
      <c r="C14" s="39" t="s">
        <v>47</v>
      </c>
      <c r="D14" s="40"/>
      <c r="E14" s="515">
        <v>12</v>
      </c>
      <c r="F14" s="13"/>
      <c r="G14" s="14"/>
      <c r="IK14" s="18"/>
      <c r="IL14" s="18"/>
      <c r="IM14" s="18"/>
      <c r="IN14" s="18"/>
      <c r="IO14" s="18"/>
      <c r="IP14" s="18"/>
      <c r="IQ14" s="18"/>
      <c r="IR14" s="18"/>
      <c r="IS14" s="18"/>
      <c r="IT14" s="18"/>
      <c r="IU14" s="18"/>
      <c r="IV14" s="18"/>
    </row>
    <row r="15" spans="1:256" s="15" customFormat="1" ht="13.5" customHeight="1">
      <c r="A15" s="38"/>
      <c r="B15" s="38"/>
      <c r="C15" s="39" t="s">
        <v>48</v>
      </c>
      <c r="D15" s="40"/>
      <c r="E15" s="515">
        <v>10</v>
      </c>
      <c r="F15" s="13"/>
      <c r="G15" s="14"/>
      <c r="IK15" s="18"/>
      <c r="IL15" s="18"/>
      <c r="IM15" s="18"/>
      <c r="IN15" s="18"/>
      <c r="IO15" s="18"/>
      <c r="IP15" s="18"/>
      <c r="IQ15" s="18"/>
      <c r="IR15" s="18"/>
      <c r="IS15" s="18"/>
      <c r="IT15" s="18"/>
      <c r="IU15" s="18"/>
      <c r="IV15" s="18"/>
    </row>
    <row r="16" spans="1:256" s="15" customFormat="1" ht="13.5" customHeight="1">
      <c r="A16" s="38"/>
      <c r="B16" s="38"/>
      <c r="C16" s="41"/>
      <c r="D16" s="41"/>
      <c r="E16" s="42"/>
      <c r="F16" s="13"/>
      <c r="G16" s="14"/>
      <c r="IK16" s="18"/>
      <c r="IL16" s="18"/>
      <c r="IM16" s="18"/>
      <c r="IN16" s="18"/>
      <c r="IO16" s="18"/>
      <c r="IP16" s="18"/>
      <c r="IQ16" s="18"/>
      <c r="IR16" s="18"/>
      <c r="IS16" s="18"/>
      <c r="IT16" s="18"/>
      <c r="IU16" s="18"/>
      <c r="IV16" s="18"/>
    </row>
    <row r="17" spans="1:5" ht="13.5">
      <c r="A17" s="38"/>
      <c r="B17" s="38"/>
      <c r="C17" s="38"/>
      <c r="D17" s="38"/>
      <c r="E17" s="38"/>
    </row>
    <row r="18" spans="1:5" ht="13.5">
      <c r="A18" s="400" t="str">
        <f>'Ap. 5 Tarifado '!A8</f>
        <v>Centro Beneficio</v>
      </c>
      <c r="B18" s="400" t="str">
        <f>'Ap. 5 Tarifado '!B8</f>
        <v>Prestación usuario [Unidad]</v>
      </c>
      <c r="C18" s="43" t="str">
        <f>'Ap. 5 Tarifado '!C8</f>
        <v>Matrícula</v>
      </c>
      <c r="D18" s="44" t="str">
        <f>'Ap. 5 Tarifado '!H8</f>
        <v>Mensualidad/Prestacion</v>
      </c>
      <c r="E18" s="96" t="s">
        <v>49</v>
      </c>
    </row>
    <row r="19" spans="1:5" ht="54.75">
      <c r="A19" s="401">
        <f>'Ap. 5 Tarifado '!A9</f>
        <v>0</v>
      </c>
      <c r="B19" s="401">
        <f>'Ap. 5 Tarifado '!B9</f>
        <v>0</v>
      </c>
      <c r="C19" s="45" t="str">
        <f>'Ap. 5 Tarifado '!C9</f>
        <v>1) PERSONAL SERVICIO ACTIVO: Oficiales/EE.CC., Otras Ramas FF.AA. </v>
      </c>
      <c r="D19" s="45" t="str">
        <f>'Ap. 5 Tarifado '!H9</f>
        <v>1) PERSONAL SERVICIO ACTIVO: Oficiales/EE.CC., Otras Ramas FF.AA. </v>
      </c>
      <c r="E19" s="45" t="s">
        <v>50</v>
      </c>
    </row>
    <row r="20" spans="1:5" ht="30.75" customHeight="1">
      <c r="A20" s="98" t="str">
        <f>'Ap. 5 Tarifado '!A10</f>
        <v>JORNADA COMPLETA (con alim.)</v>
      </c>
      <c r="B20" s="99">
        <f>'Ap. 5 Tarifado '!B10</f>
        <v>5</v>
      </c>
      <c r="C20" s="100">
        <f>'Ap. 5 Tarifado '!C10</f>
        <v>84209</v>
      </c>
      <c r="D20" s="100">
        <f>'Ap. 5 Tarifado '!H10</f>
        <v>129030.00000000001</v>
      </c>
      <c r="E20" s="101">
        <f>C20+D20*$E$15</f>
        <v>1374509.0000000002</v>
      </c>
    </row>
    <row r="21" spans="1:5" ht="30.75" customHeight="1">
      <c r="A21" s="109" t="s">
        <v>161</v>
      </c>
      <c r="B21" s="103"/>
      <c r="C21" s="104"/>
      <c r="D21" s="105"/>
      <c r="E21" s="105"/>
    </row>
    <row r="22" spans="1:5" ht="30.75" customHeight="1">
      <c r="A22" s="102" t="str">
        <f>'Ap. 5 Tarifado '!A11</f>
        <v>MEDIA JORNADA (con alim.)</v>
      </c>
      <c r="B22" s="97">
        <f>'Ap. 5 Tarifado '!B11</f>
        <v>1</v>
      </c>
      <c r="C22" s="106">
        <f>'Ap. 5 Tarifado '!C11</f>
        <v>41409</v>
      </c>
      <c r="D22" s="106">
        <f>'Ap. 5 Tarifado '!H11</f>
        <v>57970.00000000001</v>
      </c>
      <c r="E22" s="106">
        <f>C22+D22*$E$15</f>
        <v>621109.0000000001</v>
      </c>
    </row>
    <row r="23" spans="1:5" ht="30.75" customHeight="1">
      <c r="A23" s="109" t="s">
        <v>161</v>
      </c>
      <c r="B23" s="107"/>
      <c r="C23" s="108"/>
      <c r="D23" s="108"/>
      <c r="E23" s="108"/>
    </row>
    <row r="24" spans="1:5" ht="30" customHeight="1">
      <c r="A24" s="102" t="str">
        <f>'Ap. 5 Tarifado '!A16</f>
        <v>Programa Especial (atención ambulatoria CONVENIO DIRECSAN)PSICOLOGIA</v>
      </c>
      <c r="B24" s="110">
        <f>'Ap. 5 Tarifado '!B16</f>
        <v>3</v>
      </c>
      <c r="C24" s="106">
        <f>'Ap. 5 Tarifado '!C16</f>
        <v>0</v>
      </c>
      <c r="D24" s="106">
        <f>'Ap. 5 Tarifado '!H16</f>
        <v>13306.57</v>
      </c>
      <c r="E24" s="106">
        <f>C24+D24*$E$14</f>
        <v>159678.84</v>
      </c>
    </row>
    <row r="25" spans="1:5" ht="30" customHeight="1">
      <c r="A25" s="109" t="s">
        <v>162</v>
      </c>
      <c r="B25" s="107"/>
      <c r="C25" s="108"/>
      <c r="D25" s="108"/>
      <c r="E25" s="108"/>
    </row>
    <row r="26" spans="1:5" ht="29.25" customHeight="1">
      <c r="A26" s="102" t="str">
        <f>'Ap. 5 Tarifado '!A18</f>
        <v>Programa Especial (atención ambulatoria)</v>
      </c>
      <c r="B26" s="110">
        <f>'Ap. 5 Tarifado '!B18</f>
        <v>45</v>
      </c>
      <c r="C26" s="106">
        <f>'Ap. 5 Tarifado '!C18</f>
        <v>62809.00000000001</v>
      </c>
      <c r="D26" s="106">
        <f>'Ap. 5 Tarifado '!H18</f>
        <v>62809.00000000001</v>
      </c>
      <c r="E26" s="106">
        <f>C26+D26*$E$14</f>
        <v>816517.0000000001</v>
      </c>
    </row>
    <row r="27" spans="1:5" ht="27.75" customHeight="1">
      <c r="A27" s="111" t="s">
        <v>163</v>
      </c>
      <c r="B27" s="516" t="s">
        <v>20</v>
      </c>
      <c r="C27" s="517"/>
      <c r="D27" s="518"/>
      <c r="E27" s="112"/>
    </row>
  </sheetData>
  <sheetProtection password="C581" sheet="1" objects="1" scenarios="1"/>
  <mergeCells count="6">
    <mergeCell ref="A18:A19"/>
    <mergeCell ref="B18:B19"/>
    <mergeCell ref="A1:E1"/>
    <mergeCell ref="A2:E2"/>
    <mergeCell ref="A3:E3"/>
    <mergeCell ref="A5:B5"/>
  </mergeCells>
  <printOptions/>
  <pageMargins left="0.7479166666666667" right="0.7479166666666667" top="0.8097222222222222" bottom="0.8902777777777777" header="0.4" footer="0.4"/>
  <pageSetup fitToHeight="1" fitToWidth="1" horizontalDpi="300" verticalDpi="300" orientation="landscape" r:id="rId2"/>
  <headerFooter alignWithMargins="0">
    <oddHeader>&amp;LSEPT - 2004&amp;CDIRECTIVA D.B.S.A.
ORDINARIA&amp;R01-BS/0305/04</oddHeader>
    <oddFooter>&amp;LDEPARTAMENTO
RRHH Y GESTION&amp;C01-BS&amp;RPAG &amp;P</oddFooter>
  </headerFooter>
  <drawing r:id="rId1"/>
</worksheet>
</file>

<file path=xl/worksheets/sheet2.xml><?xml version="1.0" encoding="utf-8"?>
<worksheet xmlns="http://schemas.openxmlformats.org/spreadsheetml/2006/main" xmlns:r="http://schemas.openxmlformats.org/officeDocument/2006/relationships">
  <dimension ref="A1:IV56"/>
  <sheetViews>
    <sheetView showGridLines="0" tabSelected="1" zoomScale="60" zoomScaleNormal="60" zoomScalePageLayoutView="0" workbookViewId="0" topLeftCell="A1">
      <selection activeCell="I5" sqref="I5:J5"/>
    </sheetView>
  </sheetViews>
  <sheetFormatPr defaultColWidth="11.421875" defaultRowHeight="12.75"/>
  <cols>
    <col min="1" max="1" width="36.28125" style="1" customWidth="1"/>
    <col min="2" max="2" width="13.7109375" style="1" customWidth="1"/>
    <col min="3" max="3" width="18.421875" style="1" customWidth="1"/>
    <col min="4" max="4" width="20.8515625" style="1" bestFit="1" customWidth="1"/>
    <col min="5" max="5" width="22.57421875" style="1" customWidth="1"/>
    <col min="6" max="6" width="20.7109375" style="1" bestFit="1" customWidth="1"/>
    <col min="7" max="7" width="16.140625" style="1" customWidth="1"/>
    <col min="8" max="8" width="16.57421875" style="1" customWidth="1"/>
    <col min="9" max="9" width="15.7109375" style="1" customWidth="1"/>
    <col min="10" max="10" width="18.8515625" style="1" customWidth="1"/>
    <col min="11" max="11" width="24.421875" style="1" bestFit="1" customWidth="1"/>
    <col min="12" max="12" width="17.140625" style="1" customWidth="1"/>
    <col min="13" max="13" width="25.8515625" style="1" bestFit="1" customWidth="1"/>
    <col min="14" max="14" width="22.7109375" style="355" bestFit="1" customWidth="1"/>
    <col min="15" max="15" width="14.421875" style="1" bestFit="1" customWidth="1"/>
    <col min="16" max="16" width="15.421875" style="1" bestFit="1" customWidth="1"/>
    <col min="17" max="17" width="18.00390625" style="1" bestFit="1" customWidth="1"/>
    <col min="18" max="18" width="11.140625" style="1" customWidth="1"/>
    <col min="19" max="16384" width="11.421875" style="1" customWidth="1"/>
  </cols>
  <sheetData>
    <row r="1" spans="1:18" s="4" customFormat="1" ht="12.75">
      <c r="A1" s="7" t="s">
        <v>0</v>
      </c>
      <c r="B1" s="7"/>
      <c r="C1" s="7"/>
      <c r="D1" s="7"/>
      <c r="E1" s="2"/>
      <c r="F1" s="2"/>
      <c r="G1" s="2"/>
      <c r="H1" s="2"/>
      <c r="I1" s="2"/>
      <c r="J1" s="2"/>
      <c r="K1" s="2"/>
      <c r="L1" s="2"/>
      <c r="M1" s="2"/>
      <c r="N1" s="354"/>
      <c r="O1" s="2"/>
      <c r="P1" s="3"/>
      <c r="Q1" s="3"/>
      <c r="R1" s="3"/>
    </row>
    <row r="2" spans="1:18" s="4" customFormat="1" ht="12.75">
      <c r="A2" s="7" t="s">
        <v>1</v>
      </c>
      <c r="B2" s="7"/>
      <c r="C2" s="7"/>
      <c r="D2" s="7"/>
      <c r="E2" s="2"/>
      <c r="F2" s="2"/>
      <c r="G2" s="2"/>
      <c r="H2" s="2"/>
      <c r="I2" s="2"/>
      <c r="J2" s="2"/>
      <c r="K2" s="2"/>
      <c r="L2" s="2"/>
      <c r="M2" s="2"/>
      <c r="N2" s="354"/>
      <c r="O2" s="2"/>
      <c r="P2" s="3"/>
      <c r="Q2" s="3"/>
      <c r="R2" s="3"/>
    </row>
    <row r="3" spans="1:18" s="4" customFormat="1" ht="12.75">
      <c r="A3" s="7" t="s">
        <v>2</v>
      </c>
      <c r="B3" s="7"/>
      <c r="C3" s="7"/>
      <c r="D3" s="7"/>
      <c r="E3" s="2"/>
      <c r="F3" s="2"/>
      <c r="G3" s="2"/>
      <c r="H3" s="2"/>
      <c r="I3" s="2"/>
      <c r="J3" s="2"/>
      <c r="K3" s="2"/>
      <c r="L3" s="2"/>
      <c r="M3" s="2"/>
      <c r="N3" s="354"/>
      <c r="O3" s="2"/>
      <c r="P3" s="3"/>
      <c r="Q3" s="3"/>
      <c r="R3" s="3"/>
    </row>
    <row r="4" spans="1:14" s="4" customFormat="1" ht="11.25" customHeight="1">
      <c r="A4" s="157" t="s">
        <v>185</v>
      </c>
      <c r="B4" s="157">
        <v>80</v>
      </c>
      <c r="C4" s="159" t="s">
        <v>187</v>
      </c>
      <c r="N4" s="355"/>
    </row>
    <row r="5" spans="1:256" s="4" customFormat="1" ht="12" customHeight="1">
      <c r="A5" s="157" t="s">
        <v>186</v>
      </c>
      <c r="B5" s="158">
        <f>62/65</f>
        <v>0.9538461538461539</v>
      </c>
      <c r="C5" s="1"/>
      <c r="D5" s="1"/>
      <c r="E5" s="1"/>
      <c r="F5" s="1"/>
      <c r="H5" s="74" t="s">
        <v>3</v>
      </c>
      <c r="I5" s="404" t="s">
        <v>160</v>
      </c>
      <c r="J5" s="405"/>
      <c r="N5" s="355"/>
      <c r="IV5" s="1"/>
    </row>
    <row r="6" spans="1:14" s="4" customFormat="1" ht="12" customHeight="1">
      <c r="A6" s="1"/>
      <c r="B6" s="1"/>
      <c r="C6" s="1"/>
      <c r="D6" s="1"/>
      <c r="E6" s="1"/>
      <c r="F6" s="1"/>
      <c r="G6" s="5"/>
      <c r="H6" s="6"/>
      <c r="I6" s="6"/>
      <c r="J6" s="7"/>
      <c r="K6" s="7"/>
      <c r="N6" s="355"/>
    </row>
    <row r="7" ht="18" customHeight="1" thickBot="1">
      <c r="A7" s="8" t="s">
        <v>4</v>
      </c>
    </row>
    <row r="8" spans="1:14" ht="25.5">
      <c r="A8" s="272" t="str">
        <f>$A$15</f>
        <v>Centro Beneficio</v>
      </c>
      <c r="B8" s="273"/>
      <c r="C8" s="274" t="s">
        <v>169</v>
      </c>
      <c r="D8" s="274" t="s">
        <v>295</v>
      </c>
      <c r="E8" s="275" t="s">
        <v>280</v>
      </c>
      <c r="F8" s="276" t="s">
        <v>5</v>
      </c>
      <c r="G8" s="276" t="s">
        <v>6</v>
      </c>
      <c r="H8" s="313" t="s">
        <v>7</v>
      </c>
      <c r="I8" s="276" t="s">
        <v>8</v>
      </c>
      <c r="J8" s="276" t="s">
        <v>9</v>
      </c>
      <c r="K8" s="277" t="s">
        <v>10</v>
      </c>
      <c r="L8" s="9"/>
      <c r="M8" s="377"/>
      <c r="N8" s="378"/>
    </row>
    <row r="9" spans="1:17" ht="29.25" customHeight="1" thickBot="1">
      <c r="A9" s="278" t="s">
        <v>166</v>
      </c>
      <c r="B9" s="385"/>
      <c r="C9" s="279">
        <v>30101000</v>
      </c>
      <c r="D9" s="279">
        <f>24000000+15000000</f>
        <v>39000000</v>
      </c>
      <c r="E9" s="280">
        <f>+O56+N56</f>
        <v>8315795.8</v>
      </c>
      <c r="F9" s="281">
        <f>+P56</f>
        <v>50027083.54</v>
      </c>
      <c r="G9" s="375">
        <f>SUM(C9:F9)</f>
        <v>127443879.34</v>
      </c>
      <c r="H9" s="314">
        <f>'Ap. 3 Costos Directos'!$H$91</f>
        <v>139635617.54978898</v>
      </c>
      <c r="I9" s="282">
        <v>0</v>
      </c>
      <c r="J9" s="314">
        <f>SUM(H9:I9)</f>
        <v>139635617.54978898</v>
      </c>
      <c r="K9" s="383">
        <f>G9-J9</f>
        <v>-12191738.209788978</v>
      </c>
      <c r="L9" s="9"/>
      <c r="M9" s="393"/>
      <c r="N9" s="379"/>
      <c r="P9" s="348"/>
      <c r="Q9" s="348"/>
    </row>
    <row r="10" spans="1:17" ht="29.25" customHeight="1">
      <c r="A10" s="370"/>
      <c r="B10" s="386" t="s">
        <v>188</v>
      </c>
      <c r="C10" s="371"/>
      <c r="D10" s="371"/>
      <c r="E10" s="372"/>
      <c r="F10" s="372"/>
      <c r="G10" s="376">
        <f>'Ap. 3 Costos Directos'!R32</f>
        <v>3191738.48</v>
      </c>
      <c r="H10" s="373"/>
      <c r="I10" s="374"/>
      <c r="J10" s="373"/>
      <c r="K10" s="384">
        <f>G10</f>
        <v>3191738.48</v>
      </c>
      <c r="L10" s="9"/>
      <c r="M10" s="394"/>
      <c r="N10" s="379"/>
      <c r="P10" s="348"/>
      <c r="Q10" s="348"/>
    </row>
    <row r="11" spans="2:256" s="11" customFormat="1" ht="16.5" customHeight="1">
      <c r="B11" s="267" t="s">
        <v>247</v>
      </c>
      <c r="C11" s="267" t="s">
        <v>248</v>
      </c>
      <c r="D11" s="267" t="s">
        <v>249</v>
      </c>
      <c r="E11" s="268"/>
      <c r="F11" s="10"/>
      <c r="G11" s="10"/>
      <c r="H11" s="10"/>
      <c r="I11" s="421" t="s">
        <v>251</v>
      </c>
      <c r="J11" s="421"/>
      <c r="K11" s="283">
        <f>K9+K10</f>
        <v>-8999999.729788978</v>
      </c>
      <c r="L11" s="123"/>
      <c r="M11" s="380"/>
      <c r="N11" s="378"/>
      <c r="P11" s="349"/>
      <c r="Q11" s="350"/>
      <c r="IT11" s="12"/>
      <c r="IU11" s="12"/>
      <c r="IV11" s="12"/>
    </row>
    <row r="12" spans="1:17" s="15" customFormat="1" ht="27" customHeight="1">
      <c r="A12" s="311" t="s">
        <v>246</v>
      </c>
      <c r="B12" s="353">
        <v>1.07</v>
      </c>
      <c r="C12" s="312">
        <v>1.08</v>
      </c>
      <c r="D12" s="312">
        <v>1.1</v>
      </c>
      <c r="E12" s="294"/>
      <c r="F12" s="14"/>
      <c r="K12" s="14"/>
      <c r="L12" s="122"/>
      <c r="M12" s="381"/>
      <c r="N12" s="382"/>
      <c r="P12" s="351"/>
      <c r="Q12" s="352"/>
    </row>
    <row r="13" spans="1:14" s="15" customFormat="1" ht="16.5" customHeight="1">
      <c r="A13" s="156"/>
      <c r="B13" s="294"/>
      <c r="C13" s="294"/>
      <c r="D13" s="294"/>
      <c r="E13" s="294"/>
      <c r="F13" s="14"/>
      <c r="H13" s="14"/>
      <c r="I13" s="14"/>
      <c r="J13" s="154"/>
      <c r="K13" s="14"/>
      <c r="L13" s="122"/>
      <c r="N13" s="356"/>
    </row>
    <row r="14" spans="1:14" s="15" customFormat="1" ht="14.25" thickBot="1">
      <c r="A14" s="16"/>
      <c r="B14" s="16"/>
      <c r="C14" s="16"/>
      <c r="D14" s="127"/>
      <c r="E14" s="127"/>
      <c r="F14" s="127"/>
      <c r="G14" s="127"/>
      <c r="H14" s="127"/>
      <c r="I14" s="127"/>
      <c r="J14" s="14"/>
      <c r="K14" s="14"/>
      <c r="L14" s="122"/>
      <c r="N14" s="356"/>
    </row>
    <row r="15" spans="1:17" ht="30" customHeight="1">
      <c r="A15" s="422" t="s">
        <v>11</v>
      </c>
      <c r="B15" s="422" t="s">
        <v>279</v>
      </c>
      <c r="C15" s="424" t="s">
        <v>12</v>
      </c>
      <c r="D15" s="415" t="s">
        <v>13</v>
      </c>
      <c r="E15" s="416"/>
      <c r="F15" s="416"/>
      <c r="G15" s="416"/>
      <c r="H15" s="417"/>
      <c r="I15" s="418" t="s">
        <v>228</v>
      </c>
      <c r="J15" s="419"/>
      <c r="K15" s="419"/>
      <c r="L15" s="419"/>
      <c r="M15" s="420"/>
      <c r="N15" s="357" t="s">
        <v>182</v>
      </c>
      <c r="O15" s="17"/>
      <c r="P15" s="17"/>
      <c r="Q15" s="17"/>
    </row>
    <row r="16" spans="1:17" ht="63" customHeight="1" thickBot="1">
      <c r="A16" s="423"/>
      <c r="B16" s="423"/>
      <c r="C16" s="425"/>
      <c r="D16" s="269" t="s">
        <v>183</v>
      </c>
      <c r="E16" s="270" t="s">
        <v>184</v>
      </c>
      <c r="F16" s="284" t="s">
        <v>209</v>
      </c>
      <c r="G16" s="284" t="s">
        <v>210</v>
      </c>
      <c r="H16" s="271" t="s">
        <v>176</v>
      </c>
      <c r="I16" s="269" t="s">
        <v>183</v>
      </c>
      <c r="J16" s="270" t="s">
        <v>184</v>
      </c>
      <c r="K16" s="284" t="s">
        <v>209</v>
      </c>
      <c r="L16" s="284" t="s">
        <v>210</v>
      </c>
      <c r="M16" s="271" t="s">
        <v>176</v>
      </c>
      <c r="N16" s="358" t="s">
        <v>181</v>
      </c>
      <c r="O16" s="47" t="s">
        <v>14</v>
      </c>
      <c r="P16" s="46" t="s">
        <v>15</v>
      </c>
      <c r="Q16" s="48" t="s">
        <v>16</v>
      </c>
    </row>
    <row r="17" spans="1:17" ht="24" customHeight="1">
      <c r="A17" s="429" t="s">
        <v>177</v>
      </c>
      <c r="B17" s="406">
        <f>+D18+E18+F18+G18+H18</f>
        <v>5</v>
      </c>
      <c r="C17" s="124" t="s">
        <v>17</v>
      </c>
      <c r="D17" s="519">
        <f>78700*B12</f>
        <v>84209</v>
      </c>
      <c r="E17" s="520">
        <f>66300*B12</f>
        <v>70941</v>
      </c>
      <c r="F17" s="521">
        <f>108200*C12</f>
        <v>116856.00000000001</v>
      </c>
      <c r="G17" s="521">
        <f>94100*C12</f>
        <v>101628</v>
      </c>
      <c r="H17" s="522">
        <f>117300*D12</f>
        <v>129030.00000000001</v>
      </c>
      <c r="I17" s="521">
        <f aca="true" t="shared" si="0" ref="I17:L18">D17</f>
        <v>84209</v>
      </c>
      <c r="J17" s="523">
        <f t="shared" si="0"/>
        <v>70941</v>
      </c>
      <c r="K17" s="523">
        <f t="shared" si="0"/>
        <v>116856.00000000001</v>
      </c>
      <c r="L17" s="523">
        <f t="shared" si="0"/>
        <v>101628</v>
      </c>
      <c r="M17" s="524">
        <f>H17</f>
        <v>129030.00000000001</v>
      </c>
      <c r="N17" s="359"/>
      <c r="O17" s="89"/>
      <c r="P17" s="89"/>
      <c r="Q17" s="90"/>
    </row>
    <row r="18" spans="1:17" ht="25.5" customHeight="1">
      <c r="A18" s="430"/>
      <c r="B18" s="407"/>
      <c r="C18" s="84" t="s">
        <v>18</v>
      </c>
      <c r="D18" s="525">
        <v>1</v>
      </c>
      <c r="E18" s="526">
        <v>2</v>
      </c>
      <c r="F18" s="526">
        <v>2</v>
      </c>
      <c r="G18" s="526">
        <v>0</v>
      </c>
      <c r="H18" s="527">
        <v>0</v>
      </c>
      <c r="I18" s="526">
        <f t="shared" si="0"/>
        <v>1</v>
      </c>
      <c r="J18" s="526">
        <f t="shared" si="0"/>
        <v>2</v>
      </c>
      <c r="K18" s="526">
        <f t="shared" si="0"/>
        <v>2</v>
      </c>
      <c r="L18" s="526">
        <f t="shared" si="0"/>
        <v>0</v>
      </c>
      <c r="M18" s="527">
        <f>H18</f>
        <v>0</v>
      </c>
      <c r="N18" s="360"/>
      <c r="O18" s="88"/>
      <c r="P18" s="88"/>
      <c r="Q18" s="91"/>
    </row>
    <row r="19" spans="1:17" ht="26.25" customHeight="1" thickBot="1">
      <c r="A19" s="431"/>
      <c r="B19" s="408"/>
      <c r="C19" s="138" t="s">
        <v>19</v>
      </c>
      <c r="D19" s="139">
        <f>D17*D18</f>
        <v>84209</v>
      </c>
      <c r="E19" s="140">
        <f>E18*E17</f>
        <v>141882</v>
      </c>
      <c r="F19" s="295">
        <f>F18*F17</f>
        <v>233712.00000000003</v>
      </c>
      <c r="G19" s="295">
        <f>G18*G17</f>
        <v>0</v>
      </c>
      <c r="H19" s="141">
        <f>H18*H17</f>
        <v>0</v>
      </c>
      <c r="I19" s="140">
        <f>I17*I18*10</f>
        <v>842090</v>
      </c>
      <c r="J19" s="142">
        <f>J18*J17*10</f>
        <v>1418820</v>
      </c>
      <c r="K19" s="142">
        <f>K18*K17*10</f>
        <v>2337120.0000000005</v>
      </c>
      <c r="L19" s="142">
        <f>L18*L17*10</f>
        <v>0</v>
      </c>
      <c r="M19" s="143">
        <f>M18*M17*10</f>
        <v>0</v>
      </c>
      <c r="N19" s="361">
        <f>O19*0.3</f>
        <v>137940.9</v>
      </c>
      <c r="O19" s="85">
        <f>SUM(D19:H19)</f>
        <v>459803</v>
      </c>
      <c r="P19" s="85">
        <f>SUM(I19:M19)</f>
        <v>4598030</v>
      </c>
      <c r="Q19" s="92">
        <f>N19+O19+P19</f>
        <v>5195773.9</v>
      </c>
    </row>
    <row r="20" spans="1:17" ht="23.25" customHeight="1">
      <c r="A20" s="426" t="s">
        <v>178</v>
      </c>
      <c r="B20" s="406">
        <f>+D21+E21+F21+G21+H21</f>
        <v>1</v>
      </c>
      <c r="C20" s="124" t="s">
        <v>17</v>
      </c>
      <c r="D20" s="528">
        <f>38700*B12</f>
        <v>41409</v>
      </c>
      <c r="E20" s="529">
        <f>33800*B12</f>
        <v>36166</v>
      </c>
      <c r="F20" s="529">
        <f>51500*C12</f>
        <v>55620.00000000001</v>
      </c>
      <c r="G20" s="529">
        <f>45900*C12</f>
        <v>49572</v>
      </c>
      <c r="H20" s="530">
        <f>52700*D12</f>
        <v>57970.00000000001</v>
      </c>
      <c r="I20" s="529">
        <f aca="true" t="shared" si="1" ref="I20:L21">D20</f>
        <v>41409</v>
      </c>
      <c r="J20" s="531">
        <f t="shared" si="1"/>
        <v>36166</v>
      </c>
      <c r="K20" s="531">
        <f t="shared" si="1"/>
        <v>55620.00000000001</v>
      </c>
      <c r="L20" s="531">
        <f t="shared" si="1"/>
        <v>49572</v>
      </c>
      <c r="M20" s="532">
        <f>H20</f>
        <v>57970.00000000001</v>
      </c>
      <c r="N20" s="362"/>
      <c r="O20" s="86"/>
      <c r="P20" s="86"/>
      <c r="Q20" s="94"/>
    </row>
    <row r="21" spans="1:17" ht="26.25" customHeight="1">
      <c r="A21" s="427"/>
      <c r="B21" s="407"/>
      <c r="C21" s="84" t="s">
        <v>18</v>
      </c>
      <c r="D21" s="525">
        <v>0</v>
      </c>
      <c r="E21" s="526">
        <v>0</v>
      </c>
      <c r="F21" s="526">
        <v>0</v>
      </c>
      <c r="G21" s="526">
        <v>1</v>
      </c>
      <c r="H21" s="527">
        <v>0</v>
      </c>
      <c r="I21" s="526">
        <f t="shared" si="1"/>
        <v>0</v>
      </c>
      <c r="J21" s="526">
        <f t="shared" si="1"/>
        <v>0</v>
      </c>
      <c r="K21" s="526">
        <f t="shared" si="1"/>
        <v>0</v>
      </c>
      <c r="L21" s="526">
        <f t="shared" si="1"/>
        <v>1</v>
      </c>
      <c r="M21" s="526">
        <f>H21</f>
        <v>0</v>
      </c>
      <c r="N21" s="360"/>
      <c r="O21" s="87"/>
      <c r="P21" s="87"/>
      <c r="Q21" s="95"/>
    </row>
    <row r="22" spans="1:17" ht="26.25" customHeight="1" thickBot="1">
      <c r="A22" s="428"/>
      <c r="B22" s="408"/>
      <c r="C22" s="138" t="s">
        <v>19</v>
      </c>
      <c r="D22" s="139">
        <f>D20*D21</f>
        <v>0</v>
      </c>
      <c r="E22" s="140">
        <f>E20*E21</f>
        <v>0</v>
      </c>
      <c r="F22" s="295">
        <f>F20*F21</f>
        <v>0</v>
      </c>
      <c r="G22" s="295">
        <f>G20*G21</f>
        <v>49572</v>
      </c>
      <c r="H22" s="141">
        <f>H20*H21</f>
        <v>0</v>
      </c>
      <c r="I22" s="140">
        <f>I20*I21*10</f>
        <v>0</v>
      </c>
      <c r="J22" s="142">
        <f>J21*J20*10</f>
        <v>0</v>
      </c>
      <c r="K22" s="298">
        <f>K21*K20*10</f>
        <v>0</v>
      </c>
      <c r="L22" s="298">
        <f>L21*L20*10</f>
        <v>495720</v>
      </c>
      <c r="M22" s="144">
        <f>M21*M20*10</f>
        <v>0</v>
      </c>
      <c r="N22" s="361">
        <f>O22*0.3</f>
        <v>14871.599999999999</v>
      </c>
      <c r="O22" s="85">
        <f>SUM(D22:H22)</f>
        <v>49572</v>
      </c>
      <c r="P22" s="85">
        <f>SUM(I22:M22)</f>
        <v>495720</v>
      </c>
      <c r="Q22" s="92">
        <f>N22+O22+P22</f>
        <v>560163.6</v>
      </c>
    </row>
    <row r="23" spans="1:17" ht="26.25" customHeight="1">
      <c r="A23" s="426" t="s">
        <v>226</v>
      </c>
      <c r="B23" s="412">
        <v>1</v>
      </c>
      <c r="C23" s="124" t="s">
        <v>17</v>
      </c>
      <c r="D23" s="519">
        <v>0</v>
      </c>
      <c r="E23" s="520">
        <v>0</v>
      </c>
      <c r="F23" s="521">
        <v>0</v>
      </c>
      <c r="G23" s="521">
        <v>0</v>
      </c>
      <c r="H23" s="522">
        <v>0</v>
      </c>
      <c r="I23" s="521">
        <f>7725*1.03</f>
        <v>7956.75</v>
      </c>
      <c r="J23" s="521">
        <f>7725*1.03</f>
        <v>7956.75</v>
      </c>
      <c r="K23" s="521">
        <f>7725*1.03</f>
        <v>7956.75</v>
      </c>
      <c r="L23" s="521">
        <f>7725*1.03</f>
        <v>7956.75</v>
      </c>
      <c r="M23" s="521">
        <f>7725*1.03</f>
        <v>7956.75</v>
      </c>
      <c r="N23" s="362"/>
      <c r="O23" s="86"/>
      <c r="P23" s="86"/>
      <c r="Q23" s="86"/>
    </row>
    <row r="24" spans="1:17" ht="26.25" customHeight="1">
      <c r="A24" s="427"/>
      <c r="B24" s="413"/>
      <c r="C24" s="84" t="s">
        <v>18</v>
      </c>
      <c r="D24" s="525">
        <v>0</v>
      </c>
      <c r="E24" s="526">
        <v>0</v>
      </c>
      <c r="F24" s="526">
        <v>0</v>
      </c>
      <c r="G24" s="526">
        <v>0</v>
      </c>
      <c r="H24" s="527">
        <v>0</v>
      </c>
      <c r="I24" s="526">
        <v>0</v>
      </c>
      <c r="J24" s="526">
        <v>0</v>
      </c>
      <c r="K24" s="526">
        <v>0</v>
      </c>
      <c r="L24" s="526">
        <v>1</v>
      </c>
      <c r="M24" s="527">
        <v>0</v>
      </c>
      <c r="N24" s="360"/>
      <c r="O24" s="87"/>
      <c r="P24" s="87"/>
      <c r="Q24" s="87"/>
    </row>
    <row r="25" spans="1:17" ht="26.25" customHeight="1" thickBot="1">
      <c r="A25" s="428"/>
      <c r="B25" s="414"/>
      <c r="C25" s="138" t="s">
        <v>19</v>
      </c>
      <c r="D25" s="139">
        <f>D23*D24</f>
        <v>0</v>
      </c>
      <c r="E25" s="140">
        <f>E24*E23</f>
        <v>0</v>
      </c>
      <c r="F25" s="295">
        <f>F24*F23</f>
        <v>0</v>
      </c>
      <c r="G25" s="295">
        <f>G24*G23</f>
        <v>0</v>
      </c>
      <c r="H25" s="141">
        <f>H24*H23</f>
        <v>0</v>
      </c>
      <c r="I25" s="140">
        <f>I23*I24*10</f>
        <v>0</v>
      </c>
      <c r="J25" s="142">
        <f>J24*J23*10</f>
        <v>0</v>
      </c>
      <c r="K25" s="298">
        <f>K24*K23*10</f>
        <v>0</v>
      </c>
      <c r="L25" s="298">
        <f>L24*L23*7</f>
        <v>55697.25</v>
      </c>
      <c r="M25" s="144">
        <f>M24*M23*10</f>
        <v>0</v>
      </c>
      <c r="N25" s="363">
        <v>0</v>
      </c>
      <c r="O25" s="85">
        <f>SUM(D25:H25)</f>
        <v>0</v>
      </c>
      <c r="P25" s="85">
        <f>SUM(I25:M25)</f>
        <v>55697.25</v>
      </c>
      <c r="Q25" s="92">
        <f>N25+O25+P25</f>
        <v>55697.25</v>
      </c>
    </row>
    <row r="26" spans="1:17" ht="26.25" customHeight="1">
      <c r="A26" s="426" t="s">
        <v>277</v>
      </c>
      <c r="B26" s="412">
        <v>1</v>
      </c>
      <c r="C26" s="124" t="s">
        <v>17</v>
      </c>
      <c r="D26" s="519">
        <v>0</v>
      </c>
      <c r="E26" s="520">
        <v>0</v>
      </c>
      <c r="F26" s="521">
        <v>0</v>
      </c>
      <c r="G26" s="521">
        <v>0</v>
      </c>
      <c r="H26" s="522">
        <v>0</v>
      </c>
      <c r="I26" s="521">
        <f>6180*1.03</f>
        <v>6365.400000000001</v>
      </c>
      <c r="J26" s="521">
        <f>6180*1.03</f>
        <v>6365.400000000001</v>
      </c>
      <c r="K26" s="521">
        <f>6180*1.03</f>
        <v>6365.400000000001</v>
      </c>
      <c r="L26" s="521">
        <f>6180*1.03</f>
        <v>6365.400000000001</v>
      </c>
      <c r="M26" s="521">
        <f>6180*1.03</f>
        <v>6365.400000000001</v>
      </c>
      <c r="N26" s="364"/>
      <c r="O26" s="86"/>
      <c r="P26" s="86"/>
      <c r="Q26" s="94"/>
    </row>
    <row r="27" spans="1:17" ht="26.25" customHeight="1">
      <c r="A27" s="427"/>
      <c r="B27" s="413"/>
      <c r="C27" s="84" t="s">
        <v>18</v>
      </c>
      <c r="D27" s="525">
        <v>0</v>
      </c>
      <c r="E27" s="526">
        <v>0</v>
      </c>
      <c r="F27" s="526">
        <v>0</v>
      </c>
      <c r="G27" s="526">
        <v>0</v>
      </c>
      <c r="H27" s="527">
        <v>0</v>
      </c>
      <c r="I27" s="526">
        <v>0</v>
      </c>
      <c r="J27" s="526">
        <v>0</v>
      </c>
      <c r="K27" s="526">
        <v>0</v>
      </c>
      <c r="L27" s="526">
        <v>1</v>
      </c>
      <c r="M27" s="527">
        <v>0</v>
      </c>
      <c r="N27" s="364"/>
      <c r="O27" s="87"/>
      <c r="P27" s="87"/>
      <c r="Q27" s="95"/>
    </row>
    <row r="28" spans="1:17" ht="26.25" customHeight="1" thickBot="1">
      <c r="A28" s="428"/>
      <c r="B28" s="414"/>
      <c r="C28" s="138" t="s">
        <v>19</v>
      </c>
      <c r="D28" s="139">
        <f>D26*D27</f>
        <v>0</v>
      </c>
      <c r="E28" s="140">
        <f>E27*E26</f>
        <v>0</v>
      </c>
      <c r="F28" s="295">
        <f>F27*F26</f>
        <v>0</v>
      </c>
      <c r="G28" s="295">
        <f>G27*G26</f>
        <v>0</v>
      </c>
      <c r="H28" s="141">
        <f>H27*H26</f>
        <v>0</v>
      </c>
      <c r="I28" s="140">
        <f>I26*I27*10</f>
        <v>0</v>
      </c>
      <c r="J28" s="142">
        <f>J27*J26*10</f>
        <v>0</v>
      </c>
      <c r="K28" s="298">
        <f>K27*K26*10</f>
        <v>0</v>
      </c>
      <c r="L28" s="298">
        <f>L27*L26</f>
        <v>6365.400000000001</v>
      </c>
      <c r="M28" s="144">
        <f>M27*M26*10</f>
        <v>0</v>
      </c>
      <c r="N28" s="364"/>
      <c r="O28" s="149">
        <v>0</v>
      </c>
      <c r="P28" s="149">
        <f>SUM(I28:M28)</f>
        <v>6365.400000000001</v>
      </c>
      <c r="Q28" s="292">
        <f>SUM(N28:P28)</f>
        <v>6365.400000000001</v>
      </c>
    </row>
    <row r="29" spans="1:17" ht="26.25" customHeight="1">
      <c r="A29" s="426" t="s">
        <v>227</v>
      </c>
      <c r="B29" s="412">
        <v>3</v>
      </c>
      <c r="C29" s="124" t="s">
        <v>17</v>
      </c>
      <c r="D29" s="519">
        <v>0</v>
      </c>
      <c r="E29" s="520">
        <v>0</v>
      </c>
      <c r="F29" s="521">
        <v>0</v>
      </c>
      <c r="G29" s="521">
        <v>0</v>
      </c>
      <c r="H29" s="522">
        <v>0</v>
      </c>
      <c r="I29" s="521">
        <f>22146*1.03</f>
        <v>22810.38</v>
      </c>
      <c r="J29" s="523">
        <f>I29</f>
        <v>22810.38</v>
      </c>
      <c r="K29" s="523">
        <f>I29</f>
        <v>22810.38</v>
      </c>
      <c r="L29" s="523">
        <f>I29</f>
        <v>22810.38</v>
      </c>
      <c r="M29" s="524">
        <f>I29</f>
        <v>22810.38</v>
      </c>
      <c r="N29" s="362">
        <v>0</v>
      </c>
      <c r="O29" s="86"/>
      <c r="P29" s="86"/>
      <c r="Q29" s="86"/>
    </row>
    <row r="30" spans="1:17" ht="26.25" customHeight="1">
      <c r="A30" s="427"/>
      <c r="B30" s="413"/>
      <c r="C30" s="84" t="s">
        <v>18</v>
      </c>
      <c r="D30" s="525">
        <v>0</v>
      </c>
      <c r="E30" s="526">
        <v>0</v>
      </c>
      <c r="F30" s="526">
        <v>0</v>
      </c>
      <c r="G30" s="526">
        <v>0</v>
      </c>
      <c r="H30" s="527">
        <v>0</v>
      </c>
      <c r="I30" s="526">
        <v>0</v>
      </c>
      <c r="J30" s="526">
        <v>0</v>
      </c>
      <c r="K30" s="526">
        <v>0</v>
      </c>
      <c r="L30" s="526">
        <v>3</v>
      </c>
      <c r="M30" s="527">
        <v>0</v>
      </c>
      <c r="N30" s="360"/>
      <c r="O30" s="87"/>
      <c r="P30" s="87"/>
      <c r="Q30" s="87"/>
    </row>
    <row r="31" spans="1:17" ht="26.25" customHeight="1" thickBot="1">
      <c r="A31" s="428"/>
      <c r="B31" s="414"/>
      <c r="C31" s="138" t="s">
        <v>19</v>
      </c>
      <c r="D31" s="139">
        <f>D29*D30</f>
        <v>0</v>
      </c>
      <c r="E31" s="140">
        <f>E30*E29</f>
        <v>0</v>
      </c>
      <c r="F31" s="295">
        <f>F30*F29</f>
        <v>0</v>
      </c>
      <c r="G31" s="295">
        <f>G30*G29</f>
        <v>0</v>
      </c>
      <c r="H31" s="141">
        <f>H30*H29</f>
        <v>0</v>
      </c>
      <c r="I31" s="140">
        <f>I30*I29*10</f>
        <v>0</v>
      </c>
      <c r="J31" s="140">
        <f>J30*J29*10</f>
        <v>0</v>
      </c>
      <c r="K31" s="140">
        <f>K30*K29*10</f>
        <v>0</v>
      </c>
      <c r="L31" s="140">
        <f>L30*L29*7</f>
        <v>479017.98</v>
      </c>
      <c r="M31" s="140">
        <f>M30*M29*10</f>
        <v>0</v>
      </c>
      <c r="N31" s="364">
        <v>0</v>
      </c>
      <c r="O31" s="85">
        <f>SUM(D31:H31)</f>
        <v>0</v>
      </c>
      <c r="P31" s="85">
        <f>SUM(I31:M31)</f>
        <v>479017.98</v>
      </c>
      <c r="Q31" s="92">
        <f>N31+O31+P31</f>
        <v>479017.98</v>
      </c>
    </row>
    <row r="32" spans="1:17" ht="26.25" customHeight="1">
      <c r="A32" s="426" t="s">
        <v>276</v>
      </c>
      <c r="B32" s="436">
        <v>2</v>
      </c>
      <c r="C32" s="137" t="s">
        <v>17</v>
      </c>
      <c r="D32" s="519">
        <v>0</v>
      </c>
      <c r="E32" s="521">
        <v>0</v>
      </c>
      <c r="F32" s="521">
        <f>0</f>
        <v>0</v>
      </c>
      <c r="G32" s="521">
        <f>0</f>
        <v>0</v>
      </c>
      <c r="H32" s="522">
        <f>0</f>
        <v>0</v>
      </c>
      <c r="I32" s="521">
        <f>35530*1.03</f>
        <v>36595.9</v>
      </c>
      <c r="J32" s="521">
        <f>I32</f>
        <v>36595.9</v>
      </c>
      <c r="K32" s="521">
        <f>I32</f>
        <v>36595.9</v>
      </c>
      <c r="L32" s="521">
        <f>I32</f>
        <v>36595.9</v>
      </c>
      <c r="M32" s="533">
        <v>0</v>
      </c>
      <c r="N32" s="365"/>
      <c r="O32" s="335"/>
      <c r="P32" s="86"/>
      <c r="Q32" s="94"/>
    </row>
    <row r="33" spans="1:17" ht="26.25" customHeight="1">
      <c r="A33" s="427"/>
      <c r="B33" s="413"/>
      <c r="C33" s="84" t="s">
        <v>18</v>
      </c>
      <c r="D33" s="525">
        <v>0</v>
      </c>
      <c r="E33" s="526">
        <v>0</v>
      </c>
      <c r="F33" s="526">
        <v>0</v>
      </c>
      <c r="G33" s="526">
        <v>0</v>
      </c>
      <c r="H33" s="527">
        <v>0</v>
      </c>
      <c r="I33" s="526">
        <v>0</v>
      </c>
      <c r="J33" s="526">
        <v>0</v>
      </c>
      <c r="K33" s="526">
        <v>0</v>
      </c>
      <c r="L33" s="526">
        <v>2</v>
      </c>
      <c r="M33" s="534">
        <v>0</v>
      </c>
      <c r="N33" s="365"/>
      <c r="O33" s="336"/>
      <c r="P33" s="87"/>
      <c r="Q33" s="95"/>
    </row>
    <row r="34" spans="1:17" ht="26.25" customHeight="1" thickBot="1">
      <c r="A34" s="428"/>
      <c r="B34" s="414"/>
      <c r="C34" s="138" t="s">
        <v>19</v>
      </c>
      <c r="D34" s="139">
        <f>D32*D33</f>
        <v>0</v>
      </c>
      <c r="E34" s="140">
        <f>E32*E33</f>
        <v>0</v>
      </c>
      <c r="F34" s="295">
        <f>F32*F33</f>
        <v>0</v>
      </c>
      <c r="G34" s="295">
        <f>G32*G33</f>
        <v>0</v>
      </c>
      <c r="H34" s="141">
        <f>H32*H33</f>
        <v>0</v>
      </c>
      <c r="I34" s="140">
        <f>I32*I33*10</f>
        <v>0</v>
      </c>
      <c r="J34" s="142">
        <f>J33*J32*10</f>
        <v>0</v>
      </c>
      <c r="K34" s="298">
        <f>K33*K32*10</f>
        <v>0</v>
      </c>
      <c r="L34" s="298">
        <f>L33*L32</f>
        <v>73191.8</v>
      </c>
      <c r="M34" s="334">
        <f>M33*M32*10</f>
        <v>0</v>
      </c>
      <c r="N34" s="365"/>
      <c r="O34" s="337">
        <v>0</v>
      </c>
      <c r="P34" s="149">
        <f>SUM(I34:M34)</f>
        <v>73191.8</v>
      </c>
      <c r="Q34" s="292">
        <f>SUM(N34:P34)</f>
        <v>73191.8</v>
      </c>
    </row>
    <row r="35" spans="1:17" ht="26.25" customHeight="1">
      <c r="A35" s="426" t="s">
        <v>229</v>
      </c>
      <c r="B35" s="412">
        <v>3</v>
      </c>
      <c r="C35" s="137" t="s">
        <v>17</v>
      </c>
      <c r="D35" s="519">
        <v>0</v>
      </c>
      <c r="E35" s="521">
        <v>0</v>
      </c>
      <c r="F35" s="521">
        <f>0</f>
        <v>0</v>
      </c>
      <c r="G35" s="521">
        <f>0</f>
        <v>0</v>
      </c>
      <c r="H35" s="522">
        <f>0</f>
        <v>0</v>
      </c>
      <c r="I35" s="521">
        <f>12919*1.03</f>
        <v>13306.57</v>
      </c>
      <c r="J35" s="521">
        <f>12919*1.03</f>
        <v>13306.57</v>
      </c>
      <c r="K35" s="521">
        <f>12919*1.03</f>
        <v>13306.57</v>
      </c>
      <c r="L35" s="521">
        <f>12919*1.03</f>
        <v>13306.57</v>
      </c>
      <c r="M35" s="533">
        <v>0</v>
      </c>
      <c r="N35" s="365"/>
      <c r="O35" s="335"/>
      <c r="P35" s="86"/>
      <c r="Q35" s="94"/>
    </row>
    <row r="36" spans="1:17" ht="26.25" customHeight="1">
      <c r="A36" s="427"/>
      <c r="B36" s="413"/>
      <c r="C36" s="84" t="s">
        <v>18</v>
      </c>
      <c r="D36" s="525">
        <v>0</v>
      </c>
      <c r="E36" s="526">
        <v>0</v>
      </c>
      <c r="F36" s="526">
        <v>0</v>
      </c>
      <c r="G36" s="526">
        <v>0</v>
      </c>
      <c r="H36" s="527">
        <v>0</v>
      </c>
      <c r="I36" s="526">
        <v>0</v>
      </c>
      <c r="J36" s="526">
        <v>0</v>
      </c>
      <c r="K36" s="526">
        <v>0</v>
      </c>
      <c r="L36" s="526">
        <v>3</v>
      </c>
      <c r="M36" s="534">
        <v>0</v>
      </c>
      <c r="N36" s="365"/>
      <c r="O36" s="336"/>
      <c r="P36" s="87"/>
      <c r="Q36" s="95"/>
    </row>
    <row r="37" spans="1:17" ht="26.25" customHeight="1" thickBot="1">
      <c r="A37" s="428"/>
      <c r="B37" s="414"/>
      <c r="C37" s="138" t="s">
        <v>19</v>
      </c>
      <c r="D37" s="139">
        <f aca="true" t="shared" si="2" ref="D37:K37">D35*D36</f>
        <v>0</v>
      </c>
      <c r="E37" s="140">
        <f t="shared" si="2"/>
        <v>0</v>
      </c>
      <c r="F37" s="295">
        <f t="shared" si="2"/>
        <v>0</v>
      </c>
      <c r="G37" s="295">
        <f t="shared" si="2"/>
        <v>0</v>
      </c>
      <c r="H37" s="141">
        <f t="shared" si="2"/>
        <v>0</v>
      </c>
      <c r="I37" s="140">
        <f t="shared" si="2"/>
        <v>0</v>
      </c>
      <c r="J37" s="140">
        <f t="shared" si="2"/>
        <v>0</v>
      </c>
      <c r="K37" s="140">
        <f t="shared" si="2"/>
        <v>0</v>
      </c>
      <c r="L37" s="140">
        <f>L35*L36*7</f>
        <v>279437.97</v>
      </c>
      <c r="M37" s="334">
        <f>M36*M35*10</f>
        <v>0</v>
      </c>
      <c r="N37" s="365"/>
      <c r="O37" s="337">
        <v>0</v>
      </c>
      <c r="P37" s="149">
        <f>SUM(I37:M37)</f>
        <v>279437.97</v>
      </c>
      <c r="Q37" s="292">
        <f>SUM(N37:P37)</f>
        <v>279437.97</v>
      </c>
    </row>
    <row r="38" spans="1:17" ht="26.25" customHeight="1">
      <c r="A38" s="426" t="s">
        <v>278</v>
      </c>
      <c r="B38" s="412">
        <v>2</v>
      </c>
      <c r="C38" s="137" t="s">
        <v>17</v>
      </c>
      <c r="D38" s="519">
        <v>0</v>
      </c>
      <c r="E38" s="521">
        <v>0</v>
      </c>
      <c r="F38" s="521">
        <f>0</f>
        <v>0</v>
      </c>
      <c r="G38" s="521">
        <f>0</f>
        <v>0</v>
      </c>
      <c r="H38" s="522">
        <f>0</f>
        <v>0</v>
      </c>
      <c r="I38" s="521">
        <f>12919*1.03</f>
        <v>13306.57</v>
      </c>
      <c r="J38" s="521">
        <f>I38</f>
        <v>13306.57</v>
      </c>
      <c r="K38" s="521">
        <f>J38</f>
        <v>13306.57</v>
      </c>
      <c r="L38" s="521">
        <f>K38</f>
        <v>13306.57</v>
      </c>
      <c r="M38" s="521">
        <v>0</v>
      </c>
      <c r="N38" s="364"/>
      <c r="O38" s="86"/>
      <c r="P38" s="86"/>
      <c r="Q38" s="94"/>
    </row>
    <row r="39" spans="1:17" ht="26.25" customHeight="1">
      <c r="A39" s="427"/>
      <c r="B39" s="413"/>
      <c r="C39" s="84" t="s">
        <v>18</v>
      </c>
      <c r="D39" s="525">
        <v>0</v>
      </c>
      <c r="E39" s="526">
        <v>0</v>
      </c>
      <c r="F39" s="526">
        <v>0</v>
      </c>
      <c r="G39" s="526">
        <v>0</v>
      </c>
      <c r="H39" s="527">
        <v>0</v>
      </c>
      <c r="I39" s="526">
        <v>0</v>
      </c>
      <c r="J39" s="526">
        <v>0</v>
      </c>
      <c r="K39" s="526">
        <v>0</v>
      </c>
      <c r="L39" s="526">
        <v>2</v>
      </c>
      <c r="M39" s="527">
        <v>0</v>
      </c>
      <c r="N39" s="360"/>
      <c r="O39" s="87"/>
      <c r="P39" s="87"/>
      <c r="Q39" s="95"/>
    </row>
    <row r="40" spans="1:17" ht="26.25" customHeight="1" thickBot="1">
      <c r="A40" s="428"/>
      <c r="B40" s="414"/>
      <c r="C40" s="138" t="s">
        <v>19</v>
      </c>
      <c r="D40" s="139">
        <f aca="true" t="shared" si="3" ref="D40:J40">D38*D39</f>
        <v>0</v>
      </c>
      <c r="E40" s="140">
        <f t="shared" si="3"/>
        <v>0</v>
      </c>
      <c r="F40" s="295">
        <f t="shared" si="3"/>
        <v>0</v>
      </c>
      <c r="G40" s="295">
        <f t="shared" si="3"/>
        <v>0</v>
      </c>
      <c r="H40" s="141">
        <f t="shared" si="3"/>
        <v>0</v>
      </c>
      <c r="I40" s="140">
        <f t="shared" si="3"/>
        <v>0</v>
      </c>
      <c r="J40" s="140">
        <f t="shared" si="3"/>
        <v>0</v>
      </c>
      <c r="K40" s="298">
        <f>K39*K38*10</f>
        <v>0</v>
      </c>
      <c r="L40" s="298">
        <f>L39*L38</f>
        <v>26613.14</v>
      </c>
      <c r="M40" s="144">
        <f>M39*M38*10</f>
        <v>0</v>
      </c>
      <c r="N40" s="363">
        <v>0</v>
      </c>
      <c r="O40" s="85">
        <f>SUM(D40:H40)</f>
        <v>0</v>
      </c>
      <c r="P40" s="85">
        <f>SUM(I40:M40)</f>
        <v>26613.14</v>
      </c>
      <c r="Q40" s="92">
        <f>N40+O40+P40</f>
        <v>26613.14</v>
      </c>
    </row>
    <row r="41" spans="1:17" ht="27" customHeight="1">
      <c r="A41" s="432" t="s">
        <v>220</v>
      </c>
      <c r="B41" s="437">
        <f>+D42+E42+F42+G42+H42</f>
        <v>45</v>
      </c>
      <c r="C41" s="137" t="s">
        <v>17</v>
      </c>
      <c r="D41" s="519">
        <f>58700*B12</f>
        <v>62809.00000000001</v>
      </c>
      <c r="E41" s="521">
        <f>46200*B12</f>
        <v>49434</v>
      </c>
      <c r="F41" s="521">
        <f>78500*C12</f>
        <v>84780</v>
      </c>
      <c r="G41" s="521">
        <f>69600*C12</f>
        <v>75168</v>
      </c>
      <c r="H41" s="522">
        <f>85000*D12</f>
        <v>93500.00000000001</v>
      </c>
      <c r="I41" s="521">
        <f aca="true" t="shared" si="4" ref="I41:L42">D41</f>
        <v>62809.00000000001</v>
      </c>
      <c r="J41" s="523">
        <f t="shared" si="4"/>
        <v>49434</v>
      </c>
      <c r="K41" s="523">
        <f t="shared" si="4"/>
        <v>84780</v>
      </c>
      <c r="L41" s="523">
        <f t="shared" si="4"/>
        <v>75168</v>
      </c>
      <c r="M41" s="524">
        <f>H41</f>
        <v>93500.00000000001</v>
      </c>
      <c r="N41" s="364"/>
      <c r="O41" s="290"/>
      <c r="P41" s="290"/>
      <c r="Q41" s="291"/>
    </row>
    <row r="42" spans="1:17" ht="24" customHeight="1">
      <c r="A42" s="433"/>
      <c r="B42" s="413"/>
      <c r="C42" s="84" t="s">
        <v>18</v>
      </c>
      <c r="D42" s="525">
        <v>10</v>
      </c>
      <c r="E42" s="526">
        <v>32</v>
      </c>
      <c r="F42" s="526">
        <v>0</v>
      </c>
      <c r="G42" s="526">
        <v>2</v>
      </c>
      <c r="H42" s="527">
        <v>1</v>
      </c>
      <c r="I42" s="526">
        <f t="shared" si="4"/>
        <v>10</v>
      </c>
      <c r="J42" s="526">
        <f t="shared" si="4"/>
        <v>32</v>
      </c>
      <c r="K42" s="526">
        <f t="shared" si="4"/>
        <v>0</v>
      </c>
      <c r="L42" s="526">
        <f t="shared" si="4"/>
        <v>2</v>
      </c>
      <c r="M42" s="527">
        <f>H42</f>
        <v>1</v>
      </c>
      <c r="N42" s="360"/>
      <c r="O42" s="87"/>
      <c r="P42" s="87"/>
      <c r="Q42" s="95"/>
    </row>
    <row r="43" spans="1:18" ht="25.5" customHeight="1" thickBot="1">
      <c r="A43" s="434"/>
      <c r="B43" s="413"/>
      <c r="C43" s="145" t="s">
        <v>19</v>
      </c>
      <c r="D43" s="146">
        <f>D41*D42</f>
        <v>628090.0000000001</v>
      </c>
      <c r="E43" s="147">
        <f>E41*E42</f>
        <v>1581888</v>
      </c>
      <c r="F43" s="296">
        <f>F41*F42</f>
        <v>0</v>
      </c>
      <c r="G43" s="296">
        <f>G41*G42</f>
        <v>150336</v>
      </c>
      <c r="H43" s="148">
        <f>H41*H42</f>
        <v>93500.00000000001</v>
      </c>
      <c r="I43" s="147">
        <f>I42*I41*10</f>
        <v>6280900.000000001</v>
      </c>
      <c r="J43" s="149">
        <f>J42*J41*10</f>
        <v>15818880</v>
      </c>
      <c r="K43" s="299">
        <f>K42*K41*10</f>
        <v>0</v>
      </c>
      <c r="L43" s="299">
        <f>L42*L41*10</f>
        <v>1503360</v>
      </c>
      <c r="M43" s="150">
        <f>M42*M41*10</f>
        <v>935000.0000000001</v>
      </c>
      <c r="N43" s="361">
        <f>O43*0.3</f>
        <v>736144.2</v>
      </c>
      <c r="O43" s="85">
        <f>SUM(D43:H43)</f>
        <v>2453814</v>
      </c>
      <c r="P43" s="85">
        <f>SUM(I43:M43)</f>
        <v>24538140</v>
      </c>
      <c r="Q43" s="92">
        <f>N43+O43+P43</f>
        <v>27728098.2</v>
      </c>
      <c r="R43" s="293"/>
    </row>
    <row r="44" spans="1:17" ht="24" customHeight="1">
      <c r="A44" s="409" t="s">
        <v>219</v>
      </c>
      <c r="B44" s="412">
        <f>D45+E45+F45+G45+H45</f>
        <v>14</v>
      </c>
      <c r="C44" s="124" t="s">
        <v>17</v>
      </c>
      <c r="D44" s="528">
        <f>86200*B12</f>
        <v>92234</v>
      </c>
      <c r="E44" s="529">
        <f>73700*B12</f>
        <v>78859</v>
      </c>
      <c r="F44" s="529">
        <f>117100*C12</f>
        <v>126468.00000000001</v>
      </c>
      <c r="G44" s="529">
        <f>102300*C12</f>
        <v>110484</v>
      </c>
      <c r="H44" s="530">
        <f>119400*D12</f>
        <v>131340</v>
      </c>
      <c r="I44" s="529">
        <f aca="true" t="shared" si="5" ref="I44:L45">D44</f>
        <v>92234</v>
      </c>
      <c r="J44" s="531">
        <f t="shared" si="5"/>
        <v>78859</v>
      </c>
      <c r="K44" s="531">
        <f t="shared" si="5"/>
        <v>126468.00000000001</v>
      </c>
      <c r="L44" s="531">
        <f t="shared" si="5"/>
        <v>110484</v>
      </c>
      <c r="M44" s="535">
        <f>H44</f>
        <v>131340</v>
      </c>
      <c r="N44" s="362"/>
      <c r="O44" s="86"/>
      <c r="P44" s="86"/>
      <c r="Q44" s="94"/>
    </row>
    <row r="45" spans="1:17" ht="22.5" customHeight="1">
      <c r="A45" s="410"/>
      <c r="B45" s="413"/>
      <c r="C45" s="84" t="s">
        <v>18</v>
      </c>
      <c r="D45" s="525">
        <v>0</v>
      </c>
      <c r="E45" s="526">
        <v>6</v>
      </c>
      <c r="F45" s="526">
        <v>2</v>
      </c>
      <c r="G45" s="526">
        <v>3</v>
      </c>
      <c r="H45" s="527">
        <v>3</v>
      </c>
      <c r="I45" s="526">
        <f t="shared" si="5"/>
        <v>0</v>
      </c>
      <c r="J45" s="526">
        <f t="shared" si="5"/>
        <v>6</v>
      </c>
      <c r="K45" s="526">
        <f t="shared" si="5"/>
        <v>2</v>
      </c>
      <c r="L45" s="526">
        <f t="shared" si="5"/>
        <v>3</v>
      </c>
      <c r="M45" s="527">
        <f>H45</f>
        <v>3</v>
      </c>
      <c r="N45" s="360"/>
      <c r="O45" s="87"/>
      <c r="P45" s="87"/>
      <c r="Q45" s="95"/>
    </row>
    <row r="46" spans="1:17" ht="27" customHeight="1" thickBot="1">
      <c r="A46" s="411"/>
      <c r="B46" s="414"/>
      <c r="C46" s="138" t="s">
        <v>19</v>
      </c>
      <c r="D46" s="139">
        <f>D44*D45</f>
        <v>0</v>
      </c>
      <c r="E46" s="140">
        <f>E44*E45</f>
        <v>473154</v>
      </c>
      <c r="F46" s="295">
        <f>F44*F45</f>
        <v>252936.00000000003</v>
      </c>
      <c r="G46" s="295">
        <f>G44*G45</f>
        <v>331452</v>
      </c>
      <c r="H46" s="141">
        <f>H44*H45</f>
        <v>394020</v>
      </c>
      <c r="I46" s="140">
        <f>I45*I44*10</f>
        <v>0</v>
      </c>
      <c r="J46" s="142">
        <f>J45*J44*10</f>
        <v>4731540</v>
      </c>
      <c r="K46" s="298">
        <f>K45*K44*10</f>
        <v>2529360.0000000005</v>
      </c>
      <c r="L46" s="298">
        <f>L45*L44*10</f>
        <v>3314520</v>
      </c>
      <c r="M46" s="144">
        <f>M45*M44*10</f>
        <v>3940200</v>
      </c>
      <c r="N46" s="361">
        <f>O46*0.3</f>
        <v>435468.6</v>
      </c>
      <c r="O46" s="85">
        <f>SUM(D46:H46)</f>
        <v>1451562</v>
      </c>
      <c r="P46" s="85">
        <f>SUM(I46:M46)</f>
        <v>14515620</v>
      </c>
      <c r="Q46" s="92">
        <f>N46+O46+P46</f>
        <v>16402650.6</v>
      </c>
    </row>
    <row r="47" spans="1:17" ht="27.75" customHeight="1">
      <c r="A47" s="426" t="s">
        <v>218</v>
      </c>
      <c r="B47" s="412">
        <f>D48+E48+F48+G48+H48</f>
        <v>6</v>
      </c>
      <c r="C47" s="137" t="s">
        <v>17</v>
      </c>
      <c r="D47" s="519">
        <f>58700*B12</f>
        <v>62809.00000000001</v>
      </c>
      <c r="E47" s="521">
        <f>52500*B12</f>
        <v>56175</v>
      </c>
      <c r="F47" s="521">
        <f>78500*C12</f>
        <v>84780</v>
      </c>
      <c r="G47" s="521">
        <f>69600*C12</f>
        <v>75168</v>
      </c>
      <c r="H47" s="522">
        <f>90000*D12</f>
        <v>99000.00000000001</v>
      </c>
      <c r="I47" s="521">
        <f aca="true" t="shared" si="6" ref="I47:L48">D47</f>
        <v>62809.00000000001</v>
      </c>
      <c r="J47" s="523">
        <f t="shared" si="6"/>
        <v>56175</v>
      </c>
      <c r="K47" s="523">
        <f t="shared" si="6"/>
        <v>84780</v>
      </c>
      <c r="L47" s="523">
        <f t="shared" si="6"/>
        <v>75168</v>
      </c>
      <c r="M47" s="524">
        <f>H47</f>
        <v>99000.00000000001</v>
      </c>
      <c r="N47" s="362"/>
      <c r="O47" s="86"/>
      <c r="P47" s="86"/>
      <c r="Q47" s="94"/>
    </row>
    <row r="48" spans="1:17" ht="26.25" customHeight="1">
      <c r="A48" s="427"/>
      <c r="B48" s="413"/>
      <c r="C48" s="84" t="s">
        <v>18</v>
      </c>
      <c r="D48" s="525">
        <v>1</v>
      </c>
      <c r="E48" s="526">
        <v>0</v>
      </c>
      <c r="F48" s="526">
        <v>1</v>
      </c>
      <c r="G48" s="526">
        <v>2</v>
      </c>
      <c r="H48" s="527">
        <v>2</v>
      </c>
      <c r="I48" s="526">
        <f t="shared" si="6"/>
        <v>1</v>
      </c>
      <c r="J48" s="526">
        <f t="shared" si="6"/>
        <v>0</v>
      </c>
      <c r="K48" s="526">
        <f t="shared" si="6"/>
        <v>1</v>
      </c>
      <c r="L48" s="526">
        <f t="shared" si="6"/>
        <v>2</v>
      </c>
      <c r="M48" s="527">
        <f>H48</f>
        <v>2</v>
      </c>
      <c r="N48" s="360"/>
      <c r="O48" s="87"/>
      <c r="P48" s="87"/>
      <c r="Q48" s="95"/>
    </row>
    <row r="49" spans="1:17" ht="27" customHeight="1" thickBot="1">
      <c r="A49" s="428"/>
      <c r="B49" s="435"/>
      <c r="C49" s="125" t="s">
        <v>19</v>
      </c>
      <c r="D49" s="132">
        <f>D47*D48</f>
        <v>62809.00000000001</v>
      </c>
      <c r="E49" s="131">
        <f>E47*E48</f>
        <v>0</v>
      </c>
      <c r="F49" s="297">
        <f>F47*F48</f>
        <v>84780</v>
      </c>
      <c r="G49" s="297">
        <f>G47*G48</f>
        <v>150336</v>
      </c>
      <c r="H49" s="133">
        <f>H47*H48</f>
        <v>198000.00000000003</v>
      </c>
      <c r="I49" s="131">
        <f>I48*I47*10</f>
        <v>628090.0000000001</v>
      </c>
      <c r="J49" s="85">
        <f>J48*J47*10</f>
        <v>0</v>
      </c>
      <c r="K49" s="300">
        <f>K48*K47*10</f>
        <v>847800</v>
      </c>
      <c r="L49" s="300">
        <f>L48*L47*10</f>
        <v>1503360</v>
      </c>
      <c r="M49" s="128">
        <f>M48*M47*10</f>
        <v>1980000.0000000002</v>
      </c>
      <c r="N49" s="361">
        <f>O49*0.3</f>
        <v>148777.5</v>
      </c>
      <c r="O49" s="85">
        <f>SUM(D49:H49)</f>
        <v>495925</v>
      </c>
      <c r="P49" s="85">
        <f>SUM(I49:M49)</f>
        <v>4959250</v>
      </c>
      <c r="Q49" s="92">
        <f>N49+O49+P49</f>
        <v>5603952.5</v>
      </c>
    </row>
    <row r="50" spans="1:17" ht="27" customHeight="1">
      <c r="A50" s="432" t="s">
        <v>230</v>
      </c>
      <c r="B50" s="412">
        <f>D51+E51+F51+G51+H51</f>
        <v>10</v>
      </c>
      <c r="C50" s="137" t="s">
        <v>17</v>
      </c>
      <c r="D50" s="536">
        <v>33480</v>
      </c>
      <c r="E50" s="536">
        <v>33170</v>
      </c>
      <c r="F50" s="536">
        <f>31000*C12</f>
        <v>33480</v>
      </c>
      <c r="G50" s="537">
        <f>31000*B12</f>
        <v>33170</v>
      </c>
      <c r="H50" s="537">
        <f>31000*D12</f>
        <v>34100</v>
      </c>
      <c r="I50" s="521">
        <v>0</v>
      </c>
      <c r="J50" s="523">
        <v>0</v>
      </c>
      <c r="K50" s="523">
        <v>0</v>
      </c>
      <c r="L50" s="523">
        <v>0</v>
      </c>
      <c r="M50" s="524">
        <v>0</v>
      </c>
      <c r="N50" s="362"/>
      <c r="O50" s="86"/>
      <c r="P50" s="86"/>
      <c r="Q50" s="94"/>
    </row>
    <row r="51" spans="1:17" ht="27" customHeight="1">
      <c r="A51" s="433"/>
      <c r="B51" s="413"/>
      <c r="C51" s="84" t="s">
        <v>18</v>
      </c>
      <c r="D51" s="538">
        <v>2</v>
      </c>
      <c r="E51" s="539">
        <v>4</v>
      </c>
      <c r="F51" s="539">
        <v>1</v>
      </c>
      <c r="G51" s="539">
        <v>3</v>
      </c>
      <c r="H51" s="540">
        <v>0</v>
      </c>
      <c r="I51" s="526">
        <v>0</v>
      </c>
      <c r="J51" s="526">
        <v>0</v>
      </c>
      <c r="K51" s="526">
        <v>0</v>
      </c>
      <c r="L51" s="526">
        <v>0</v>
      </c>
      <c r="M51" s="527">
        <v>0</v>
      </c>
      <c r="N51" s="360"/>
      <c r="O51" s="87"/>
      <c r="P51" s="87"/>
      <c r="Q51" s="95"/>
    </row>
    <row r="52" spans="1:17" ht="27" customHeight="1" thickBot="1">
      <c r="A52" s="434"/>
      <c r="B52" s="435"/>
      <c r="C52" s="125" t="s">
        <v>19</v>
      </c>
      <c r="D52" s="338">
        <f>D50*D51</f>
        <v>66960</v>
      </c>
      <c r="E52" s="339">
        <f>E50*E51</f>
        <v>132680</v>
      </c>
      <c r="F52" s="340">
        <f>F50*F51</f>
        <v>33480</v>
      </c>
      <c r="G52" s="340">
        <f>G50*G51</f>
        <v>99510</v>
      </c>
      <c r="H52" s="341">
        <f>H50*H51</f>
        <v>0</v>
      </c>
      <c r="I52" s="131">
        <f>I51*I50*10</f>
        <v>0</v>
      </c>
      <c r="J52" s="85">
        <f>J51*J50*10</f>
        <v>0</v>
      </c>
      <c r="K52" s="300">
        <f>K51*K50*10</f>
        <v>0</v>
      </c>
      <c r="L52" s="300">
        <f>L51*L50*10</f>
        <v>0</v>
      </c>
      <c r="M52" s="128">
        <f>M51*M50*10</f>
        <v>0</v>
      </c>
      <c r="N52" s="361">
        <f>O52*0.3</f>
        <v>99789</v>
      </c>
      <c r="O52" s="85">
        <f>SUM(D52:H52)</f>
        <v>332630</v>
      </c>
      <c r="P52" s="85">
        <f>SUM(I52:M52)</f>
        <v>0</v>
      </c>
      <c r="Q52" s="92">
        <f>N52+O52+P52</f>
        <v>432419</v>
      </c>
    </row>
    <row r="53" spans="1:17" ht="27" customHeight="1">
      <c r="A53" s="432" t="s">
        <v>231</v>
      </c>
      <c r="B53" s="412">
        <f>D54+E54+F54+G54+H54</f>
        <v>22</v>
      </c>
      <c r="C53" s="137" t="s">
        <v>17</v>
      </c>
      <c r="D53" s="536">
        <f>49000*B12</f>
        <v>52430</v>
      </c>
      <c r="E53" s="536">
        <f>49000*B12</f>
        <v>52430</v>
      </c>
      <c r="F53" s="536">
        <f>49000*B12</f>
        <v>52430</v>
      </c>
      <c r="G53" s="537">
        <f>49000*B12</f>
        <v>52430</v>
      </c>
      <c r="H53" s="537">
        <f>49000*D12</f>
        <v>53900.00000000001</v>
      </c>
      <c r="I53" s="521">
        <v>0</v>
      </c>
      <c r="J53" s="523">
        <v>0</v>
      </c>
      <c r="K53" s="523">
        <v>0</v>
      </c>
      <c r="L53" s="523">
        <v>0</v>
      </c>
      <c r="M53" s="524">
        <v>0</v>
      </c>
      <c r="N53" s="362"/>
      <c r="O53" s="86"/>
      <c r="P53" s="86"/>
      <c r="Q53" s="94"/>
    </row>
    <row r="54" spans="1:17" ht="27" customHeight="1">
      <c r="A54" s="433"/>
      <c r="B54" s="413"/>
      <c r="C54" s="84" t="s">
        <v>18</v>
      </c>
      <c r="D54" s="538">
        <v>5</v>
      </c>
      <c r="E54" s="539">
        <v>14</v>
      </c>
      <c r="F54" s="539">
        <v>1</v>
      </c>
      <c r="G54" s="539">
        <v>2</v>
      </c>
      <c r="H54" s="540">
        <v>0</v>
      </c>
      <c r="I54" s="526">
        <v>0</v>
      </c>
      <c r="J54" s="526">
        <v>0</v>
      </c>
      <c r="K54" s="526">
        <v>0</v>
      </c>
      <c r="L54" s="526">
        <v>0</v>
      </c>
      <c r="M54" s="527">
        <f>H54</f>
        <v>0</v>
      </c>
      <c r="N54" s="360"/>
      <c r="O54" s="87"/>
      <c r="P54" s="87"/>
      <c r="Q54" s="95"/>
    </row>
    <row r="55" spans="1:17" ht="27" customHeight="1" thickBot="1">
      <c r="A55" s="434"/>
      <c r="B55" s="435"/>
      <c r="C55" s="125" t="s">
        <v>19</v>
      </c>
      <c r="D55" s="338">
        <f>D53*D54</f>
        <v>262150</v>
      </c>
      <c r="E55" s="339">
        <f>E53*E54</f>
        <v>734020</v>
      </c>
      <c r="F55" s="340">
        <f>F53*F54</f>
        <v>52430</v>
      </c>
      <c r="G55" s="340">
        <f>G53*G54</f>
        <v>104860</v>
      </c>
      <c r="H55" s="341">
        <f>H53*H54</f>
        <v>0</v>
      </c>
      <c r="I55" s="131">
        <f>I54*I53*10</f>
        <v>0</v>
      </c>
      <c r="J55" s="85">
        <f>J54*J53*10</f>
        <v>0</v>
      </c>
      <c r="K55" s="300">
        <f>K54*K53*10</f>
        <v>0</v>
      </c>
      <c r="L55" s="300">
        <f>L54*L53*10</f>
        <v>0</v>
      </c>
      <c r="M55" s="128">
        <f>M54*M53*10</f>
        <v>0</v>
      </c>
      <c r="N55" s="361">
        <f>O55*0.3</f>
        <v>346038</v>
      </c>
      <c r="O55" s="85">
        <f>SUM(D55:H55)</f>
        <v>1153460</v>
      </c>
      <c r="P55" s="85">
        <f>SUM(I55:M55)</f>
        <v>0</v>
      </c>
      <c r="Q55" s="92">
        <f>N55+O55+P55</f>
        <v>1499498</v>
      </c>
    </row>
    <row r="56" spans="1:17" ht="25.5" customHeight="1" thickBot="1">
      <c r="A56" s="121" t="s">
        <v>168</v>
      </c>
      <c r="B56" s="155">
        <f>SUM(B17:B55)</f>
        <v>115</v>
      </c>
      <c r="C56" s="126" t="s">
        <v>21</v>
      </c>
      <c r="D56" s="134">
        <f>D19+D22+D43+D46+D49+D52+D55</f>
        <v>1104218</v>
      </c>
      <c r="E56" s="135">
        <f>E19+E22+E43+E46+E49+E52+E55</f>
        <v>3063624</v>
      </c>
      <c r="F56" s="135">
        <f>F19+F22+F43+F46+F49+F52+F55</f>
        <v>657338</v>
      </c>
      <c r="G56" s="135">
        <f>G19+G22+G43+G46+G49+G52+G55</f>
        <v>886066</v>
      </c>
      <c r="H56" s="136">
        <f>H19+H22+H43+H46+H49+H52+H55</f>
        <v>685520</v>
      </c>
      <c r="I56" s="135">
        <f>I19+I22+I43+I46+I49</f>
        <v>7751080.000000001</v>
      </c>
      <c r="J56" s="129">
        <f>J19+J22+J43+J46+J49</f>
        <v>21969240</v>
      </c>
      <c r="K56" s="129">
        <f>K19+K22+K43+K46+K49</f>
        <v>5714280.000000001</v>
      </c>
      <c r="L56" s="129">
        <f>L19+L22+L43+L46+L49</f>
        <v>6816960</v>
      </c>
      <c r="M56" s="130">
        <f>M19+M22+M43+M46+M49</f>
        <v>6855200</v>
      </c>
      <c r="N56" s="366">
        <f>SUM(N19+N22+N25+N31+N40+N43+N46+N49)+N52+N55</f>
        <v>1919029.7999999998</v>
      </c>
      <c r="O56" s="93">
        <f>SUM(O19:O55)</f>
        <v>6396766</v>
      </c>
      <c r="P56" s="93">
        <f>SUM(P19:P55)</f>
        <v>50027083.54</v>
      </c>
      <c r="Q56" s="93">
        <f>SUM(Q19:Q55)</f>
        <v>58342879.34</v>
      </c>
    </row>
  </sheetData>
  <sheetProtection password="C581" sheet="1" objects="1" scenarios="1"/>
  <mergeCells count="33">
    <mergeCell ref="A53:A55"/>
    <mergeCell ref="B53:B55"/>
    <mergeCell ref="B47:B49"/>
    <mergeCell ref="A47:A49"/>
    <mergeCell ref="A41:A43"/>
    <mergeCell ref="B41:B43"/>
    <mergeCell ref="A35:A37"/>
    <mergeCell ref="B35:B37"/>
    <mergeCell ref="A50:A52"/>
    <mergeCell ref="B50:B52"/>
    <mergeCell ref="A26:A28"/>
    <mergeCell ref="B26:B28"/>
    <mergeCell ref="B32:B34"/>
    <mergeCell ref="C15:C16"/>
    <mergeCell ref="B38:B40"/>
    <mergeCell ref="A23:A25"/>
    <mergeCell ref="A29:A31"/>
    <mergeCell ref="B23:B25"/>
    <mergeCell ref="A38:A40"/>
    <mergeCell ref="A17:A19"/>
    <mergeCell ref="A20:A22"/>
    <mergeCell ref="B20:B22"/>
    <mergeCell ref="A32:A34"/>
    <mergeCell ref="I5:J5"/>
    <mergeCell ref="B17:B19"/>
    <mergeCell ref="A44:A46"/>
    <mergeCell ref="B44:B46"/>
    <mergeCell ref="D15:H15"/>
    <mergeCell ref="I15:M15"/>
    <mergeCell ref="I11:J11"/>
    <mergeCell ref="A15:A16"/>
    <mergeCell ref="B15:B16"/>
    <mergeCell ref="B29:B31"/>
  </mergeCells>
  <printOptions/>
  <pageMargins left="1.7322834645669292" right="0.1968503937007874" top="0.8267716535433072" bottom="0.7086614173228347" header="0.4330708661417323" footer="0.4724409448818898"/>
  <pageSetup fitToHeight="2" horizontalDpi="300" verticalDpi="300" orientation="landscape" paperSize="5" scale="55" r:id="rId3"/>
  <headerFooter alignWithMargins="0">
    <oddHeader>&amp;LSEPT - 2004&amp;CDIRECTIVA D.B.S.A.
ORDINARIA&amp;R01-BS/0305/04</oddHeader>
    <oddFooter>&amp;LDEPARTAMENTO
RRHH Y GESTION&amp;C01-BS&amp;RPAG &amp;P</oddFooter>
  </headerFooter>
  <legacyDrawing r:id="rId2"/>
</worksheet>
</file>

<file path=xl/worksheets/sheet3.xml><?xml version="1.0" encoding="utf-8"?>
<worksheet xmlns="http://schemas.openxmlformats.org/spreadsheetml/2006/main" xmlns:r="http://schemas.openxmlformats.org/officeDocument/2006/relationships">
  <dimension ref="A1:W93"/>
  <sheetViews>
    <sheetView showGridLines="0" zoomScale="80" zoomScaleNormal="80" zoomScalePageLayoutView="0" workbookViewId="0" topLeftCell="A1">
      <selection activeCell="D5" sqref="D5:E5"/>
    </sheetView>
  </sheetViews>
  <sheetFormatPr defaultColWidth="11.421875" defaultRowHeight="12.75"/>
  <cols>
    <col min="1" max="1" width="15.8515625" style="1" customWidth="1"/>
    <col min="2" max="2" width="21.140625" style="1" customWidth="1"/>
    <col min="3" max="3" width="56.140625" style="1" customWidth="1"/>
    <col min="4" max="4" width="19.00390625" style="1" customWidth="1"/>
    <col min="5" max="5" width="16.28125" style="1" customWidth="1"/>
    <col min="6" max="6" width="12.28125" style="19" customWidth="1"/>
    <col min="7" max="7" width="16.57421875" style="4" customWidth="1"/>
    <col min="8" max="8" width="18.140625" style="4" customWidth="1"/>
    <col min="9" max="9" width="13.00390625" style="151" customWidth="1"/>
    <col min="10" max="13" width="11.421875" style="1" customWidth="1"/>
    <col min="14" max="14" width="13.140625" style="1" customWidth="1"/>
    <col min="15" max="15" width="14.28125" style="1" customWidth="1"/>
    <col min="16" max="16" width="16.7109375" style="1" customWidth="1"/>
    <col min="17" max="17" width="11.421875" style="1" customWidth="1"/>
    <col min="18" max="18" width="21.7109375" style="1" bestFit="1" customWidth="1"/>
    <col min="19" max="16384" width="11.421875" style="1" customWidth="1"/>
  </cols>
  <sheetData>
    <row r="1" spans="2:8" ht="16.5">
      <c r="B1" s="449">
        <v>0</v>
      </c>
      <c r="C1" s="449"/>
      <c r="D1" s="449"/>
      <c r="E1" s="449"/>
      <c r="F1" s="449"/>
      <c r="G1" s="449"/>
      <c r="H1" s="1"/>
    </row>
    <row r="2" spans="2:8" ht="16.5">
      <c r="B2" s="402" t="s">
        <v>22</v>
      </c>
      <c r="C2" s="402"/>
      <c r="D2" s="402"/>
      <c r="E2" s="402"/>
      <c r="F2" s="402"/>
      <c r="G2" s="402"/>
      <c r="H2" s="1"/>
    </row>
    <row r="3" spans="2:10" ht="16.5">
      <c r="B3" s="402" t="s">
        <v>23</v>
      </c>
      <c r="C3" s="402"/>
      <c r="D3" s="402"/>
      <c r="E3" s="402"/>
      <c r="F3" s="402"/>
      <c r="G3" s="402"/>
      <c r="H3" s="1"/>
      <c r="J3" s="1" t="s">
        <v>175</v>
      </c>
    </row>
    <row r="4" spans="2:3" ht="6.75" customHeight="1">
      <c r="B4" s="4"/>
      <c r="C4" s="4"/>
    </row>
    <row r="5" spans="3:9" s="72" customFormat="1" ht="16.5">
      <c r="C5" s="74" t="s">
        <v>24</v>
      </c>
      <c r="D5" s="450" t="str">
        <f>'Ap. 2 Ingresos C. Benef.'!$I$5</f>
        <v>BIENVALP</v>
      </c>
      <c r="E5" s="451"/>
      <c r="F5" s="73"/>
      <c r="G5" s="73"/>
      <c r="H5" s="73"/>
      <c r="I5" s="151"/>
    </row>
    <row r="6" spans="1:13" ht="15" customHeight="1">
      <c r="A6" s="71"/>
      <c r="B6" s="71"/>
      <c r="C6" s="459"/>
      <c r="D6" s="459"/>
      <c r="K6" s="302">
        <f>D11/12</f>
        <v>8287354.079108001</v>
      </c>
      <c r="M6" s="1">
        <f>9789658/12</f>
        <v>815804.8333333334</v>
      </c>
    </row>
    <row r="7" spans="4:8" ht="16.5">
      <c r="D7" s="65" t="s">
        <v>25</v>
      </c>
      <c r="E7" s="452" t="s">
        <v>26</v>
      </c>
      <c r="F7" s="453"/>
      <c r="G7" s="66" t="s">
        <v>27</v>
      </c>
      <c r="H7" s="67" t="s">
        <v>28</v>
      </c>
    </row>
    <row r="8" spans="1:13" ht="25.5" customHeight="1" thickBot="1">
      <c r="A8" s="160" t="s">
        <v>29</v>
      </c>
      <c r="B8" s="454" t="s">
        <v>30</v>
      </c>
      <c r="C8" s="454"/>
      <c r="D8" s="68" t="s">
        <v>31</v>
      </c>
      <c r="E8" s="23" t="s">
        <v>32</v>
      </c>
      <c r="F8" s="23" t="s">
        <v>33</v>
      </c>
      <c r="G8" s="69" t="s">
        <v>34</v>
      </c>
      <c r="H8" s="70" t="s">
        <v>34</v>
      </c>
      <c r="M8" s="1">
        <f>8959/12</f>
        <v>746.5833333333334</v>
      </c>
    </row>
    <row r="9" spans="1:8" ht="15.75" customHeight="1">
      <c r="A9" s="463" t="s">
        <v>166</v>
      </c>
      <c r="B9" s="455" t="s">
        <v>109</v>
      </c>
      <c r="C9" s="456"/>
      <c r="D9" s="116">
        <f>SUM(D11:D20)</f>
        <v>107402748.59678897</v>
      </c>
      <c r="E9" s="54">
        <f>SUM(E19:E20,E17,E11:E15)</f>
        <v>655657</v>
      </c>
      <c r="F9" s="64"/>
      <c r="G9" s="54">
        <f>SUM(G19:G20,G17,G11:G15)</f>
        <v>3278285</v>
      </c>
      <c r="H9" s="55">
        <f>SUM(H19:H20,H17,H11:H15)</f>
        <v>107402748.59678897</v>
      </c>
    </row>
    <row r="10" spans="1:19" ht="16.5">
      <c r="A10" s="464"/>
      <c r="B10" s="447" t="s">
        <v>51</v>
      </c>
      <c r="C10" s="448"/>
      <c r="D10" s="442"/>
      <c r="E10" s="443"/>
      <c r="F10" s="443"/>
      <c r="G10" s="443"/>
      <c r="H10" s="444"/>
      <c r="I10" s="151" t="s">
        <v>250</v>
      </c>
      <c r="N10" s="438" t="s">
        <v>253</v>
      </c>
      <c r="O10" s="439"/>
      <c r="P10" s="439"/>
      <c r="R10" s="326" t="s">
        <v>254</v>
      </c>
      <c r="S10" s="322">
        <f>'[1]EDUCACIONAL'!$BH$25</f>
        <v>788120</v>
      </c>
    </row>
    <row r="11" spans="1:16" ht="13.5" thickBot="1">
      <c r="A11" s="464"/>
      <c r="B11" s="541" t="s">
        <v>52</v>
      </c>
      <c r="C11" s="542"/>
      <c r="D11" s="543">
        <f>P19</f>
        <v>99448248.94929601</v>
      </c>
      <c r="E11" s="26"/>
      <c r="F11" s="27"/>
      <c r="G11" s="25"/>
      <c r="H11" s="56">
        <f>G11+D11</f>
        <v>99448248.94929601</v>
      </c>
      <c r="I11" s="1"/>
      <c r="L11" s="315"/>
      <c r="N11" s="316" t="s">
        <v>265</v>
      </c>
      <c r="O11" s="317">
        <v>11</v>
      </c>
      <c r="P11" s="544">
        <f>'[1]EDUCACIONAL'!$BL$22</f>
        <v>95322512.25636001</v>
      </c>
    </row>
    <row r="12" spans="1:19" ht="17.25" customHeight="1" thickBot="1">
      <c r="A12" s="464"/>
      <c r="B12" s="541" t="s">
        <v>170</v>
      </c>
      <c r="C12" s="542"/>
      <c r="D12" s="543">
        <f>S10</f>
        <v>788120</v>
      </c>
      <c r="E12" s="26">
        <v>0</v>
      </c>
      <c r="F12" s="27">
        <v>1</v>
      </c>
      <c r="G12" s="25">
        <f>E12*F12</f>
        <v>0</v>
      </c>
      <c r="H12" s="56">
        <f>G12+D12</f>
        <v>788120</v>
      </c>
      <c r="L12" s="318" t="s">
        <v>255</v>
      </c>
      <c r="M12" s="319"/>
      <c r="N12" s="316" t="s">
        <v>257</v>
      </c>
      <c r="O12" s="317">
        <v>1</v>
      </c>
      <c r="P12" s="544">
        <f>'[1]EDUCACIONAL'!$BK$36*12</f>
        <v>4125736.6929360004</v>
      </c>
      <c r="R12" s="438" t="s">
        <v>256</v>
      </c>
      <c r="S12" s="438"/>
    </row>
    <row r="13" spans="1:19" ht="12" customHeight="1">
      <c r="A13" s="464"/>
      <c r="B13" s="545" t="s">
        <v>53</v>
      </c>
      <c r="C13" s="546"/>
      <c r="D13" s="119"/>
      <c r="E13" s="26">
        <v>0</v>
      </c>
      <c r="F13" s="27">
        <v>1</v>
      </c>
      <c r="G13" s="25">
        <f>E13*F13</f>
        <v>0</v>
      </c>
      <c r="H13" s="56">
        <f>G13+D13</f>
        <v>0</v>
      </c>
      <c r="L13" s="320"/>
      <c r="M13" s="321"/>
      <c r="N13" s="316" t="s">
        <v>266</v>
      </c>
      <c r="O13" s="317">
        <v>0</v>
      </c>
      <c r="P13" s="544">
        <v>0</v>
      </c>
      <c r="R13" s="395"/>
      <c r="S13" s="395"/>
    </row>
    <row r="14" spans="1:19" ht="16.5">
      <c r="A14" s="464"/>
      <c r="B14" s="541" t="s">
        <v>54</v>
      </c>
      <c r="C14" s="542"/>
      <c r="D14" s="543">
        <f>S16</f>
        <v>2893612.158</v>
      </c>
      <c r="E14" s="26">
        <v>0</v>
      </c>
      <c r="F14" s="27">
        <v>1</v>
      </c>
      <c r="G14" s="25">
        <f>E14*F14</f>
        <v>0</v>
      </c>
      <c r="H14" s="56">
        <f>G14+D14</f>
        <v>2893612.158</v>
      </c>
      <c r="N14" s="316"/>
      <c r="O14" s="317"/>
      <c r="P14" s="329"/>
      <c r="R14" s="327" t="s">
        <v>258</v>
      </c>
      <c r="S14" s="322">
        <f>'[1]EDUCACIONAL'!$BF$25</f>
        <v>1579021.213</v>
      </c>
    </row>
    <row r="15" spans="1:19" ht="12.75" customHeight="1">
      <c r="A15" s="464"/>
      <c r="B15" s="541" t="s">
        <v>123</v>
      </c>
      <c r="C15" s="542"/>
      <c r="D15" s="547">
        <f>E15*F15</f>
        <v>3278285</v>
      </c>
      <c r="E15" s="26">
        <v>655657</v>
      </c>
      <c r="F15" s="27">
        <v>5</v>
      </c>
      <c r="G15" s="25">
        <f>E15*F15</f>
        <v>3278285</v>
      </c>
      <c r="H15" s="56">
        <f>G15</f>
        <v>3278285</v>
      </c>
      <c r="I15" s="151" t="s">
        <v>252</v>
      </c>
      <c r="N15" s="316"/>
      <c r="O15" s="317"/>
      <c r="P15" s="322"/>
      <c r="R15" s="327" t="s">
        <v>259</v>
      </c>
      <c r="S15" s="322">
        <f>'[1]EDUCACIONAL'!$BG$25</f>
        <v>1314590.945</v>
      </c>
    </row>
    <row r="16" spans="1:19" ht="12.75" customHeight="1">
      <c r="A16" s="464"/>
      <c r="B16" s="447" t="s">
        <v>55</v>
      </c>
      <c r="C16" s="448"/>
      <c r="D16" s="442"/>
      <c r="E16" s="443"/>
      <c r="F16" s="443"/>
      <c r="G16" s="443"/>
      <c r="H16" s="444"/>
      <c r="I16" s="152"/>
      <c r="N16" s="440" t="s">
        <v>260</v>
      </c>
      <c r="O16" s="440"/>
      <c r="P16" s="322"/>
      <c r="R16" s="328" t="s">
        <v>261</v>
      </c>
      <c r="S16" s="325">
        <f>SUM(S14:S15)</f>
        <v>2893612.158</v>
      </c>
    </row>
    <row r="17" spans="1:19" ht="12.75" customHeight="1">
      <c r="A17" s="464"/>
      <c r="B17" s="541" t="s">
        <v>56</v>
      </c>
      <c r="C17" s="542"/>
      <c r="D17" s="118">
        <f>D11*0.01</f>
        <v>994482.4894929602</v>
      </c>
      <c r="E17" s="26">
        <v>0</v>
      </c>
      <c r="F17" s="27">
        <v>1</v>
      </c>
      <c r="G17" s="25">
        <f>E17*F17</f>
        <v>0</v>
      </c>
      <c r="H17" s="56">
        <f>G17+D17</f>
        <v>994482.4894929602</v>
      </c>
      <c r="I17" s="152" t="s">
        <v>171</v>
      </c>
      <c r="N17" s="440" t="s">
        <v>262</v>
      </c>
      <c r="O17" s="440"/>
      <c r="P17" s="322">
        <f>SUM(P11:P15)</f>
        <v>99448248.94929601</v>
      </c>
      <c r="R17" s="323"/>
      <c r="S17" s="293"/>
    </row>
    <row r="18" spans="1:16" ht="12.75" customHeight="1">
      <c r="A18" s="464"/>
      <c r="B18" s="447" t="s">
        <v>57</v>
      </c>
      <c r="C18" s="448"/>
      <c r="D18" s="442"/>
      <c r="E18" s="443"/>
      <c r="F18" s="443"/>
      <c r="G18" s="443"/>
      <c r="H18" s="444"/>
      <c r="I18" s="152"/>
      <c r="N18" s="440" t="s">
        <v>263</v>
      </c>
      <c r="O18" s="440"/>
      <c r="P18" s="324"/>
    </row>
    <row r="19" spans="1:16" ht="12.75" customHeight="1">
      <c r="A19" s="464"/>
      <c r="B19" s="548" t="s">
        <v>58</v>
      </c>
      <c r="C19" s="549"/>
      <c r="D19" s="113"/>
      <c r="E19" s="26">
        <v>0</v>
      </c>
      <c r="F19" s="27">
        <v>1</v>
      </c>
      <c r="G19" s="25">
        <f>E19*F19</f>
        <v>0</v>
      </c>
      <c r="H19" s="56">
        <f>D19</f>
        <v>0</v>
      </c>
      <c r="I19" s="152" t="s">
        <v>225</v>
      </c>
      <c r="L19" s="18"/>
      <c r="N19" s="441" t="s">
        <v>264</v>
      </c>
      <c r="O19" s="441"/>
      <c r="P19" s="325">
        <f>+P17</f>
        <v>99448248.94929601</v>
      </c>
    </row>
    <row r="20" spans="1:9" ht="12.75" customHeight="1">
      <c r="A20" s="464"/>
      <c r="B20" s="550" t="s">
        <v>59</v>
      </c>
      <c r="C20" s="549"/>
      <c r="D20" s="113">
        <v>0</v>
      </c>
      <c r="E20" s="26">
        <v>0</v>
      </c>
      <c r="F20" s="27">
        <v>1</v>
      </c>
      <c r="G20" s="25">
        <f>E20*F20</f>
        <v>0</v>
      </c>
      <c r="H20" s="56">
        <f>G20+D20</f>
        <v>0</v>
      </c>
      <c r="I20" s="152"/>
    </row>
    <row r="21" spans="1:10" ht="12.75" customHeight="1">
      <c r="A21" s="464"/>
      <c r="B21" s="445" t="s">
        <v>60</v>
      </c>
      <c r="C21" s="446"/>
      <c r="D21" s="115">
        <f>SUM(D23:D24,D26:D28,D30:D31,D33:D44,D46:D54,D56:D62,D64:D66,D68:D73,D75:D76,D78:D81,D83:D84)</f>
        <v>32036743.952999998</v>
      </c>
      <c r="E21" s="24">
        <f>SUM(E23:E24,E26:E28,E30:E31,E33:E44,E46:E54,E56:E62,E64:E66,E68:E73,E75:E76,E78:E81,E83:E84)</f>
        <v>579013</v>
      </c>
      <c r="F21" s="63"/>
      <c r="G21" s="24">
        <f>SUM(G23:G24,G26:G28,G30:G31,G33:G44,G46:G54,G56:G62,G64:G66,G68:G73,G75:G76,G78:G81,G83:G84)</f>
        <v>8393169</v>
      </c>
      <c r="H21" s="57">
        <f>SUM(H23:H24,H26:H28,H30:H31,H33:H44,H46:H54,H56:H62,H64:H66,H68:H73,H75:H76,H78:H81,H83:H84)</f>
        <v>32232868.952999998</v>
      </c>
      <c r="I21" s="152"/>
      <c r="J21" s="1" t="s">
        <v>282</v>
      </c>
    </row>
    <row r="22" spans="1:9" ht="12.75" customHeight="1">
      <c r="A22" s="464"/>
      <c r="B22" s="551" t="s">
        <v>61</v>
      </c>
      <c r="C22" s="552"/>
      <c r="D22" s="442"/>
      <c r="E22" s="443"/>
      <c r="F22" s="443"/>
      <c r="G22" s="443"/>
      <c r="H22" s="444"/>
      <c r="I22" s="152"/>
    </row>
    <row r="23" spans="1:9" ht="12.75" customHeight="1">
      <c r="A23" s="464"/>
      <c r="B23" s="545" t="s">
        <v>62</v>
      </c>
      <c r="C23" s="546"/>
      <c r="D23" s="553">
        <f>E23*F23</f>
        <v>1164240</v>
      </c>
      <c r="E23" s="26">
        <v>1680</v>
      </c>
      <c r="F23" s="27">
        <f>3*21*11</f>
        <v>693</v>
      </c>
      <c r="G23" s="25">
        <f>E23*F23</f>
        <v>1164240</v>
      </c>
      <c r="H23" s="56">
        <f>D23</f>
        <v>1164240</v>
      </c>
      <c r="I23" s="152" t="s">
        <v>283</v>
      </c>
    </row>
    <row r="24" spans="1:9" ht="12.75" customHeight="1">
      <c r="A24" s="464"/>
      <c r="B24" s="554" t="s">
        <v>111</v>
      </c>
      <c r="C24" s="555"/>
      <c r="D24" s="310">
        <f>E24*F24</f>
        <v>4408404</v>
      </c>
      <c r="E24" s="26">
        <v>734</v>
      </c>
      <c r="F24" s="27">
        <f>26*21*11</f>
        <v>6006</v>
      </c>
      <c r="G24" s="25">
        <f>E24*F24</f>
        <v>4408404</v>
      </c>
      <c r="H24" s="56">
        <f>G24</f>
        <v>4408404</v>
      </c>
      <c r="I24" s="152"/>
    </row>
    <row r="25" spans="1:9" ht="12.75" customHeight="1">
      <c r="A25" s="464"/>
      <c r="B25" s="551" t="s">
        <v>63</v>
      </c>
      <c r="C25" s="552"/>
      <c r="D25" s="442"/>
      <c r="E25" s="443"/>
      <c r="F25" s="443"/>
      <c r="G25" s="443"/>
      <c r="H25" s="444"/>
      <c r="I25" s="152"/>
    </row>
    <row r="26" spans="1:9" ht="12.75" customHeight="1">
      <c r="A26" s="464"/>
      <c r="B26" s="541" t="s">
        <v>110</v>
      </c>
      <c r="C26" s="542"/>
      <c r="D26" s="308">
        <v>468712</v>
      </c>
      <c r="E26" s="26">
        <v>0</v>
      </c>
      <c r="F26" s="27">
        <v>1</v>
      </c>
      <c r="G26" s="25">
        <f>E26*F26</f>
        <v>0</v>
      </c>
      <c r="H26" s="56">
        <f>G26+D26</f>
        <v>468712</v>
      </c>
      <c r="I26" s="152" t="s">
        <v>221</v>
      </c>
    </row>
    <row r="27" spans="1:9" ht="12.75" customHeight="1">
      <c r="A27" s="464"/>
      <c r="B27" s="541" t="s">
        <v>64</v>
      </c>
      <c r="C27" s="542"/>
      <c r="D27" s="287">
        <f>E27*F27</f>
        <v>0</v>
      </c>
      <c r="E27" s="26">
        <v>12399</v>
      </c>
      <c r="F27" s="27">
        <v>0</v>
      </c>
      <c r="G27" s="25">
        <f>E27*F27+(15675*7)</f>
        <v>109725</v>
      </c>
      <c r="H27" s="56">
        <f>G27+D27</f>
        <v>109725</v>
      </c>
      <c r="I27" s="152" t="s">
        <v>289</v>
      </c>
    </row>
    <row r="28" spans="1:15" ht="13.5" customHeight="1">
      <c r="A28" s="464"/>
      <c r="B28" s="541" t="s">
        <v>65</v>
      </c>
      <c r="C28" s="542"/>
      <c r="D28" s="286">
        <f>E28*F28</f>
        <v>72000</v>
      </c>
      <c r="E28" s="26">
        <v>36000</v>
      </c>
      <c r="F28" s="27">
        <v>2</v>
      </c>
      <c r="G28" s="25">
        <f>E28*F28</f>
        <v>72000</v>
      </c>
      <c r="H28" s="56">
        <f>G28</f>
        <v>72000</v>
      </c>
      <c r="I28" s="152" t="s">
        <v>211</v>
      </c>
      <c r="O28" s="4" t="s">
        <v>272</v>
      </c>
    </row>
    <row r="29" spans="1:21" ht="12.75" customHeight="1">
      <c r="A29" s="464"/>
      <c r="B29" s="551" t="s">
        <v>66</v>
      </c>
      <c r="C29" s="552"/>
      <c r="D29" s="460"/>
      <c r="E29" s="461"/>
      <c r="F29" s="461"/>
      <c r="G29" s="461"/>
      <c r="H29" s="462"/>
      <c r="O29" s="332" t="s">
        <v>267</v>
      </c>
      <c r="P29" s="332" t="s">
        <v>270</v>
      </c>
      <c r="Q29" s="332" t="s">
        <v>271</v>
      </c>
      <c r="R29" s="332" t="s">
        <v>273</v>
      </c>
      <c r="T29" s="1" t="s">
        <v>285</v>
      </c>
      <c r="U29" s="1" t="s">
        <v>286</v>
      </c>
    </row>
    <row r="30" spans="1:18" ht="12.75" customHeight="1">
      <c r="A30" s="464"/>
      <c r="B30" s="545" t="s">
        <v>67</v>
      </c>
      <c r="C30" s="546"/>
      <c r="D30" s="307">
        <f>O31</f>
        <v>1400550.27</v>
      </c>
      <c r="E30" s="26">
        <v>0</v>
      </c>
      <c r="F30" s="27">
        <v>1</v>
      </c>
      <c r="G30" s="25">
        <f>E30*F30</f>
        <v>0</v>
      </c>
      <c r="H30" s="56">
        <f>G30+D30</f>
        <v>1400550.27</v>
      </c>
      <c r="I30" s="153" t="s">
        <v>274</v>
      </c>
      <c r="N30" s="331"/>
      <c r="O30" s="367">
        <v>2746177</v>
      </c>
      <c r="P30" s="367">
        <v>1997100</v>
      </c>
      <c r="Q30" s="367">
        <v>1770475</v>
      </c>
      <c r="R30" s="368">
        <f>SUM(O30:Q30)</f>
        <v>6513752</v>
      </c>
    </row>
    <row r="31" spans="1:23" ht="16.5">
      <c r="A31" s="464"/>
      <c r="B31" s="541" t="s">
        <v>68</v>
      </c>
      <c r="C31" s="542"/>
      <c r="D31" s="117"/>
      <c r="E31" s="26">
        <v>0</v>
      </c>
      <c r="F31" s="27">
        <v>1</v>
      </c>
      <c r="G31" s="25">
        <f>E31*F31</f>
        <v>0</v>
      </c>
      <c r="H31" s="56">
        <f>G31+D31</f>
        <v>0</v>
      </c>
      <c r="N31" s="331" t="s">
        <v>268</v>
      </c>
      <c r="O31" s="330">
        <f>O30*51/100</f>
        <v>1400550.27</v>
      </c>
      <c r="P31" s="330">
        <f>P30*51/100</f>
        <v>1018521</v>
      </c>
      <c r="Q31" s="330">
        <f>Q30*51/100</f>
        <v>902942.25</v>
      </c>
      <c r="R31" s="333">
        <f>SUM(O31:Q31)</f>
        <v>3322013.52</v>
      </c>
      <c r="V31" s="342">
        <f>R30-V36</f>
        <v>3343752</v>
      </c>
      <c r="W31" s="343">
        <f>V31/R30</f>
        <v>0.5133373207945282</v>
      </c>
    </row>
    <row r="32" spans="1:21" ht="16.5">
      <c r="A32" s="464"/>
      <c r="B32" s="551" t="s">
        <v>69</v>
      </c>
      <c r="C32" s="552"/>
      <c r="D32" s="442"/>
      <c r="E32" s="443"/>
      <c r="F32" s="443"/>
      <c r="G32" s="443"/>
      <c r="H32" s="444"/>
      <c r="N32" s="331" t="s">
        <v>269</v>
      </c>
      <c r="O32" s="330">
        <f>O30*49/100</f>
        <v>1345626.73</v>
      </c>
      <c r="P32" s="330">
        <f>P30*49/100</f>
        <v>978579</v>
      </c>
      <c r="Q32" s="330">
        <f>Q30*49/100</f>
        <v>867532.75</v>
      </c>
      <c r="R32" s="333">
        <f>SUM(O32:Q32)</f>
        <v>3191738.48</v>
      </c>
      <c r="S32" s="1" t="s">
        <v>284</v>
      </c>
      <c r="T32" s="332">
        <v>8</v>
      </c>
      <c r="U32" s="332">
        <v>2</v>
      </c>
    </row>
    <row r="33" spans="1:21" ht="16.5">
      <c r="A33" s="464"/>
      <c r="B33" s="545" t="s">
        <v>164</v>
      </c>
      <c r="C33" s="546"/>
      <c r="D33" s="553">
        <v>610326</v>
      </c>
      <c r="E33" s="26">
        <v>0</v>
      </c>
      <c r="F33" s="27">
        <v>1</v>
      </c>
      <c r="G33" s="25">
        <f>E33*F33</f>
        <v>0</v>
      </c>
      <c r="H33" s="56">
        <f>G33+D33</f>
        <v>610326</v>
      </c>
      <c r="I33" s="285" t="s">
        <v>232</v>
      </c>
      <c r="T33" s="347">
        <f>R32*80/100</f>
        <v>2553390.784</v>
      </c>
      <c r="U33" s="347">
        <f>R32*20/100</f>
        <v>638347.696</v>
      </c>
    </row>
    <row r="34" spans="1:21" ht="16.5">
      <c r="A34" s="464"/>
      <c r="B34" s="545" t="s">
        <v>70</v>
      </c>
      <c r="C34" s="546"/>
      <c r="D34" s="556">
        <v>841067</v>
      </c>
      <c r="E34" s="26">
        <v>0</v>
      </c>
      <c r="F34" s="27">
        <v>1</v>
      </c>
      <c r="G34" s="25">
        <f aca="true" t="shared" si="0" ref="G34:G44">E34*F34</f>
        <v>0</v>
      </c>
      <c r="H34" s="56">
        <f aca="true" t="shared" si="1" ref="H34:H44">G34+D34</f>
        <v>841067</v>
      </c>
      <c r="I34" s="151" t="s">
        <v>235</v>
      </c>
      <c r="S34" s="4" t="s">
        <v>287</v>
      </c>
      <c r="T34" s="345">
        <v>31800</v>
      </c>
      <c r="U34" s="345">
        <v>21200</v>
      </c>
    </row>
    <row r="35" spans="1:22" ht="16.5">
      <c r="A35" s="464"/>
      <c r="B35" s="554" t="s">
        <v>125</v>
      </c>
      <c r="C35" s="555"/>
      <c r="D35" s="118">
        <v>0</v>
      </c>
      <c r="E35" s="26">
        <v>0</v>
      </c>
      <c r="F35" s="27">
        <v>1</v>
      </c>
      <c r="G35" s="25">
        <f t="shared" si="0"/>
        <v>0</v>
      </c>
      <c r="H35" s="56">
        <f t="shared" si="1"/>
        <v>0</v>
      </c>
      <c r="S35" s="346" t="s">
        <v>288</v>
      </c>
      <c r="T35" s="345">
        <v>34000</v>
      </c>
      <c r="U35" s="345">
        <v>22500</v>
      </c>
      <c r="V35" s="369">
        <v>0.07</v>
      </c>
    </row>
    <row r="36" spans="1:23" ht="16.5">
      <c r="A36" s="464"/>
      <c r="B36" s="557" t="s">
        <v>71</v>
      </c>
      <c r="C36" s="558"/>
      <c r="D36" s="556">
        <f>E36*F36</f>
        <v>75600</v>
      </c>
      <c r="E36" s="26">
        <v>10800</v>
      </c>
      <c r="F36" s="27">
        <v>7</v>
      </c>
      <c r="G36" s="25">
        <f t="shared" si="0"/>
        <v>75600</v>
      </c>
      <c r="H36" s="56">
        <f t="shared" si="1"/>
        <v>151200</v>
      </c>
      <c r="I36" s="151" t="s">
        <v>222</v>
      </c>
      <c r="S36" s="316"/>
      <c r="T36" s="344">
        <f>T35*8*10</f>
        <v>2720000</v>
      </c>
      <c r="U36" s="344">
        <f>U35*2*10</f>
        <v>450000</v>
      </c>
      <c r="V36" s="342">
        <f>SUM(T36:U36)</f>
        <v>3170000</v>
      </c>
      <c r="W36" s="343">
        <f>V36/R30</f>
        <v>0.48666267920547174</v>
      </c>
    </row>
    <row r="37" spans="1:9" ht="16.5">
      <c r="A37" s="464"/>
      <c r="B37" s="557" t="s">
        <v>72</v>
      </c>
      <c r="C37" s="558"/>
      <c r="D37" s="559"/>
      <c r="E37" s="26">
        <v>0</v>
      </c>
      <c r="F37" s="27">
        <v>1</v>
      </c>
      <c r="G37" s="25">
        <f t="shared" si="0"/>
        <v>0</v>
      </c>
      <c r="H37" s="56">
        <f t="shared" si="1"/>
        <v>0</v>
      </c>
      <c r="I37" s="151" t="s">
        <v>233</v>
      </c>
    </row>
    <row r="38" spans="1:9" ht="16.5">
      <c r="A38" s="464"/>
      <c r="B38" s="560" t="s">
        <v>73</v>
      </c>
      <c r="C38" s="561"/>
      <c r="D38" s="287">
        <v>430826</v>
      </c>
      <c r="E38" s="26">
        <v>0</v>
      </c>
      <c r="F38" s="27">
        <v>1</v>
      </c>
      <c r="G38" s="25">
        <f t="shared" si="0"/>
        <v>0</v>
      </c>
      <c r="H38" s="56">
        <f t="shared" si="1"/>
        <v>430826</v>
      </c>
      <c r="I38" s="151" t="s">
        <v>234</v>
      </c>
    </row>
    <row r="39" spans="1:9" ht="16.5">
      <c r="A39" s="464"/>
      <c r="B39" s="557" t="s">
        <v>112</v>
      </c>
      <c r="C39" s="558"/>
      <c r="D39" s="287">
        <f>E39*F39</f>
        <v>1360000</v>
      </c>
      <c r="E39" s="26">
        <v>340000</v>
      </c>
      <c r="F39" s="27">
        <v>4</v>
      </c>
      <c r="G39" s="25">
        <f t="shared" si="0"/>
        <v>1360000</v>
      </c>
      <c r="H39" s="56">
        <f>G39</f>
        <v>1360000</v>
      </c>
      <c r="I39" s="151" t="s">
        <v>236</v>
      </c>
    </row>
    <row r="40" spans="1:9" ht="16.5">
      <c r="A40" s="464"/>
      <c r="B40" s="557" t="s">
        <v>117</v>
      </c>
      <c r="C40" s="558"/>
      <c r="D40" s="556">
        <v>320612</v>
      </c>
      <c r="E40" s="26">
        <v>0</v>
      </c>
      <c r="F40" s="27">
        <v>1</v>
      </c>
      <c r="G40" s="25">
        <f t="shared" si="0"/>
        <v>0</v>
      </c>
      <c r="H40" s="56">
        <f t="shared" si="1"/>
        <v>320612</v>
      </c>
      <c r="I40" s="151" t="s">
        <v>237</v>
      </c>
    </row>
    <row r="41" spans="1:9" ht="16.5">
      <c r="A41" s="464"/>
      <c r="B41" s="557" t="s">
        <v>74</v>
      </c>
      <c r="C41" s="558"/>
      <c r="D41" s="556">
        <v>2507014</v>
      </c>
      <c r="E41" s="26">
        <v>0</v>
      </c>
      <c r="F41" s="27">
        <v>1</v>
      </c>
      <c r="G41" s="25">
        <f t="shared" si="0"/>
        <v>0</v>
      </c>
      <c r="H41" s="56">
        <f t="shared" si="1"/>
        <v>2507014</v>
      </c>
      <c r="I41" s="151" t="s">
        <v>238</v>
      </c>
    </row>
    <row r="42" spans="1:9" ht="16.5">
      <c r="A42" s="464"/>
      <c r="B42" s="557" t="s">
        <v>75</v>
      </c>
      <c r="C42" s="558"/>
      <c r="D42" s="556">
        <v>1158504</v>
      </c>
      <c r="E42" s="26">
        <v>0</v>
      </c>
      <c r="F42" s="27">
        <v>1</v>
      </c>
      <c r="G42" s="25">
        <f t="shared" si="0"/>
        <v>0</v>
      </c>
      <c r="H42" s="56">
        <f t="shared" si="1"/>
        <v>1158504</v>
      </c>
      <c r="I42" s="151" t="s">
        <v>239</v>
      </c>
    </row>
    <row r="43" spans="1:9" ht="16.5">
      <c r="A43" s="464"/>
      <c r="B43" s="557" t="s">
        <v>76</v>
      </c>
      <c r="C43" s="558"/>
      <c r="D43" s="287">
        <v>1216442</v>
      </c>
      <c r="E43" s="26">
        <v>0</v>
      </c>
      <c r="F43" s="27">
        <v>1</v>
      </c>
      <c r="G43" s="25">
        <f t="shared" si="0"/>
        <v>0</v>
      </c>
      <c r="H43" s="56">
        <f t="shared" si="1"/>
        <v>1216442</v>
      </c>
      <c r="I43" s="151" t="s">
        <v>240</v>
      </c>
    </row>
    <row r="44" spans="1:8" ht="16.5">
      <c r="A44" s="464"/>
      <c r="B44" s="557" t="s">
        <v>113</v>
      </c>
      <c r="C44" s="558"/>
      <c r="D44" s="556">
        <f>Q31</f>
        <v>902942.25</v>
      </c>
      <c r="E44" s="26">
        <v>0</v>
      </c>
      <c r="F44" s="27">
        <v>1</v>
      </c>
      <c r="G44" s="25">
        <f t="shared" si="0"/>
        <v>0</v>
      </c>
      <c r="H44" s="56">
        <f t="shared" si="1"/>
        <v>902942.25</v>
      </c>
    </row>
    <row r="45" spans="1:9" s="4" customFormat="1" ht="16.5">
      <c r="A45" s="464"/>
      <c r="B45" s="562" t="s">
        <v>77</v>
      </c>
      <c r="C45" s="563"/>
      <c r="D45" s="442"/>
      <c r="E45" s="443"/>
      <c r="F45" s="443"/>
      <c r="G45" s="443"/>
      <c r="H45" s="444"/>
      <c r="I45" s="153"/>
    </row>
    <row r="46" spans="1:9" s="4" customFormat="1" ht="16.5">
      <c r="A46" s="464"/>
      <c r="B46" s="564" t="s">
        <v>124</v>
      </c>
      <c r="C46" s="565"/>
      <c r="D46" s="556">
        <f>1309309*1.037</f>
        <v>1357753.433</v>
      </c>
      <c r="E46" s="26">
        <v>0</v>
      </c>
      <c r="F46" s="28">
        <v>1</v>
      </c>
      <c r="G46" s="25">
        <f>E46*F46</f>
        <v>0</v>
      </c>
      <c r="H46" s="56">
        <f>G46+D46</f>
        <v>1357753.433</v>
      </c>
      <c r="I46" s="151" t="s">
        <v>241</v>
      </c>
    </row>
    <row r="47" spans="1:9" ht="16.5">
      <c r="A47" s="464"/>
      <c r="B47" s="564" t="s">
        <v>35</v>
      </c>
      <c r="C47" s="565"/>
      <c r="D47" s="556">
        <v>2505686</v>
      </c>
      <c r="E47" s="26">
        <v>0</v>
      </c>
      <c r="F47" s="27">
        <v>1</v>
      </c>
      <c r="G47" s="25">
        <f aca="true" t="shared" si="2" ref="G47:G54">E47*F47</f>
        <v>0</v>
      </c>
      <c r="H47" s="56">
        <f aca="true" t="shared" si="3" ref="H47:H54">G47+D47</f>
        <v>2505686</v>
      </c>
      <c r="I47" s="151" t="s">
        <v>241</v>
      </c>
    </row>
    <row r="48" spans="1:9" ht="16.5">
      <c r="A48" s="464"/>
      <c r="B48" s="564" t="s">
        <v>36</v>
      </c>
      <c r="C48" s="565"/>
      <c r="D48" s="556">
        <v>3803057</v>
      </c>
      <c r="E48" s="26">
        <v>0</v>
      </c>
      <c r="F48" s="27">
        <v>1</v>
      </c>
      <c r="G48" s="25">
        <f t="shared" si="2"/>
        <v>0</v>
      </c>
      <c r="H48" s="56">
        <f t="shared" si="3"/>
        <v>3803057</v>
      </c>
      <c r="I48" s="151" t="s">
        <v>241</v>
      </c>
    </row>
    <row r="49" spans="1:8" ht="16.5">
      <c r="A49" s="464"/>
      <c r="B49" s="564" t="s">
        <v>78</v>
      </c>
      <c r="C49" s="565"/>
      <c r="D49" s="118"/>
      <c r="E49" s="26">
        <v>0</v>
      </c>
      <c r="F49" s="27">
        <v>1</v>
      </c>
      <c r="G49" s="25">
        <f t="shared" si="2"/>
        <v>0</v>
      </c>
      <c r="H49" s="56">
        <f t="shared" si="3"/>
        <v>0</v>
      </c>
    </row>
    <row r="50" spans="1:9" ht="16.5">
      <c r="A50" s="464"/>
      <c r="B50" s="564" t="s">
        <v>79</v>
      </c>
      <c r="C50" s="565"/>
      <c r="D50" s="287">
        <v>193068</v>
      </c>
      <c r="E50" s="26">
        <v>0</v>
      </c>
      <c r="F50" s="27">
        <v>1</v>
      </c>
      <c r="G50" s="25">
        <f t="shared" si="2"/>
        <v>0</v>
      </c>
      <c r="H50" s="56">
        <f t="shared" si="3"/>
        <v>193068</v>
      </c>
      <c r="I50" s="151" t="s">
        <v>242</v>
      </c>
    </row>
    <row r="51" spans="1:9" ht="16.5">
      <c r="A51" s="464"/>
      <c r="B51" s="564" t="s">
        <v>80</v>
      </c>
      <c r="C51" s="565"/>
      <c r="D51" s="287">
        <v>117337</v>
      </c>
      <c r="E51" s="26">
        <v>0</v>
      </c>
      <c r="F51" s="27">
        <v>1</v>
      </c>
      <c r="G51" s="25">
        <f t="shared" si="2"/>
        <v>0</v>
      </c>
      <c r="H51" s="56">
        <f t="shared" si="3"/>
        <v>117337</v>
      </c>
      <c r="I51" s="151" t="s">
        <v>243</v>
      </c>
    </row>
    <row r="52" spans="1:9" ht="16.5">
      <c r="A52" s="464"/>
      <c r="B52" s="564" t="s">
        <v>81</v>
      </c>
      <c r="C52" s="565"/>
      <c r="D52" s="287">
        <v>353780</v>
      </c>
      <c r="E52" s="26">
        <v>0</v>
      </c>
      <c r="F52" s="27">
        <v>1</v>
      </c>
      <c r="G52" s="25">
        <f t="shared" si="2"/>
        <v>0</v>
      </c>
      <c r="H52" s="56">
        <f t="shared" si="3"/>
        <v>353780</v>
      </c>
      <c r="I52" s="151" t="s">
        <v>172</v>
      </c>
    </row>
    <row r="53" spans="1:9" ht="16.5">
      <c r="A53" s="464"/>
      <c r="B53" s="564" t="s">
        <v>82</v>
      </c>
      <c r="C53" s="565"/>
      <c r="D53" s="118">
        <v>0</v>
      </c>
      <c r="E53" s="26">
        <v>0</v>
      </c>
      <c r="F53" s="27">
        <v>1</v>
      </c>
      <c r="G53" s="25">
        <f t="shared" si="2"/>
        <v>0</v>
      </c>
      <c r="H53" s="56">
        <f t="shared" si="3"/>
        <v>0</v>
      </c>
      <c r="I53" s="151" t="s">
        <v>173</v>
      </c>
    </row>
    <row r="54" spans="1:9" ht="16.5">
      <c r="A54" s="464"/>
      <c r="B54" s="564" t="s">
        <v>83</v>
      </c>
      <c r="C54" s="565"/>
      <c r="D54" s="118">
        <v>0</v>
      </c>
      <c r="E54" s="26">
        <v>0</v>
      </c>
      <c r="F54" s="27">
        <v>1</v>
      </c>
      <c r="G54" s="25">
        <f t="shared" si="2"/>
        <v>0</v>
      </c>
      <c r="H54" s="56">
        <f t="shared" si="3"/>
        <v>0</v>
      </c>
      <c r="I54" s="151" t="s">
        <v>174</v>
      </c>
    </row>
    <row r="55" spans="1:8" ht="16.5">
      <c r="A55" s="464"/>
      <c r="B55" s="457" t="s">
        <v>84</v>
      </c>
      <c r="C55" s="458"/>
      <c r="D55" s="442"/>
      <c r="E55" s="443"/>
      <c r="F55" s="443"/>
      <c r="G55" s="443"/>
      <c r="H55" s="444"/>
    </row>
    <row r="56" spans="1:9" ht="16.5">
      <c r="A56" s="464"/>
      <c r="B56" s="557" t="s">
        <v>85</v>
      </c>
      <c r="C56" s="558"/>
      <c r="D56" s="287">
        <v>950000</v>
      </c>
      <c r="E56" s="26">
        <v>0</v>
      </c>
      <c r="F56" s="27">
        <v>1</v>
      </c>
      <c r="G56" s="25">
        <f>E56*F56</f>
        <v>0</v>
      </c>
      <c r="H56" s="56">
        <f aca="true" t="shared" si="4" ref="H56:H62">G56+D56</f>
        <v>950000</v>
      </c>
      <c r="I56" s="151" t="s">
        <v>223</v>
      </c>
    </row>
    <row r="57" spans="1:9" ht="16.5">
      <c r="A57" s="464"/>
      <c r="B57" s="557" t="s">
        <v>86</v>
      </c>
      <c r="C57" s="558"/>
      <c r="D57" s="287">
        <v>300000</v>
      </c>
      <c r="E57" s="26">
        <v>0</v>
      </c>
      <c r="F57" s="27">
        <v>1</v>
      </c>
      <c r="G57" s="25">
        <f aca="true" t="shared" si="5" ref="G57:G62">E57*F57</f>
        <v>0</v>
      </c>
      <c r="H57" s="56">
        <f t="shared" si="4"/>
        <v>300000</v>
      </c>
      <c r="I57" s="151" t="s">
        <v>214</v>
      </c>
    </row>
    <row r="58" spans="1:9" ht="16.5">
      <c r="A58" s="464"/>
      <c r="B58" s="557" t="s">
        <v>87</v>
      </c>
      <c r="C58" s="558"/>
      <c r="D58" s="287">
        <v>500000</v>
      </c>
      <c r="E58" s="26">
        <v>0</v>
      </c>
      <c r="F58" s="27">
        <v>1</v>
      </c>
      <c r="G58" s="25">
        <f t="shared" si="5"/>
        <v>0</v>
      </c>
      <c r="H58" s="56">
        <f t="shared" si="4"/>
        <v>500000</v>
      </c>
      <c r="I58" s="151" t="s">
        <v>213</v>
      </c>
    </row>
    <row r="59" spans="1:9" ht="16.5">
      <c r="A59" s="464"/>
      <c r="B59" s="557" t="s">
        <v>88</v>
      </c>
      <c r="C59" s="558"/>
      <c r="D59" s="287">
        <f>350000-18552</f>
        <v>331448</v>
      </c>
      <c r="E59" s="26">
        <v>0</v>
      </c>
      <c r="F59" s="27">
        <v>1</v>
      </c>
      <c r="G59" s="25">
        <f t="shared" si="5"/>
        <v>0</v>
      </c>
      <c r="H59" s="56">
        <f t="shared" si="4"/>
        <v>331448</v>
      </c>
      <c r="I59" s="151" t="s">
        <v>215</v>
      </c>
    </row>
    <row r="60" spans="1:8" ht="16.5">
      <c r="A60" s="464"/>
      <c r="B60" s="557" t="s">
        <v>89</v>
      </c>
      <c r="C60" s="558"/>
      <c r="D60" s="118">
        <v>0</v>
      </c>
      <c r="E60" s="26">
        <v>0</v>
      </c>
      <c r="F60" s="27">
        <v>1</v>
      </c>
      <c r="G60" s="25">
        <f t="shared" si="5"/>
        <v>0</v>
      </c>
      <c r="H60" s="56">
        <f t="shared" si="4"/>
        <v>0</v>
      </c>
    </row>
    <row r="61" spans="1:8" ht="16.5">
      <c r="A61" s="464"/>
      <c r="B61" s="557" t="s">
        <v>90</v>
      </c>
      <c r="C61" s="558"/>
      <c r="D61" s="118"/>
      <c r="E61" s="26">
        <v>0</v>
      </c>
      <c r="F61" s="27">
        <v>1</v>
      </c>
      <c r="G61" s="25">
        <f t="shared" si="5"/>
        <v>0</v>
      </c>
      <c r="H61" s="56">
        <f t="shared" si="4"/>
        <v>0</v>
      </c>
    </row>
    <row r="62" spans="1:9" ht="16.5">
      <c r="A62" s="464"/>
      <c r="B62" s="557" t="s">
        <v>91</v>
      </c>
      <c r="C62" s="558"/>
      <c r="D62" s="308">
        <f>P31</f>
        <v>1018521</v>
      </c>
      <c r="E62" s="26">
        <v>0</v>
      </c>
      <c r="F62" s="27">
        <v>1</v>
      </c>
      <c r="G62" s="25">
        <f t="shared" si="5"/>
        <v>0</v>
      </c>
      <c r="H62" s="56">
        <f t="shared" si="4"/>
        <v>1018521</v>
      </c>
      <c r="I62" s="151" t="s">
        <v>244</v>
      </c>
    </row>
    <row r="63" spans="1:8" ht="16.5">
      <c r="A63" s="464"/>
      <c r="B63" s="457" t="s">
        <v>92</v>
      </c>
      <c r="C63" s="458"/>
      <c r="D63" s="442"/>
      <c r="E63" s="443"/>
      <c r="F63" s="443"/>
      <c r="G63" s="443"/>
      <c r="H63" s="444"/>
    </row>
    <row r="64" spans="1:8" ht="16.5">
      <c r="A64" s="464"/>
      <c r="B64" s="564" t="s">
        <v>93</v>
      </c>
      <c r="C64" s="565"/>
      <c r="D64" s="118">
        <v>0</v>
      </c>
      <c r="E64" s="26">
        <v>0</v>
      </c>
      <c r="F64" s="27">
        <v>1</v>
      </c>
      <c r="G64" s="25">
        <f>E64*F64</f>
        <v>0</v>
      </c>
      <c r="H64" s="56">
        <f>G64+D64</f>
        <v>0</v>
      </c>
    </row>
    <row r="65" spans="1:9" ht="16.5">
      <c r="A65" s="464"/>
      <c r="B65" s="564" t="s">
        <v>94</v>
      </c>
      <c r="C65" s="565"/>
      <c r="D65" s="287">
        <v>150000</v>
      </c>
      <c r="E65" s="26">
        <v>0</v>
      </c>
      <c r="F65" s="27">
        <v>1</v>
      </c>
      <c r="G65" s="25">
        <f>E65*F65</f>
        <v>0</v>
      </c>
      <c r="H65" s="56">
        <f>G65+D65</f>
        <v>150000</v>
      </c>
      <c r="I65" s="151" t="s">
        <v>212</v>
      </c>
    </row>
    <row r="66" spans="1:8" ht="16.5">
      <c r="A66" s="464"/>
      <c r="B66" s="564" t="s">
        <v>95</v>
      </c>
      <c r="C66" s="565"/>
      <c r="D66" s="118">
        <v>0</v>
      </c>
      <c r="E66" s="26">
        <v>0</v>
      </c>
      <c r="F66" s="27">
        <v>1</v>
      </c>
      <c r="G66" s="25">
        <f>E66*F66</f>
        <v>0</v>
      </c>
      <c r="H66" s="56">
        <f>G66+D66</f>
        <v>0</v>
      </c>
    </row>
    <row r="67" spans="1:8" ht="16.5">
      <c r="A67" s="464"/>
      <c r="B67" s="457" t="s">
        <v>37</v>
      </c>
      <c r="C67" s="458"/>
      <c r="D67" s="442"/>
      <c r="E67" s="443"/>
      <c r="F67" s="443"/>
      <c r="G67" s="443"/>
      <c r="H67" s="444"/>
    </row>
    <row r="68" spans="1:8" ht="16.5">
      <c r="A68" s="464"/>
      <c r="B68" s="557" t="s">
        <v>126</v>
      </c>
      <c r="C68" s="558"/>
      <c r="D68" s="118"/>
      <c r="E68" s="26">
        <v>0</v>
      </c>
      <c r="F68" s="27">
        <v>1</v>
      </c>
      <c r="G68" s="25">
        <f aca="true" t="shared" si="6" ref="G68:G73">E68*F68</f>
        <v>0</v>
      </c>
      <c r="H68" s="56">
        <f aca="true" t="shared" si="7" ref="H68:H73">G68+D68</f>
        <v>0</v>
      </c>
    </row>
    <row r="69" spans="1:9" ht="16.5">
      <c r="A69" s="464"/>
      <c r="B69" s="564" t="s">
        <v>96</v>
      </c>
      <c r="C69" s="565"/>
      <c r="D69" s="556">
        <v>490655</v>
      </c>
      <c r="E69" s="26">
        <v>0</v>
      </c>
      <c r="F69" s="27">
        <v>1</v>
      </c>
      <c r="G69" s="25">
        <f t="shared" si="6"/>
        <v>0</v>
      </c>
      <c r="H69" s="56">
        <f t="shared" si="7"/>
        <v>490655</v>
      </c>
      <c r="I69" s="285" t="s">
        <v>245</v>
      </c>
    </row>
    <row r="70" spans="1:8" ht="16.5">
      <c r="A70" s="464"/>
      <c r="B70" s="564" t="s">
        <v>97</v>
      </c>
      <c r="C70" s="565"/>
      <c r="D70" s="118"/>
      <c r="E70" s="26">
        <v>0</v>
      </c>
      <c r="F70" s="27">
        <v>1</v>
      </c>
      <c r="G70" s="25">
        <f t="shared" si="6"/>
        <v>0</v>
      </c>
      <c r="H70" s="56">
        <f t="shared" si="7"/>
        <v>0</v>
      </c>
    </row>
    <row r="71" spans="1:9" ht="16.5">
      <c r="A71" s="464"/>
      <c r="B71" s="564" t="s">
        <v>98</v>
      </c>
      <c r="C71" s="565"/>
      <c r="D71" s="556">
        <v>300000</v>
      </c>
      <c r="E71" s="26">
        <v>0</v>
      </c>
      <c r="F71" s="27">
        <v>1</v>
      </c>
      <c r="G71" s="25">
        <f t="shared" si="6"/>
        <v>0</v>
      </c>
      <c r="H71" s="56">
        <f t="shared" si="7"/>
        <v>300000</v>
      </c>
      <c r="I71" s="151" t="s">
        <v>281</v>
      </c>
    </row>
    <row r="72" spans="1:8" ht="16.5">
      <c r="A72" s="464"/>
      <c r="B72" s="564" t="s">
        <v>99</v>
      </c>
      <c r="C72" s="565"/>
      <c r="D72" s="287">
        <v>0</v>
      </c>
      <c r="E72" s="26"/>
      <c r="F72" s="27">
        <v>1</v>
      </c>
      <c r="G72" s="25">
        <f t="shared" si="6"/>
        <v>0</v>
      </c>
      <c r="H72" s="56">
        <f>D72</f>
        <v>0</v>
      </c>
    </row>
    <row r="73" spans="1:8" ht="16.5">
      <c r="A73" s="464"/>
      <c r="B73" s="560" t="s">
        <v>100</v>
      </c>
      <c r="C73" s="566"/>
      <c r="D73" s="118">
        <v>0</v>
      </c>
      <c r="E73" s="26">
        <v>0</v>
      </c>
      <c r="F73" s="27">
        <v>1</v>
      </c>
      <c r="G73" s="25">
        <f t="shared" si="6"/>
        <v>0</v>
      </c>
      <c r="H73" s="56">
        <f t="shared" si="7"/>
        <v>0</v>
      </c>
    </row>
    <row r="74" spans="1:8" ht="16.5">
      <c r="A74" s="464"/>
      <c r="B74" s="457" t="s">
        <v>101</v>
      </c>
      <c r="C74" s="458"/>
      <c r="D74" s="442"/>
      <c r="E74" s="443"/>
      <c r="F74" s="443"/>
      <c r="G74" s="443"/>
      <c r="H74" s="444"/>
    </row>
    <row r="75" spans="1:8" ht="16.5">
      <c r="A75" s="464"/>
      <c r="B75" s="564" t="s">
        <v>115</v>
      </c>
      <c r="C75" s="565"/>
      <c r="D75" s="286">
        <v>1535799</v>
      </c>
      <c r="E75" s="26">
        <v>0</v>
      </c>
      <c r="F75" s="27">
        <v>1</v>
      </c>
      <c r="G75" s="25">
        <f>F75*E75</f>
        <v>0</v>
      </c>
      <c r="H75" s="56">
        <f>G75+D75</f>
        <v>1535799</v>
      </c>
    </row>
    <row r="76" spans="1:9" ht="16.5">
      <c r="A76" s="464"/>
      <c r="B76" s="564" t="s">
        <v>116</v>
      </c>
      <c r="C76" s="565"/>
      <c r="D76" s="553">
        <f>E76*F76</f>
        <v>166400</v>
      </c>
      <c r="E76" s="303">
        <v>6400</v>
      </c>
      <c r="F76" s="304">
        <v>26</v>
      </c>
      <c r="G76" s="305">
        <f>F76*E76</f>
        <v>166400</v>
      </c>
      <c r="H76" s="306">
        <f>G76</f>
        <v>166400</v>
      </c>
      <c r="I76" s="151" t="s">
        <v>224</v>
      </c>
    </row>
    <row r="77" spans="1:8" ht="16.5">
      <c r="A77" s="464"/>
      <c r="B77" s="457" t="s">
        <v>102</v>
      </c>
      <c r="C77" s="458"/>
      <c r="D77" s="442"/>
      <c r="E77" s="443"/>
      <c r="F77" s="443"/>
      <c r="G77" s="443"/>
      <c r="H77" s="444"/>
    </row>
    <row r="78" spans="1:8" ht="16.5">
      <c r="A78" s="464"/>
      <c r="B78" s="564" t="s">
        <v>103</v>
      </c>
      <c r="C78" s="565"/>
      <c r="D78" s="288">
        <v>0</v>
      </c>
      <c r="E78" s="26">
        <v>0</v>
      </c>
      <c r="F78" s="27">
        <v>1</v>
      </c>
      <c r="G78" s="25">
        <f>E78*F78</f>
        <v>0</v>
      </c>
      <c r="H78" s="56">
        <f>G78+D78</f>
        <v>0</v>
      </c>
    </row>
    <row r="79" spans="1:8" ht="16.5">
      <c r="A79" s="464"/>
      <c r="B79" s="564" t="s">
        <v>104</v>
      </c>
      <c r="C79" s="565"/>
      <c r="D79" s="117">
        <v>0</v>
      </c>
      <c r="E79" s="26">
        <v>0</v>
      </c>
      <c r="F79" s="27">
        <v>1</v>
      </c>
      <c r="G79" s="25">
        <f>E79*F79</f>
        <v>0</v>
      </c>
      <c r="H79" s="56">
        <f>G79+D79</f>
        <v>0</v>
      </c>
    </row>
    <row r="80" spans="1:9" ht="16.5">
      <c r="A80" s="464"/>
      <c r="B80" s="567" t="s">
        <v>105</v>
      </c>
      <c r="C80" s="566"/>
      <c r="D80" s="288">
        <v>0</v>
      </c>
      <c r="E80" s="26">
        <v>0</v>
      </c>
      <c r="F80" s="27">
        <v>1</v>
      </c>
      <c r="G80" s="25">
        <f>E80*F80</f>
        <v>0</v>
      </c>
      <c r="H80" s="56">
        <f>G80+D80</f>
        <v>0</v>
      </c>
      <c r="I80" s="151" t="s">
        <v>216</v>
      </c>
    </row>
    <row r="81" spans="1:9" ht="16.5">
      <c r="A81" s="464"/>
      <c r="B81" s="557" t="s">
        <v>165</v>
      </c>
      <c r="C81" s="558"/>
      <c r="D81" s="309">
        <f>E81*F81</f>
        <v>198000</v>
      </c>
      <c r="E81" s="51">
        <v>33000</v>
      </c>
      <c r="F81" s="52">
        <v>6</v>
      </c>
      <c r="G81" s="25">
        <f>E81*F81+10800</f>
        <v>208800</v>
      </c>
      <c r="H81" s="58">
        <f>G81</f>
        <v>208800</v>
      </c>
      <c r="I81" s="151" t="s">
        <v>275</v>
      </c>
    </row>
    <row r="82" spans="1:8" ht="16.5">
      <c r="A82" s="464"/>
      <c r="B82" s="457" t="s">
        <v>106</v>
      </c>
      <c r="C82" s="458"/>
      <c r="D82" s="466"/>
      <c r="E82" s="467"/>
      <c r="F82" s="467"/>
      <c r="G82" s="467"/>
      <c r="H82" s="468"/>
    </row>
    <row r="83" spans="1:9" ht="16.5">
      <c r="A83" s="464"/>
      <c r="B83" s="557" t="s">
        <v>107</v>
      </c>
      <c r="C83" s="558"/>
      <c r="D83" s="553">
        <f>E83*F83</f>
        <v>828000</v>
      </c>
      <c r="E83" s="26">
        <v>138000</v>
      </c>
      <c r="F83" s="27">
        <v>6</v>
      </c>
      <c r="G83" s="25">
        <f>E83*F83</f>
        <v>828000</v>
      </c>
      <c r="H83" s="56">
        <f>G83</f>
        <v>828000</v>
      </c>
      <c r="I83" s="151" t="s">
        <v>217</v>
      </c>
    </row>
    <row r="84" spans="1:8" ht="16.5">
      <c r="A84" s="464"/>
      <c r="B84" s="560" t="s">
        <v>114</v>
      </c>
      <c r="C84" s="561"/>
      <c r="D84" s="559">
        <v>0</v>
      </c>
      <c r="E84" s="26">
        <v>0</v>
      </c>
      <c r="F84" s="27">
        <v>1</v>
      </c>
      <c r="G84" s="25">
        <f>E84*F84</f>
        <v>0</v>
      </c>
      <c r="H84" s="56">
        <f>G84+D84</f>
        <v>0</v>
      </c>
    </row>
    <row r="85" spans="1:8" ht="16.5">
      <c r="A85" s="464"/>
      <c r="B85" s="568" t="s">
        <v>108</v>
      </c>
      <c r="C85" s="569"/>
      <c r="D85" s="115">
        <f>SUM(D86:D90)</f>
        <v>0</v>
      </c>
      <c r="E85" s="24">
        <f>SUM(E86:E90)</f>
        <v>0</v>
      </c>
      <c r="F85" s="63"/>
      <c r="G85" s="24">
        <f>SUM(G86:G90)</f>
        <v>0</v>
      </c>
      <c r="H85" s="57">
        <f>SUM(H86:H90)</f>
        <v>0</v>
      </c>
    </row>
    <row r="86" spans="1:8" ht="16.5">
      <c r="A86" s="464"/>
      <c r="B86" s="570" t="s">
        <v>118</v>
      </c>
      <c r="C86" s="571"/>
      <c r="D86" s="120"/>
      <c r="E86" s="51">
        <v>0</v>
      </c>
      <c r="F86" s="52">
        <v>1</v>
      </c>
      <c r="G86" s="50">
        <f>E86*F86</f>
        <v>0</v>
      </c>
      <c r="H86" s="58">
        <f>G86+D86</f>
        <v>0</v>
      </c>
    </row>
    <row r="87" spans="1:8" ht="13.5">
      <c r="A87" s="464"/>
      <c r="B87" s="570" t="s">
        <v>119</v>
      </c>
      <c r="C87" s="571"/>
      <c r="D87" s="117"/>
      <c r="E87" s="26">
        <v>0</v>
      </c>
      <c r="F87" s="27">
        <v>1</v>
      </c>
      <c r="G87" s="25">
        <f>E87*F87</f>
        <v>0</v>
      </c>
      <c r="H87" s="56">
        <f>G87+D87</f>
        <v>0</v>
      </c>
    </row>
    <row r="88" spans="1:8" ht="13.5">
      <c r="A88" s="464"/>
      <c r="B88" s="570" t="s">
        <v>120</v>
      </c>
      <c r="C88" s="571"/>
      <c r="D88" s="289">
        <v>0</v>
      </c>
      <c r="E88" s="26">
        <v>0</v>
      </c>
      <c r="F88" s="27">
        <v>1</v>
      </c>
      <c r="G88" s="25">
        <f>E88*F88</f>
        <v>0</v>
      </c>
      <c r="H88" s="56">
        <f>G88+D88</f>
        <v>0</v>
      </c>
    </row>
    <row r="89" spans="1:8" ht="13.5">
      <c r="A89" s="464"/>
      <c r="B89" s="570" t="s">
        <v>121</v>
      </c>
      <c r="C89" s="571"/>
      <c r="D89" s="117">
        <v>0</v>
      </c>
      <c r="E89" s="26">
        <v>0</v>
      </c>
      <c r="F89" s="27">
        <v>1</v>
      </c>
      <c r="G89" s="25">
        <f>E89*F89</f>
        <v>0</v>
      </c>
      <c r="H89" s="56">
        <f>G89+D89</f>
        <v>0</v>
      </c>
    </row>
    <row r="90" spans="1:8" ht="13.5">
      <c r="A90" s="464"/>
      <c r="B90" s="570" t="s">
        <v>122</v>
      </c>
      <c r="C90" s="571"/>
      <c r="D90" s="559"/>
      <c r="E90" s="51">
        <v>0</v>
      </c>
      <c r="F90" s="52">
        <v>1</v>
      </c>
      <c r="G90" s="50">
        <f>E90*F90</f>
        <v>0</v>
      </c>
      <c r="H90" s="58">
        <f>G90+D90</f>
        <v>0</v>
      </c>
    </row>
    <row r="91" spans="1:8" ht="14.25" thickBot="1">
      <c r="A91" s="465"/>
      <c r="B91" s="572" t="s">
        <v>38</v>
      </c>
      <c r="C91" s="573"/>
      <c r="D91" s="114">
        <f>SUM(D9,D21,D85)</f>
        <v>139439492.54978898</v>
      </c>
      <c r="E91" s="59">
        <f>SUM(E85,E21,E9)</f>
        <v>1234670</v>
      </c>
      <c r="F91" s="62"/>
      <c r="G91" s="60">
        <f>SUM(G85,G21,G9)</f>
        <v>11671454</v>
      </c>
      <c r="H91" s="61">
        <f>SUM(H85,H21,H9)</f>
        <v>139635617.54978898</v>
      </c>
    </row>
    <row r="92" spans="2:3" ht="13.5">
      <c r="B92" s="301"/>
      <c r="C92" s="301"/>
    </row>
    <row r="93" spans="2:3" ht="13.5">
      <c r="B93" s="301"/>
      <c r="C93" s="301"/>
    </row>
  </sheetData>
  <sheetProtection password="C581" sheet="1" objects="1" scenarios="1"/>
  <mergeCells count="103">
    <mergeCell ref="B83:C83"/>
    <mergeCell ref="B78:C78"/>
    <mergeCell ref="D77:H77"/>
    <mergeCell ref="D82:H82"/>
    <mergeCell ref="B79:C79"/>
    <mergeCell ref="B81:C81"/>
    <mergeCell ref="B82:C82"/>
    <mergeCell ref="D45:H45"/>
    <mergeCell ref="B91:C91"/>
    <mergeCell ref="A9:A91"/>
    <mergeCell ref="B85:C85"/>
    <mergeCell ref="B86:C86"/>
    <mergeCell ref="B87:C87"/>
    <mergeCell ref="B88:C88"/>
    <mergeCell ref="B89:C89"/>
    <mergeCell ref="B90:C90"/>
    <mergeCell ref="B77:C77"/>
    <mergeCell ref="B72:C72"/>
    <mergeCell ref="B74:C74"/>
    <mergeCell ref="C6:D6"/>
    <mergeCell ref="D10:H10"/>
    <mergeCell ref="D16:H16"/>
    <mergeCell ref="D18:H18"/>
    <mergeCell ref="D22:H22"/>
    <mergeCell ref="D25:H25"/>
    <mergeCell ref="D29:H29"/>
    <mergeCell ref="D32:H32"/>
    <mergeCell ref="B71:C71"/>
    <mergeCell ref="B68:C68"/>
    <mergeCell ref="B53:C53"/>
    <mergeCell ref="B56:C56"/>
    <mergeCell ref="B63:C63"/>
    <mergeCell ref="B66:C66"/>
    <mergeCell ref="B61:C61"/>
    <mergeCell ref="B69:C69"/>
    <mergeCell ref="B70:C70"/>
    <mergeCell ref="B60:C60"/>
    <mergeCell ref="B39:C39"/>
    <mergeCell ref="B40:C40"/>
    <mergeCell ref="B51:C51"/>
    <mergeCell ref="B67:C67"/>
    <mergeCell ref="B52:C52"/>
    <mergeCell ref="B65:C65"/>
    <mergeCell ref="B62:C62"/>
    <mergeCell ref="B57:C57"/>
    <mergeCell ref="B58:C58"/>
    <mergeCell ref="B59:C59"/>
    <mergeCell ref="B22:C22"/>
    <mergeCell ref="D55:H55"/>
    <mergeCell ref="B55:C55"/>
    <mergeCell ref="B34:C34"/>
    <mergeCell ref="B36:C36"/>
    <mergeCell ref="B37:C37"/>
    <mergeCell ref="B33:C33"/>
    <mergeCell ref="B41:C41"/>
    <mergeCell ref="B42:C42"/>
    <mergeCell ref="B43:C43"/>
    <mergeCell ref="B18:C18"/>
    <mergeCell ref="D63:H63"/>
    <mergeCell ref="D67:H67"/>
    <mergeCell ref="B1:G1"/>
    <mergeCell ref="B2:G2"/>
    <mergeCell ref="B3:G3"/>
    <mergeCell ref="D5:E5"/>
    <mergeCell ref="E7:F7"/>
    <mergeCell ref="B8:C8"/>
    <mergeCell ref="B9:C9"/>
    <mergeCell ref="B31:C31"/>
    <mergeCell ref="B23:C23"/>
    <mergeCell ref="B10:C10"/>
    <mergeCell ref="B11:C11"/>
    <mergeCell ref="B12:C12"/>
    <mergeCell ref="B13:C13"/>
    <mergeCell ref="B14:C14"/>
    <mergeCell ref="B15:C15"/>
    <mergeCell ref="B16:C16"/>
    <mergeCell ref="B17:C17"/>
    <mergeCell ref="B54:C54"/>
    <mergeCell ref="B21:C21"/>
    <mergeCell ref="B76:C76"/>
    <mergeCell ref="B75:C75"/>
    <mergeCell ref="B25:C25"/>
    <mergeCell ref="B26:C26"/>
    <mergeCell ref="B27:C27"/>
    <mergeCell ref="B28:C28"/>
    <mergeCell ref="B29:C29"/>
    <mergeCell ref="B30:C30"/>
    <mergeCell ref="B64:C64"/>
    <mergeCell ref="B32:C32"/>
    <mergeCell ref="D74:H74"/>
    <mergeCell ref="B44:C44"/>
    <mergeCell ref="B45:C45"/>
    <mergeCell ref="B46:C46"/>
    <mergeCell ref="B47:C47"/>
    <mergeCell ref="B48:C48"/>
    <mergeCell ref="B49:C49"/>
    <mergeCell ref="B50:C50"/>
    <mergeCell ref="N10:P10"/>
    <mergeCell ref="R12:S12"/>
    <mergeCell ref="N16:O16"/>
    <mergeCell ref="N17:O17"/>
    <mergeCell ref="N18:O18"/>
    <mergeCell ref="N19:O19"/>
  </mergeCells>
  <printOptions/>
  <pageMargins left="1.7716535433070868" right="0.4724409448818898" top="0.41" bottom="0.5905511811023623" header="0.2362204724409449" footer="0.4724409448818898"/>
  <pageSetup fitToHeight="18" horizontalDpi="300" verticalDpi="300" orientation="landscape" paperSize="5" scale="45" r:id="rId3"/>
  <headerFooter alignWithMargins="0">
    <oddHeader>&amp;LSEPT - 2004&amp;CDIRECTIVA D.B.S.A.
ORDINARIO&amp;R01-BS/0305/04</oddHeader>
    <oddFooter>&amp;LDEPARTAMENTO 
RRHH Y GESTION&amp;C01-BS&amp;RPAG &amp;P</oddFooter>
  </headerFooter>
  <legacyDrawing r:id="rId2"/>
</worksheet>
</file>

<file path=xl/worksheets/sheet4.xml><?xml version="1.0" encoding="utf-8"?>
<worksheet xmlns="http://schemas.openxmlformats.org/spreadsheetml/2006/main" xmlns:r="http://schemas.openxmlformats.org/officeDocument/2006/relationships">
  <dimension ref="A1:C95"/>
  <sheetViews>
    <sheetView showGridLines="0" zoomScale="80" zoomScaleNormal="80" zoomScalePageLayoutView="0" workbookViewId="0" topLeftCell="A1">
      <pane ySplit="9" topLeftCell="A10" activePane="bottomLeft" state="frozen"/>
      <selection pane="topLeft" activeCell="A1" sqref="A1"/>
      <selection pane="bottomLeft" activeCell="B5" sqref="B5"/>
    </sheetView>
  </sheetViews>
  <sheetFormatPr defaultColWidth="11.421875" defaultRowHeight="12.75"/>
  <cols>
    <col min="1" max="1" width="97.28125" style="1" customWidth="1"/>
    <col min="2" max="2" width="20.57421875" style="1" customWidth="1"/>
    <col min="3" max="3" width="13.140625" style="29" customWidth="1"/>
    <col min="4" max="4" width="77.421875" style="1" bestFit="1" customWidth="1"/>
    <col min="5" max="16384" width="11.421875" style="1" customWidth="1"/>
  </cols>
  <sheetData>
    <row r="1" spans="1:3" ht="13.5">
      <c r="A1" s="402" t="s">
        <v>0</v>
      </c>
      <c r="B1" s="402"/>
      <c r="C1" s="3"/>
    </row>
    <row r="2" spans="1:3" ht="13.5">
      <c r="A2" s="402" t="s">
        <v>22</v>
      </c>
      <c r="B2" s="402"/>
      <c r="C2" s="3"/>
    </row>
    <row r="3" spans="1:3" ht="13.5">
      <c r="A3" s="402" t="s">
        <v>39</v>
      </c>
      <c r="B3" s="402"/>
      <c r="C3" s="4"/>
    </row>
    <row r="4" ht="6.75" customHeight="1">
      <c r="A4" s="4"/>
    </row>
    <row r="5" spans="1:3" ht="13.5">
      <c r="A5" s="5" t="s">
        <v>40</v>
      </c>
      <c r="B5" s="21" t="str">
        <f>'Ap. 2 Ingresos C. Benef.'!$I$5</f>
        <v>BIENVALP</v>
      </c>
      <c r="C5" s="30"/>
    </row>
    <row r="6" ht="13.5">
      <c r="A6" s="4"/>
    </row>
    <row r="7" spans="1:3" ht="13.5">
      <c r="A7" s="31"/>
      <c r="B7" s="22" t="s">
        <v>41</v>
      </c>
      <c r="C7" s="1"/>
    </row>
    <row r="8" spans="1:3" ht="13.5">
      <c r="A8" s="32" t="s">
        <v>42</v>
      </c>
      <c r="B8" s="33" t="s">
        <v>31</v>
      </c>
      <c r="C8" s="1"/>
    </row>
    <row r="9" spans="1:3" ht="13.5">
      <c r="A9" s="53" t="s">
        <v>38</v>
      </c>
      <c r="B9" s="80">
        <v>0</v>
      </c>
      <c r="C9" s="1"/>
    </row>
    <row r="10" spans="1:3" ht="13.5">
      <c r="A10" s="75" t="s">
        <v>109</v>
      </c>
      <c r="B10" s="76">
        <f>SUM(B11:B19)</f>
        <v>0</v>
      </c>
      <c r="C10" s="1"/>
    </row>
    <row r="11" spans="1:3" ht="13.5">
      <c r="A11" s="77" t="s">
        <v>128</v>
      </c>
      <c r="B11" s="574">
        <v>0</v>
      </c>
      <c r="C11" s="1"/>
    </row>
    <row r="12" spans="1:3" ht="13.5">
      <c r="A12" s="77" t="s">
        <v>129</v>
      </c>
      <c r="B12" s="574">
        <v>0</v>
      </c>
      <c r="C12" s="1"/>
    </row>
    <row r="13" spans="1:3" ht="13.5">
      <c r="A13" s="77" t="s">
        <v>130</v>
      </c>
      <c r="B13" s="574">
        <v>0</v>
      </c>
      <c r="C13" s="1"/>
    </row>
    <row r="14" spans="1:3" ht="13.5">
      <c r="A14" s="77" t="s">
        <v>131</v>
      </c>
      <c r="B14" s="574">
        <v>0</v>
      </c>
      <c r="C14" s="1"/>
    </row>
    <row r="15" spans="1:3" ht="13.5">
      <c r="A15" s="575" t="s">
        <v>127</v>
      </c>
      <c r="B15" s="574">
        <v>0</v>
      </c>
      <c r="C15" s="1"/>
    </row>
    <row r="16" spans="1:3" ht="13.5">
      <c r="A16" s="77" t="s">
        <v>132</v>
      </c>
      <c r="B16" s="574">
        <v>0</v>
      </c>
      <c r="C16" s="1"/>
    </row>
    <row r="17" spans="1:3" ht="13.5">
      <c r="A17" s="77" t="s">
        <v>133</v>
      </c>
      <c r="B17" s="574">
        <v>0</v>
      </c>
      <c r="C17" s="1"/>
    </row>
    <row r="18" spans="1:3" ht="13.5">
      <c r="A18" s="77" t="s">
        <v>134</v>
      </c>
      <c r="B18" s="574">
        <v>0</v>
      </c>
      <c r="C18" s="1"/>
    </row>
    <row r="19" spans="1:3" ht="13.5">
      <c r="A19" s="77" t="s">
        <v>135</v>
      </c>
      <c r="B19" s="574">
        <v>0</v>
      </c>
      <c r="C19" s="1"/>
    </row>
    <row r="20" spans="1:3" ht="13.5">
      <c r="A20" s="78" t="s">
        <v>60</v>
      </c>
      <c r="B20" s="76">
        <f>SUM(B22,B24,B26,B28:B31,B33:B34,B36:B39,B41:B49,B51:B53)</f>
        <v>0</v>
      </c>
      <c r="C20" s="1"/>
    </row>
    <row r="21" spans="1:3" ht="13.5">
      <c r="A21" s="576" t="s">
        <v>61</v>
      </c>
      <c r="B21" s="577"/>
      <c r="C21" s="1"/>
    </row>
    <row r="22" spans="1:3" ht="13.5">
      <c r="A22" s="77" t="s">
        <v>136</v>
      </c>
      <c r="B22" s="574">
        <v>0</v>
      </c>
      <c r="C22" s="1"/>
    </row>
    <row r="23" spans="1:3" ht="13.5">
      <c r="A23" s="576" t="s">
        <v>63</v>
      </c>
      <c r="B23" s="577"/>
      <c r="C23" s="1"/>
    </row>
    <row r="24" spans="1:3" ht="13.5">
      <c r="A24" s="77" t="s">
        <v>137</v>
      </c>
      <c r="B24" s="574">
        <v>0</v>
      </c>
      <c r="C24" s="1"/>
    </row>
    <row r="25" spans="1:3" ht="13.5">
      <c r="A25" s="576" t="s">
        <v>66</v>
      </c>
      <c r="B25" s="577"/>
      <c r="C25" s="1"/>
    </row>
    <row r="26" spans="1:3" ht="13.5">
      <c r="A26" s="79" t="s">
        <v>138</v>
      </c>
      <c r="B26" s="578">
        <v>0</v>
      </c>
      <c r="C26" s="1"/>
    </row>
    <row r="27" spans="1:3" ht="13.5">
      <c r="A27" s="469" t="s">
        <v>102</v>
      </c>
      <c r="B27" s="470"/>
      <c r="C27" s="1"/>
    </row>
    <row r="28" spans="1:3" ht="13.5">
      <c r="A28" s="77" t="s">
        <v>139</v>
      </c>
      <c r="B28" s="574">
        <v>0</v>
      </c>
      <c r="C28" s="1"/>
    </row>
    <row r="29" spans="1:3" ht="13.5">
      <c r="A29" s="77" t="s">
        <v>140</v>
      </c>
      <c r="B29" s="574">
        <v>0</v>
      </c>
      <c r="C29" s="1"/>
    </row>
    <row r="30" spans="1:3" ht="13.5">
      <c r="A30" s="77" t="s">
        <v>141</v>
      </c>
      <c r="B30" s="574">
        <v>0</v>
      </c>
      <c r="C30" s="1"/>
    </row>
    <row r="31" spans="1:3" ht="13.5">
      <c r="A31" s="77" t="s">
        <v>142</v>
      </c>
      <c r="B31" s="574">
        <v>0</v>
      </c>
      <c r="C31" s="1"/>
    </row>
    <row r="32" spans="1:3" ht="13.5">
      <c r="A32" s="469" t="s">
        <v>106</v>
      </c>
      <c r="B32" s="470"/>
      <c r="C32" s="1"/>
    </row>
    <row r="33" spans="1:3" ht="13.5">
      <c r="A33" s="77" t="s">
        <v>143</v>
      </c>
      <c r="B33" s="574">
        <v>0</v>
      </c>
      <c r="C33" s="1"/>
    </row>
    <row r="34" spans="1:3" ht="13.5">
      <c r="A34" s="579" t="s">
        <v>114</v>
      </c>
      <c r="B34" s="574">
        <v>0</v>
      </c>
      <c r="C34" s="1"/>
    </row>
    <row r="35" spans="1:3" ht="13.5">
      <c r="A35" s="576" t="s">
        <v>69</v>
      </c>
      <c r="B35" s="577"/>
      <c r="C35" s="1"/>
    </row>
    <row r="36" spans="1:3" ht="13.5">
      <c r="A36" s="77" t="s">
        <v>144</v>
      </c>
      <c r="B36" s="574">
        <v>0</v>
      </c>
      <c r="C36" s="1"/>
    </row>
    <row r="37" spans="1:3" ht="13.5">
      <c r="A37" s="77" t="s">
        <v>145</v>
      </c>
      <c r="B37" s="574">
        <v>0</v>
      </c>
      <c r="C37" s="1"/>
    </row>
    <row r="38" spans="1:3" ht="13.5">
      <c r="A38" s="77" t="s">
        <v>146</v>
      </c>
      <c r="B38" s="574">
        <v>0</v>
      </c>
      <c r="C38" s="1"/>
    </row>
    <row r="39" spans="1:3" ht="13.5">
      <c r="A39" s="77" t="s">
        <v>147</v>
      </c>
      <c r="B39" s="574">
        <v>0</v>
      </c>
      <c r="C39" s="1"/>
    </row>
    <row r="40" spans="1:3" ht="13.5">
      <c r="A40" s="576" t="s">
        <v>77</v>
      </c>
      <c r="B40" s="577"/>
      <c r="C40" s="1"/>
    </row>
    <row r="41" spans="1:3" ht="13.5">
      <c r="A41" s="77" t="s">
        <v>148</v>
      </c>
      <c r="B41" s="574">
        <v>0</v>
      </c>
      <c r="C41" s="1"/>
    </row>
    <row r="42" spans="1:3" ht="13.5">
      <c r="A42" s="77" t="s">
        <v>149</v>
      </c>
      <c r="B42" s="574">
        <v>0</v>
      </c>
      <c r="C42" s="1"/>
    </row>
    <row r="43" spans="1:3" ht="13.5">
      <c r="A43" s="77" t="s">
        <v>150</v>
      </c>
      <c r="B43" s="574">
        <v>0</v>
      </c>
      <c r="C43" s="1"/>
    </row>
    <row r="44" spans="1:3" ht="13.5">
      <c r="A44" s="77" t="s">
        <v>151</v>
      </c>
      <c r="B44" s="574">
        <v>0</v>
      </c>
      <c r="C44" s="1"/>
    </row>
    <row r="45" spans="1:3" ht="13.5">
      <c r="A45" s="77" t="s">
        <v>152</v>
      </c>
      <c r="B45" s="574">
        <v>0</v>
      </c>
      <c r="C45" s="1"/>
    </row>
    <row r="46" spans="1:3" ht="13.5">
      <c r="A46" s="77" t="s">
        <v>153</v>
      </c>
      <c r="B46" s="574">
        <v>0</v>
      </c>
      <c r="C46" s="1"/>
    </row>
    <row r="47" spans="1:3" ht="13.5">
      <c r="A47" s="77" t="s">
        <v>154</v>
      </c>
      <c r="B47" s="574">
        <v>0</v>
      </c>
      <c r="C47" s="1"/>
    </row>
    <row r="48" spans="1:3" ht="13.5">
      <c r="A48" s="77" t="s">
        <v>155</v>
      </c>
      <c r="B48" s="574">
        <v>0</v>
      </c>
      <c r="C48" s="1"/>
    </row>
    <row r="49" spans="1:3" ht="13.5">
      <c r="A49" s="77" t="s">
        <v>156</v>
      </c>
      <c r="B49" s="574">
        <v>0</v>
      </c>
      <c r="C49" s="1"/>
    </row>
    <row r="50" spans="1:3" ht="13.5">
      <c r="A50" s="469" t="s">
        <v>92</v>
      </c>
      <c r="B50" s="470"/>
      <c r="C50" s="1"/>
    </row>
    <row r="51" spans="1:3" ht="13.5">
      <c r="A51" s="77" t="s">
        <v>157</v>
      </c>
      <c r="B51" s="574">
        <v>0</v>
      </c>
      <c r="C51" s="1"/>
    </row>
    <row r="52" spans="1:3" ht="13.5">
      <c r="A52" s="77" t="s">
        <v>158</v>
      </c>
      <c r="B52" s="574">
        <v>0</v>
      </c>
      <c r="C52" s="1"/>
    </row>
    <row r="53" spans="1:2" ht="13.5">
      <c r="A53" s="77" t="s">
        <v>159</v>
      </c>
      <c r="B53" s="574">
        <v>0</v>
      </c>
    </row>
    <row r="54" spans="1:2" ht="13.5">
      <c r="A54" s="31"/>
      <c r="B54" s="580"/>
    </row>
    <row r="55" spans="1:2" ht="13.5">
      <c r="A55" s="81"/>
      <c r="B55" s="580"/>
    </row>
    <row r="56" spans="1:2" ht="13.5">
      <c r="A56" s="82"/>
      <c r="B56" s="82"/>
    </row>
    <row r="57" spans="1:2" ht="13.5">
      <c r="A57" s="82"/>
      <c r="B57" s="82"/>
    </row>
    <row r="58" spans="1:2" ht="13.5">
      <c r="A58" s="82"/>
      <c r="B58" s="82"/>
    </row>
    <row r="59" spans="1:2" ht="13.5">
      <c r="A59" s="82"/>
      <c r="B59" s="82"/>
    </row>
    <row r="60" spans="1:2" ht="13.5">
      <c r="A60" s="82"/>
      <c r="B60" s="82"/>
    </row>
    <row r="61" spans="1:2" ht="13.5">
      <c r="A61" s="82"/>
      <c r="B61" s="82"/>
    </row>
    <row r="62" spans="1:2" ht="13.5">
      <c r="A62" s="82"/>
      <c r="B62" s="82"/>
    </row>
    <row r="63" spans="1:2" ht="13.5">
      <c r="A63" s="82"/>
      <c r="B63" s="82"/>
    </row>
    <row r="64" spans="1:2" ht="13.5">
      <c r="A64" s="82"/>
      <c r="B64" s="82"/>
    </row>
    <row r="65" spans="1:2" ht="13.5">
      <c r="A65" s="82"/>
      <c r="B65" s="82"/>
    </row>
    <row r="66" spans="1:2" ht="13.5">
      <c r="A66" s="82"/>
      <c r="B66" s="82"/>
    </row>
    <row r="67" spans="1:2" ht="13.5">
      <c r="A67" s="82"/>
      <c r="B67" s="82"/>
    </row>
    <row r="68" spans="1:2" ht="13.5">
      <c r="A68" s="82"/>
      <c r="B68" s="82"/>
    </row>
    <row r="69" spans="1:2" ht="13.5">
      <c r="A69" s="82"/>
      <c r="B69" s="82"/>
    </row>
    <row r="70" spans="1:2" ht="13.5">
      <c r="A70" s="82"/>
      <c r="B70" s="82"/>
    </row>
    <row r="71" spans="1:2" ht="13.5">
      <c r="A71" s="82"/>
      <c r="B71" s="82"/>
    </row>
    <row r="72" spans="1:2" ht="13.5">
      <c r="A72" s="82"/>
      <c r="B72" s="82"/>
    </row>
    <row r="73" spans="1:2" ht="13.5">
      <c r="A73" s="82"/>
      <c r="B73" s="82"/>
    </row>
    <row r="74" spans="1:2" ht="13.5">
      <c r="A74" s="82"/>
      <c r="B74" s="82"/>
    </row>
    <row r="75" spans="1:2" ht="13.5">
      <c r="A75" s="82"/>
      <c r="B75" s="82"/>
    </row>
    <row r="76" spans="1:2" ht="13.5">
      <c r="A76" s="82"/>
      <c r="B76" s="82"/>
    </row>
    <row r="77" spans="1:2" ht="13.5">
      <c r="A77" s="82"/>
      <c r="B77" s="82"/>
    </row>
    <row r="78" spans="1:2" ht="13.5">
      <c r="A78" s="82"/>
      <c r="B78" s="82"/>
    </row>
    <row r="79" spans="1:2" ht="13.5">
      <c r="A79" s="82"/>
      <c r="B79" s="82"/>
    </row>
    <row r="80" spans="1:2" ht="13.5">
      <c r="A80" s="82"/>
      <c r="B80" s="82"/>
    </row>
    <row r="81" spans="1:2" ht="13.5">
      <c r="A81" s="82"/>
      <c r="B81" s="82"/>
    </row>
    <row r="82" spans="1:2" ht="13.5">
      <c r="A82" s="82"/>
      <c r="B82" s="82"/>
    </row>
    <row r="83" spans="1:2" ht="13.5">
      <c r="A83" s="82"/>
      <c r="B83" s="82"/>
    </row>
    <row r="84" spans="1:2" ht="13.5">
      <c r="A84" s="82"/>
      <c r="B84" s="82"/>
    </row>
    <row r="85" spans="1:2" ht="13.5">
      <c r="A85" s="82"/>
      <c r="B85" s="82"/>
    </row>
    <row r="86" spans="1:2" ht="13.5">
      <c r="A86" s="82"/>
      <c r="B86" s="82"/>
    </row>
    <row r="87" spans="1:2" ht="13.5">
      <c r="A87" s="82"/>
      <c r="B87" s="82"/>
    </row>
    <row r="88" spans="1:2" ht="13.5">
      <c r="A88" s="82"/>
      <c r="B88" s="82"/>
    </row>
    <row r="89" spans="1:2" ht="13.5">
      <c r="A89" s="82"/>
      <c r="B89" s="82"/>
    </row>
    <row r="90" spans="1:2" ht="13.5">
      <c r="A90" s="82"/>
      <c r="B90" s="82"/>
    </row>
    <row r="91" spans="1:2" ht="13.5">
      <c r="A91" s="82"/>
      <c r="B91" s="82"/>
    </row>
    <row r="92" spans="1:2" ht="13.5">
      <c r="A92" s="82"/>
      <c r="B92" s="82"/>
    </row>
    <row r="93" spans="1:2" ht="13.5">
      <c r="A93" s="82"/>
      <c r="B93" s="82"/>
    </row>
    <row r="94" spans="1:2" ht="13.5">
      <c r="A94" s="82"/>
      <c r="B94" s="82"/>
    </row>
    <row r="95" spans="1:2" ht="13.5">
      <c r="A95" s="82"/>
      <c r="B95" s="82"/>
    </row>
  </sheetData>
  <sheetProtection password="C581" sheet="1" objects="1" scenarios="1"/>
  <mergeCells count="11">
    <mergeCell ref="A1:B1"/>
    <mergeCell ref="A2:B2"/>
    <mergeCell ref="A3:B3"/>
    <mergeCell ref="A35:B35"/>
    <mergeCell ref="A50:B50"/>
    <mergeCell ref="A21:B21"/>
    <mergeCell ref="A23:B23"/>
    <mergeCell ref="A25:B25"/>
    <mergeCell ref="A27:B27"/>
    <mergeCell ref="A32:B32"/>
    <mergeCell ref="A40:B40"/>
  </mergeCells>
  <printOptions/>
  <pageMargins left="1.8110236220472442" right="0.5511811023622047" top="0.6692913385826772" bottom="0.5511811023622047" header="0.4330708661417323" footer="0"/>
  <pageSetup horizontalDpi="300" verticalDpi="300" orientation="portrait" paperSize="5" scale="55" r:id="rId1"/>
  <headerFooter alignWithMargins="0">
    <oddHeader>&amp;LSEPT-2004&amp;CDIRECTIVA D.B.S.A.
ORDINARIO&amp;R01-BS/0305/04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dimension ref="A1:IV22"/>
  <sheetViews>
    <sheetView showGridLines="0" zoomScale="80" zoomScaleNormal="80" zoomScalePageLayoutView="0" workbookViewId="0" topLeftCell="A1">
      <selection activeCell="C5" sqref="C5:D5"/>
    </sheetView>
  </sheetViews>
  <sheetFormatPr defaultColWidth="11.421875" defaultRowHeight="12.75"/>
  <cols>
    <col min="1" max="1" width="34.7109375" style="1" customWidth="1"/>
    <col min="2" max="2" width="10.00390625" style="396" customWidth="1"/>
    <col min="3" max="11" width="16.28125" style="1" customWidth="1"/>
    <col min="12" max="12" width="17.140625" style="1" customWidth="1"/>
    <col min="13" max="13" width="16.28125" style="1" customWidth="1"/>
    <col min="14" max="16384" width="11.421875" style="1" customWidth="1"/>
  </cols>
  <sheetData>
    <row r="1" spans="1:256" s="4" customFormat="1" ht="13.5">
      <c r="A1" s="402" t="s">
        <v>0</v>
      </c>
      <c r="B1" s="402"/>
      <c r="C1" s="402"/>
      <c r="D1" s="402"/>
      <c r="E1" s="402"/>
      <c r="F1" s="402"/>
      <c r="G1" s="402"/>
      <c r="H1" s="402"/>
      <c r="I1" s="2"/>
      <c r="J1" s="2"/>
      <c r="K1" s="2"/>
      <c r="L1" s="2"/>
      <c r="M1" s="3"/>
      <c r="IQ1" s="1"/>
      <c r="IR1" s="1"/>
      <c r="IS1" s="1"/>
      <c r="IT1" s="1"/>
      <c r="IU1" s="1"/>
      <c r="IV1" s="1"/>
    </row>
    <row r="2" spans="1:256" s="4" customFormat="1" ht="15.75" customHeight="1">
      <c r="A2" s="402" t="s">
        <v>43</v>
      </c>
      <c r="B2" s="402"/>
      <c r="C2" s="402"/>
      <c r="D2" s="402"/>
      <c r="E2" s="402"/>
      <c r="F2" s="402"/>
      <c r="G2" s="402"/>
      <c r="H2" s="402"/>
      <c r="I2" s="2"/>
      <c r="J2" s="2"/>
      <c r="K2" s="2"/>
      <c r="L2" s="2"/>
      <c r="M2" s="3"/>
      <c r="IQ2" s="1"/>
      <c r="IR2" s="1"/>
      <c r="IS2" s="1"/>
      <c r="IT2" s="1"/>
      <c r="IU2" s="1"/>
      <c r="IV2" s="1"/>
    </row>
    <row r="3" spans="1:256" s="4" customFormat="1" ht="18" customHeight="1">
      <c r="A3" s="402" t="s">
        <v>44</v>
      </c>
      <c r="B3" s="402"/>
      <c r="C3" s="402"/>
      <c r="D3" s="402"/>
      <c r="E3" s="402"/>
      <c r="F3" s="402"/>
      <c r="G3" s="402"/>
      <c r="H3" s="402"/>
      <c r="I3" s="2"/>
      <c r="J3" s="2"/>
      <c r="K3" s="2"/>
      <c r="L3" s="2"/>
      <c r="M3" s="3"/>
      <c r="IQ3" s="1"/>
      <c r="IR3" s="1"/>
      <c r="IS3" s="1"/>
      <c r="IT3" s="1"/>
      <c r="IU3" s="1"/>
      <c r="IV3" s="1"/>
    </row>
    <row r="4" spans="1:256" s="4" customFormat="1" ht="11.25" customHeight="1">
      <c r="A4" s="1"/>
      <c r="B4" s="396"/>
      <c r="IQ4" s="1"/>
      <c r="IR4" s="1"/>
      <c r="IS4" s="1"/>
      <c r="IT4" s="1"/>
      <c r="IU4" s="1"/>
      <c r="IV4" s="1"/>
    </row>
    <row r="5" spans="1:256" s="4" customFormat="1" ht="12" customHeight="1">
      <c r="A5" s="6" t="s">
        <v>3</v>
      </c>
      <c r="B5" s="397"/>
      <c r="C5" s="475" t="str">
        <f>'Ap. 2 Ingresos C. Benef.'!$I$5</f>
        <v>BIENVALP</v>
      </c>
      <c r="D5" s="475"/>
      <c r="E5" s="1"/>
      <c r="F5" s="1"/>
      <c r="G5" s="1"/>
      <c r="H5" s="1"/>
      <c r="I5" s="1"/>
      <c r="J5" s="3"/>
      <c r="K5" s="3"/>
      <c r="IP5" s="1"/>
      <c r="IQ5" s="1"/>
      <c r="IR5" s="1"/>
      <c r="IS5" s="1"/>
      <c r="IT5" s="1"/>
      <c r="IU5" s="1"/>
      <c r="IV5" s="1"/>
    </row>
    <row r="6" spans="1:256" s="4" customFormat="1" ht="12" customHeight="1">
      <c r="A6" s="1"/>
      <c r="B6" s="396"/>
      <c r="C6" s="1"/>
      <c r="D6" s="1"/>
      <c r="E6" s="5"/>
      <c r="F6" s="6"/>
      <c r="G6" s="6"/>
      <c r="H6" s="7"/>
      <c r="I6" s="7"/>
      <c r="J6" s="7"/>
      <c r="K6" s="7"/>
      <c r="IQ6" s="1"/>
      <c r="IR6" s="1"/>
      <c r="IS6" s="1"/>
      <c r="IT6" s="1"/>
      <c r="IU6" s="1"/>
      <c r="IV6" s="1"/>
    </row>
    <row r="7" spans="1:256" s="15" customFormat="1" ht="16.5" customHeight="1">
      <c r="A7" s="13"/>
      <c r="B7" s="36"/>
      <c r="C7" s="14"/>
      <c r="D7" s="14"/>
      <c r="E7" s="14"/>
      <c r="F7" s="14"/>
      <c r="G7" s="14"/>
      <c r="H7" s="14"/>
      <c r="I7" s="14"/>
      <c r="J7" s="14"/>
      <c r="K7" s="14"/>
      <c r="IQ7" s="18"/>
      <c r="IR7" s="18"/>
      <c r="IS7" s="18"/>
      <c r="IT7" s="18"/>
      <c r="IU7" s="18"/>
      <c r="IV7" s="18"/>
    </row>
    <row r="8" spans="1:12" ht="12.75" customHeight="1">
      <c r="A8" s="422" t="str">
        <f>'Ap. 2 Ingresos C. Benef.'!A15</f>
        <v>Centro Beneficio</v>
      </c>
      <c r="B8" s="422" t="str">
        <f>'Ap. 2 Ingresos C. Benef.'!B15</f>
        <v>Prestación usuario [Unidad]</v>
      </c>
      <c r="C8" s="472" t="str">
        <f>'Ap. 2 Ingresos C. Benef.'!D15</f>
        <v>Matrícula</v>
      </c>
      <c r="D8" s="473"/>
      <c r="E8" s="473"/>
      <c r="F8" s="473"/>
      <c r="G8" s="474"/>
      <c r="H8" s="476" t="str">
        <f>'Ap. 2 Ingresos C. Benef.'!I15</f>
        <v>Mensualidad/Prestacion</v>
      </c>
      <c r="I8" s="476"/>
      <c r="J8" s="476"/>
      <c r="K8" s="476"/>
      <c r="L8" s="476"/>
    </row>
    <row r="9" spans="1:12" ht="54.75">
      <c r="A9" s="471">
        <f>'Ap. 2 Ingresos C. Benef.'!A16</f>
        <v>0</v>
      </c>
      <c r="B9" s="471">
        <f>'Ap. 2 Ingresos C. Benef.'!B16</f>
        <v>0</v>
      </c>
      <c r="C9" s="49" t="str">
        <f>'Ap. 2 Ingresos C. Benef.'!D16</f>
        <v>1) PERSONAL SERVICIO ACTIVO: Oficiales/EE.CC., Otras Ramas FF.AA. </v>
      </c>
      <c r="D9" s="49" t="str">
        <f>'Ap. 2 Ingresos C. Benef.'!E16</f>
        <v>1) PERSONAL SERVICIO ACTIVO: GM., Otras ramas FF.AA.</v>
      </c>
      <c r="E9" s="49" t="str">
        <f>'Ap. 2 Ingresos C. Benef.'!F16</f>
        <v>2) PERSONAL EN RETIRO:                                 Oficiales/EE. CC</v>
      </c>
      <c r="F9" s="49" t="str">
        <f>'Ap. 2 Ingresos C. Benef.'!G16</f>
        <v>2) PERSONAL EN RETIRO: GM</v>
      </c>
      <c r="G9" s="49" t="str">
        <f>'Ap. 2 Ingresos C. Benef.'!H16</f>
        <v>3) CASOS ESPECIALES</v>
      </c>
      <c r="H9" s="49" t="str">
        <f>'Ap. 2 Ingresos C. Benef.'!I16</f>
        <v>1) PERSONAL SERVICIO ACTIVO: Oficiales/EE.CC., Otras Ramas FF.AA. </v>
      </c>
      <c r="I9" s="49" t="str">
        <f>'Ap. 2 Ingresos C. Benef.'!J16</f>
        <v>1) PERSONAL SERVICIO ACTIVO: GM., Otras ramas FF.AA.</v>
      </c>
      <c r="J9" s="49" t="str">
        <f>'Ap. 2 Ingresos C. Benef.'!K16</f>
        <v>2) PERSONAL EN RETIRO:                                 Oficiales/EE. CC</v>
      </c>
      <c r="K9" s="49" t="str">
        <f>'Ap. 2 Ingresos C. Benef.'!L16</f>
        <v>2) PERSONAL EN RETIRO: GM</v>
      </c>
      <c r="L9" s="49" t="str">
        <f>'Ap. 2 Ingresos C. Benef.'!M16</f>
        <v>3) CASOS ESPECIALES</v>
      </c>
    </row>
    <row r="10" spans="1:12" ht="31.5" customHeight="1">
      <c r="A10" s="83" t="str">
        <f>'Ap. 2 Ingresos C. Benef.'!$A$17</f>
        <v>JORNADA COMPLETA (con alim.)</v>
      </c>
      <c r="B10" s="398">
        <f>'Ap. 2 Ingresos C. Benef.'!$B$17</f>
        <v>5</v>
      </c>
      <c r="C10" s="34">
        <f>'Ap. 2 Ingresos C. Benef.'!$D$17</f>
        <v>84209</v>
      </c>
      <c r="D10" s="34">
        <f>'Ap. 2 Ingresos C. Benef.'!$E$17</f>
        <v>70941</v>
      </c>
      <c r="E10" s="34">
        <f>'Ap. 2 Ingresos C. Benef.'!$F$17</f>
        <v>116856.00000000001</v>
      </c>
      <c r="F10" s="34">
        <f>'Ap. 2 Ingresos C. Benef.'!$G$17</f>
        <v>101628</v>
      </c>
      <c r="G10" s="34"/>
      <c r="H10" s="34">
        <f>'Ap. 2 Ingresos C. Benef.'!$H$17</f>
        <v>129030.00000000001</v>
      </c>
      <c r="I10" s="34">
        <f>'Ap. 2 Ingresos C. Benef.'!$I$17</f>
        <v>84209</v>
      </c>
      <c r="J10" s="34">
        <f>'Ap. 2 Ingresos C. Benef.'!$J$17</f>
        <v>70941</v>
      </c>
      <c r="K10" s="34"/>
      <c r="L10" s="34">
        <f>'Ap. 2 Ingresos C. Benef.'!$K$17</f>
        <v>116856.00000000001</v>
      </c>
    </row>
    <row r="11" spans="1:12" ht="24" customHeight="1">
      <c r="A11" s="83" t="str">
        <f>'Ap. 2 Ingresos C. Benef.'!$A$20</f>
        <v>MEDIA JORNADA (con alim.)</v>
      </c>
      <c r="B11" s="398">
        <f>'Ap. 2 Ingresos C. Benef.'!$B$20</f>
        <v>1</v>
      </c>
      <c r="C11" s="34">
        <f>'Ap. 2 Ingresos C. Benef.'!$D$20</f>
        <v>41409</v>
      </c>
      <c r="D11" s="34">
        <f>'Ap. 2 Ingresos C. Benef.'!$E$20</f>
        <v>36166</v>
      </c>
      <c r="E11" s="34">
        <f>'Ap. 2 Ingresos C. Benef.'!$F$20</f>
        <v>55620.00000000001</v>
      </c>
      <c r="F11" s="34">
        <f>'Ap. 2 Ingresos C. Benef.'!$G$20</f>
        <v>49572</v>
      </c>
      <c r="G11" s="34"/>
      <c r="H11" s="34">
        <f>'Ap. 2 Ingresos C. Benef.'!$H$20</f>
        <v>57970.00000000001</v>
      </c>
      <c r="I11" s="34">
        <f>'Ap. 2 Ingresos C. Benef.'!$I$20</f>
        <v>41409</v>
      </c>
      <c r="J11" s="34">
        <f>'Ap. 2 Ingresos C. Benef.'!$J$20</f>
        <v>36166</v>
      </c>
      <c r="K11" s="34"/>
      <c r="L11" s="34">
        <f>'Ap. 2 Ingresos C. Benef.'!$K$20</f>
        <v>55620.00000000001</v>
      </c>
    </row>
    <row r="12" spans="1:12" ht="26.25" customHeight="1">
      <c r="A12" s="83" t="str">
        <f>+'Ap. 2 Ingresos C. Benef.'!A23</f>
        <v>Programa Especial (atención ambulatoria CONVENIO DIRECSAN)KINESIOLOGIA</v>
      </c>
      <c r="B12" s="399">
        <f>'Ap. 2 Ingresos C. Benef.'!$B$23</f>
        <v>1</v>
      </c>
      <c r="C12" s="34">
        <f>'Ap. 2 Ingresos C. Benef.'!D23</f>
        <v>0</v>
      </c>
      <c r="D12" s="34">
        <f>'Ap. 2 Ingresos C. Benef.'!E23</f>
        <v>0</v>
      </c>
      <c r="E12" s="34">
        <f>'Ap. 2 Ingresos C. Benef.'!F23</f>
        <v>0</v>
      </c>
      <c r="F12" s="34">
        <f>'Ap. 2 Ingresos C. Benef.'!G23</f>
        <v>0</v>
      </c>
      <c r="G12" s="34">
        <f>'Ap. 2 Ingresos C. Benef.'!H23</f>
        <v>0</v>
      </c>
      <c r="H12" s="34">
        <f>'Ap. 2 Ingresos C. Benef.'!I23</f>
        <v>7956.75</v>
      </c>
      <c r="I12" s="34">
        <f>'Ap. 2 Ingresos C. Benef.'!J23</f>
        <v>7956.75</v>
      </c>
      <c r="J12" s="34">
        <f>'Ap. 2 Ingresos C. Benef.'!K23</f>
        <v>7956.75</v>
      </c>
      <c r="K12" s="34">
        <f>'Ap. 2 Ingresos C. Benef.'!L23</f>
        <v>7956.75</v>
      </c>
      <c r="L12" s="34">
        <f>'Ap. 2 Ingresos C. Benef.'!M23</f>
        <v>7956.75</v>
      </c>
    </row>
    <row r="13" spans="1:12" ht="29.25" customHeight="1">
      <c r="A13" s="83" t="str">
        <f>+'Ap. 2 Ingresos C. Benef.'!A26</f>
        <v>Programa Especial (evaluacion CONVENIO DIRECSAN)KINESIOLOGIA</v>
      </c>
      <c r="B13" s="399">
        <f>'Ap. 2 Ingresos C. Benef.'!$B$26</f>
        <v>1</v>
      </c>
      <c r="C13" s="34">
        <f>'Ap. 2 Ingresos C. Benef.'!D26</f>
        <v>0</v>
      </c>
      <c r="D13" s="34">
        <f>'Ap. 2 Ingresos C. Benef.'!E26</f>
        <v>0</v>
      </c>
      <c r="E13" s="34">
        <f>'Ap. 2 Ingresos C. Benef.'!F26</f>
        <v>0</v>
      </c>
      <c r="F13" s="34">
        <f>'Ap. 2 Ingresos C. Benef.'!G26</f>
        <v>0</v>
      </c>
      <c r="G13" s="34">
        <f>'Ap. 2 Ingresos C. Benef.'!H26</f>
        <v>0</v>
      </c>
      <c r="H13" s="34">
        <f>'Ap. 2 Ingresos C. Benef.'!I26</f>
        <v>6365.400000000001</v>
      </c>
      <c r="I13" s="34">
        <f>'Ap. 2 Ingresos C. Benef.'!J26</f>
        <v>6365.400000000001</v>
      </c>
      <c r="J13" s="34">
        <f>'Ap. 2 Ingresos C. Benef.'!K26</f>
        <v>6365.400000000001</v>
      </c>
      <c r="K13" s="34">
        <f>'Ap. 2 Ingresos C. Benef.'!L26</f>
        <v>6365.400000000001</v>
      </c>
      <c r="L13" s="34">
        <f>'Ap. 2 Ingresos C. Benef.'!M26</f>
        <v>6365.400000000001</v>
      </c>
    </row>
    <row r="14" spans="1:12" ht="27">
      <c r="A14" s="83" t="str">
        <f>+'Ap. 2 Ingresos C. Benef.'!A29</f>
        <v>Programa Especial (atención ambulatoria CONVENIO DIRECSAN)FONOAUDIOLOGIA</v>
      </c>
      <c r="B14" s="399">
        <f>'Ap. 2 Ingresos C. Benef.'!$B$29</f>
        <v>3</v>
      </c>
      <c r="C14" s="34">
        <f>'Ap. 2 Ingresos C. Benef.'!D29</f>
        <v>0</v>
      </c>
      <c r="D14" s="34">
        <f>'Ap. 2 Ingresos C. Benef.'!E29</f>
        <v>0</v>
      </c>
      <c r="E14" s="34">
        <f>'Ap. 2 Ingresos C. Benef.'!F29</f>
        <v>0</v>
      </c>
      <c r="F14" s="34">
        <f>'Ap. 2 Ingresos C. Benef.'!G29</f>
        <v>0</v>
      </c>
      <c r="G14" s="34">
        <f>'Ap. 2 Ingresos C. Benef.'!H29</f>
        <v>0</v>
      </c>
      <c r="H14" s="34">
        <f>'Ap. 2 Ingresos C. Benef.'!I29</f>
        <v>22810.38</v>
      </c>
      <c r="I14" s="34">
        <f>'Ap. 2 Ingresos C. Benef.'!J29</f>
        <v>22810.38</v>
      </c>
      <c r="J14" s="34">
        <f>'Ap. 2 Ingresos C. Benef.'!K29</f>
        <v>22810.38</v>
      </c>
      <c r="K14" s="34">
        <f>'Ap. 2 Ingresos C. Benef.'!L29</f>
        <v>22810.38</v>
      </c>
      <c r="L14" s="34">
        <f>'Ap. 2 Ingresos C. Benef.'!M29</f>
        <v>22810.38</v>
      </c>
    </row>
    <row r="15" spans="1:12" ht="27">
      <c r="A15" s="83" t="str">
        <f>+'Ap. 2 Ingresos C. Benef.'!A32</f>
        <v>Programa Especial (evaluaciones CONVENIO DIRECSAN) fono</v>
      </c>
      <c r="B15" s="398">
        <f>'Ap. 2 Ingresos C. Benef.'!$B$32</f>
        <v>2</v>
      </c>
      <c r="C15" s="34">
        <f>'Ap. 2 Ingresos C. Benef.'!D32</f>
        <v>0</v>
      </c>
      <c r="D15" s="34">
        <f>'Ap. 2 Ingresos C. Benef.'!E32</f>
        <v>0</v>
      </c>
      <c r="E15" s="34">
        <f>'Ap. 2 Ingresos C. Benef.'!F32</f>
        <v>0</v>
      </c>
      <c r="F15" s="34">
        <f>'Ap. 2 Ingresos C. Benef.'!G32</f>
        <v>0</v>
      </c>
      <c r="G15" s="34">
        <f>'Ap. 2 Ingresos C. Benef.'!H32</f>
        <v>0</v>
      </c>
      <c r="H15" s="34">
        <f>'Ap. 2 Ingresos C. Benef.'!I32</f>
        <v>36595.9</v>
      </c>
      <c r="I15" s="34">
        <f>'Ap. 2 Ingresos C. Benef.'!J32</f>
        <v>36595.9</v>
      </c>
      <c r="J15" s="34">
        <f>'Ap. 2 Ingresos C. Benef.'!K32</f>
        <v>36595.9</v>
      </c>
      <c r="K15" s="34">
        <f>'Ap. 2 Ingresos C. Benef.'!L32</f>
        <v>36595.9</v>
      </c>
      <c r="L15" s="34">
        <f>'Ap. 2 Ingresos C. Benef.'!M32</f>
        <v>0</v>
      </c>
    </row>
    <row r="16" spans="1:12" ht="27">
      <c r="A16" s="83" t="str">
        <f>+'Ap. 2 Ingresos C. Benef.'!A35</f>
        <v>Programa Especial (atención ambulatoria CONVENIO DIRECSAN)PSICOLOGIA</v>
      </c>
      <c r="B16" s="399">
        <f>'Ap. 2 Ingresos C. Benef.'!$B$35</f>
        <v>3</v>
      </c>
      <c r="C16" s="34">
        <f>'Ap. 2 Ingresos C. Benef.'!D35</f>
        <v>0</v>
      </c>
      <c r="D16" s="34">
        <f>'Ap. 2 Ingresos C. Benef.'!E35</f>
        <v>0</v>
      </c>
      <c r="E16" s="34">
        <f>'Ap. 2 Ingresos C. Benef.'!F35</f>
        <v>0</v>
      </c>
      <c r="F16" s="34">
        <f>'Ap. 2 Ingresos C. Benef.'!G35</f>
        <v>0</v>
      </c>
      <c r="G16" s="34">
        <f>'Ap. 2 Ingresos C. Benef.'!H35</f>
        <v>0</v>
      </c>
      <c r="H16" s="34">
        <f>'Ap. 2 Ingresos C. Benef.'!I35</f>
        <v>13306.57</v>
      </c>
      <c r="I16" s="34">
        <f>'Ap. 2 Ingresos C. Benef.'!J35</f>
        <v>13306.57</v>
      </c>
      <c r="J16" s="34">
        <f>'Ap. 2 Ingresos C. Benef.'!K35</f>
        <v>13306.57</v>
      </c>
      <c r="K16" s="34">
        <f>'Ap. 2 Ingresos C. Benef.'!L35</f>
        <v>13306.57</v>
      </c>
      <c r="L16" s="34">
        <f>'Ap. 2 Ingresos C. Benef.'!M35</f>
        <v>0</v>
      </c>
    </row>
    <row r="17" spans="1:12" ht="27">
      <c r="A17" s="83" t="str">
        <f>+'Ap. 2 Ingresos C. Benef.'!A38</f>
        <v>Programa Especial (evaluación CONVENIO DIRECSAN)PSICOLOGIA</v>
      </c>
      <c r="B17" s="399">
        <f>'Ap. 2 Ingresos C. Benef.'!$B$38</f>
        <v>2</v>
      </c>
      <c r="C17" s="34">
        <f>'Ap. 2 Ingresos C. Benef.'!D38</f>
        <v>0</v>
      </c>
      <c r="D17" s="34">
        <f>'Ap. 2 Ingresos C. Benef.'!E38</f>
        <v>0</v>
      </c>
      <c r="E17" s="34">
        <f>'Ap. 2 Ingresos C. Benef.'!F38</f>
        <v>0</v>
      </c>
      <c r="F17" s="34">
        <f>'Ap. 2 Ingresos C. Benef.'!G38</f>
        <v>0</v>
      </c>
      <c r="G17" s="34">
        <f>'Ap. 2 Ingresos C. Benef.'!H38</f>
        <v>0</v>
      </c>
      <c r="H17" s="34">
        <f>'Ap. 2 Ingresos C. Benef.'!I38</f>
        <v>13306.57</v>
      </c>
      <c r="I17" s="34">
        <f>'Ap. 2 Ingresos C. Benef.'!J38</f>
        <v>13306.57</v>
      </c>
      <c r="J17" s="34">
        <f>'Ap. 2 Ingresos C. Benef.'!K38</f>
        <v>13306.57</v>
      </c>
      <c r="K17" s="34">
        <f>'Ap. 2 Ingresos C. Benef.'!L38</f>
        <v>13306.57</v>
      </c>
      <c r="L17" s="34">
        <f>'Ap. 2 Ingresos C. Benef.'!M38</f>
        <v>0</v>
      </c>
    </row>
    <row r="18" spans="1:12" ht="21" customHeight="1">
      <c r="A18" s="83" t="str">
        <f>+'Ap. 2 Ingresos C. Benef.'!A41</f>
        <v>Programa Especial (atención ambulatoria)</v>
      </c>
      <c r="B18" s="399">
        <f>'Ap. 2 Ingresos C. Benef.'!$B$41</f>
        <v>45</v>
      </c>
      <c r="C18" s="34">
        <f>'Ap. 2 Ingresos C. Benef.'!D41</f>
        <v>62809.00000000001</v>
      </c>
      <c r="D18" s="34">
        <f>'Ap. 2 Ingresos C. Benef.'!E41</f>
        <v>49434</v>
      </c>
      <c r="E18" s="34">
        <f>'Ap. 2 Ingresos C. Benef.'!F41</f>
        <v>84780</v>
      </c>
      <c r="F18" s="34">
        <f>'Ap. 2 Ingresos C. Benef.'!G41</f>
        <v>75168</v>
      </c>
      <c r="G18" s="34">
        <f>'Ap. 2 Ingresos C. Benef.'!H41</f>
        <v>93500.00000000001</v>
      </c>
      <c r="H18" s="34">
        <f>'Ap. 2 Ingresos C. Benef.'!I41</f>
        <v>62809.00000000001</v>
      </c>
      <c r="I18" s="34">
        <f>'Ap. 2 Ingresos C. Benef.'!J41</f>
        <v>49434</v>
      </c>
      <c r="J18" s="34">
        <f>'Ap. 2 Ingresos C. Benef.'!K41</f>
        <v>84780</v>
      </c>
      <c r="K18" s="34">
        <f>'Ap. 2 Ingresos C. Benef.'!L41</f>
        <v>75168</v>
      </c>
      <c r="L18" s="34">
        <f>'Ap. 2 Ingresos C. Benef.'!M41</f>
        <v>93500.00000000001</v>
      </c>
    </row>
    <row r="19" spans="1:12" ht="27">
      <c r="A19" s="83" t="str">
        <f>+'Ap. 2 Ingresos C. Benef.'!A44</f>
        <v>Modalidad  Escolar  Y Talleres pm  (jornada completa c/alim.)</v>
      </c>
      <c r="B19" s="399">
        <f>'Ap. 2 Ingresos C. Benef.'!$B$44</f>
        <v>14</v>
      </c>
      <c r="C19" s="34">
        <f>'Ap. 2 Ingresos C. Benef.'!D44</f>
        <v>92234</v>
      </c>
      <c r="D19" s="34">
        <f>'Ap. 2 Ingresos C. Benef.'!E44</f>
        <v>78859</v>
      </c>
      <c r="E19" s="34">
        <f>'Ap. 2 Ingresos C. Benef.'!F44</f>
        <v>126468.00000000001</v>
      </c>
      <c r="F19" s="34">
        <f>'Ap. 2 Ingresos C. Benef.'!G44</f>
        <v>110484</v>
      </c>
      <c r="G19" s="34">
        <f>'Ap. 2 Ingresos C. Benef.'!H44</f>
        <v>131340</v>
      </c>
      <c r="H19" s="34">
        <f>'Ap. 2 Ingresos C. Benef.'!I44</f>
        <v>92234</v>
      </c>
      <c r="I19" s="34">
        <f>'Ap. 2 Ingresos C. Benef.'!J44</f>
        <v>78859</v>
      </c>
      <c r="J19" s="34">
        <f>'Ap. 2 Ingresos C. Benef.'!K44</f>
        <v>126468.00000000001</v>
      </c>
      <c r="K19" s="34">
        <f>'Ap. 2 Ingresos C. Benef.'!L44</f>
        <v>110484</v>
      </c>
      <c r="L19" s="34">
        <f>'Ap. 2 Ingresos C. Benef.'!M44</f>
        <v>131340</v>
      </c>
    </row>
    <row r="20" spans="1:12" ht="21" customHeight="1">
      <c r="A20" s="83" t="str">
        <f>+'Ap. 2 Ingresos C. Benef.'!A47</f>
        <v>Modalidad Escolar  media jornada (c/alim.)</v>
      </c>
      <c r="B20" s="399">
        <f>'Ap. 2 Ingresos C. Benef.'!$B$47</f>
        <v>6</v>
      </c>
      <c r="C20" s="34">
        <f>'Ap. 2 Ingresos C. Benef.'!D47</f>
        <v>62809.00000000001</v>
      </c>
      <c r="D20" s="34">
        <f>'Ap. 2 Ingresos C. Benef.'!E47</f>
        <v>56175</v>
      </c>
      <c r="E20" s="34">
        <f>'Ap. 2 Ingresos C. Benef.'!F47</f>
        <v>84780</v>
      </c>
      <c r="F20" s="34">
        <f>'Ap. 2 Ingresos C. Benef.'!G47</f>
        <v>75168</v>
      </c>
      <c r="G20" s="34">
        <f>'Ap. 2 Ingresos C. Benef.'!H47</f>
        <v>99000.00000000001</v>
      </c>
      <c r="H20" s="34">
        <f>'Ap. 2 Ingresos C. Benef.'!I47</f>
        <v>62809.00000000001</v>
      </c>
      <c r="I20" s="34">
        <f>'Ap. 2 Ingresos C. Benef.'!J47</f>
        <v>56175</v>
      </c>
      <c r="J20" s="34">
        <f>'Ap. 2 Ingresos C. Benef.'!K47</f>
        <v>84780</v>
      </c>
      <c r="K20" s="34">
        <f>'Ap. 2 Ingresos C. Benef.'!L47</f>
        <v>75168</v>
      </c>
      <c r="L20" s="34">
        <f>'Ap. 2 Ingresos C. Benef.'!M47</f>
        <v>99000.00000000001</v>
      </c>
    </row>
    <row r="21" spans="1:12" ht="21" customHeight="1">
      <c r="A21" s="83" t="str">
        <f>+'Ap. 2 Ingresos C. Benef.'!A50</f>
        <v>Informes de Evaluación Multidisciplinario</v>
      </c>
      <c r="B21" s="399">
        <f>'Ap. 2 Ingresos C. Benef.'!$B$50</f>
        <v>10</v>
      </c>
      <c r="C21" s="34">
        <f>'Ap. 2 Ingresos C. Benef.'!D50</f>
        <v>33480</v>
      </c>
      <c r="D21" s="34">
        <f>'Ap. 2 Ingresos C. Benef.'!E50</f>
        <v>33170</v>
      </c>
      <c r="E21" s="34">
        <f>'Ap. 2 Ingresos C. Benef.'!F50</f>
        <v>33480</v>
      </c>
      <c r="F21" s="34">
        <f>'Ap. 2 Ingresos C. Benef.'!G50</f>
        <v>33170</v>
      </c>
      <c r="G21" s="34">
        <f>'Ap. 2 Ingresos C. Benef.'!H50</f>
        <v>34100</v>
      </c>
      <c r="H21" s="34">
        <f>'Ap. 2 Ingresos C. Benef.'!I50</f>
        <v>0</v>
      </c>
      <c r="I21" s="34">
        <f>'Ap. 2 Ingresos C. Benef.'!J50</f>
        <v>0</v>
      </c>
      <c r="J21" s="34">
        <f>'Ap. 2 Ingresos C. Benef.'!K50</f>
        <v>0</v>
      </c>
      <c r="K21" s="34">
        <f>'Ap. 2 Ingresos C. Benef.'!L50</f>
        <v>0</v>
      </c>
      <c r="L21" s="34">
        <f>'Ap. 2 Ingresos C. Benef.'!M50</f>
        <v>0</v>
      </c>
    </row>
    <row r="22" spans="1:12" ht="21" customHeight="1">
      <c r="A22" s="83" t="str">
        <f>+'Ap. 2 Ingresos C. Benef.'!A53</f>
        <v>Informes de Evaluación TEA</v>
      </c>
      <c r="B22" s="399">
        <f>'Ap. 2 Ingresos C. Benef.'!$B$53</f>
        <v>22</v>
      </c>
      <c r="C22" s="34">
        <f>'Ap. 2 Ingresos C. Benef.'!D53</f>
        <v>52430</v>
      </c>
      <c r="D22" s="34">
        <f>'Ap. 2 Ingresos C. Benef.'!E53</f>
        <v>52430</v>
      </c>
      <c r="E22" s="34">
        <f>'Ap. 2 Ingresos C. Benef.'!F53</f>
        <v>52430</v>
      </c>
      <c r="F22" s="34">
        <f>'Ap. 2 Ingresos C. Benef.'!G53</f>
        <v>52430</v>
      </c>
      <c r="G22" s="34">
        <f>'Ap. 2 Ingresos C. Benef.'!H53</f>
        <v>53900.00000000001</v>
      </c>
      <c r="H22" s="34">
        <f>'Ap. 2 Ingresos C. Benef.'!I53</f>
        <v>0</v>
      </c>
      <c r="I22" s="34">
        <f>'Ap. 2 Ingresos C. Benef.'!J53</f>
        <v>0</v>
      </c>
      <c r="J22" s="34">
        <f>'Ap. 2 Ingresos C. Benef.'!K53</f>
        <v>0</v>
      </c>
      <c r="K22" s="34">
        <f>'Ap. 2 Ingresos C. Benef.'!L53</f>
        <v>0</v>
      </c>
      <c r="L22" s="34">
        <f>'Ap. 2 Ingresos C. Benef.'!M53</f>
        <v>0</v>
      </c>
    </row>
  </sheetData>
  <sheetProtection password="C581" sheet="1" objects="1" scenarios="1"/>
  <mergeCells count="8">
    <mergeCell ref="A8:A9"/>
    <mergeCell ref="B8:B9"/>
    <mergeCell ref="C8:G8"/>
    <mergeCell ref="A1:H1"/>
    <mergeCell ref="A2:H2"/>
    <mergeCell ref="A3:H3"/>
    <mergeCell ref="C5:D5"/>
    <mergeCell ref="H8:L8"/>
  </mergeCells>
  <printOptions/>
  <pageMargins left="0" right="0.7480314960629921" top="0.984251968503937" bottom="0.984251968503937" header="0.4330708661417323" footer="0.4724409448818898"/>
  <pageSetup horizontalDpi="600" verticalDpi="600" orientation="landscape" scale="60" r:id="rId1"/>
  <headerFooter alignWithMargins="0">
    <oddHeader>&amp;LSEPT - 2004&amp;CDIRECTIVA D.B.S.A.
ORDINARIA&amp;R01-BS/0305/04</oddHeader>
    <oddFooter>&amp;LDEPARTAMENTO
RRHH Y GESTION&amp;C01-BS&amp;RPAG &amp;P</oddFooter>
  </headerFooter>
</worksheet>
</file>

<file path=xl/worksheets/sheet6.xml><?xml version="1.0" encoding="utf-8"?>
<worksheet xmlns="http://schemas.openxmlformats.org/spreadsheetml/2006/main" xmlns:r="http://schemas.openxmlformats.org/officeDocument/2006/relationships">
  <dimension ref="A1:O67"/>
  <sheetViews>
    <sheetView zoomScalePageLayoutView="0" workbookViewId="0" topLeftCell="A1">
      <selection activeCell="M20" sqref="M20"/>
    </sheetView>
  </sheetViews>
  <sheetFormatPr defaultColWidth="11.421875" defaultRowHeight="12.75"/>
  <cols>
    <col min="1" max="1" width="5.28125" style="0" customWidth="1"/>
    <col min="2" max="2" width="8.140625" style="0" customWidth="1"/>
    <col min="3" max="3" width="27.28125" style="0" customWidth="1"/>
    <col min="4" max="4" width="6.421875" style="0" customWidth="1"/>
    <col min="5" max="5" width="11.00390625" style="0" customWidth="1"/>
    <col min="6" max="6" width="7.7109375" style="0" customWidth="1"/>
    <col min="7" max="7" width="10.28125" style="0" customWidth="1"/>
    <col min="8" max="8" width="14.28125" style="0" customWidth="1"/>
    <col min="9" max="9" width="10.00390625" style="0" customWidth="1"/>
    <col min="10" max="10" width="11.140625" style="0" customWidth="1"/>
    <col min="11" max="11" width="10.8515625" style="0" customWidth="1"/>
  </cols>
  <sheetData>
    <row r="1" spans="1:10" ht="13.5">
      <c r="A1" s="173"/>
      <c r="B1" s="173"/>
      <c r="C1" s="173"/>
      <c r="D1" s="173"/>
      <c r="E1" s="174"/>
      <c r="F1" s="174"/>
      <c r="G1" s="175"/>
      <c r="H1" s="173"/>
      <c r="I1" s="173"/>
      <c r="J1" s="173"/>
    </row>
    <row r="2" spans="1:8" ht="12.75">
      <c r="A2" s="173"/>
      <c r="E2" s="494" t="s">
        <v>191</v>
      </c>
      <c r="F2" s="185"/>
      <c r="G2" s="184" t="s">
        <v>189</v>
      </c>
      <c r="H2" s="184" t="s">
        <v>190</v>
      </c>
    </row>
    <row r="3" spans="1:8" ht="12.75">
      <c r="A3" s="173"/>
      <c r="E3" s="494"/>
      <c r="F3" s="185"/>
      <c r="G3" s="183">
        <v>1.053</v>
      </c>
      <c r="H3" s="183">
        <v>1.103</v>
      </c>
    </row>
    <row r="4" ht="13.5" thickBot="1">
      <c r="A4" s="173"/>
    </row>
    <row r="5" spans="1:11" ht="12.75" customHeight="1">
      <c r="A5" s="173"/>
      <c r="C5" s="495" t="s">
        <v>193</v>
      </c>
      <c r="D5" s="491" t="s">
        <v>196</v>
      </c>
      <c r="E5" s="492"/>
      <c r="F5" s="492"/>
      <c r="G5" s="493"/>
      <c r="H5" s="485" t="s">
        <v>197</v>
      </c>
      <c r="I5" s="486"/>
      <c r="J5" s="486"/>
      <c r="K5" s="487"/>
    </row>
    <row r="6" spans="1:11" ht="12.75" customHeight="1" thickBot="1">
      <c r="A6" s="173"/>
      <c r="C6" s="496"/>
      <c r="D6" s="248" t="s">
        <v>208</v>
      </c>
      <c r="E6" s="188" t="s">
        <v>189</v>
      </c>
      <c r="F6" s="248" t="s">
        <v>208</v>
      </c>
      <c r="G6" s="190" t="s">
        <v>190</v>
      </c>
      <c r="H6" s="188" t="s">
        <v>189</v>
      </c>
      <c r="I6" s="190" t="s">
        <v>199</v>
      </c>
      <c r="J6" s="191" t="s">
        <v>200</v>
      </c>
      <c r="K6" s="189" t="s">
        <v>199</v>
      </c>
    </row>
    <row r="7" spans="1:11" ht="12.75" customHeight="1">
      <c r="A7" s="173"/>
      <c r="C7" s="488" t="s">
        <v>177</v>
      </c>
      <c r="D7" s="261">
        <v>1</v>
      </c>
      <c r="E7" s="194">
        <v>66150</v>
      </c>
      <c r="F7" s="264">
        <v>1</v>
      </c>
      <c r="G7" s="176">
        <v>55650</v>
      </c>
      <c r="H7" s="211">
        <f>E7*G3</f>
        <v>69655.95</v>
      </c>
      <c r="I7" s="206">
        <f>H7-E7</f>
        <v>3505.949999999997</v>
      </c>
      <c r="J7" s="198">
        <f>G7*H3</f>
        <v>61381.95</v>
      </c>
      <c r="K7" s="201">
        <f>J7-G7</f>
        <v>5731.949999999997</v>
      </c>
    </row>
    <row r="8" spans="1:11" ht="12.75" customHeight="1">
      <c r="A8" s="173"/>
      <c r="C8" s="489"/>
      <c r="D8" s="262"/>
      <c r="E8" s="161"/>
      <c r="F8" s="265"/>
      <c r="G8" s="165"/>
      <c r="H8" s="212"/>
      <c r="I8" s="207"/>
      <c r="J8" s="199"/>
      <c r="K8" s="202"/>
    </row>
    <row r="9" spans="1:11" ht="8.25" customHeight="1" thickBot="1">
      <c r="A9" s="173"/>
      <c r="C9" s="490"/>
      <c r="D9" s="263"/>
      <c r="E9" s="163"/>
      <c r="F9" s="266"/>
      <c r="G9" s="192"/>
      <c r="H9" s="213"/>
      <c r="I9" s="208"/>
      <c r="J9" s="200"/>
      <c r="K9" s="203"/>
    </row>
    <row r="10" spans="1:11" ht="12.75" customHeight="1">
      <c r="A10" s="173"/>
      <c r="C10" s="488" t="s">
        <v>178</v>
      </c>
      <c r="D10" s="236">
        <v>1</v>
      </c>
      <c r="E10" s="194">
        <v>34650</v>
      </c>
      <c r="F10" s="236">
        <v>1</v>
      </c>
      <c r="G10" s="176">
        <v>28350</v>
      </c>
      <c r="H10" s="211">
        <f>E10*G3</f>
        <v>36486.45</v>
      </c>
      <c r="I10" s="206">
        <f>H10-E10</f>
        <v>1836.449999999997</v>
      </c>
      <c r="J10" s="198">
        <f>G10*H3</f>
        <v>31270.05</v>
      </c>
      <c r="K10" s="201">
        <f>J10-G10</f>
        <v>2920.0499999999993</v>
      </c>
    </row>
    <row r="11" spans="1:11" ht="12.75" customHeight="1">
      <c r="A11" s="173"/>
      <c r="C11" s="489"/>
      <c r="D11" s="236"/>
      <c r="E11" s="161"/>
      <c r="F11" s="236"/>
      <c r="G11" s="165"/>
      <c r="H11" s="212"/>
      <c r="I11" s="207"/>
      <c r="J11" s="199"/>
      <c r="K11" s="202"/>
    </row>
    <row r="12" spans="1:11" ht="12.75" customHeight="1" thickBot="1">
      <c r="A12" s="173"/>
      <c r="C12" s="490"/>
      <c r="D12" s="236"/>
      <c r="E12" s="163"/>
      <c r="F12" s="236"/>
      <c r="G12" s="192"/>
      <c r="H12" s="213"/>
      <c r="I12" s="208"/>
      <c r="J12" s="200"/>
      <c r="K12" s="203"/>
    </row>
    <row r="13" spans="1:11" ht="12.75" customHeight="1">
      <c r="A13" s="173"/>
      <c r="C13" s="489" t="s">
        <v>167</v>
      </c>
      <c r="D13" s="261">
        <v>11</v>
      </c>
      <c r="E13" s="194">
        <v>49350</v>
      </c>
      <c r="F13" s="264">
        <v>16</v>
      </c>
      <c r="G13" s="176">
        <v>38850</v>
      </c>
      <c r="H13" s="211">
        <f>E13*G3</f>
        <v>51965.549999999996</v>
      </c>
      <c r="I13" s="206">
        <f>H13-E13</f>
        <v>2615.5499999999956</v>
      </c>
      <c r="J13" s="198">
        <f>G13*H3</f>
        <v>42851.549999999996</v>
      </c>
      <c r="K13" s="201">
        <f>J13-G13</f>
        <v>4001.5499999999956</v>
      </c>
    </row>
    <row r="14" spans="1:11" ht="12.75" customHeight="1">
      <c r="A14" s="173"/>
      <c r="C14" s="489"/>
      <c r="D14" s="262"/>
      <c r="E14" s="161"/>
      <c r="F14" s="265"/>
      <c r="G14" s="165"/>
      <c r="H14" s="212"/>
      <c r="I14" s="207"/>
      <c r="J14" s="199"/>
      <c r="K14" s="202"/>
    </row>
    <row r="15" spans="1:11" ht="8.25" customHeight="1" thickBot="1">
      <c r="A15" s="173"/>
      <c r="C15" s="489"/>
      <c r="D15" s="263"/>
      <c r="E15" s="163"/>
      <c r="F15" s="266"/>
      <c r="G15" s="192"/>
      <c r="H15" s="213"/>
      <c r="I15" s="208"/>
      <c r="J15" s="200"/>
      <c r="K15" s="203"/>
    </row>
    <row r="16" spans="1:11" ht="12.75" customHeight="1">
      <c r="A16" s="173"/>
      <c r="C16" s="488" t="s">
        <v>179</v>
      </c>
      <c r="D16" s="236">
        <v>1</v>
      </c>
      <c r="E16" s="194">
        <v>72450</v>
      </c>
      <c r="F16" s="236">
        <v>7</v>
      </c>
      <c r="G16" s="176">
        <v>61950</v>
      </c>
      <c r="H16" s="211">
        <f>E16*G3</f>
        <v>76289.84999999999</v>
      </c>
      <c r="I16" s="206">
        <f>H16-E16</f>
        <v>3839.8499999999913</v>
      </c>
      <c r="J16" s="198">
        <f>G16*H3</f>
        <v>68330.85</v>
      </c>
      <c r="K16" s="201">
        <f>J16-G16</f>
        <v>6380.850000000006</v>
      </c>
    </row>
    <row r="17" spans="1:11" ht="12.75" customHeight="1">
      <c r="A17" s="173"/>
      <c r="C17" s="489"/>
      <c r="D17" s="236"/>
      <c r="E17" s="161"/>
      <c r="F17" s="236"/>
      <c r="G17" s="165"/>
      <c r="H17" s="212"/>
      <c r="I17" s="207"/>
      <c r="J17" s="199"/>
      <c r="K17" s="202"/>
    </row>
    <row r="18" spans="1:11" ht="12.75" customHeight="1" thickBot="1">
      <c r="A18" s="173"/>
      <c r="C18" s="490"/>
      <c r="D18" s="236"/>
      <c r="E18" s="163"/>
      <c r="F18" s="236"/>
      <c r="G18" s="192"/>
      <c r="H18" s="213"/>
      <c r="I18" s="208"/>
      <c r="J18" s="200"/>
      <c r="K18" s="203"/>
    </row>
    <row r="19" spans="1:11" ht="13.5">
      <c r="A19" s="173"/>
      <c r="C19" s="489" t="s">
        <v>180</v>
      </c>
      <c r="D19" s="261">
        <v>1</v>
      </c>
      <c r="E19" s="194">
        <v>49350</v>
      </c>
      <c r="F19" s="264">
        <v>1</v>
      </c>
      <c r="G19" s="176">
        <v>44100</v>
      </c>
      <c r="H19" s="211">
        <f>E19*G3</f>
        <v>51965.549999999996</v>
      </c>
      <c r="I19" s="206">
        <f>H19-E19</f>
        <v>2615.5499999999956</v>
      </c>
      <c r="J19" s="198">
        <f>G19*H3</f>
        <v>48642.299999999996</v>
      </c>
      <c r="K19" s="201">
        <f>J19-G19</f>
        <v>4542.299999999996</v>
      </c>
    </row>
    <row r="20" spans="1:11" ht="13.5">
      <c r="A20" s="173"/>
      <c r="C20" s="489"/>
      <c r="D20" s="262"/>
      <c r="E20" s="161"/>
      <c r="F20" s="265"/>
      <c r="G20" s="165"/>
      <c r="H20" s="214"/>
      <c r="I20" s="209"/>
      <c r="J20" s="193"/>
      <c r="K20" s="204"/>
    </row>
    <row r="21" spans="1:11" ht="9" customHeight="1" thickBot="1">
      <c r="A21" s="173"/>
      <c r="C21" s="490"/>
      <c r="D21" s="263"/>
      <c r="E21" s="166"/>
      <c r="F21" s="266"/>
      <c r="G21" s="168"/>
      <c r="H21" s="215"/>
      <c r="I21" s="210"/>
      <c r="J21" s="216"/>
      <c r="K21" s="205"/>
    </row>
    <row r="22" ht="12.75">
      <c r="A22" s="173"/>
    </row>
    <row r="23" ht="12.75">
      <c r="A23" s="173"/>
    </row>
    <row r="24" ht="12.75">
      <c r="A24" s="173"/>
    </row>
    <row r="25" spans="1:7" ht="12.75">
      <c r="A25" s="173"/>
      <c r="E25" s="182" t="s">
        <v>194</v>
      </c>
      <c r="F25" s="182"/>
      <c r="G25" s="183">
        <v>1.053</v>
      </c>
    </row>
    <row r="26" spans="1:7" ht="12.75">
      <c r="A26" s="173"/>
      <c r="E26" s="182" t="s">
        <v>195</v>
      </c>
      <c r="F26" s="182"/>
      <c r="G26" s="183">
        <v>1.053</v>
      </c>
    </row>
    <row r="27" spans="1:8" ht="14.25" thickBot="1">
      <c r="A27" s="173"/>
      <c r="E27" s="181"/>
      <c r="F27" s="181"/>
      <c r="G27" s="36"/>
      <c r="H27" s="181"/>
    </row>
    <row r="28" spans="1:10" ht="12.75" customHeight="1">
      <c r="A28" s="173"/>
      <c r="C28" s="495" t="s">
        <v>198</v>
      </c>
      <c r="D28" s="187"/>
      <c r="E28" s="497" t="s">
        <v>196</v>
      </c>
      <c r="F28" s="498"/>
      <c r="G28" s="499"/>
      <c r="H28" s="485" t="s">
        <v>197</v>
      </c>
      <c r="I28" s="486"/>
      <c r="J28" s="487"/>
    </row>
    <row r="29" spans="1:10" ht="12.75" customHeight="1" thickBot="1">
      <c r="A29" s="173"/>
      <c r="C29" s="496"/>
      <c r="D29" s="248"/>
      <c r="E29" s="188" t="s">
        <v>189</v>
      </c>
      <c r="F29" s="254"/>
      <c r="G29" s="189" t="s">
        <v>200</v>
      </c>
      <c r="H29" s="227" t="s">
        <v>201</v>
      </c>
      <c r="I29" s="197" t="s">
        <v>202</v>
      </c>
      <c r="J29" s="228" t="s">
        <v>203</v>
      </c>
    </row>
    <row r="30" spans="1:10" ht="12.75" customHeight="1">
      <c r="A30" s="173"/>
      <c r="C30" s="477" t="s">
        <v>177</v>
      </c>
      <c r="D30" s="179"/>
      <c r="E30" s="194">
        <v>76650</v>
      </c>
      <c r="F30" s="255"/>
      <c r="G30" s="195">
        <v>66150</v>
      </c>
      <c r="H30" s="194">
        <f>SUM(E30+G30)/2*G25</f>
        <v>75184.2</v>
      </c>
      <c r="I30" s="220">
        <f>H30-E30</f>
        <v>-1465.800000000003</v>
      </c>
      <c r="J30" s="229">
        <f>H30-G30</f>
        <v>9034.199999999997</v>
      </c>
    </row>
    <row r="31" spans="1:10" ht="12.75" customHeight="1">
      <c r="A31" s="173"/>
      <c r="C31" s="478"/>
      <c r="D31" s="179"/>
      <c r="E31" s="223"/>
      <c r="F31" s="257"/>
      <c r="G31" s="224"/>
      <c r="H31" s="162"/>
      <c r="I31" s="221"/>
      <c r="J31" s="230"/>
    </row>
    <row r="32" spans="1:10" ht="12.75" customHeight="1" thickBot="1">
      <c r="A32" s="173"/>
      <c r="C32" s="479"/>
      <c r="D32" s="179"/>
      <c r="E32" s="225"/>
      <c r="F32" s="258"/>
      <c r="G32" s="226"/>
      <c r="H32" s="164"/>
      <c r="I32" s="222"/>
      <c r="J32" s="231"/>
    </row>
    <row r="33" spans="1:10" ht="12.75" customHeight="1">
      <c r="A33" s="173"/>
      <c r="C33" s="477" t="s">
        <v>178</v>
      </c>
      <c r="D33" s="179"/>
      <c r="E33" s="194">
        <v>55650</v>
      </c>
      <c r="F33" s="255"/>
      <c r="G33" s="195">
        <v>49350</v>
      </c>
      <c r="H33" s="211">
        <f>SUM(E33+G33)/2*G26</f>
        <v>55282.5</v>
      </c>
      <c r="I33" s="218">
        <f>H33-E33</f>
        <v>-367.5</v>
      </c>
      <c r="J33" s="229">
        <f>H33-G33</f>
        <v>5932.5</v>
      </c>
    </row>
    <row r="34" spans="1:10" ht="12.75" customHeight="1">
      <c r="A34" s="173"/>
      <c r="C34" s="478"/>
      <c r="D34" s="179"/>
      <c r="E34" s="223"/>
      <c r="F34" s="257"/>
      <c r="G34" s="224"/>
      <c r="H34" s="212"/>
      <c r="I34" s="219"/>
      <c r="J34" s="230"/>
    </row>
    <row r="35" spans="1:10" ht="12.75" customHeight="1" thickBot="1">
      <c r="A35" s="173"/>
      <c r="C35" s="479"/>
      <c r="D35" s="179"/>
      <c r="E35" s="225"/>
      <c r="F35" s="258"/>
      <c r="G35" s="226"/>
      <c r="H35" s="213"/>
      <c r="I35" s="217"/>
      <c r="J35" s="231"/>
    </row>
    <row r="36" spans="1:10" ht="12.75" customHeight="1">
      <c r="A36" s="173"/>
      <c r="C36" s="478" t="s">
        <v>167</v>
      </c>
      <c r="D36" s="179"/>
      <c r="E36" s="194">
        <v>49350</v>
      </c>
      <c r="F36" s="255"/>
      <c r="G36" s="195">
        <v>38850</v>
      </c>
      <c r="H36" s="211">
        <f>SUM(E36+G36)/2*G26</f>
        <v>46437.299999999996</v>
      </c>
      <c r="I36" s="218">
        <f>H36-E36</f>
        <v>-2912.7000000000044</v>
      </c>
      <c r="J36" s="229">
        <f>H36-G36</f>
        <v>7587.299999999996</v>
      </c>
    </row>
    <row r="37" spans="1:10" ht="12.75" customHeight="1">
      <c r="A37" s="173"/>
      <c r="C37" s="478"/>
      <c r="D37" s="179"/>
      <c r="E37" s="223"/>
      <c r="F37" s="257"/>
      <c r="G37" s="224"/>
      <c r="H37" s="212"/>
      <c r="I37" s="219"/>
      <c r="J37" s="230"/>
    </row>
    <row r="38" spans="1:10" ht="12.75" customHeight="1" thickBot="1">
      <c r="A38" s="173"/>
      <c r="C38" s="478"/>
      <c r="D38" s="179"/>
      <c r="E38" s="225"/>
      <c r="F38" s="258"/>
      <c r="G38" s="226"/>
      <c r="H38" s="213"/>
      <c r="I38" s="217"/>
      <c r="J38" s="231"/>
    </row>
    <row r="39" spans="1:10" ht="12.75" customHeight="1">
      <c r="A39" s="173"/>
      <c r="C39" s="477" t="s">
        <v>179</v>
      </c>
      <c r="D39" s="179"/>
      <c r="E39" s="194">
        <v>72450</v>
      </c>
      <c r="F39" s="255"/>
      <c r="G39" s="195">
        <v>61950</v>
      </c>
      <c r="H39" s="211">
        <f>SUM(E39+G39)/2*G25</f>
        <v>70761.59999999999</v>
      </c>
      <c r="I39" s="218">
        <f>H39-E39</f>
        <v>-1688.4000000000087</v>
      </c>
      <c r="J39" s="229">
        <f>H39-G39</f>
        <v>8811.599999999991</v>
      </c>
    </row>
    <row r="40" spans="1:10" ht="12.75" customHeight="1">
      <c r="A40" s="173"/>
      <c r="C40" s="478"/>
      <c r="D40" s="179"/>
      <c r="E40" s="223"/>
      <c r="F40" s="257"/>
      <c r="G40" s="224"/>
      <c r="H40" s="212"/>
      <c r="I40" s="219"/>
      <c r="J40" s="230"/>
    </row>
    <row r="41" spans="1:10" ht="12.75" customHeight="1" thickBot="1">
      <c r="A41" s="173"/>
      <c r="C41" s="479"/>
      <c r="D41" s="179"/>
      <c r="E41" s="225"/>
      <c r="F41" s="258"/>
      <c r="G41" s="226"/>
      <c r="H41" s="213"/>
      <c r="I41" s="217"/>
      <c r="J41" s="231"/>
    </row>
    <row r="42" spans="1:10" ht="13.5">
      <c r="A42" s="173"/>
      <c r="C42" s="478" t="s">
        <v>180</v>
      </c>
      <c r="D42" s="179"/>
      <c r="E42" s="194">
        <v>49350</v>
      </c>
      <c r="F42" s="255"/>
      <c r="G42" s="195">
        <v>44100</v>
      </c>
      <c r="H42" s="211">
        <f>SUM(E42+G42)/2*G26</f>
        <v>49201.424999999996</v>
      </c>
      <c r="I42" s="218">
        <f>H42-E42</f>
        <v>-148.57500000000437</v>
      </c>
      <c r="J42" s="229">
        <f>H42-G42</f>
        <v>5101.424999999996</v>
      </c>
    </row>
    <row r="43" spans="1:10" ht="13.5">
      <c r="A43" s="173"/>
      <c r="C43" s="478"/>
      <c r="D43" s="179"/>
      <c r="E43" s="223"/>
      <c r="F43" s="257"/>
      <c r="G43" s="224"/>
      <c r="H43" s="212"/>
      <c r="I43" s="219"/>
      <c r="J43" s="230"/>
    </row>
    <row r="44" spans="1:10" ht="14.25" thickBot="1">
      <c r="A44" s="173"/>
      <c r="C44" s="479"/>
      <c r="D44" s="180"/>
      <c r="E44" s="166"/>
      <c r="F44" s="256"/>
      <c r="G44" s="167"/>
      <c r="H44" s="232"/>
      <c r="I44" s="233"/>
      <c r="J44" s="234"/>
    </row>
    <row r="45" spans="1:10" ht="13.5">
      <c r="A45" s="173"/>
      <c r="C45" s="196"/>
      <c r="D45" s="196"/>
      <c r="E45" s="171"/>
      <c r="F45" s="171"/>
      <c r="G45" s="171"/>
      <c r="H45" s="186"/>
      <c r="I45" s="186"/>
      <c r="J45" s="186"/>
    </row>
    <row r="46" spans="1:10" ht="13.5">
      <c r="A46" s="173"/>
      <c r="C46" s="196"/>
      <c r="D46" s="196"/>
      <c r="E46" s="171"/>
      <c r="F46" s="171"/>
      <c r="G46" s="171"/>
      <c r="H46" s="186"/>
      <c r="I46" s="186"/>
      <c r="J46" s="186"/>
    </row>
    <row r="47" spans="1:11" ht="13.5">
      <c r="A47" s="173"/>
      <c r="B47" s="169"/>
      <c r="C47" s="170"/>
      <c r="D47" s="170"/>
      <c r="E47" s="171"/>
      <c r="F47" s="171"/>
      <c r="G47" s="171"/>
      <c r="H47" s="172"/>
      <c r="I47" s="172"/>
      <c r="J47" s="172"/>
      <c r="K47" s="169"/>
    </row>
    <row r="48" spans="1:11" ht="13.5">
      <c r="A48" s="173"/>
      <c r="B48" s="169"/>
      <c r="C48" s="170"/>
      <c r="D48" s="170"/>
      <c r="E48" s="182" t="s">
        <v>191</v>
      </c>
      <c r="F48" s="182"/>
      <c r="G48" s="182">
        <v>1.5</v>
      </c>
      <c r="H48" s="235"/>
      <c r="I48" s="172"/>
      <c r="J48" s="172"/>
      <c r="K48" s="169"/>
    </row>
    <row r="49" spans="1:11" ht="14.25" thickBot="1">
      <c r="A49" s="173"/>
      <c r="B49" s="169"/>
      <c r="C49" s="170"/>
      <c r="D49" s="170"/>
      <c r="E49" s="171"/>
      <c r="F49" s="171"/>
      <c r="G49" s="171"/>
      <c r="H49" s="172"/>
      <c r="I49" s="172"/>
      <c r="J49" s="172"/>
      <c r="K49" s="169"/>
    </row>
    <row r="50" spans="1:15" ht="12.75" customHeight="1" thickBot="1">
      <c r="A50" s="173"/>
      <c r="B50" s="169"/>
      <c r="C50" s="480" t="s">
        <v>204</v>
      </c>
      <c r="D50" s="249"/>
      <c r="E50" s="501" t="s">
        <v>196</v>
      </c>
      <c r="F50" s="502"/>
      <c r="G50" s="502"/>
      <c r="H50" s="239" t="s">
        <v>197</v>
      </c>
      <c r="J50" s="172"/>
      <c r="K50" s="500"/>
      <c r="L50" s="181"/>
      <c r="M50" s="181"/>
      <c r="N50" s="503"/>
      <c r="O50" s="503"/>
    </row>
    <row r="51" spans="1:15" ht="11.25" customHeight="1">
      <c r="A51" s="173"/>
      <c r="C51" s="481"/>
      <c r="D51" s="250"/>
      <c r="E51" s="504" t="s">
        <v>206</v>
      </c>
      <c r="F51" s="259"/>
      <c r="G51" s="506" t="s">
        <v>205</v>
      </c>
      <c r="H51" s="508" t="s">
        <v>192</v>
      </c>
      <c r="K51" s="500"/>
      <c r="L51" s="181"/>
      <c r="M51" s="181"/>
      <c r="N51" s="500"/>
      <c r="O51" s="500"/>
    </row>
    <row r="52" spans="1:15" ht="4.5" customHeight="1" thickBot="1">
      <c r="A52" s="173"/>
      <c r="C52" s="482"/>
      <c r="D52" s="251"/>
      <c r="E52" s="505"/>
      <c r="F52" s="260"/>
      <c r="G52" s="507"/>
      <c r="H52" s="509"/>
      <c r="K52" s="500"/>
      <c r="L52" s="181"/>
      <c r="M52" s="181"/>
      <c r="N52" s="500"/>
      <c r="O52" s="500"/>
    </row>
    <row r="53" spans="1:15" ht="12.75" customHeight="1">
      <c r="A53" s="173"/>
      <c r="C53" s="477" t="s">
        <v>177</v>
      </c>
      <c r="D53" s="178"/>
      <c r="E53" s="177">
        <v>0</v>
      </c>
      <c r="F53" s="177"/>
      <c r="G53" s="511" t="s">
        <v>207</v>
      </c>
      <c r="H53" s="240">
        <f>'Ap. 2 Ingresos C. Benef.'!M17</f>
        <v>129030.00000000001</v>
      </c>
      <c r="K53" s="510"/>
      <c r="L53" s="181"/>
      <c r="M53" s="181"/>
      <c r="N53" s="514"/>
      <c r="O53" s="514"/>
    </row>
    <row r="54" spans="1:15" ht="12.75" customHeight="1" thickBot="1">
      <c r="A54" s="173"/>
      <c r="C54" s="478"/>
      <c r="D54" s="179"/>
      <c r="E54" s="236"/>
      <c r="F54" s="236"/>
      <c r="G54" s="512"/>
      <c r="H54" s="241"/>
      <c r="K54" s="510"/>
      <c r="L54" s="181"/>
      <c r="M54" s="181"/>
      <c r="N54" s="514"/>
      <c r="O54" s="514"/>
    </row>
    <row r="55" spans="1:15" ht="12.75" customHeight="1">
      <c r="A55" s="173"/>
      <c r="C55" s="483" t="s">
        <v>178</v>
      </c>
      <c r="D55" s="252"/>
      <c r="E55" s="246">
        <v>0</v>
      </c>
      <c r="F55" s="245"/>
      <c r="G55" s="512"/>
      <c r="H55" s="243">
        <f>'Ap. 2 Ingresos C. Benef.'!M20</f>
        <v>57970.00000000001</v>
      </c>
      <c r="K55" s="510"/>
      <c r="L55" s="181"/>
      <c r="M55" s="181"/>
      <c r="N55" s="514"/>
      <c r="O55" s="514"/>
    </row>
    <row r="56" spans="1:15" ht="12.75" customHeight="1" thickBot="1">
      <c r="A56" s="173"/>
      <c r="C56" s="484"/>
      <c r="D56" s="253"/>
      <c r="E56" s="247"/>
      <c r="F56" s="245"/>
      <c r="G56" s="512"/>
      <c r="H56" s="241"/>
      <c r="K56" s="510"/>
      <c r="L56" s="181"/>
      <c r="M56" s="181"/>
      <c r="N56" s="514"/>
      <c r="O56" s="514"/>
    </row>
    <row r="57" spans="1:15" ht="12.75" customHeight="1">
      <c r="A57" s="173"/>
      <c r="C57" s="478" t="s">
        <v>167</v>
      </c>
      <c r="D57" s="179"/>
      <c r="E57" s="236">
        <v>3</v>
      </c>
      <c r="F57" s="236"/>
      <c r="G57" s="512"/>
      <c r="H57" s="243">
        <f>'Ap. 2 Ingresos C. Benef.'!M41</f>
        <v>93500.00000000001</v>
      </c>
      <c r="K57" s="510"/>
      <c r="L57" s="181"/>
      <c r="M57" s="181"/>
      <c r="N57" s="514"/>
      <c r="O57" s="514"/>
    </row>
    <row r="58" spans="1:15" ht="12.75" customHeight="1" thickBot="1">
      <c r="A58" s="173"/>
      <c r="C58" s="478"/>
      <c r="D58" s="179"/>
      <c r="E58" s="236"/>
      <c r="F58" s="236"/>
      <c r="G58" s="512"/>
      <c r="H58" s="241"/>
      <c r="K58" s="510"/>
      <c r="L58" s="181"/>
      <c r="M58" s="181"/>
      <c r="N58" s="514"/>
      <c r="O58" s="514"/>
    </row>
    <row r="59" spans="1:15" ht="12.75" customHeight="1">
      <c r="A59" s="173"/>
      <c r="C59" s="477" t="s">
        <v>179</v>
      </c>
      <c r="D59" s="179"/>
      <c r="E59" s="237">
        <v>4</v>
      </c>
      <c r="F59" s="236"/>
      <c r="G59" s="512"/>
      <c r="H59" s="243">
        <f>'Ap. 2 Ingresos C. Benef.'!M44</f>
        <v>131340</v>
      </c>
      <c r="K59" s="510"/>
      <c r="L59" s="181"/>
      <c r="M59" s="181"/>
      <c r="N59" s="514"/>
      <c r="O59" s="514"/>
    </row>
    <row r="60" spans="1:15" ht="12.75" customHeight="1">
      <c r="A60" s="173"/>
      <c r="C60" s="478"/>
      <c r="D60" s="179"/>
      <c r="E60" s="236"/>
      <c r="F60" s="236"/>
      <c r="G60" s="512"/>
      <c r="H60" s="241"/>
      <c r="K60" s="510"/>
      <c r="L60" s="181"/>
      <c r="M60" s="181"/>
      <c r="N60" s="514"/>
      <c r="O60" s="514"/>
    </row>
    <row r="61" spans="1:15" ht="12.75" customHeight="1" thickBot="1">
      <c r="A61" s="173"/>
      <c r="C61" s="479"/>
      <c r="D61" s="179"/>
      <c r="E61" s="236"/>
      <c r="F61" s="236"/>
      <c r="G61" s="512"/>
      <c r="H61" s="242"/>
      <c r="K61" s="510"/>
      <c r="L61" s="181"/>
      <c r="M61" s="181"/>
      <c r="N61" s="514"/>
      <c r="O61" s="514"/>
    </row>
    <row r="62" spans="3:15" ht="13.5">
      <c r="C62" s="478" t="s">
        <v>180</v>
      </c>
      <c r="D62" s="179"/>
      <c r="E62" s="237">
        <v>0</v>
      </c>
      <c r="F62" s="236"/>
      <c r="G62" s="512"/>
      <c r="H62" s="243">
        <f>'Ap. 2 Ingresos C. Benef.'!M47</f>
        <v>99000.00000000001</v>
      </c>
      <c r="K62" s="510"/>
      <c r="L62" s="181"/>
      <c r="M62" s="181"/>
      <c r="N62" s="514"/>
      <c r="O62" s="514"/>
    </row>
    <row r="63" spans="3:15" ht="14.25" thickBot="1">
      <c r="C63" s="479"/>
      <c r="D63" s="180"/>
      <c r="E63" s="238"/>
      <c r="F63" s="238"/>
      <c r="G63" s="513"/>
      <c r="H63" s="244"/>
      <c r="K63" s="510"/>
      <c r="L63" s="181"/>
      <c r="M63" s="181"/>
      <c r="N63" s="514"/>
      <c r="O63" s="514"/>
    </row>
    <row r="64" spans="11:15" ht="12.75">
      <c r="K64" s="181"/>
      <c r="L64" s="181"/>
      <c r="M64" s="181"/>
      <c r="N64" s="181"/>
      <c r="O64" s="181"/>
    </row>
    <row r="65" spans="11:15" ht="12.75">
      <c r="K65" s="181"/>
      <c r="L65" s="181"/>
      <c r="M65" s="181"/>
      <c r="N65" s="181"/>
      <c r="O65" s="181"/>
    </row>
    <row r="66" spans="11:15" ht="12.75">
      <c r="K66" s="181"/>
      <c r="L66" s="181"/>
      <c r="M66" s="181"/>
      <c r="N66" s="181"/>
      <c r="O66" s="181"/>
    </row>
    <row r="67" spans="11:15" ht="12.75">
      <c r="K67" s="181"/>
      <c r="L67" s="181"/>
      <c r="M67" s="181"/>
      <c r="N67" s="181"/>
      <c r="O67" s="181"/>
    </row>
  </sheetData>
  <sheetProtection/>
  <mergeCells count="46">
    <mergeCell ref="K59:K61"/>
    <mergeCell ref="N59:O59"/>
    <mergeCell ref="N60:O61"/>
    <mergeCell ref="K62:K63"/>
    <mergeCell ref="N62:O62"/>
    <mergeCell ref="N63:O63"/>
    <mergeCell ref="K53:K54"/>
    <mergeCell ref="G53:G63"/>
    <mergeCell ref="N53:O53"/>
    <mergeCell ref="N54:O54"/>
    <mergeCell ref="K55:K56"/>
    <mergeCell ref="N55:O55"/>
    <mergeCell ref="N56:O56"/>
    <mergeCell ref="K57:K58"/>
    <mergeCell ref="N57:O57"/>
    <mergeCell ref="N58:O58"/>
    <mergeCell ref="K50:K52"/>
    <mergeCell ref="E50:G50"/>
    <mergeCell ref="N50:O50"/>
    <mergeCell ref="E51:E52"/>
    <mergeCell ref="G51:G52"/>
    <mergeCell ref="N51:O52"/>
    <mergeCell ref="H51:H52"/>
    <mergeCell ref="D5:G5"/>
    <mergeCell ref="C33:C35"/>
    <mergeCell ref="E2:E3"/>
    <mergeCell ref="C5:C6"/>
    <mergeCell ref="C28:C29"/>
    <mergeCell ref="E28:G28"/>
    <mergeCell ref="C36:C38"/>
    <mergeCell ref="C39:C41"/>
    <mergeCell ref="H5:K5"/>
    <mergeCell ref="C7:C9"/>
    <mergeCell ref="C10:C12"/>
    <mergeCell ref="C13:C15"/>
    <mergeCell ref="C16:C18"/>
    <mergeCell ref="C19:C21"/>
    <mergeCell ref="H28:J28"/>
    <mergeCell ref="C30:C32"/>
    <mergeCell ref="C59:C61"/>
    <mergeCell ref="C62:C63"/>
    <mergeCell ref="C50:C52"/>
    <mergeCell ref="C42:C44"/>
    <mergeCell ref="C53:C54"/>
    <mergeCell ref="C55:C56"/>
    <mergeCell ref="C57:C5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4:E44"/>
  <sheetViews>
    <sheetView zoomScalePageLayoutView="0" workbookViewId="0" topLeftCell="A1">
      <selection activeCell="G28" sqref="G28"/>
    </sheetView>
  </sheetViews>
  <sheetFormatPr defaultColWidth="11.421875" defaultRowHeight="12.75"/>
  <cols>
    <col min="1" max="1" width="72.421875" style="0" bestFit="1" customWidth="1"/>
    <col min="2" max="2" width="12.421875" style="387" bestFit="1" customWidth="1"/>
  </cols>
  <sheetData>
    <row r="4" spans="2:3" ht="12.75">
      <c r="B4" s="392" t="s">
        <v>290</v>
      </c>
      <c r="C4" t="s">
        <v>291</v>
      </c>
    </row>
    <row r="5" spans="3:5" ht="12.75">
      <c r="C5" t="s">
        <v>292</v>
      </c>
      <c r="D5" t="s">
        <v>293</v>
      </c>
      <c r="E5" t="s">
        <v>294</v>
      </c>
    </row>
    <row r="6" spans="1:2" ht="12.75">
      <c r="A6" s="388" t="s">
        <v>177</v>
      </c>
      <c r="B6" s="389">
        <v>5</v>
      </c>
    </row>
    <row r="7" spans="1:2" ht="12.75">
      <c r="A7" s="388"/>
      <c r="B7" s="390"/>
    </row>
    <row r="8" spans="1:2" ht="12.75">
      <c r="A8" s="388"/>
      <c r="B8" s="390"/>
    </row>
    <row r="9" spans="1:2" ht="12.75">
      <c r="A9" s="388" t="s">
        <v>178</v>
      </c>
      <c r="B9" s="390">
        <v>1</v>
      </c>
    </row>
    <row r="10" spans="1:2" ht="12.75">
      <c r="A10" s="388"/>
      <c r="B10" s="390"/>
    </row>
    <row r="11" spans="1:2" ht="12.75">
      <c r="A11" s="388"/>
      <c r="B11" s="390"/>
    </row>
    <row r="12" spans="1:2" ht="12.75">
      <c r="A12" s="388" t="s">
        <v>226</v>
      </c>
      <c r="B12" s="390">
        <v>1</v>
      </c>
    </row>
    <row r="13" spans="1:2" ht="12.75">
      <c r="A13" s="388"/>
      <c r="B13" s="390"/>
    </row>
    <row r="14" spans="1:2" ht="12.75">
      <c r="A14" s="388"/>
      <c r="B14" s="390"/>
    </row>
    <row r="15" spans="1:2" ht="12.75">
      <c r="A15" s="388" t="s">
        <v>277</v>
      </c>
      <c r="B15" s="390">
        <v>1</v>
      </c>
    </row>
    <row r="16" spans="1:2" ht="12.75">
      <c r="A16" s="388"/>
      <c r="B16" s="390"/>
    </row>
    <row r="17" spans="1:2" ht="12.75">
      <c r="A17" s="388"/>
      <c r="B17" s="390"/>
    </row>
    <row r="18" spans="1:2" ht="12.75">
      <c r="A18" s="388" t="s">
        <v>227</v>
      </c>
      <c r="B18" s="390">
        <v>3</v>
      </c>
    </row>
    <row r="19" spans="1:2" ht="12.75">
      <c r="A19" s="388"/>
      <c r="B19" s="390"/>
    </row>
    <row r="20" spans="1:2" ht="12.75">
      <c r="A20" s="388"/>
      <c r="B20" s="390"/>
    </row>
    <row r="21" spans="1:2" ht="12.75">
      <c r="A21" s="388" t="s">
        <v>276</v>
      </c>
      <c r="B21" s="390"/>
    </row>
    <row r="22" spans="1:2" ht="12.75">
      <c r="A22" s="388"/>
      <c r="B22" s="390">
        <v>2</v>
      </c>
    </row>
    <row r="23" spans="1:2" ht="12.75">
      <c r="A23" s="388"/>
      <c r="B23" s="390"/>
    </row>
    <row r="24" spans="1:2" ht="12.75">
      <c r="A24" s="388" t="s">
        <v>229</v>
      </c>
      <c r="B24" s="390">
        <v>3</v>
      </c>
    </row>
    <row r="25" spans="1:2" ht="12.75">
      <c r="A25" s="388"/>
      <c r="B25" s="390"/>
    </row>
    <row r="26" spans="1:2" ht="12.75">
      <c r="A26" s="388"/>
      <c r="B26" s="390"/>
    </row>
    <row r="27" spans="1:2" ht="12.75">
      <c r="A27" s="388" t="s">
        <v>278</v>
      </c>
      <c r="B27" s="390">
        <v>2</v>
      </c>
    </row>
    <row r="28" spans="1:2" ht="12.75">
      <c r="A28" s="388"/>
      <c r="B28" s="390"/>
    </row>
    <row r="29" spans="1:2" ht="12.75">
      <c r="A29" s="388"/>
      <c r="B29" s="390"/>
    </row>
    <row r="30" spans="1:2" ht="12.75">
      <c r="A30" s="388" t="s">
        <v>220</v>
      </c>
      <c r="B30" s="390">
        <v>45</v>
      </c>
    </row>
    <row r="31" spans="1:2" ht="12.75">
      <c r="A31" s="388"/>
      <c r="B31" s="390"/>
    </row>
    <row r="32" spans="1:2" ht="12.75">
      <c r="A32" s="388"/>
      <c r="B32" s="390"/>
    </row>
    <row r="33" spans="1:2" ht="12.75">
      <c r="A33" s="388" t="s">
        <v>219</v>
      </c>
      <c r="B33" s="390">
        <v>14</v>
      </c>
    </row>
    <row r="34" spans="1:2" ht="12.75">
      <c r="A34" s="388"/>
      <c r="B34" s="390"/>
    </row>
    <row r="35" spans="1:2" ht="12.75">
      <c r="A35" s="388"/>
      <c r="B35" s="390"/>
    </row>
    <row r="36" spans="1:2" ht="12.75">
      <c r="A36" s="388" t="s">
        <v>218</v>
      </c>
      <c r="B36" s="390">
        <v>6</v>
      </c>
    </row>
    <row r="37" spans="1:2" ht="12.75">
      <c r="A37" s="388"/>
      <c r="B37" s="390"/>
    </row>
    <row r="38" spans="1:2" ht="12.75">
      <c r="A38" s="388"/>
      <c r="B38" s="390"/>
    </row>
    <row r="39" spans="1:2" ht="12.75">
      <c r="A39" s="388" t="s">
        <v>230</v>
      </c>
      <c r="B39" s="390">
        <v>10</v>
      </c>
    </row>
    <row r="40" spans="1:2" ht="12.75">
      <c r="A40" s="388"/>
      <c r="B40" s="390"/>
    </row>
    <row r="41" spans="1:2" ht="12.75">
      <c r="A41" s="388"/>
      <c r="B41" s="390"/>
    </row>
    <row r="42" spans="1:2" ht="12.75">
      <c r="A42" s="388" t="s">
        <v>231</v>
      </c>
      <c r="B42" s="390">
        <v>22</v>
      </c>
    </row>
    <row r="43" spans="1:2" ht="12.75">
      <c r="A43" s="388"/>
      <c r="B43" s="390"/>
    </row>
    <row r="44" spans="1:2" ht="12.75">
      <c r="A44" s="388"/>
      <c r="B44" s="391">
        <f>SUM(B6:B42)</f>
        <v>115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2014-11-27T21:02:18Z</cp:lastPrinted>
  <dcterms:created xsi:type="dcterms:W3CDTF">2004-08-23T01:48:25Z</dcterms:created>
  <dcterms:modified xsi:type="dcterms:W3CDTF">2017-12-12T17:53:44Z</dcterms:modified>
  <cp:category/>
  <cp:version/>
  <cp:contentType/>
  <cp:contentStatus/>
  <cp:revision>37</cp:revision>
</cp:coreProperties>
</file>