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tabRatio="929" firstSheet="1" activeTab="3"/>
  </bookViews>
  <sheets>
    <sheet name="Índice Tablas" sheetId="1" r:id="rId1"/>
    <sheet name="A) Resumen Ingresos y Egresos" sheetId="2" r:id="rId2"/>
    <sheet name="B) Tarifas y Ocupación" sheetId="3" r:id="rId3"/>
    <sheet name="C) Estimación Costos" sheetId="4" r:id="rId4"/>
    <sheet name="D) Remuneraciones" sheetId="5" r:id="rId5"/>
    <sheet name="E) Resumen Tarifado " sheetId="6" r:id="rId6"/>
    <sheet name="F) Puesta en Marcha" sheetId="7" r:id="rId7"/>
  </sheets>
  <externalReferences>
    <externalReference r:id="rId10"/>
  </externalReferences>
  <definedNames>
    <definedName name="__xlnm_Print_Area">'A) Resumen Ingresos y Egresos'!$A$1:$N$59</definedName>
    <definedName name="__xlnm_Print_Area_1">'C) Estimación Costos'!$A$1:$H$37</definedName>
    <definedName name="__xlnm_Print_Area_2">'E) Resumen Tarifado '!$A$4:$D$14</definedName>
    <definedName name="__xlnm_Print_Titles">'A) Resumen Ingresos y Egresos'!$1:$19</definedName>
    <definedName name="__xlnm_Print_Titles_1">'C) Estimación Costos'!$1:$11</definedName>
    <definedName name="__xlnm_Print_Titles_2">NA()</definedName>
    <definedName name="_xlfn.IFERROR" hidden="1">#NAME?</definedName>
    <definedName name="_xlnm.Print_Area" localSheetId="1">'A) Resumen Ingresos y Egresos'!$A$1:$N$59</definedName>
    <definedName name="_xlnm.Print_Area" localSheetId="3">'C) Estimación Costos'!$A$1:$H$75</definedName>
    <definedName name="_xlnm.Print_Area" localSheetId="5">'E) Resumen Tarifado '!$A$4:$D$14</definedName>
    <definedName name="bienique1">'A) Resumen Ingresos y Egresos'!$A$8</definedName>
    <definedName name="Excel_BuiltIn_Print_Area" localSheetId="3">'C)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1">'A) Resumen Ingresos y Egresos'!$1:$19</definedName>
    <definedName name="_xlnm.Print_Titles" localSheetId="3">'C) Estimación Costos'!$1:$11</definedName>
  </definedNames>
  <calcPr fullCalcOnLoad="1"/>
</workbook>
</file>

<file path=xl/comments2.xml><?xml version="1.0" encoding="utf-8"?>
<comments xmlns="http://schemas.openxmlformats.org/spreadsheetml/2006/main">
  <authors>
    <author>130 Carolina Vera</author>
  </authors>
  <commentList>
    <comment ref="B20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Marzo a Diciembre + Matrícula</t>
        </r>
      </text>
    </comment>
    <comment ref="B23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Marzo a Diciembre + Matrícula
</t>
        </r>
      </text>
    </comment>
    <comment ref="B26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Sin pago de matrícula
Valor mensual
Funcionamiento 11 meses
</t>
        </r>
      </text>
    </comment>
    <comment ref="B29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Sin pago de matrícula
Valor mensual
Funcionamiento 11 meses</t>
        </r>
      </text>
    </comment>
    <comment ref="B44" authorId="0">
      <text>
        <r>
          <rPr>
            <b/>
            <sz val="9"/>
            <rFont val="Tahoma"/>
            <family val="0"/>
          </rPr>
          <t>130 Carolina Vera:</t>
        </r>
        <r>
          <rPr>
            <sz val="9"/>
            <rFont val="Tahoma"/>
            <family val="0"/>
          </rPr>
          <t xml:space="preserve">
Se consideran 9 meses de funcionamiento (abril a dicimebre)</t>
        </r>
      </text>
    </comment>
  </commentList>
</comments>
</file>

<file path=xl/comments3.xml><?xml version="1.0" encoding="utf-8"?>
<comments xmlns="http://schemas.openxmlformats.org/spreadsheetml/2006/main">
  <authors>
    <author>130 Carolina Vera</author>
  </authors>
  <commentList>
    <comment ref="C28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Valor ingreso mensual promedio 2017-2021</t>
        </r>
      </text>
    </comment>
  </commentList>
</comments>
</file>

<file path=xl/sharedStrings.xml><?xml version="1.0" encoding="utf-8"?>
<sst xmlns="http://schemas.openxmlformats.org/spreadsheetml/2006/main" count="504" uniqueCount="297">
  <si>
    <t>REPARTICION:</t>
  </si>
  <si>
    <t>Cálculo Ingreso</t>
  </si>
  <si>
    <t>Ocupación / Cargo</t>
  </si>
  <si>
    <t>Reajuste</t>
  </si>
  <si>
    <t>Prestación</t>
  </si>
  <si>
    <t>Total</t>
  </si>
  <si>
    <t>Meta Ocupación</t>
  </si>
  <si>
    <t>Ingreso anual</t>
  </si>
  <si>
    <t>Ingreso total anual</t>
  </si>
  <si>
    <t>REMUNERACIONES DIRECTAS</t>
  </si>
  <si>
    <t>GASTO DE OPERACIÓN</t>
  </si>
  <si>
    <t>COMBUSTIBLE LUBRIC P.VEHICULOS</t>
  </si>
  <si>
    <t>MAT.P/MATEN.Y REPARACION</t>
  </si>
  <si>
    <t>ELECTRICIDAD</t>
  </si>
  <si>
    <t>AGUA</t>
  </si>
  <si>
    <t>GAS</t>
  </si>
  <si>
    <t>TELEFONIA FIJA</t>
  </si>
  <si>
    <t>ACCESO A INTERNET</t>
  </si>
  <si>
    <t>SERVICIOS DE ASEO</t>
  </si>
  <si>
    <t>PASAJES, FLETES Y BODEGAJE</t>
  </si>
  <si>
    <t>SERVICIOS INFORMATICOS</t>
  </si>
  <si>
    <t>GASTOS DE ADMINISTRACIÓN Y VENTAS</t>
  </si>
  <si>
    <t>GASTO EN PERSONAL</t>
  </si>
  <si>
    <t>CURSOS DE CAPACITACION</t>
  </si>
  <si>
    <t>CONSUMOS BÁSICOS</t>
  </si>
  <si>
    <t>OTROS SERVICIOS BASICOS</t>
  </si>
  <si>
    <t>BIENES DE CONSUMO</t>
  </si>
  <si>
    <t>MATERIALES DE OFICINA</t>
  </si>
  <si>
    <t>FERT.INSECT.FUNG.Y OTROS</t>
  </si>
  <si>
    <t>MAT.Y UTILES DE ASEO</t>
  </si>
  <si>
    <t>MENAJE OFICINA CASINO Y OTROS</t>
  </si>
  <si>
    <t>MOBILIARIO Y OTROS</t>
  </si>
  <si>
    <t>SERVICIOS GENERALES</t>
  </si>
  <si>
    <t>SERVICIO DE PUBLICIDAD</t>
  </si>
  <si>
    <t>SERVICIO DE IMPRESION</t>
  </si>
  <si>
    <t>SEGURO INMUEBLES</t>
  </si>
  <si>
    <t>MANTENCIÓN Y REPARACIÓN</t>
  </si>
  <si>
    <t>OTROS GASTOS</t>
  </si>
  <si>
    <t>Costo Unitario Promedio</t>
  </si>
  <si>
    <t>Cantidad</t>
  </si>
  <si>
    <t>Nombre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</si>
  <si>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</si>
  <si>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</si>
  <si>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</si>
  <si>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</si>
  <si>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</si>
  <si>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</si>
  <si>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Ingresos Totales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</si>
  <si>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</si>
  <si>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</si>
  <si>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</si>
  <si>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</si>
  <si>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</si>
  <si>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</si>
  <si>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</si>
  <si>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</si>
  <si>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</si>
  <si>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</si>
  <si>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MANT.Y REPAR. MOBILIARIO Y OTROS</t>
  </si>
  <si>
    <t>MANT.Y REPAR. DE EQUIPOS OFICINA</t>
  </si>
  <si>
    <t>MANT.Y REPAR. EQUIPOS INFORMATICOS</t>
  </si>
  <si>
    <t>SERVICIO DE MANTENCION JARDINES</t>
  </si>
  <si>
    <t>COSTO DIRECTO TOTAL</t>
  </si>
  <si>
    <t>Total Anual</t>
  </si>
  <si>
    <t>Costos Totales</t>
  </si>
  <si>
    <t>C) REMUNERACIONES DEL PERSONAL CÓDIGO DEL TRABAJO</t>
  </si>
  <si>
    <t>Centro de Beneficio</t>
  </si>
  <si>
    <t>Total Bonos anual</t>
  </si>
  <si>
    <t>Total Aguinaldos anual</t>
  </si>
  <si>
    <t>TABLA 3: COMPARACIÓN TARIFAS CON PRECIOS DE MERCADO</t>
  </si>
  <si>
    <t>E) Resumen Ingresos y Egresos</t>
  </si>
  <si>
    <t>E) RESUMEN DE INGRESOS Y EGRESOS</t>
  </si>
  <si>
    <t>Total Meta Ocupación</t>
  </si>
  <si>
    <t>DALEGRÍA</t>
  </si>
  <si>
    <t>TABLA 7: DETALLE DE INGRESOS POR PRESTACIÓN Y SEGMENTO</t>
  </si>
  <si>
    <t>TABLA 4: REMUNERACIONES DEL PERSONAL LEY 18.712 DE DALEGRÍA</t>
  </si>
  <si>
    <t>TABLA 4: REMUNERACIONES DEL PERSONAL LEY 18.712 DALEGRÍA</t>
  </si>
  <si>
    <t>ANEXO C</t>
  </si>
  <si>
    <t>D) ESTIMACION DE COSTOS</t>
  </si>
  <si>
    <t>D) Estimación Costos</t>
  </si>
  <si>
    <t>TABLA 5: COSTOS DIRECTOS DE DALEGRÍA</t>
  </si>
  <si>
    <t>TABLA 8: RESUMEN DE TARIFADO DE DALEGRÍA</t>
  </si>
  <si>
    <t>TABLA 6: RESUMEN DE INGRESOS Y EGRESOS DE DALEGRÍA</t>
  </si>
  <si>
    <t>BIENVALP</t>
  </si>
  <si>
    <t>A) REAJUSTE DE TARIFAS Y METAS DE OCUPACIÓN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</si>
  <si>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</si>
  <si>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</si>
  <si>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</si>
  <si>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</si>
  <si>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</si>
  <si>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</si>
  <si>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</si>
  <si>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PRODUCTOS QUIMICOS (EXTINTOR)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</si>
  <si>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</si>
  <si>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</si>
  <si>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</si>
  <si>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</si>
  <si>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</si>
  <si>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</si>
  <si>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</si>
  <si>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PROD.QUIMIC,FARMACEUTICOS IND. (BOTIQUIN)</t>
  </si>
  <si>
    <t>EQUIPOS COMPUTACIONALES (CAMARAS DE VIGILANCIA)</t>
  </si>
  <si>
    <t>TEXTOS Y OTROS MAT.ENSEÑANZA</t>
  </si>
  <si>
    <t>SERVICIOS DE VIGILANCIA /SEGURIDAD</t>
  </si>
  <si>
    <t>OTROS SERVICIOS GENERALES (FUMIGACIÓN)</t>
  </si>
  <si>
    <t>SEGURO PARVULOS</t>
  </si>
  <si>
    <t>OTROS SERVICIOS GENERALES (LAVANDERIIA)</t>
  </si>
  <si>
    <t>OTROS ARRIENDOS (BUSES)</t>
  </si>
  <si>
    <t>MANT.Y REPAR. OTRAS MAQ. Y EQUIP. (COCINA)</t>
  </si>
  <si>
    <t>OTROS MANTEN. Y REPAR. MENORES (GASFITERIA Y ELECTRICIDAD)</t>
  </si>
  <si>
    <t>OTROS MANTEN. Y REP.MENORES</t>
  </si>
  <si>
    <t>Personal Servicio Activo Armada y otras FFAA</t>
  </si>
  <si>
    <t>PDI</t>
  </si>
  <si>
    <t>GENDARMERIA</t>
  </si>
  <si>
    <t>Casos Especiales</t>
  </si>
  <si>
    <t>PERSONAL SERVICIO ACTIVO</t>
  </si>
  <si>
    <t>PERSONAL EN RETIRO</t>
  </si>
  <si>
    <t>CASOS ESPECIALES</t>
  </si>
  <si>
    <t xml:space="preserve"> PERSONAL EN RETIRO</t>
  </si>
  <si>
    <t xml:space="preserve">PDI  </t>
  </si>
  <si>
    <t xml:space="preserve">  GENDARMERÍA</t>
  </si>
  <si>
    <t xml:space="preserve"> GENDARMERÍA</t>
  </si>
  <si>
    <t>EN RETIRO</t>
  </si>
  <si>
    <t>Aportes</t>
  </si>
  <si>
    <t>COSTO DIRECTO ESTIMADO 2021</t>
  </si>
  <si>
    <t>TERAPEUTA OCUPACIONAL</t>
  </si>
  <si>
    <t>DIRECTORA EJECUTIVA</t>
  </si>
  <si>
    <t>AUXILIAR DE ASEO</t>
  </si>
  <si>
    <t>EDUCADORA DIFERENCIAL</t>
  </si>
  <si>
    <t>KINESIOLOGA</t>
  </si>
  <si>
    <t>PSICOLOGA</t>
  </si>
  <si>
    <t>FONOAUDIOLOGO</t>
  </si>
  <si>
    <t>NN</t>
  </si>
  <si>
    <t>Costo Total Remuneraciones por Prestación</t>
  </si>
  <si>
    <t>ADMINISTRACIÓN</t>
  </si>
  <si>
    <t>Aporte Institucional</t>
  </si>
  <si>
    <t>Apoyo de Vida</t>
  </si>
  <si>
    <t>SECRETARIA</t>
  </si>
  <si>
    <t>ARRIENDO</t>
  </si>
  <si>
    <t>TECNICO</t>
  </si>
  <si>
    <t>FF.PP.</t>
  </si>
  <si>
    <t>EC</t>
  </si>
  <si>
    <t>PAC</t>
  </si>
  <si>
    <t xml:space="preserve">REMUNERACIONES </t>
  </si>
  <si>
    <t xml:space="preserve">Costo Total por Servidor Reajustado </t>
  </si>
  <si>
    <t xml:space="preserve">Costo Total anual por Servidor </t>
  </si>
  <si>
    <t>Propuesta Tarifa</t>
  </si>
  <si>
    <t xml:space="preserve">Atención terapéutica </t>
  </si>
  <si>
    <t>GASTO PROMEDIO AÑO 2019 REAJUSTADO</t>
  </si>
  <si>
    <t xml:space="preserve">Gasto mensual </t>
  </si>
  <si>
    <t>N° Horas</t>
  </si>
  <si>
    <t>TOTAL</t>
  </si>
  <si>
    <t>Tipo Contrato actual</t>
  </si>
  <si>
    <t>EQUIPO PERMANENCIA</t>
  </si>
  <si>
    <t>EVALUACIÓN</t>
  </si>
  <si>
    <t>VALOR HORA POR PROFESIONAL</t>
  </si>
  <si>
    <t>TARIFA SESION EVALUACIÓN</t>
  </si>
  <si>
    <t>PERMANENCIA (AM)</t>
  </si>
  <si>
    <t>VALOR SESIÓN POR PROFESIONAL</t>
  </si>
  <si>
    <t>TARIFA SESION PERMANENCIA</t>
  </si>
  <si>
    <t>COSTO OPERACIÓN POR SESIÓN (JORNADA COMPLETA)</t>
  </si>
  <si>
    <t>COSTO OPERACIÓN POR SESIÓN (MEDIA JORNADA)</t>
  </si>
  <si>
    <t>EQUIPO  EVALUACIÓN</t>
  </si>
  <si>
    <t xml:space="preserve"> VALOR SESIÓN PROMEDIO</t>
  </si>
  <si>
    <t>25 SESIONES POR SEMANA</t>
  </si>
  <si>
    <t>COSTO MENSUAL (100 SESIONES)</t>
  </si>
  <si>
    <t>COSTO MÁXIMO (19 SESIONES)</t>
  </si>
  <si>
    <t>180 SESIONES POR PROFESIONAL (45*4)</t>
  </si>
  <si>
    <t>6 PROFESIONALES</t>
  </si>
  <si>
    <t>1 conexión de enlace dedicado  (fibra optica 100 mgbt)</t>
  </si>
  <si>
    <t>Reposición 2 computadore administrativos (Secret. - Dirección)</t>
  </si>
  <si>
    <t>polera y pantalón clínico</t>
  </si>
  <si>
    <t>Material aseo y EPP</t>
  </si>
  <si>
    <t>Microonda personal</t>
  </si>
  <si>
    <t>Producto</t>
  </si>
  <si>
    <t>Valor Unitario</t>
  </si>
  <si>
    <t>ADQUISICIÓN COSTOS PUESTA EN MARCHA</t>
  </si>
  <si>
    <t>ESCRITORIO</t>
  </si>
  <si>
    <t>SILLA PROFESIONAL</t>
  </si>
  <si>
    <t>MESA ESCOLAR INDIVIDUAL</t>
  </si>
  <si>
    <t>SILLA ESCOLAR</t>
  </si>
  <si>
    <t>MESA PREESCOLAR</t>
  </si>
  <si>
    <t>SILLA PREESCOLAR</t>
  </si>
  <si>
    <t>SILLA ATENCIÓN USUARIO/ADULTO</t>
  </si>
  <si>
    <t>ESTANTE CON PUERTAS</t>
  </si>
  <si>
    <t>CAPACITACIONES E INSTRUMENTOS EVALUATIVOS</t>
  </si>
  <si>
    <t>CAPACITACIÓN ADIR (TEA)</t>
  </si>
  <si>
    <t>CAPACITACIÓN ADOS (TEA)</t>
  </si>
  <si>
    <t>BATERIA ADOS</t>
  </si>
  <si>
    <t>CAPACITACIÓN EVALÚA (DEA)</t>
  </si>
  <si>
    <t>INSTRUM. EVALÚA (0 AL 10)</t>
  </si>
  <si>
    <t>PRUEBA FUNCIONES BÁSICAS (DEA)</t>
  </si>
  <si>
    <t>PRUEBA PRECÁLCULO (DEA)</t>
  </si>
  <si>
    <t>CUADERNILLOS PFB + PRECALCULO</t>
  </si>
  <si>
    <t>CLPT (DEA)</t>
  </si>
  <si>
    <t>CUADERNILLO CLPT</t>
  </si>
  <si>
    <t>EVA MAT - EVA LEC (DEA)</t>
  </si>
  <si>
    <t>DOMINIO LECTOR (DEA)</t>
  </si>
  <si>
    <t>COMPUTADOR</t>
  </si>
  <si>
    <t>CAMILLA KINESIOLOGÍA</t>
  </si>
  <si>
    <t>TALLER INTERMEDIO WISC</t>
  </si>
  <si>
    <t>CURSO CONDUCTA ADAPTATIVA Y DIAG. DI</t>
  </si>
  <si>
    <t>WISC V (batería) (DI)</t>
  </si>
  <si>
    <t>PLAN MANTENCIÓN AÑO 22</t>
  </si>
  <si>
    <t>1 manipuladora (personal) Y ASEO</t>
  </si>
  <si>
    <t>hojas - tintas - tonner, MATERUIALES LIBRERÍA.</t>
  </si>
  <si>
    <t>REPOSICIÓN MATERIALES QUIRURGICOS</t>
  </si>
  <si>
    <t>MOBILIARIO CASA PROYECTO</t>
  </si>
  <si>
    <t>CAMA 1 PLAZA</t>
  </si>
  <si>
    <t>LIVING</t>
  </si>
  <si>
    <t>COMEDOR</t>
  </si>
  <si>
    <t>MICROONDAS</t>
  </si>
  <si>
    <t>HORNO ELECTRICO</t>
  </si>
  <si>
    <t>ROPA DE CAMA</t>
  </si>
  <si>
    <t>MANIPULADORA DE ALIMENTOS</t>
  </si>
  <si>
    <t>COSTA MILLONES ALEJANDRA GISELLE</t>
  </si>
  <si>
    <t>CUITIÑO SAAVEDRA CATHERYNE DEL CARMEN</t>
  </si>
  <si>
    <t>NAVARRO CANEPA ALEJANDRO BORIS</t>
  </si>
  <si>
    <t>ROMERO ROMERO PATRICIO ALFONSO</t>
  </si>
  <si>
    <t>URIBE ARANDA CAROLINA ANDREA</t>
  </si>
  <si>
    <t>RAMONET GRANDON MIREYA ELVIRA</t>
  </si>
  <si>
    <t>EQUIPO INTERVENCIÓN AM Y PM</t>
  </si>
  <si>
    <t>GONZÁLEZ MUÑOZ LORETO</t>
  </si>
  <si>
    <t>RIVEROS UNDURRAGA IVONNE ANA</t>
  </si>
  <si>
    <t>ROSAS SOTO VALESKA MELISSA</t>
  </si>
  <si>
    <t>ORREGO WALLACE PATRICIA ESTER</t>
  </si>
  <si>
    <t>ZAPATA ZAMORANO GISELLE</t>
  </si>
  <si>
    <t xml:space="preserve">LARA PÉREZ VALENTINA </t>
  </si>
  <si>
    <t>TECNICO DIFERENCIAL</t>
  </si>
  <si>
    <t>SANIDAD NAVAL</t>
  </si>
  <si>
    <t>GM</t>
  </si>
  <si>
    <t>HERNANDEZ SAN MARTIN MARIA JOSÉ</t>
  </si>
  <si>
    <t>MENDEZ VALDEBENITO CLAUDIA</t>
  </si>
  <si>
    <t>AGUILERA GRONDONA ALEJANDRA</t>
  </si>
  <si>
    <t>BARRAZA PATRICIA</t>
  </si>
  <si>
    <t>CONSTENLA LEONILDA</t>
  </si>
  <si>
    <t>VERGARA CAROL</t>
  </si>
  <si>
    <t>ROJA JUAN ANTONIO</t>
  </si>
  <si>
    <t>ANATIBIA PATRICIA</t>
  </si>
  <si>
    <t>DÍAZ NATALY</t>
  </si>
  <si>
    <t>CORTILLAS ROLLER BOX</t>
  </si>
  <si>
    <t>PRIORIDAD</t>
  </si>
  <si>
    <t>PEP - 3 (flgìa)</t>
  </si>
  <si>
    <t>IDTEL (flgìa)</t>
  </si>
  <si>
    <t>CAPACITACIÓN: TEST DE APP Y Dº INFANTIL (TADI)  (klgìa)</t>
  </si>
  <si>
    <t>BATERIA: TADI (klgìa)</t>
  </si>
  <si>
    <t>PRIORIDAD (Eval. TEA):</t>
  </si>
  <si>
    <t>Programa Especial (ambulatorio)</t>
  </si>
  <si>
    <t>Jornada Completa</t>
  </si>
  <si>
    <t>Media Extendida (modalidad escolar)</t>
  </si>
  <si>
    <t>Jornada Completa (modalidad escolar)</t>
  </si>
  <si>
    <t>Informes de Evaluación Multidisciplinario</t>
  </si>
  <si>
    <t>Informes de Evaluación Multi - TEA</t>
  </si>
  <si>
    <t xml:space="preserve"> Mensualidad 2021</t>
  </si>
  <si>
    <t>Propuesta Tarifas 2022</t>
  </si>
  <si>
    <t>PERMANENCIA MEDIA JORNADA (sin almuerzo)</t>
  </si>
  <si>
    <t>PERMANENCIA J. COMPLETA (con almuerzo)</t>
  </si>
  <si>
    <t>INDEMNIZACIÓN POR AÑOS DE SERVICIO</t>
  </si>
  <si>
    <t>Tarifa 2022</t>
  </si>
  <si>
    <t>VARIACIÓN $</t>
  </si>
  <si>
    <t>REAJUSTE TARIFA DE PERMANENCIA</t>
  </si>
  <si>
    <t>Puesta en Marcha</t>
  </si>
  <si>
    <t>Rem. Directora</t>
  </si>
  <si>
    <t>APORTES DIREBIEN</t>
  </si>
  <si>
    <t>Aporte Socios aprox.</t>
  </si>
  <si>
    <t>Aporte Total 
DIREBIEN 2022</t>
  </si>
  <si>
    <t>Total costo puesta en marcha (prioridad)</t>
  </si>
  <si>
    <t>ATENCION VERANO (ENERO)
Tarifa 2021</t>
  </si>
  <si>
    <t xml:space="preserve">Telefono </t>
  </si>
  <si>
    <t>VALOR SESION AMBULATORIA TEA</t>
  </si>
  <si>
    <t>VALOR SESION AMBULATORIA OTROS DIAGNOSTICOS</t>
  </si>
  <si>
    <t>AMBULATORIO OTROS DIAGNOSTICOS (8 Sesiones Mensuales)</t>
  </si>
  <si>
    <t>AMBULATORIO TEA (8 Sesiones Mensuales)</t>
  </si>
  <si>
    <t>AMBULATORIO TEA (12 Sesiones Mensuales)</t>
  </si>
  <si>
    <t>AMBULATORIO OTROS DIAGOSTICOS (12 Sesiones Mensuales)</t>
  </si>
  <si>
    <t xml:space="preserve"> </t>
  </si>
  <si>
    <t>7 MATRICULAS 11 MESES</t>
  </si>
  <si>
    <t>recarga extintores</t>
  </si>
  <si>
    <t>SUPLENCIAS Y REEMPLAZOS (ECoPAC)</t>
  </si>
  <si>
    <t>PLAN DE ARTICULACION OTROS DIAGNÓSTICOS</t>
  </si>
  <si>
    <t>PLAN DE ARTICULACION TEA</t>
  </si>
  <si>
    <t>cantidades de usuarios equivalen a la proporición de la actual demanda en dalegria 70% tea y 30% no tea</t>
  </si>
  <si>
    <t>evaluaciones proyectadas mensuales 16 . Anuales 144</t>
  </si>
  <si>
    <t>visitas o reuniones mesnuales proyectadas 4. anuales abr a ene</t>
  </si>
  <si>
    <t>EVALUACIÓN OTROS DIAGNOSTICOS 8 SESIONES</t>
  </si>
  <si>
    <t>EVALUACIÓN TEA DE 9 A 12 SESIONES</t>
  </si>
  <si>
    <t>EVALUACIÓN OTROS DIAGNOSTICOS 9 A 12 SESIONES</t>
  </si>
  <si>
    <t>EVALUACIÓN TEA 8 SESIONES</t>
  </si>
  <si>
    <t>CONVENIO DIRECSAN</t>
  </si>
  <si>
    <t>Ocupación mensual (USUARIOS)</t>
  </si>
  <si>
    <t>Resultado</t>
  </si>
  <si>
    <t>GASTO PROMEDIO AÑO 2019 REAJUSTADO 30% (5,7 ipc)</t>
  </si>
  <si>
    <t>5 ffpp +1 ALUMNA</t>
  </si>
  <si>
    <t xml:space="preserve">INSTRUMENTO WISC </t>
  </si>
  <si>
    <t>MA. FRANCISCA OYARZO</t>
  </si>
  <si>
    <t xml:space="preserve">DEFICIT </t>
  </si>
  <si>
    <t>FALTA TRASPASAR DE DIREBIEN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</si>
</sst>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\$* #,##0.00_-;&quot;-$&quot;* #,##0.00_-;_-\$* \-??_-;_-@_-"/>
    <numFmt numFmtId="173" formatCode="\$#,##0_);&quot;($&quot;#,##0\)"/>
    <numFmt numFmtId="174" formatCode="_-&quot;$ &quot;* #,##0_-;&quot;-$ &quot;* #,##0_-;_-&quot;$ &quot;* \-_-;_-@_-"/>
    <numFmt numFmtId="175" formatCode="0\ %"/>
    <numFmt numFmtId="176" formatCode="0.0%"/>
    <numFmt numFmtId="177" formatCode="#,##0_ ;[Red]\-#,##0\ "/>
    <numFmt numFmtId="178" formatCode="_-* #,##0.00_-;\-* #,##0.00_-;_-* \-??_-;_-@_-"/>
    <numFmt numFmtId="179" formatCode="_-\ * #,##0_-;&quot;$ &quot;* #,##0_-;_-\ * \-_-;_-@_-"/>
    <numFmt numFmtId="180" formatCode="_-* #,##0.0_-;\-* #,##0.0_-;_-* \-??_-;_-@_-"/>
    <numFmt numFmtId="181" formatCode="_(* #,##0_);_(* \(#,##0\);_(* \-_);_(@_)"/>
    <numFmt numFmtId="182" formatCode="_-* #,##0_-;\-* #,##0_-;_-* \-??_-;_-@_-"/>
    <numFmt numFmtId="183" formatCode="&quot;$&quot;\ #,##0"/>
    <numFmt numFmtId="184" formatCode="_-&quot;$&quot;* #,##0_-;\-&quot;$&quot;* #,##0_-;_-&quot;$&quot;* &quot;-&quot;??_-;_-@_-"/>
    <numFmt numFmtId="185" formatCode="#,##0_ ;\-#,##0\ "/>
    <numFmt numFmtId="186" formatCode="0.00\ %"/>
    <numFmt numFmtId="187" formatCode="_-\$* #,##0_-;&quot;-$&quot;* #,##0_-;_-\$* \-??_-;_-@_-"/>
    <numFmt numFmtId="188" formatCode="_ \$* #,##0_ ;_ \$* \-#,##0_ ;_ \$* \-_ ;_ @_ "/>
    <numFmt numFmtId="189" formatCode="0&quot; AÑOS&quot;"/>
    <numFmt numFmtId="190" formatCode="_-&quot;$ &quot;* #,##0_-;&quot;-$ &quot;* #,##0_-;_-&quot;$ &quot;* \-??_-;_-@"/>
    <numFmt numFmtId="191" formatCode="0.0"/>
    <numFmt numFmtId="192" formatCode="_-\$* #,##0.0_-;&quot;-$&quot;* #,##0.0_-;_-\$* \-??_-;_-@_-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-* #,##0.000_-;\-* #,##0.000_-;_-* \-??_-;_-@_-"/>
    <numFmt numFmtId="203" formatCode="_-* #,##0.0000_-;\-* #,##0.0000_-;_-* \-??_-;_-@_-"/>
    <numFmt numFmtId="204" formatCode="_-\$* #,##0.000_-;&quot;-$&quot;* #,##0.000_-;_-\$* \-??_-;_-@_-"/>
    <numFmt numFmtId="205" formatCode="&quot;$&quot;#,##0"/>
    <numFmt numFmtId="206" formatCode="[$-340A]dddd\,\ dd&quot; de &quot;mmmm&quot; de &quot;yyyy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8"/>
      <color indexed="36"/>
      <name val="Arial"/>
      <family val="2"/>
    </font>
    <font>
      <b/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8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125">
        <bgColor theme="0" tint="-0.4999699890613556"/>
      </patternFill>
    </fill>
    <fill>
      <patternFill patternType="gray1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gray125">
        <bgColor theme="3" tint="-0.24997000396251678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125">
        <bgColor theme="5" tint="0.39998000860214233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fgColor indexed="24"/>
        <bgColor theme="4" tint="0.5999900102615356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>
        <color indexed="8"/>
      </top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6" borderId="0" applyNumberFormat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72" fontId="0" fillId="0" borderId="0">
      <alignment/>
      <protection/>
    </xf>
    <xf numFmtId="168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8" fillId="37" borderId="0" applyNumberFormat="0" applyBorder="0" applyAlignment="0" applyProtection="0"/>
    <xf numFmtId="0" fontId="61" fillId="0" borderId="0">
      <alignment/>
      <protection/>
    </xf>
    <xf numFmtId="0" fontId="0" fillId="38" borderId="5" applyNumberFormat="0" applyFont="0" applyAlignment="0" applyProtection="0"/>
    <xf numFmtId="0" fontId="5" fillId="37" borderId="6" applyNumberFormat="0" applyAlignment="0" applyProtection="0"/>
    <xf numFmtId="175" fontId="0" fillId="0" borderId="0">
      <alignment/>
      <protection/>
    </xf>
    <xf numFmtId="0" fontId="62" fillId="25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57" fillId="0" borderId="9" applyNumberFormat="0" applyFill="0" applyAlignment="0" applyProtection="0"/>
    <xf numFmtId="0" fontId="67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75" fontId="0" fillId="0" borderId="0" xfId="69" applyFo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 vertical="center"/>
      <protection/>
    </xf>
    <xf numFmtId="174" fontId="13" fillId="39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4" fontId="0" fillId="0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5" fontId="14" fillId="0" borderId="0" xfId="69" applyFont="1" applyBorder="1" applyAlignment="1" applyProtection="1">
      <alignment vertical="center"/>
      <protection/>
    </xf>
    <xf numFmtId="180" fontId="0" fillId="0" borderId="0" xfId="60" applyNumberFormat="1" applyFont="1" applyFill="1" applyBorder="1" applyAlignment="1" applyProtection="1">
      <alignment vertical="center"/>
      <protection/>
    </xf>
    <xf numFmtId="175" fontId="0" fillId="0" borderId="0" xfId="69" applyFont="1" applyFill="1" applyProtection="1">
      <alignment/>
      <protection/>
    </xf>
    <xf numFmtId="0" fontId="0" fillId="40" borderId="0" xfId="0" applyFont="1" applyFill="1" applyBorder="1" applyAlignment="1" applyProtection="1">
      <alignment horizontal="left" vertical="center"/>
      <protection/>
    </xf>
    <xf numFmtId="183" fontId="0" fillId="40" borderId="0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/>
      <protection/>
    </xf>
    <xf numFmtId="17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183" fontId="13" fillId="40" borderId="0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180" fontId="13" fillId="41" borderId="11" xfId="6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4" fontId="16" fillId="0" borderId="0" xfId="62" applyNumberFormat="1" applyFont="1" applyFill="1" applyBorder="1" applyAlignment="1" applyProtection="1">
      <alignment vertical="center"/>
      <protection/>
    </xf>
    <xf numFmtId="182" fontId="16" fillId="0" borderId="0" xfId="6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4" fontId="11" fillId="0" borderId="0" xfId="62" applyNumberFormat="1" applyFont="1" applyFill="1" applyBorder="1" applyAlignment="1" applyProtection="1">
      <alignment vertical="center"/>
      <protection/>
    </xf>
    <xf numFmtId="174" fontId="10" fillId="0" borderId="0" xfId="0" applyNumberFormat="1" applyFont="1" applyFill="1" applyBorder="1" applyAlignment="1" applyProtection="1">
      <alignment vertical="center"/>
      <protection/>
    </xf>
    <xf numFmtId="175" fontId="13" fillId="0" borderId="0" xfId="69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83" fontId="13" fillId="42" borderId="12" xfId="0" applyNumberFormat="1" applyFont="1" applyFill="1" applyBorder="1" applyAlignment="1" applyProtection="1">
      <alignment horizontal="center" vertical="center"/>
      <protection/>
    </xf>
    <xf numFmtId="176" fontId="13" fillId="42" borderId="12" xfId="6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horizontal="left" vertical="center" indent="2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 vertical="center"/>
      <protection/>
    </xf>
    <xf numFmtId="0" fontId="18" fillId="4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1" fontId="0" fillId="0" borderId="14" xfId="0" applyNumberFormat="1" applyBorder="1" applyAlignment="1" applyProtection="1">
      <alignment horizontal="center" vertical="center" wrapText="1"/>
      <protection/>
    </xf>
    <xf numFmtId="181" fontId="16" fillId="0" borderId="15" xfId="0" applyNumberFormat="1" applyFont="1" applyBorder="1" applyAlignment="1" applyProtection="1">
      <alignment horizontal="left"/>
      <protection/>
    </xf>
    <xf numFmtId="182" fontId="16" fillId="1" borderId="12" xfId="60" applyNumberFormat="1" applyFont="1" applyFill="1" applyBorder="1" applyAlignment="1" applyProtection="1">
      <alignment vertical="center"/>
      <protection/>
    </xf>
    <xf numFmtId="1" fontId="0" fillId="0" borderId="16" xfId="0" applyNumberFormat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/>
      <protection/>
    </xf>
    <xf numFmtId="181" fontId="68" fillId="0" borderId="15" xfId="0" applyNumberFormat="1" applyFont="1" applyBorder="1" applyAlignment="1" applyProtection="1">
      <alignment horizontal="left"/>
      <protection/>
    </xf>
    <xf numFmtId="1" fontId="0" fillId="44" borderId="14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center" vertical="center" wrapText="1"/>
      <protection/>
    </xf>
    <xf numFmtId="181" fontId="16" fillId="0" borderId="19" xfId="0" applyNumberFormat="1" applyFont="1" applyBorder="1" applyAlignment="1" applyProtection="1">
      <alignment horizontal="left"/>
      <protection/>
    </xf>
    <xf numFmtId="179" fontId="0" fillId="0" borderId="12" xfId="6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2" fontId="13" fillId="0" borderId="0" xfId="62" applyFont="1" applyAlignment="1" applyProtection="1">
      <alignment vertical="center"/>
      <protection/>
    </xf>
    <xf numFmtId="174" fontId="0" fillId="45" borderId="12" xfId="62" applyNumberFormat="1" applyFont="1" applyFill="1" applyBorder="1" applyAlignment="1" applyProtection="1">
      <alignment vertical="center"/>
      <protection/>
    </xf>
    <xf numFmtId="174" fontId="0" fillId="45" borderId="20" xfId="62" applyNumberFormat="1" applyFont="1" applyFill="1" applyBorder="1" applyAlignment="1" applyProtection="1">
      <alignment vertical="center"/>
      <protection/>
    </xf>
    <xf numFmtId="174" fontId="0" fillId="45" borderId="21" xfId="62" applyNumberFormat="1" applyFont="1" applyFill="1" applyBorder="1" applyAlignment="1" applyProtection="1">
      <alignment vertical="center"/>
      <protection/>
    </xf>
    <xf numFmtId="174" fontId="0" fillId="45" borderId="22" xfId="62" applyNumberFormat="1" applyFont="1" applyFill="1" applyBorder="1" applyAlignment="1" applyProtection="1">
      <alignment vertical="center"/>
      <protection/>
    </xf>
    <xf numFmtId="0" fontId="26" fillId="46" borderId="23" xfId="0" applyFont="1" applyFill="1" applyBorder="1" applyAlignment="1" applyProtection="1">
      <alignment/>
      <protection locked="0"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13" fillId="47" borderId="24" xfId="0" applyFont="1" applyFill="1" applyBorder="1" applyAlignment="1" applyProtection="1">
      <alignment horizontal="center" vertical="center" wrapText="1"/>
      <protection/>
    </xf>
    <xf numFmtId="0" fontId="26" fillId="46" borderId="25" xfId="0" applyFont="1" applyFill="1" applyBorder="1" applyAlignment="1" applyProtection="1">
      <alignment/>
      <protection locked="0"/>
    </xf>
    <xf numFmtId="0" fontId="26" fillId="46" borderId="26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40" borderId="0" xfId="0" applyFont="1" applyFill="1" applyAlignment="1" applyProtection="1">
      <alignment horizontal="left"/>
      <protection/>
    </xf>
    <xf numFmtId="0" fontId="13" fillId="47" borderId="27" xfId="0" applyFont="1" applyFill="1" applyBorder="1" applyAlignment="1" applyProtection="1">
      <alignment horizontal="center" vertical="center" wrapText="1"/>
      <protection/>
    </xf>
    <xf numFmtId="183" fontId="18" fillId="8" borderId="28" xfId="0" applyNumberFormat="1" applyFont="1" applyFill="1" applyBorder="1" applyAlignment="1" applyProtection="1">
      <alignment vertical="center"/>
      <protection/>
    </xf>
    <xf numFmtId="183" fontId="17" fillId="8" borderId="29" xfId="0" applyNumberFormat="1" applyFont="1" applyFill="1" applyBorder="1" applyAlignment="1" applyProtection="1">
      <alignment vertical="center"/>
      <protection/>
    </xf>
    <xf numFmtId="187" fontId="0" fillId="0" borderId="0" xfId="62" applyNumberFormat="1">
      <alignment/>
      <protection/>
    </xf>
    <xf numFmtId="0" fontId="13" fillId="44" borderId="0" xfId="0" applyFont="1" applyFill="1" applyBorder="1" applyAlignment="1" applyProtection="1">
      <alignment horizontal="left" vertical="center"/>
      <protection/>
    </xf>
    <xf numFmtId="174" fontId="0" fillId="44" borderId="0" xfId="62" applyNumberFormat="1" applyFont="1" applyFill="1" applyBorder="1" applyAlignment="1" applyProtection="1">
      <alignment vertical="center"/>
      <protection locked="0"/>
    </xf>
    <xf numFmtId="174" fontId="0" fillId="44" borderId="0" xfId="62" applyNumberFormat="1" applyFont="1" applyFill="1" applyBorder="1" applyAlignment="1" applyProtection="1">
      <alignment vertical="center"/>
      <protection/>
    </xf>
    <xf numFmtId="174" fontId="13" fillId="44" borderId="0" xfId="62" applyNumberFormat="1" applyFont="1" applyFill="1" applyBorder="1" applyAlignment="1" applyProtection="1">
      <alignment vertical="center"/>
      <protection/>
    </xf>
    <xf numFmtId="0" fontId="0" fillId="44" borderId="0" xfId="0" applyFont="1" applyFill="1" applyAlignment="1" applyProtection="1">
      <alignment vertical="center"/>
      <protection/>
    </xf>
    <xf numFmtId="175" fontId="0" fillId="44" borderId="0" xfId="69" applyFont="1" applyFill="1" applyBorder="1" applyAlignment="1" applyProtection="1">
      <alignment horizontal="center" vertical="center"/>
      <protection/>
    </xf>
    <xf numFmtId="182" fontId="16" fillId="44" borderId="12" xfId="60" applyNumberFormat="1" applyFont="1" applyFill="1" applyBorder="1" applyAlignment="1" applyProtection="1">
      <alignment vertical="center"/>
      <protection locked="0"/>
    </xf>
    <xf numFmtId="0" fontId="13" fillId="48" borderId="14" xfId="0" applyFont="1" applyFill="1" applyBorder="1" applyAlignment="1" applyProtection="1">
      <alignment horizontal="center" vertical="center" wrapText="1"/>
      <protection/>
    </xf>
    <xf numFmtId="0" fontId="11" fillId="48" borderId="15" xfId="0" applyFont="1" applyFill="1" applyBorder="1" applyAlignment="1" applyProtection="1">
      <alignment horizontal="left" vertical="center"/>
      <protection/>
    </xf>
    <xf numFmtId="0" fontId="13" fillId="49" borderId="30" xfId="0" applyFont="1" applyFill="1" applyBorder="1" applyAlignment="1" applyProtection="1">
      <alignment horizontal="center" vertical="center"/>
      <protection/>
    </xf>
    <xf numFmtId="0" fontId="11" fillId="50" borderId="15" xfId="0" applyFont="1" applyFill="1" applyBorder="1" applyAlignment="1" applyProtection="1">
      <alignment horizontal="left" vertical="center"/>
      <protection/>
    </xf>
    <xf numFmtId="0" fontId="13" fillId="49" borderId="14" xfId="0" applyFont="1" applyFill="1" applyBorder="1" applyAlignment="1" applyProtection="1">
      <alignment horizontal="center" vertical="center" wrapText="1"/>
      <protection/>
    </xf>
    <xf numFmtId="0" fontId="11" fillId="49" borderId="15" xfId="0" applyFont="1" applyFill="1" applyBorder="1" applyAlignment="1" applyProtection="1">
      <alignment horizontal="left" vertical="center"/>
      <protection/>
    </xf>
    <xf numFmtId="174" fontId="11" fillId="51" borderId="12" xfId="62" applyNumberFormat="1" applyFont="1" applyFill="1" applyBorder="1" applyAlignment="1" applyProtection="1">
      <alignment vertical="center"/>
      <protection/>
    </xf>
    <xf numFmtId="174" fontId="11" fillId="49" borderId="31" xfId="62" applyNumberFormat="1" applyFont="1" applyFill="1" applyBorder="1" applyAlignment="1" applyProtection="1">
      <alignment horizontal="center" vertical="center"/>
      <protection/>
    </xf>
    <xf numFmtId="174" fontId="11" fillId="47" borderId="32" xfId="62" applyNumberFormat="1" applyFont="1" applyFill="1" applyBorder="1" applyAlignment="1" applyProtection="1">
      <alignment vertical="center"/>
      <protection/>
    </xf>
    <xf numFmtId="174" fontId="11" fillId="50" borderId="33" xfId="62" applyNumberFormat="1" applyFont="1" applyFill="1" applyBorder="1" applyAlignment="1" applyProtection="1">
      <alignment horizontal="center" vertical="center"/>
      <protection/>
    </xf>
    <xf numFmtId="174" fontId="11" fillId="48" borderId="33" xfId="62" applyNumberFormat="1" applyFont="1" applyFill="1" applyBorder="1" applyAlignment="1" applyProtection="1">
      <alignment horizontal="center" vertical="center"/>
      <protection/>
    </xf>
    <xf numFmtId="174" fontId="0" fillId="8" borderId="33" xfId="62" applyNumberFormat="1" applyFont="1" applyFill="1" applyBorder="1" applyAlignment="1" applyProtection="1">
      <alignment vertical="center"/>
      <protection locked="0"/>
    </xf>
    <xf numFmtId="174" fontId="0" fillId="44" borderId="33" xfId="62" applyNumberFormat="1" applyFont="1" applyFill="1" applyBorder="1" applyAlignment="1" applyProtection="1">
      <alignment vertical="center"/>
      <protection locked="0"/>
    </xf>
    <xf numFmtId="174" fontId="11" fillId="49" borderId="33" xfId="62" applyNumberFormat="1" applyFont="1" applyFill="1" applyBorder="1" applyAlignment="1" applyProtection="1">
      <alignment horizontal="center" vertical="center"/>
      <protection/>
    </xf>
    <xf numFmtId="174" fontId="0" fillId="44" borderId="33" xfId="62" applyNumberFormat="1" applyFill="1" applyBorder="1" applyAlignment="1" applyProtection="1">
      <alignment vertical="center"/>
      <protection locked="0"/>
    </xf>
    <xf numFmtId="174" fontId="16" fillId="44" borderId="33" xfId="62" applyNumberFormat="1" applyFont="1" applyFill="1" applyBorder="1" applyAlignment="1" applyProtection="1">
      <alignment vertical="center"/>
      <protection locked="0"/>
    </xf>
    <xf numFmtId="0" fontId="13" fillId="41" borderId="34" xfId="0" applyFont="1" applyFill="1" applyBorder="1" applyAlignment="1" applyProtection="1">
      <alignment horizontal="center" vertical="center" wrapText="1"/>
      <protection/>
    </xf>
    <xf numFmtId="174" fontId="16" fillId="1" borderId="26" xfId="62" applyNumberFormat="1" applyFont="1" applyFill="1" applyBorder="1" applyAlignment="1" applyProtection="1">
      <alignment vertical="center"/>
      <protection/>
    </xf>
    <xf numFmtId="174" fontId="16" fillId="52" borderId="21" xfId="62" applyNumberFormat="1" applyFont="1" applyFill="1" applyBorder="1" applyAlignment="1" applyProtection="1">
      <alignment vertical="center"/>
      <protection/>
    </xf>
    <xf numFmtId="174" fontId="16" fillId="44" borderId="26" xfId="62" applyNumberFormat="1" applyFont="1" applyFill="1" applyBorder="1" applyAlignment="1" applyProtection="1">
      <alignment vertical="center"/>
      <protection locked="0"/>
    </xf>
    <xf numFmtId="174" fontId="16" fillId="53" borderId="21" xfId="62" applyNumberFormat="1" applyFont="1" applyFill="1" applyBorder="1" applyAlignment="1" applyProtection="1">
      <alignment vertical="center"/>
      <protection/>
    </xf>
    <xf numFmtId="174" fontId="11" fillId="51" borderId="26" xfId="62" applyNumberFormat="1" applyFont="1" applyFill="1" applyBorder="1" applyAlignment="1" applyProtection="1">
      <alignment vertical="center"/>
      <protection/>
    </xf>
    <xf numFmtId="174" fontId="11" fillId="49" borderId="21" xfId="62" applyNumberFormat="1" applyFont="1" applyFill="1" applyBorder="1" applyAlignment="1" applyProtection="1">
      <alignment horizontal="center" vertical="center"/>
      <protection/>
    </xf>
    <xf numFmtId="173" fontId="69" fillId="54" borderId="35" xfId="62" applyNumberFormat="1" applyFont="1" applyFill="1" applyBorder="1" applyAlignment="1" applyProtection="1">
      <alignment vertical="center"/>
      <protection/>
    </xf>
    <xf numFmtId="173" fontId="69" fillId="54" borderId="36" xfId="62" applyNumberFormat="1" applyFont="1" applyFill="1" applyBorder="1" applyAlignment="1" applyProtection="1">
      <alignment vertical="center"/>
      <protection/>
    </xf>
    <xf numFmtId="173" fontId="69" fillId="55" borderId="37" xfId="62" applyNumberFormat="1" applyFont="1" applyFill="1" applyBorder="1" applyAlignment="1" applyProtection="1">
      <alignment vertical="center"/>
      <protection/>
    </xf>
    <xf numFmtId="0" fontId="11" fillId="41" borderId="38" xfId="0" applyFont="1" applyFill="1" applyBorder="1" applyAlignment="1" applyProtection="1">
      <alignment horizontal="center" vertical="center"/>
      <protection/>
    </xf>
    <xf numFmtId="0" fontId="13" fillId="49" borderId="39" xfId="0" applyFont="1" applyFill="1" applyBorder="1" applyAlignment="1" applyProtection="1">
      <alignment horizontal="center" vertical="center"/>
      <protection/>
    </xf>
    <xf numFmtId="0" fontId="11" fillId="50" borderId="40" xfId="0" applyFont="1" applyFill="1" applyBorder="1" applyAlignment="1" applyProtection="1">
      <alignment horizontal="left" vertical="center"/>
      <protection/>
    </xf>
    <xf numFmtId="174" fontId="11" fillId="50" borderId="41" xfId="62" applyNumberFormat="1" applyFont="1" applyFill="1" applyBorder="1" applyAlignment="1" applyProtection="1">
      <alignment horizontal="center" vertical="center"/>
      <protection/>
    </xf>
    <xf numFmtId="174" fontId="11" fillId="56" borderId="25" xfId="62" applyNumberFormat="1" applyFont="1" applyFill="1" applyBorder="1" applyAlignment="1" applyProtection="1">
      <alignment vertical="center"/>
      <protection/>
    </xf>
    <xf numFmtId="174" fontId="11" fillId="56" borderId="42" xfId="62" applyNumberFormat="1" applyFont="1" applyFill="1" applyBorder="1" applyAlignment="1" applyProtection="1">
      <alignment vertical="center"/>
      <protection/>
    </xf>
    <xf numFmtId="174" fontId="11" fillId="56" borderId="43" xfId="62" applyNumberFormat="1" applyFont="1" applyFill="1" applyBorder="1" applyAlignment="1" applyProtection="1">
      <alignment vertical="center"/>
      <protection/>
    </xf>
    <xf numFmtId="0" fontId="69" fillId="57" borderId="44" xfId="0" applyFont="1" applyFill="1" applyBorder="1" applyAlignment="1" applyProtection="1">
      <alignment horizontal="center" vertical="center" wrapText="1"/>
      <protection/>
    </xf>
    <xf numFmtId="0" fontId="69" fillId="55" borderId="36" xfId="0" applyFont="1" applyFill="1" applyBorder="1" applyAlignment="1" applyProtection="1">
      <alignment vertical="center"/>
      <protection/>
    </xf>
    <xf numFmtId="174" fontId="11" fillId="50" borderId="43" xfId="62" applyNumberFormat="1" applyFont="1" applyFill="1" applyBorder="1" applyAlignment="1" applyProtection="1">
      <alignment horizontal="center" vertical="center"/>
      <protection/>
    </xf>
    <xf numFmtId="0" fontId="27" fillId="44" borderId="42" xfId="0" applyFont="1" applyFill="1" applyBorder="1" applyAlignment="1" applyProtection="1">
      <alignment horizontal="left" vertical="center"/>
      <protection locked="0"/>
    </xf>
    <xf numFmtId="0" fontId="27" fillId="44" borderId="42" xfId="0" applyFont="1" applyFill="1" applyBorder="1" applyAlignment="1" applyProtection="1">
      <alignment horizontal="center" vertical="center"/>
      <protection locked="0"/>
    </xf>
    <xf numFmtId="0" fontId="27" fillId="44" borderId="43" xfId="0" applyFont="1" applyFill="1" applyBorder="1" applyAlignment="1" applyProtection="1">
      <alignment horizontal="center" vertical="center"/>
      <protection locked="0"/>
    </xf>
    <xf numFmtId="184" fontId="27" fillId="44" borderId="45" xfId="62" applyNumberFormat="1" applyFont="1" applyFill="1" applyBorder="1" applyAlignment="1" applyProtection="1">
      <alignment vertical="center"/>
      <protection locked="0"/>
    </xf>
    <xf numFmtId="184" fontId="27" fillId="44" borderId="42" xfId="62" applyNumberFormat="1" applyFont="1" applyFill="1" applyBorder="1" applyAlignment="1" applyProtection="1">
      <alignment vertical="center"/>
      <protection locked="0"/>
    </xf>
    <xf numFmtId="183" fontId="27" fillId="8" borderId="41" xfId="0" applyNumberFormat="1" applyFont="1" applyFill="1" applyBorder="1" applyAlignment="1" applyProtection="1">
      <alignment vertical="center"/>
      <protection/>
    </xf>
    <xf numFmtId="183" fontId="27" fillId="8" borderId="46" xfId="0" applyNumberFormat="1" applyFont="1" applyFill="1" applyBorder="1" applyAlignment="1" applyProtection="1">
      <alignment horizontal="right" vertical="center"/>
      <protection/>
    </xf>
    <xf numFmtId="0" fontId="27" fillId="44" borderId="12" xfId="0" applyFont="1" applyFill="1" applyBorder="1" applyAlignment="1" applyProtection="1">
      <alignment horizontal="left" vertical="center"/>
      <protection locked="0"/>
    </xf>
    <xf numFmtId="0" fontId="27" fillId="44" borderId="12" xfId="0" applyFont="1" applyFill="1" applyBorder="1" applyAlignment="1" applyProtection="1">
      <alignment horizontal="center" vertical="center"/>
      <protection locked="0"/>
    </xf>
    <xf numFmtId="0" fontId="27" fillId="44" borderId="21" xfId="0" applyFont="1" applyFill="1" applyBorder="1" applyAlignment="1" applyProtection="1">
      <alignment horizontal="center" vertical="center"/>
      <protection locked="0"/>
    </xf>
    <xf numFmtId="184" fontId="27" fillId="44" borderId="47" xfId="62" applyNumberFormat="1" applyFont="1" applyFill="1" applyBorder="1" applyAlignment="1" applyProtection="1">
      <alignment vertical="center"/>
      <protection locked="0"/>
    </xf>
    <xf numFmtId="184" fontId="27" fillId="44" borderId="12" xfId="62" applyNumberFormat="1" applyFont="1" applyFill="1" applyBorder="1" applyAlignment="1" applyProtection="1">
      <alignment vertical="center"/>
      <protection locked="0"/>
    </xf>
    <xf numFmtId="183" fontId="27" fillId="8" borderId="33" xfId="0" applyNumberFormat="1" applyFont="1" applyFill="1" applyBorder="1" applyAlignment="1" applyProtection="1">
      <alignment vertical="center"/>
      <protection/>
    </xf>
    <xf numFmtId="183" fontId="27" fillId="8" borderId="48" xfId="0" applyNumberFormat="1" applyFont="1" applyFill="1" applyBorder="1" applyAlignment="1" applyProtection="1">
      <alignment horizontal="right" vertical="center"/>
      <protection/>
    </xf>
    <xf numFmtId="0" fontId="27" fillId="44" borderId="49" xfId="0" applyFont="1" applyFill="1" applyBorder="1" applyAlignment="1" applyProtection="1">
      <alignment horizontal="left" vertical="center"/>
      <protection locked="0"/>
    </xf>
    <xf numFmtId="0" fontId="27" fillId="44" borderId="50" xfId="0" applyFont="1" applyFill="1" applyBorder="1" applyAlignment="1" applyProtection="1">
      <alignment horizontal="left" vertical="center"/>
      <protection locked="0"/>
    </xf>
    <xf numFmtId="0" fontId="27" fillId="44" borderId="50" xfId="0" applyFont="1" applyFill="1" applyBorder="1" applyAlignment="1" applyProtection="1">
      <alignment horizontal="center" vertical="center"/>
      <protection locked="0"/>
    </xf>
    <xf numFmtId="0" fontId="27" fillId="44" borderId="27" xfId="0" applyFont="1" applyFill="1" applyBorder="1" applyAlignment="1" applyProtection="1">
      <alignment horizontal="center" vertical="center"/>
      <protection locked="0"/>
    </xf>
    <xf numFmtId="184" fontId="27" fillId="44" borderId="51" xfId="62" applyNumberFormat="1" applyFont="1" applyFill="1" applyBorder="1" applyAlignment="1" applyProtection="1">
      <alignment vertical="center"/>
      <protection locked="0"/>
    </xf>
    <xf numFmtId="184" fontId="27" fillId="44" borderId="20" xfId="62" applyNumberFormat="1" applyFont="1" applyFill="1" applyBorder="1" applyAlignment="1" applyProtection="1">
      <alignment vertical="center"/>
      <protection locked="0"/>
    </xf>
    <xf numFmtId="183" fontId="27" fillId="8" borderId="52" xfId="0" applyNumberFormat="1" applyFont="1" applyFill="1" applyBorder="1" applyAlignment="1" applyProtection="1">
      <alignment vertical="center"/>
      <protection/>
    </xf>
    <xf numFmtId="183" fontId="27" fillId="8" borderId="53" xfId="0" applyNumberFormat="1" applyFont="1" applyFill="1" applyBorder="1" applyAlignment="1" applyProtection="1">
      <alignment horizontal="right" vertical="center"/>
      <protection/>
    </xf>
    <xf numFmtId="184" fontId="27" fillId="44" borderId="54" xfId="62" applyNumberFormat="1" applyFont="1" applyFill="1" applyBorder="1" applyAlignment="1" applyProtection="1">
      <alignment vertical="center"/>
      <protection locked="0"/>
    </xf>
    <xf numFmtId="183" fontId="27" fillId="8" borderId="55" xfId="0" applyNumberFormat="1" applyFont="1" applyFill="1" applyBorder="1" applyAlignment="1" applyProtection="1">
      <alignment vertical="center"/>
      <protection/>
    </xf>
    <xf numFmtId="0" fontId="27" fillId="44" borderId="26" xfId="0" applyFont="1" applyFill="1" applyBorder="1" applyAlignment="1" applyProtection="1">
      <alignment horizontal="left" vertical="center"/>
      <protection locked="0"/>
    </xf>
    <xf numFmtId="183" fontId="27" fillId="8" borderId="56" xfId="0" applyNumberFormat="1" applyFont="1" applyFill="1" applyBorder="1" applyAlignment="1" applyProtection="1">
      <alignment vertical="center"/>
      <protection/>
    </xf>
    <xf numFmtId="0" fontId="27" fillId="44" borderId="57" xfId="0" applyFont="1" applyFill="1" applyBorder="1" applyAlignment="1" applyProtection="1">
      <alignment horizontal="left" vertical="center"/>
      <protection locked="0"/>
    </xf>
    <xf numFmtId="0" fontId="27" fillId="44" borderId="20" xfId="0" applyFont="1" applyFill="1" applyBorder="1" applyAlignment="1" applyProtection="1">
      <alignment horizontal="left" vertical="center"/>
      <protection locked="0"/>
    </xf>
    <xf numFmtId="0" fontId="27" fillId="44" borderId="20" xfId="0" applyFont="1" applyFill="1" applyBorder="1" applyAlignment="1" applyProtection="1">
      <alignment horizontal="center" vertical="center"/>
      <protection locked="0"/>
    </xf>
    <xf numFmtId="0" fontId="27" fillId="44" borderId="22" xfId="0" applyFont="1" applyFill="1" applyBorder="1" applyAlignment="1" applyProtection="1">
      <alignment horizontal="center" vertical="center"/>
      <protection locked="0"/>
    </xf>
    <xf numFmtId="184" fontId="27" fillId="44" borderId="58" xfId="62" applyNumberFormat="1" applyFont="1" applyFill="1" applyBorder="1" applyAlignment="1" applyProtection="1">
      <alignment vertical="center"/>
      <protection locked="0"/>
    </xf>
    <xf numFmtId="183" fontId="27" fillId="8" borderId="37" xfId="0" applyNumberFormat="1" applyFont="1" applyFill="1" applyBorder="1" applyAlignment="1" applyProtection="1">
      <alignment vertical="center"/>
      <protection/>
    </xf>
    <xf numFmtId="0" fontId="27" fillId="44" borderId="59" xfId="0" applyFont="1" applyFill="1" applyBorder="1" applyAlignment="1" applyProtection="1">
      <alignment horizontal="center" vertical="center"/>
      <protection locked="0"/>
    </xf>
    <xf numFmtId="184" fontId="27" fillId="44" borderId="25" xfId="62" applyNumberFormat="1" applyFont="1" applyFill="1" applyBorder="1" applyAlignment="1" applyProtection="1">
      <alignment vertical="center"/>
      <protection locked="0"/>
    </xf>
    <xf numFmtId="0" fontId="27" fillId="44" borderId="33" xfId="0" applyFont="1" applyFill="1" applyBorder="1" applyAlignment="1" applyProtection="1">
      <alignment horizontal="center" vertical="center"/>
      <protection locked="0"/>
    </xf>
    <xf numFmtId="184" fontId="27" fillId="44" borderId="26" xfId="62" applyNumberFormat="1" applyFont="1" applyFill="1" applyBorder="1" applyAlignment="1" applyProtection="1">
      <alignment vertical="center"/>
      <protection locked="0"/>
    </xf>
    <xf numFmtId="0" fontId="27" fillId="44" borderId="52" xfId="0" applyFont="1" applyFill="1" applyBorder="1" applyAlignment="1" applyProtection="1">
      <alignment horizontal="center" vertical="center"/>
      <protection locked="0"/>
    </xf>
    <xf numFmtId="184" fontId="27" fillId="44" borderId="57" xfId="62" applyNumberFormat="1" applyFont="1" applyFill="1" applyBorder="1" applyAlignment="1" applyProtection="1">
      <alignment vertical="center"/>
      <protection locked="0"/>
    </xf>
    <xf numFmtId="174" fontId="13" fillId="58" borderId="49" xfId="0" applyNumberFormat="1" applyFont="1" applyFill="1" applyBorder="1" applyAlignment="1" applyProtection="1">
      <alignment horizontal="center" vertical="center" wrapText="1"/>
      <protection/>
    </xf>
    <xf numFmtId="174" fontId="13" fillId="58" borderId="50" xfId="0" applyNumberFormat="1" applyFont="1" applyFill="1" applyBorder="1" applyAlignment="1" applyProtection="1">
      <alignment horizontal="center" vertical="center" wrapText="1"/>
      <protection/>
    </xf>
    <xf numFmtId="174" fontId="0" fillId="0" borderId="42" xfId="62" applyNumberFormat="1" applyFont="1" applyFill="1" applyBorder="1" applyAlignment="1" applyProtection="1">
      <alignment vertical="center"/>
      <protection/>
    </xf>
    <xf numFmtId="174" fontId="13" fillId="59" borderId="20" xfId="62" applyNumberFormat="1" applyFont="1" applyFill="1" applyBorder="1" applyAlignment="1" applyProtection="1">
      <alignment vertical="center"/>
      <protection/>
    </xf>
    <xf numFmtId="0" fontId="0" fillId="44" borderId="0" xfId="0" applyFill="1" applyAlignment="1">
      <alignment/>
    </xf>
    <xf numFmtId="0" fontId="14" fillId="44" borderId="0" xfId="0" applyFont="1" applyFill="1" applyAlignment="1">
      <alignment vertical="center"/>
    </xf>
    <xf numFmtId="0" fontId="13" fillId="44" borderId="0" xfId="0" applyFont="1" applyFill="1" applyAlignment="1">
      <alignment vertical="center"/>
    </xf>
    <xf numFmtId="0" fontId="13" fillId="44" borderId="0" xfId="0" applyFont="1" applyFill="1" applyAlignment="1">
      <alignment horizontal="center" vertical="center"/>
    </xf>
    <xf numFmtId="0" fontId="15" fillId="44" borderId="0" xfId="0" applyFont="1" applyFill="1" applyAlignment="1">
      <alignment vertical="center"/>
    </xf>
    <xf numFmtId="0" fontId="0" fillId="44" borderId="0" xfId="0" applyFill="1" applyAlignment="1">
      <alignment vertical="center"/>
    </xf>
    <xf numFmtId="175" fontId="14" fillId="44" borderId="0" xfId="69" applyFont="1" applyFill="1" applyAlignment="1">
      <alignment vertical="center"/>
      <protection/>
    </xf>
    <xf numFmtId="0" fontId="13" fillId="44" borderId="0" xfId="0" applyFont="1" applyFill="1" applyAlignment="1">
      <alignment horizontal="right" vertical="center"/>
    </xf>
    <xf numFmtId="0" fontId="18" fillId="46" borderId="12" xfId="0" applyFont="1" applyFill="1" applyBorder="1" applyAlignment="1">
      <alignment horizontal="center" vertical="center"/>
    </xf>
    <xf numFmtId="0" fontId="18" fillId="44" borderId="0" xfId="0" applyFont="1" applyFill="1" applyAlignment="1">
      <alignment horizontal="center" vertical="center"/>
    </xf>
    <xf numFmtId="175" fontId="0" fillId="44" borderId="0" xfId="69" applyFont="1" applyFill="1">
      <alignment/>
      <protection/>
    </xf>
    <xf numFmtId="1" fontId="0" fillId="44" borderId="0" xfId="69" applyNumberFormat="1" applyFont="1" applyFill="1">
      <alignment/>
      <protection/>
    </xf>
    <xf numFmtId="0" fontId="20" fillId="44" borderId="0" xfId="0" applyFont="1" applyFill="1" applyAlignment="1">
      <alignment vertical="center"/>
    </xf>
    <xf numFmtId="174" fontId="19" fillId="44" borderId="0" xfId="0" applyNumberFormat="1" applyFont="1" applyFill="1" applyAlignment="1">
      <alignment horizontal="center" vertical="center" wrapText="1"/>
    </xf>
    <xf numFmtId="184" fontId="0" fillId="44" borderId="42" xfId="62" applyNumberFormat="1" applyFill="1" applyBorder="1" applyAlignment="1">
      <alignment vertical="center"/>
      <protection/>
    </xf>
    <xf numFmtId="184" fontId="0" fillId="44" borderId="0" xfId="62" applyNumberFormat="1" applyFont="1" applyFill="1" applyAlignment="1">
      <alignment vertical="center"/>
      <protection/>
    </xf>
    <xf numFmtId="184" fontId="0" fillId="44" borderId="12" xfId="62" applyNumberFormat="1" applyFill="1" applyBorder="1" applyAlignment="1">
      <alignment vertical="center"/>
      <protection/>
    </xf>
    <xf numFmtId="0" fontId="20" fillId="44" borderId="0" xfId="0" applyFont="1" applyFill="1" applyAlignment="1">
      <alignment horizontal="left" vertical="center" indent="2"/>
    </xf>
    <xf numFmtId="185" fontId="0" fillId="44" borderId="12" xfId="62" applyNumberFormat="1" applyFont="1" applyFill="1" applyBorder="1" applyAlignment="1" applyProtection="1">
      <alignment horizontal="center" vertical="center"/>
      <protection locked="0"/>
    </xf>
    <xf numFmtId="174" fontId="13" fillId="60" borderId="49" xfId="0" applyNumberFormat="1" applyFont="1" applyFill="1" applyBorder="1" applyAlignment="1">
      <alignment horizontal="center" vertical="center" wrapText="1"/>
    </xf>
    <xf numFmtId="174" fontId="13" fillId="61" borderId="50" xfId="0" applyNumberFormat="1" applyFont="1" applyFill="1" applyBorder="1" applyAlignment="1">
      <alignment horizontal="center" vertical="center" wrapText="1"/>
    </xf>
    <xf numFmtId="182" fontId="0" fillId="0" borderId="0" xfId="60" applyNumberFormat="1">
      <alignment/>
      <protection/>
    </xf>
    <xf numFmtId="181" fontId="16" fillId="8" borderId="15" xfId="0" applyNumberFormat="1" applyFont="1" applyFill="1" applyBorder="1" applyAlignment="1" applyProtection="1">
      <alignment horizontal="left"/>
      <protection/>
    </xf>
    <xf numFmtId="174" fontId="13" fillId="0" borderId="0" xfId="0" applyNumberFormat="1" applyFont="1" applyAlignment="1" applyProtection="1">
      <alignment vertical="center"/>
      <protection/>
    </xf>
    <xf numFmtId="173" fontId="0" fillId="0" borderId="0" xfId="0" applyNumberFormat="1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174" fontId="70" fillId="44" borderId="0" xfId="62" applyNumberFormat="1" applyFont="1" applyFill="1" applyBorder="1" applyAlignment="1" applyProtection="1">
      <alignment vertical="center"/>
      <protection/>
    </xf>
    <xf numFmtId="0" fontId="27" fillId="44" borderId="26" xfId="0" applyFont="1" applyFill="1" applyBorder="1" applyAlignment="1" applyProtection="1">
      <alignment/>
      <protection/>
    </xf>
    <xf numFmtId="0" fontId="27" fillId="44" borderId="12" xfId="0" applyFont="1" applyFill="1" applyBorder="1" applyAlignment="1" applyProtection="1">
      <alignment horizontal="center"/>
      <protection/>
    </xf>
    <xf numFmtId="0" fontId="13" fillId="47" borderId="0" xfId="0" applyFont="1" applyFill="1" applyBorder="1" applyAlignment="1" applyProtection="1">
      <alignment horizontal="center" vertical="center" wrapText="1"/>
      <protection/>
    </xf>
    <xf numFmtId="187" fontId="0" fillId="0" borderId="0" xfId="62" applyNumberFormat="1" applyAlignment="1">
      <alignment horizontal="center"/>
      <protection/>
    </xf>
    <xf numFmtId="187" fontId="13" fillId="0" borderId="0" xfId="0" applyNumberFormat="1" applyFont="1" applyAlignment="1" applyProtection="1">
      <alignment vertical="center"/>
      <protection/>
    </xf>
    <xf numFmtId="0" fontId="27" fillId="8" borderId="12" xfId="0" applyFont="1" applyFill="1" applyBorder="1" applyAlignment="1" applyProtection="1">
      <alignment horizontal="left" vertical="center"/>
      <protection locked="0"/>
    </xf>
    <xf numFmtId="0" fontId="27" fillId="8" borderId="12" xfId="0" applyFont="1" applyFill="1" applyBorder="1" applyAlignment="1" applyProtection="1">
      <alignment/>
      <protection/>
    </xf>
    <xf numFmtId="0" fontId="27" fillId="8" borderId="54" xfId="0" applyFont="1" applyFill="1" applyBorder="1" applyAlignment="1" applyProtection="1">
      <alignment horizontal="left" vertical="center"/>
      <protection locked="0"/>
    </xf>
    <xf numFmtId="0" fontId="71" fillId="8" borderId="12" xfId="0" applyFont="1" applyFill="1" applyBorder="1" applyAlignment="1" applyProtection="1">
      <alignment horizontal="left" vertical="center"/>
      <protection locked="0"/>
    </xf>
    <xf numFmtId="0" fontId="71" fillId="44" borderId="33" xfId="0" applyFont="1" applyFill="1" applyBorder="1" applyAlignment="1" applyProtection="1">
      <alignment horizontal="center" vertical="center"/>
      <protection locked="0"/>
    </xf>
    <xf numFmtId="184" fontId="71" fillId="44" borderId="26" xfId="62" applyNumberFormat="1" applyFont="1" applyFill="1" applyBorder="1" applyAlignment="1" applyProtection="1">
      <alignment vertical="center"/>
      <protection locked="0"/>
    </xf>
    <xf numFmtId="184" fontId="71" fillId="44" borderId="54" xfId="62" applyNumberFormat="1" applyFont="1" applyFill="1" applyBorder="1" applyAlignment="1" applyProtection="1">
      <alignment vertical="center"/>
      <protection locked="0"/>
    </xf>
    <xf numFmtId="0" fontId="0" fillId="44" borderId="0" xfId="0" applyFill="1" applyAlignment="1">
      <alignment vertical="center" wrapText="1"/>
    </xf>
    <xf numFmtId="0" fontId="0" fillId="44" borderId="12" xfId="0" applyFill="1" applyBorder="1" applyAlignment="1">
      <alignment vertical="center"/>
    </xf>
    <xf numFmtId="0" fontId="13" fillId="53" borderId="12" xfId="0" applyFont="1" applyFill="1" applyBorder="1" applyAlignment="1">
      <alignment horizontal="center" vertical="center" wrapText="1"/>
    </xf>
    <xf numFmtId="0" fontId="0" fillId="44" borderId="12" xfId="0" applyFill="1" applyBorder="1" applyAlignment="1">
      <alignment vertical="center" wrapText="1"/>
    </xf>
    <xf numFmtId="187" fontId="0" fillId="0" borderId="0" xfId="0" applyNumberFormat="1" applyFont="1" applyAlignment="1" applyProtection="1">
      <alignment vertical="center"/>
      <protection/>
    </xf>
    <xf numFmtId="174" fontId="13" fillId="62" borderId="49" xfId="0" applyNumberFormat="1" applyFont="1" applyFill="1" applyBorder="1" applyAlignment="1" applyProtection="1">
      <alignment horizontal="center" vertical="center" wrapText="1"/>
      <protection locked="0"/>
    </xf>
    <xf numFmtId="174" fontId="13" fillId="62" borderId="50" xfId="0" applyNumberFormat="1" applyFont="1" applyFill="1" applyBorder="1" applyAlignment="1" applyProtection="1">
      <alignment horizontal="center" vertical="center" wrapText="1"/>
      <protection locked="0"/>
    </xf>
    <xf numFmtId="174" fontId="13" fillId="58" borderId="50" xfId="0" applyNumberFormat="1" applyFont="1" applyFill="1" applyBorder="1" applyAlignment="1" applyProtection="1">
      <alignment horizontal="center" vertical="center" wrapText="1"/>
      <protection locked="0"/>
    </xf>
    <xf numFmtId="174" fontId="13" fillId="58" borderId="27" xfId="0" applyNumberFormat="1" applyFont="1" applyFill="1" applyBorder="1" applyAlignment="1" applyProtection="1">
      <alignment horizontal="center" vertical="center" wrapText="1"/>
      <protection locked="0"/>
    </xf>
    <xf numFmtId="174" fontId="0" fillId="45" borderId="42" xfId="62" applyNumberFormat="1" applyFont="1" applyFill="1" applyBorder="1" applyAlignment="1" applyProtection="1">
      <alignment vertical="center"/>
      <protection/>
    </xf>
    <xf numFmtId="174" fontId="0" fillId="45" borderId="43" xfId="62" applyNumberFormat="1" applyFont="1" applyFill="1" applyBorder="1" applyAlignment="1" applyProtection="1">
      <alignment vertical="center"/>
      <protection/>
    </xf>
    <xf numFmtId="183" fontId="13" fillId="40" borderId="0" xfId="0" applyNumberFormat="1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183" fontId="0" fillId="0" borderId="12" xfId="0" applyNumberFormat="1" applyFont="1" applyFill="1" applyBorder="1" applyAlignment="1" applyProtection="1">
      <alignment horizontal="right" vertical="center"/>
      <protection/>
    </xf>
    <xf numFmtId="183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44" borderId="12" xfId="0" applyFont="1" applyFill="1" applyBorder="1" applyAlignment="1" applyProtection="1">
      <alignment horizontal="right" vertical="center"/>
      <protection locked="0"/>
    </xf>
    <xf numFmtId="0" fontId="27" fillId="44" borderId="54" xfId="0" applyFont="1" applyFill="1" applyBorder="1" applyAlignment="1" applyProtection="1">
      <alignment horizontal="right" vertic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13" fillId="44" borderId="0" xfId="0" applyFont="1" applyFill="1" applyAlignment="1">
      <alignment/>
    </xf>
    <xf numFmtId="0" fontId="0" fillId="44" borderId="12" xfId="0" applyFill="1" applyBorder="1" applyAlignment="1">
      <alignment/>
    </xf>
    <xf numFmtId="175" fontId="0" fillId="44" borderId="0" xfId="69" applyFill="1" applyAlignment="1">
      <alignment horizontal="center"/>
      <protection/>
    </xf>
    <xf numFmtId="175" fontId="0" fillId="44" borderId="0" xfId="69" applyFill="1" applyAlignment="1">
      <alignment horizontal="left"/>
      <protection/>
    </xf>
    <xf numFmtId="174" fontId="0" fillId="44" borderId="26" xfId="62" applyNumberFormat="1" applyFont="1" applyFill="1" applyBorder="1" applyAlignment="1" applyProtection="1">
      <alignment vertical="center"/>
      <protection locked="0"/>
    </xf>
    <xf numFmtId="182" fontId="0" fillId="44" borderId="12" xfId="60" applyNumberFormat="1" applyFont="1" applyFill="1" applyBorder="1" applyAlignment="1" applyProtection="1">
      <alignment vertical="center"/>
      <protection locked="0"/>
    </xf>
    <xf numFmtId="174" fontId="0" fillId="53" borderId="21" xfId="62" applyNumberFormat="1" applyFont="1" applyFill="1" applyBorder="1" applyAlignment="1" applyProtection="1">
      <alignment vertical="center"/>
      <protection/>
    </xf>
    <xf numFmtId="174" fontId="13" fillId="47" borderId="32" xfId="62" applyNumberFormat="1" applyFont="1" applyFill="1" applyBorder="1" applyAlignment="1" applyProtection="1">
      <alignment vertical="center"/>
      <protection/>
    </xf>
    <xf numFmtId="174" fontId="13" fillId="51" borderId="26" xfId="62" applyNumberFormat="1" applyFont="1" applyFill="1" applyBorder="1" applyAlignment="1" applyProtection="1">
      <alignment vertical="center"/>
      <protection/>
    </xf>
    <xf numFmtId="174" fontId="13" fillId="51" borderId="12" xfId="62" applyNumberFormat="1" applyFont="1" applyFill="1" applyBorder="1" applyAlignment="1" applyProtection="1">
      <alignment vertical="center"/>
      <protection/>
    </xf>
    <xf numFmtId="174" fontId="13" fillId="50" borderId="21" xfId="62" applyNumberFormat="1" applyFont="1" applyFill="1" applyBorder="1" applyAlignment="1" applyProtection="1">
      <alignment horizontal="center" vertical="center"/>
      <protection/>
    </xf>
    <xf numFmtId="174" fontId="13" fillId="50" borderId="55" xfId="62" applyNumberFormat="1" applyFont="1" applyFill="1" applyBorder="1" applyAlignment="1" applyProtection="1">
      <alignment horizontal="center" vertical="center"/>
      <protection/>
    </xf>
    <xf numFmtId="174" fontId="13" fillId="63" borderId="26" xfId="62" applyNumberFormat="1" applyFont="1" applyFill="1" applyBorder="1" applyAlignment="1" applyProtection="1">
      <alignment vertical="center"/>
      <protection/>
    </xf>
    <xf numFmtId="174" fontId="13" fillId="63" borderId="12" xfId="62" applyNumberFormat="1" applyFont="1" applyFill="1" applyBorder="1" applyAlignment="1" applyProtection="1">
      <alignment vertical="center"/>
      <protection/>
    </xf>
    <xf numFmtId="174" fontId="13" fillId="48" borderId="21" xfId="62" applyNumberFormat="1" applyFont="1" applyFill="1" applyBorder="1" applyAlignment="1" applyProtection="1">
      <alignment vertical="center"/>
      <protection/>
    </xf>
    <xf numFmtId="174" fontId="13" fillId="48" borderId="32" xfId="62" applyNumberFormat="1" applyFont="1" applyFill="1" applyBorder="1" applyAlignment="1" applyProtection="1">
      <alignment vertical="center"/>
      <protection/>
    </xf>
    <xf numFmtId="169" fontId="0" fillId="44" borderId="12" xfId="61" applyFont="1" applyFill="1" applyBorder="1" applyAlignment="1" applyProtection="1">
      <alignment vertical="center"/>
      <protection locked="0"/>
    </xf>
    <xf numFmtId="187" fontId="0" fillId="0" borderId="12" xfId="62" applyNumberFormat="1" applyBorder="1">
      <alignment/>
      <protection/>
    </xf>
    <xf numFmtId="187" fontId="0" fillId="0" borderId="12" xfId="62" applyNumberFormat="1" applyBorder="1" applyAlignment="1">
      <alignment vertical="center"/>
      <protection/>
    </xf>
    <xf numFmtId="187" fontId="0" fillId="44" borderId="12" xfId="0" applyNumberFormat="1" applyFill="1" applyBorder="1" applyAlignment="1">
      <alignment vertical="center"/>
    </xf>
    <xf numFmtId="187" fontId="0" fillId="44" borderId="12" xfId="62" applyNumberFormat="1" applyFill="1" applyBorder="1">
      <alignment/>
      <protection/>
    </xf>
    <xf numFmtId="187" fontId="0" fillId="44" borderId="12" xfId="62" applyNumberFormat="1" applyFont="1" applyFill="1" applyBorder="1">
      <alignment/>
      <protection/>
    </xf>
    <xf numFmtId="0" fontId="0" fillId="44" borderId="33" xfId="0" applyFill="1" applyBorder="1" applyAlignment="1">
      <alignment vertical="center"/>
    </xf>
    <xf numFmtId="187" fontId="0" fillId="44" borderId="54" xfId="62" applyNumberFormat="1" applyFill="1" applyBorder="1">
      <alignment/>
      <protection/>
    </xf>
    <xf numFmtId="0" fontId="0" fillId="44" borderId="54" xfId="0" applyFill="1" applyBorder="1" applyAlignment="1">
      <alignment/>
    </xf>
    <xf numFmtId="187" fontId="0" fillId="44" borderId="54" xfId="0" applyNumberFormat="1" applyFill="1" applyBorder="1" applyAlignment="1">
      <alignment/>
    </xf>
    <xf numFmtId="187" fontId="0" fillId="0" borderId="33" xfId="62" applyNumberFormat="1" applyFont="1" applyBorder="1" applyAlignment="1">
      <alignment vertical="center"/>
      <protection/>
    </xf>
    <xf numFmtId="182" fontId="0" fillId="0" borderId="60" xfId="60" applyNumberFormat="1" applyFont="1" applyBorder="1" applyAlignment="1">
      <alignment vertical="center"/>
      <protection/>
    </xf>
    <xf numFmtId="187" fontId="0" fillId="0" borderId="47" xfId="62" applyNumberFormat="1" applyBorder="1" applyAlignment="1">
      <alignment vertical="center"/>
      <protection/>
    </xf>
    <xf numFmtId="187" fontId="0" fillId="0" borderId="12" xfId="62" applyNumberFormat="1" applyFont="1" applyBorder="1">
      <alignment/>
      <protection/>
    </xf>
    <xf numFmtId="0" fontId="0" fillId="44" borderId="42" xfId="0" applyFont="1" applyFill="1" applyBorder="1" applyAlignment="1" applyProtection="1">
      <alignment horizontal="left" vertical="center"/>
      <protection locked="0"/>
    </xf>
    <xf numFmtId="0" fontId="0" fillId="44" borderId="42" xfId="0" applyFont="1" applyFill="1" applyBorder="1" applyAlignment="1" applyProtection="1">
      <alignment horizontal="center" vertical="center"/>
      <protection locked="0"/>
    </xf>
    <xf numFmtId="0" fontId="0" fillId="44" borderId="12" xfId="0" applyFont="1" applyFill="1" applyBorder="1" applyAlignment="1" applyProtection="1">
      <alignment horizontal="left" vertical="center"/>
      <protection locked="0"/>
    </xf>
    <xf numFmtId="0" fontId="0" fillId="44" borderId="12" xfId="0" applyFont="1" applyFill="1" applyBorder="1" applyAlignment="1" applyProtection="1">
      <alignment horizontal="center" vertical="center"/>
      <protection locked="0"/>
    </xf>
    <xf numFmtId="0" fontId="0" fillId="44" borderId="12" xfId="0" applyFont="1" applyFill="1" applyBorder="1" applyAlignment="1" applyProtection="1">
      <alignment/>
      <protection/>
    </xf>
    <xf numFmtId="0" fontId="0" fillId="44" borderId="20" xfId="0" applyFont="1" applyFill="1" applyBorder="1" applyAlignment="1" applyProtection="1">
      <alignment horizontal="left" vertical="center"/>
      <protection locked="0"/>
    </xf>
    <xf numFmtId="0" fontId="0" fillId="44" borderId="20" xfId="0" applyFont="1" applyFill="1" applyBorder="1" applyAlignment="1" applyProtection="1">
      <alignment horizontal="center" vertical="center"/>
      <protection locked="0"/>
    </xf>
    <xf numFmtId="0" fontId="0" fillId="44" borderId="54" xfId="0" applyFont="1" applyFill="1" applyBorder="1" applyAlignment="1" applyProtection="1">
      <alignment horizontal="left" vertical="center"/>
      <protection locked="0"/>
    </xf>
    <xf numFmtId="0" fontId="68" fillId="44" borderId="12" xfId="0" applyFont="1" applyFill="1" applyBorder="1" applyAlignment="1" applyProtection="1">
      <alignment horizontal="left" vertical="center"/>
      <protection locked="0"/>
    </xf>
    <xf numFmtId="183" fontId="13" fillId="8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82" fontId="0" fillId="0" borderId="0" xfId="60" applyNumberFormat="1" applyFont="1">
      <alignment/>
      <protection/>
    </xf>
    <xf numFmtId="174" fontId="13" fillId="48" borderId="21" xfId="62" applyNumberFormat="1" applyFont="1" applyFill="1" applyBorder="1" applyAlignment="1" applyProtection="1">
      <alignment horizontal="center" vertical="center"/>
      <protection/>
    </xf>
    <xf numFmtId="174" fontId="13" fillId="48" borderId="31" xfId="62" applyNumberFormat="1" applyFont="1" applyFill="1" applyBorder="1" applyAlignment="1" applyProtection="1">
      <alignment horizontal="center" vertical="center"/>
      <protection/>
    </xf>
    <xf numFmtId="175" fontId="0" fillId="0" borderId="0" xfId="69" applyFont="1">
      <alignment/>
      <protection/>
    </xf>
    <xf numFmtId="174" fontId="13" fillId="47" borderId="61" xfId="62" applyNumberFormat="1" applyFont="1" applyFill="1" applyBorder="1" applyAlignment="1" applyProtection="1">
      <alignment vertical="center"/>
      <protection/>
    </xf>
    <xf numFmtId="183" fontId="13" fillId="0" borderId="50" xfId="0" applyNumberFormat="1" applyFont="1" applyFill="1" applyBorder="1" applyAlignment="1" applyProtection="1">
      <alignment horizontal="center" vertical="center" wrapText="1"/>
      <protection/>
    </xf>
    <xf numFmtId="183" fontId="13" fillId="0" borderId="62" xfId="0" applyNumberFormat="1" applyFont="1" applyFill="1" applyBorder="1" applyAlignment="1" applyProtection="1">
      <alignment horizontal="center" vertical="center" wrapText="1"/>
      <protection/>
    </xf>
    <xf numFmtId="183" fontId="13" fillId="0" borderId="54" xfId="0" applyNumberFormat="1" applyFont="1" applyFill="1" applyBorder="1" applyAlignment="1" applyProtection="1">
      <alignment horizontal="center" vertical="center" wrapText="1"/>
      <protection/>
    </xf>
    <xf numFmtId="187" fontId="0" fillId="0" borderId="63" xfId="62" applyNumberFormat="1" applyBorder="1" applyAlignment="1">
      <alignment horizontal="right"/>
      <protection/>
    </xf>
    <xf numFmtId="0" fontId="18" fillId="44" borderId="0" xfId="0" applyFont="1" applyFill="1" applyAlignment="1">
      <alignment/>
    </xf>
    <xf numFmtId="187" fontId="18" fillId="44" borderId="0" xfId="0" applyNumberFormat="1" applyFont="1" applyFill="1" applyAlignment="1">
      <alignment/>
    </xf>
    <xf numFmtId="0" fontId="0" fillId="44" borderId="12" xfId="0" applyFill="1" applyBorder="1" applyAlignment="1">
      <alignment wrapText="1"/>
    </xf>
    <xf numFmtId="0" fontId="0" fillId="9" borderId="12" xfId="0" applyFill="1" applyBorder="1" applyAlignment="1">
      <alignment vertical="center" wrapText="1"/>
    </xf>
    <xf numFmtId="187" fontId="0" fillId="9" borderId="12" xfId="62" applyNumberFormat="1" applyFill="1" applyBorder="1" applyAlignment="1">
      <alignment vertical="center"/>
      <protection/>
    </xf>
    <xf numFmtId="182" fontId="0" fillId="9" borderId="12" xfId="60" applyNumberFormat="1" applyFill="1" applyBorder="1" applyAlignment="1">
      <alignment vertical="center"/>
      <protection/>
    </xf>
    <xf numFmtId="0" fontId="0" fillId="9" borderId="12" xfId="0" applyFill="1" applyBorder="1" applyAlignment="1">
      <alignment vertical="center"/>
    </xf>
    <xf numFmtId="187" fontId="18" fillId="9" borderId="0" xfId="0" applyNumberFormat="1" applyFont="1" applyFill="1" applyAlignment="1">
      <alignment/>
    </xf>
    <xf numFmtId="0" fontId="18" fillId="9" borderId="0" xfId="0" applyFont="1" applyFill="1" applyAlignment="1">
      <alignment/>
    </xf>
    <xf numFmtId="0" fontId="18" fillId="9" borderId="0" xfId="0" applyFont="1" applyFill="1" applyAlignment="1">
      <alignment vertical="center" wrapText="1"/>
    </xf>
    <xf numFmtId="187" fontId="18" fillId="9" borderId="0" xfId="0" applyNumberFormat="1" applyFont="1" applyFill="1" applyAlignment="1">
      <alignment vertical="center"/>
    </xf>
    <xf numFmtId="49" fontId="68" fillId="0" borderId="12" xfId="0" applyNumberFormat="1" applyFont="1" applyFill="1" applyBorder="1" applyAlignment="1">
      <alignment/>
    </xf>
    <xf numFmtId="0" fontId="16" fillId="46" borderId="12" xfId="0" applyFont="1" applyFill="1" applyBorder="1" applyAlignment="1" applyProtection="1">
      <alignment/>
      <protection locked="0"/>
    </xf>
    <xf numFmtId="0" fontId="68" fillId="44" borderId="12" xfId="0" applyFont="1" applyFill="1" applyBorder="1" applyAlignment="1" applyProtection="1">
      <alignment horizontal="center" vertical="center"/>
      <protection locked="0"/>
    </xf>
    <xf numFmtId="184" fontId="0" fillId="44" borderId="12" xfId="62" applyNumberFormat="1" applyFont="1" applyFill="1" applyBorder="1" applyAlignment="1" applyProtection="1">
      <alignment vertical="center"/>
      <protection locked="0"/>
    </xf>
    <xf numFmtId="184" fontId="0" fillId="44" borderId="20" xfId="62" applyNumberFormat="1" applyFont="1" applyFill="1" applyBorder="1" applyAlignment="1" applyProtection="1">
      <alignment vertical="center"/>
      <protection locked="0"/>
    </xf>
    <xf numFmtId="0" fontId="0" fillId="44" borderId="54" xfId="0" applyFont="1" applyFill="1" applyBorder="1" applyAlignment="1" applyProtection="1">
      <alignment horizontal="center" vertical="center"/>
      <protection locked="0"/>
    </xf>
    <xf numFmtId="187" fontId="0" fillId="0" borderId="54" xfId="62" applyNumberFormat="1" applyFont="1" applyBorder="1">
      <alignment/>
      <protection/>
    </xf>
    <xf numFmtId="0" fontId="16" fillId="46" borderId="54" xfId="0" applyFont="1" applyFill="1" applyBorder="1" applyAlignment="1" applyProtection="1">
      <alignment/>
      <protection locked="0"/>
    </xf>
    <xf numFmtId="49" fontId="68" fillId="0" borderId="42" xfId="0" applyNumberFormat="1" applyFont="1" applyFill="1" applyBorder="1" applyAlignment="1">
      <alignment/>
    </xf>
    <xf numFmtId="187" fontId="0" fillId="0" borderId="42" xfId="62" applyNumberFormat="1" applyFont="1" applyBorder="1">
      <alignment/>
      <protection/>
    </xf>
    <xf numFmtId="187" fontId="0" fillId="0" borderId="20" xfId="62" applyNumberFormat="1" applyFont="1" applyBorder="1">
      <alignment/>
      <protection/>
    </xf>
    <xf numFmtId="174" fontId="13" fillId="62" borderId="57" xfId="0" applyNumberFormat="1" applyFont="1" applyFill="1" applyBorder="1" applyAlignment="1">
      <alignment horizontal="center" vertical="center" wrapText="1"/>
    </xf>
    <xf numFmtId="174" fontId="13" fillId="58" borderId="20" xfId="0" applyNumberFormat="1" applyFont="1" applyFill="1" applyBorder="1" applyAlignment="1">
      <alignment horizontal="center" vertical="center" wrapText="1"/>
    </xf>
    <xf numFmtId="174" fontId="13" fillId="58" borderId="22" xfId="0" applyNumberFormat="1" applyFont="1" applyFill="1" applyBorder="1" applyAlignment="1">
      <alignment horizontal="center" vertical="center" wrapText="1"/>
    </xf>
    <xf numFmtId="184" fontId="0" fillId="53" borderId="54" xfId="62" applyNumberFormat="1" applyFill="1" applyBorder="1" applyAlignment="1">
      <alignment vertical="center"/>
      <protection/>
    </xf>
    <xf numFmtId="184" fontId="0" fillId="53" borderId="64" xfId="62" applyNumberFormat="1" applyFill="1" applyBorder="1" applyAlignment="1">
      <alignment vertical="center"/>
      <protection/>
    </xf>
    <xf numFmtId="184" fontId="0" fillId="53" borderId="12" xfId="62" applyNumberFormat="1" applyFill="1" applyBorder="1" applyAlignment="1">
      <alignment vertical="center"/>
      <protection/>
    </xf>
    <xf numFmtId="184" fontId="0" fillId="53" borderId="21" xfId="62" applyNumberFormat="1" applyFill="1" applyBorder="1" applyAlignment="1">
      <alignment vertical="center"/>
      <protection/>
    </xf>
    <xf numFmtId="0" fontId="0" fillId="64" borderId="65" xfId="0" applyFill="1" applyBorder="1" applyAlignment="1" applyProtection="1">
      <alignment horizontal="left" vertical="center"/>
      <protection locked="0"/>
    </xf>
    <xf numFmtId="0" fontId="0" fillId="64" borderId="66" xfId="0" applyFill="1" applyBorder="1" applyAlignment="1" applyProtection="1">
      <alignment horizontal="left" vertical="center"/>
      <protection locked="0"/>
    </xf>
    <xf numFmtId="0" fontId="0" fillId="64" borderId="67" xfId="0" applyFill="1" applyBorder="1" applyAlignment="1" applyProtection="1">
      <alignment horizontal="left" vertical="center"/>
      <protection locked="0"/>
    </xf>
    <xf numFmtId="184" fontId="0" fillId="53" borderId="20" xfId="62" applyNumberFormat="1" applyFill="1" applyBorder="1" applyAlignment="1">
      <alignment vertical="center"/>
      <protection/>
    </xf>
    <xf numFmtId="184" fontId="0" fillId="53" borderId="58" xfId="62" applyNumberFormat="1" applyFill="1" applyBorder="1" applyAlignment="1">
      <alignment vertical="center"/>
      <protection/>
    </xf>
    <xf numFmtId="184" fontId="0" fillId="53" borderId="22" xfId="62" applyNumberFormat="1" applyFill="1" applyBorder="1" applyAlignment="1">
      <alignment vertical="center"/>
      <protection/>
    </xf>
    <xf numFmtId="184" fontId="0" fillId="53" borderId="68" xfId="62" applyNumberFormat="1" applyFill="1" applyBorder="1" applyAlignment="1">
      <alignment vertical="center"/>
      <protection/>
    </xf>
    <xf numFmtId="184" fontId="0" fillId="53" borderId="26" xfId="62" applyNumberFormat="1" applyFill="1" applyBorder="1" applyAlignment="1">
      <alignment vertical="center"/>
      <protection/>
    </xf>
    <xf numFmtId="184" fontId="0" fillId="53" borderId="57" xfId="62" applyNumberFormat="1" applyFill="1" applyBorder="1" applyAlignment="1">
      <alignment vertical="center"/>
      <protection/>
    </xf>
    <xf numFmtId="0" fontId="13" fillId="47" borderId="50" xfId="0" applyFont="1" applyFill="1" applyBorder="1" applyAlignment="1" applyProtection="1">
      <alignment horizontal="center" vertical="center" wrapText="1"/>
      <protection/>
    </xf>
    <xf numFmtId="0" fontId="13" fillId="47" borderId="69" xfId="0" applyFont="1" applyFill="1" applyBorder="1" applyAlignment="1" applyProtection="1">
      <alignment horizontal="center" vertical="center" wrapText="1"/>
      <protection/>
    </xf>
    <xf numFmtId="183" fontId="0" fillId="8" borderId="41" xfId="0" applyNumberFormat="1" applyFont="1" applyFill="1" applyBorder="1" applyAlignment="1" applyProtection="1">
      <alignment vertical="center"/>
      <protection/>
    </xf>
    <xf numFmtId="183" fontId="0" fillId="8" borderId="33" xfId="0" applyNumberFormat="1" applyFont="1" applyFill="1" applyBorder="1" applyAlignment="1" applyProtection="1">
      <alignment vertical="center"/>
      <protection/>
    </xf>
    <xf numFmtId="183" fontId="0" fillId="8" borderId="52" xfId="0" applyNumberFormat="1" applyFont="1" applyFill="1" applyBorder="1" applyAlignment="1" applyProtection="1">
      <alignment vertical="center"/>
      <protection/>
    </xf>
    <xf numFmtId="183" fontId="0" fillId="8" borderId="59" xfId="0" applyNumberFormat="1" applyFont="1" applyFill="1" applyBorder="1" applyAlignment="1" applyProtection="1">
      <alignment vertical="center"/>
      <protection/>
    </xf>
    <xf numFmtId="183" fontId="0" fillId="8" borderId="65" xfId="0" applyNumberFormat="1" applyFont="1" applyFill="1" applyBorder="1" applyAlignment="1" applyProtection="1">
      <alignment horizontal="right" vertical="center"/>
      <protection/>
    </xf>
    <xf numFmtId="183" fontId="0" fillId="8" borderId="66" xfId="0" applyNumberFormat="1" applyFont="1" applyFill="1" applyBorder="1" applyAlignment="1" applyProtection="1">
      <alignment horizontal="right" vertical="center"/>
      <protection/>
    </xf>
    <xf numFmtId="183" fontId="0" fillId="8" borderId="67" xfId="0" applyNumberFormat="1" applyFont="1" applyFill="1" applyBorder="1" applyAlignment="1" applyProtection="1">
      <alignment horizontal="right" vertical="center"/>
      <protection/>
    </xf>
    <xf numFmtId="183" fontId="0" fillId="8" borderId="70" xfId="0" applyNumberFormat="1" applyFont="1" applyFill="1" applyBorder="1" applyAlignment="1" applyProtection="1">
      <alignment horizontal="right" vertical="center"/>
      <protection/>
    </xf>
    <xf numFmtId="183" fontId="0" fillId="8" borderId="71" xfId="0" applyNumberFormat="1" applyFont="1" applyFill="1" applyBorder="1" applyAlignment="1" applyProtection="1">
      <alignment horizontal="right" vertical="center"/>
      <protection/>
    </xf>
    <xf numFmtId="183" fontId="13" fillId="8" borderId="7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40" borderId="0" xfId="0" applyFont="1" applyFill="1" applyAlignment="1" applyProtection="1">
      <alignment horizontal="left"/>
      <protection/>
    </xf>
    <xf numFmtId="0" fontId="13" fillId="40" borderId="0" xfId="0" applyFont="1" applyFill="1" applyAlignment="1" applyProtection="1">
      <alignment/>
      <protection/>
    </xf>
    <xf numFmtId="183" fontId="13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62" applyNumberFormat="1" applyFont="1">
      <alignment/>
      <protection/>
    </xf>
    <xf numFmtId="175" fontId="0" fillId="0" borderId="0" xfId="69">
      <alignment/>
      <protection/>
    </xf>
    <xf numFmtId="174" fontId="13" fillId="61" borderId="27" xfId="0" applyNumberFormat="1" applyFont="1" applyFill="1" applyBorder="1" applyAlignment="1">
      <alignment horizontal="center" vertical="center" wrapText="1"/>
    </xf>
    <xf numFmtId="174" fontId="13" fillId="58" borderId="69" xfId="0" applyNumberFormat="1" applyFont="1" applyFill="1" applyBorder="1" applyAlignment="1" applyProtection="1">
      <alignment horizontal="center" vertical="center" wrapText="1"/>
      <protection/>
    </xf>
    <xf numFmtId="0" fontId="0" fillId="44" borderId="0" xfId="0" applyFill="1" applyAlignment="1">
      <alignment horizontal="right"/>
    </xf>
    <xf numFmtId="184" fontId="0" fillId="44" borderId="0" xfId="0" applyNumberFormat="1" applyFill="1" applyAlignment="1">
      <alignment/>
    </xf>
    <xf numFmtId="185" fontId="0" fillId="44" borderId="0" xfId="0" applyNumberFormat="1" applyFill="1" applyAlignment="1">
      <alignment/>
    </xf>
    <xf numFmtId="1" fontId="0" fillId="44" borderId="0" xfId="0" applyNumberFormat="1" applyFill="1" applyAlignment="1">
      <alignment/>
    </xf>
    <xf numFmtId="175" fontId="0" fillId="0" borderId="0" xfId="69" applyAlignment="1">
      <alignment horizontal="center"/>
      <protection/>
    </xf>
    <xf numFmtId="184" fontId="0" fillId="44" borderId="43" xfId="62" applyNumberFormat="1" applyFill="1" applyBorder="1" applyAlignment="1">
      <alignment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84" fontId="0" fillId="44" borderId="21" xfId="62" applyNumberFormat="1" applyFill="1" applyBorder="1" applyAlignment="1">
      <alignment vertical="center"/>
      <protection/>
    </xf>
    <xf numFmtId="184" fontId="0" fillId="0" borderId="12" xfId="0" applyNumberFormat="1" applyFont="1" applyFill="1" applyBorder="1" applyAlignment="1" applyProtection="1">
      <alignment vertical="center"/>
      <protection/>
    </xf>
    <xf numFmtId="184" fontId="0" fillId="0" borderId="54" xfId="0" applyNumberFormat="1" applyFont="1" applyFill="1" applyBorder="1" applyAlignment="1" applyProtection="1">
      <alignment vertical="center"/>
      <protection/>
    </xf>
    <xf numFmtId="174" fontId="13" fillId="62" borderId="72" xfId="0" applyNumberFormat="1" applyFont="1" applyFill="1" applyBorder="1" applyAlignment="1" applyProtection="1">
      <alignment horizontal="center" vertical="center" wrapText="1"/>
      <protection locked="0"/>
    </xf>
    <xf numFmtId="174" fontId="13" fillId="62" borderId="73" xfId="0" applyNumberFormat="1" applyFont="1" applyFill="1" applyBorder="1" applyAlignment="1" applyProtection="1">
      <alignment horizontal="center" vertical="center" wrapText="1"/>
      <protection locked="0"/>
    </xf>
    <xf numFmtId="174" fontId="13" fillId="58" borderId="73" xfId="0" applyNumberFormat="1" applyFont="1" applyFill="1" applyBorder="1" applyAlignment="1" applyProtection="1">
      <alignment horizontal="center" vertical="center" wrapText="1"/>
      <protection locked="0"/>
    </xf>
    <xf numFmtId="174" fontId="13" fillId="58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175" fontId="13" fillId="14" borderId="0" xfId="69" applyFont="1" applyFill="1" applyAlignment="1">
      <alignment horizontal="center"/>
      <protection/>
    </xf>
    <xf numFmtId="0" fontId="13" fillId="14" borderId="0" xfId="0" applyFont="1" applyFill="1" applyAlignment="1">
      <alignment horizontal="right"/>
    </xf>
    <xf numFmtId="184" fontId="13" fillId="14" borderId="0" xfId="0" applyNumberFormat="1" applyFont="1" applyFill="1" applyAlignment="1">
      <alignment/>
    </xf>
    <xf numFmtId="0" fontId="0" fillId="44" borderId="0" xfId="0" applyFill="1" applyAlignment="1">
      <alignment horizontal="center"/>
    </xf>
    <xf numFmtId="1" fontId="0" fillId="44" borderId="0" xfId="0" applyNumberFormat="1" applyFill="1" applyAlignment="1">
      <alignment horizontal="center"/>
    </xf>
    <xf numFmtId="0" fontId="18" fillId="9" borderId="0" xfId="0" applyFont="1" applyFill="1" applyAlignment="1">
      <alignment vertical="center"/>
    </xf>
    <xf numFmtId="0" fontId="13" fillId="39" borderId="0" xfId="0" applyFont="1" applyFill="1" applyBorder="1" applyAlignment="1" applyProtection="1">
      <alignment horizontal="left"/>
      <protection/>
    </xf>
    <xf numFmtId="187" fontId="0" fillId="0" borderId="0" xfId="62" applyNumberFormat="1" applyAlignment="1">
      <alignment vertical="center"/>
      <protection/>
    </xf>
    <xf numFmtId="187" fontId="0" fillId="0" borderId="75" xfId="62" applyNumberFormat="1" applyBorder="1" applyAlignment="1">
      <alignment vertical="center"/>
      <protection/>
    </xf>
    <xf numFmtId="174" fontId="13" fillId="59" borderId="37" xfId="62" applyNumberFormat="1" applyFont="1" applyFill="1" applyBorder="1" applyAlignment="1" applyProtection="1">
      <alignment horizontal="right" vertical="center"/>
      <protection/>
    </xf>
    <xf numFmtId="187" fontId="0" fillId="0" borderId="0" xfId="62" applyNumberFormat="1" applyFont="1">
      <alignment/>
      <protection/>
    </xf>
    <xf numFmtId="0" fontId="0" fillId="44" borderId="0" xfId="0" applyFont="1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horizontal="left"/>
      <protection/>
    </xf>
    <xf numFmtId="0" fontId="13" fillId="14" borderId="0" xfId="0" applyFont="1" applyFill="1" applyAlignment="1" applyProtection="1">
      <alignment horizontal="center" vertical="center" wrapText="1"/>
      <protection/>
    </xf>
    <xf numFmtId="187" fontId="13" fillId="14" borderId="0" xfId="0" applyNumberFormat="1" applyFont="1" applyFill="1" applyAlignment="1" applyProtection="1">
      <alignment horizontal="center" vertical="center"/>
      <protection/>
    </xf>
    <xf numFmtId="0" fontId="18" fillId="14" borderId="0" xfId="0" applyFont="1" applyFill="1" applyAlignment="1">
      <alignment wrapText="1"/>
    </xf>
    <xf numFmtId="187" fontId="18" fillId="14" borderId="0" xfId="0" applyNumberFormat="1" applyFont="1" applyFill="1" applyAlignment="1">
      <alignment/>
    </xf>
    <xf numFmtId="174" fontId="0" fillId="0" borderId="46" xfId="0" applyNumberFormat="1" applyFont="1" applyFill="1" applyBorder="1" applyAlignment="1" applyProtection="1">
      <alignment vertical="center"/>
      <protection/>
    </xf>
    <xf numFmtId="174" fontId="0" fillId="0" borderId="48" xfId="0" applyNumberFormat="1" applyFont="1" applyFill="1" applyBorder="1" applyAlignment="1" applyProtection="1">
      <alignment vertical="center"/>
      <protection/>
    </xf>
    <xf numFmtId="174" fontId="13" fillId="59" borderId="53" xfId="0" applyNumberFormat="1" applyFont="1" applyFill="1" applyBorder="1" applyAlignment="1" applyProtection="1">
      <alignment vertical="center"/>
      <protection/>
    </xf>
    <xf numFmtId="174" fontId="13" fillId="59" borderId="53" xfId="62" applyNumberFormat="1" applyFont="1" applyFill="1" applyBorder="1" applyAlignment="1" applyProtection="1">
      <alignment vertical="center"/>
      <protection/>
    </xf>
    <xf numFmtId="179" fontId="0" fillId="0" borderId="48" xfId="60" applyNumberFormat="1" applyFont="1" applyFill="1" applyBorder="1" applyAlignment="1" applyProtection="1">
      <alignment vertical="center"/>
      <protection/>
    </xf>
    <xf numFmtId="174" fontId="0" fillId="65" borderId="46" xfId="62" applyNumberFormat="1" applyFont="1" applyFill="1" applyBorder="1" applyAlignment="1" applyProtection="1">
      <alignment vertical="center"/>
      <protection/>
    </xf>
    <xf numFmtId="179" fontId="0" fillId="65" borderId="48" xfId="60" applyNumberFormat="1" applyFont="1" applyFill="1" applyBorder="1" applyAlignment="1" applyProtection="1">
      <alignment vertical="center"/>
      <protection/>
    </xf>
    <xf numFmtId="174" fontId="13" fillId="66" borderId="53" xfId="62" applyNumberFormat="1" applyFont="1" applyFill="1" applyBorder="1" applyAlignment="1" applyProtection="1">
      <alignment vertical="center"/>
      <protection/>
    </xf>
    <xf numFmtId="174" fontId="13" fillId="67" borderId="13" xfId="0" applyNumberFormat="1" applyFont="1" applyFill="1" applyBorder="1" applyAlignment="1" applyProtection="1">
      <alignment horizontal="center" vertical="center" wrapText="1"/>
      <protection/>
    </xf>
    <xf numFmtId="174" fontId="13" fillId="68" borderId="72" xfId="62" applyNumberFormat="1" applyFont="1" applyFill="1" applyBorder="1" applyAlignment="1" applyProtection="1">
      <alignment horizontal="center" vertical="center" wrapText="1"/>
      <protection/>
    </xf>
    <xf numFmtId="0" fontId="0" fillId="44" borderId="12" xfId="0" applyFill="1" applyBorder="1" applyAlignment="1">
      <alignment horizontal="center" vertical="center"/>
    </xf>
    <xf numFmtId="187" fontId="0" fillId="44" borderId="12" xfId="0" applyNumberFormat="1" applyFill="1" applyBorder="1" applyAlignment="1">
      <alignment horizontal="center" vertical="center"/>
    </xf>
    <xf numFmtId="187" fontId="0" fillId="0" borderId="12" xfId="62" applyNumberFormat="1" applyBorder="1" applyAlignment="1">
      <alignment horizontal="center" vertical="center"/>
      <protection/>
    </xf>
    <xf numFmtId="0" fontId="0" fillId="44" borderId="12" xfId="0" applyFill="1" applyBorder="1" applyAlignment="1">
      <alignment horizontal="right" vertical="center"/>
    </xf>
    <xf numFmtId="185" fontId="0" fillId="44" borderId="42" xfId="62" applyNumberFormat="1" applyFont="1" applyFill="1" applyBorder="1" applyAlignment="1" applyProtection="1">
      <alignment horizontal="center" vertical="center"/>
      <protection locked="0"/>
    </xf>
    <xf numFmtId="174" fontId="0" fillId="65" borderId="76" xfId="62" applyNumberFormat="1" applyFont="1" applyFill="1" applyBorder="1" applyAlignment="1" applyProtection="1">
      <alignment vertical="center"/>
      <protection/>
    </xf>
    <xf numFmtId="179" fontId="0" fillId="65" borderId="55" xfId="60" applyNumberFormat="1" applyFont="1" applyFill="1" applyBorder="1" applyAlignment="1" applyProtection="1">
      <alignment vertical="center"/>
      <protection/>
    </xf>
    <xf numFmtId="174" fontId="13" fillId="66" borderId="37" xfId="62" applyNumberFormat="1" applyFont="1" applyFill="1" applyBorder="1" applyAlignment="1" applyProtection="1">
      <alignment vertical="center"/>
      <protection/>
    </xf>
    <xf numFmtId="174" fontId="13" fillId="59" borderId="50" xfId="62" applyNumberFormat="1" applyFont="1" applyFill="1" applyBorder="1" applyAlignment="1" applyProtection="1">
      <alignment vertical="center"/>
      <protection/>
    </xf>
    <xf numFmtId="174" fontId="0" fillId="0" borderId="46" xfId="62" applyNumberFormat="1" applyFont="1" applyFill="1" applyBorder="1" applyAlignment="1" applyProtection="1">
      <alignment vertical="center"/>
      <protection/>
    </xf>
    <xf numFmtId="179" fontId="0" fillId="0" borderId="48" xfId="60" applyNumberFormat="1" applyFont="1" applyFill="1" applyBorder="1" applyAlignment="1" applyProtection="1">
      <alignment vertical="center"/>
      <protection/>
    </xf>
    <xf numFmtId="174" fontId="13" fillId="60" borderId="77" xfId="0" applyNumberFormat="1" applyFont="1" applyFill="1" applyBorder="1" applyAlignment="1">
      <alignment horizontal="center" vertical="center" wrapText="1"/>
    </xf>
    <xf numFmtId="174" fontId="13" fillId="60" borderId="50" xfId="0" applyNumberFormat="1" applyFont="1" applyFill="1" applyBorder="1" applyAlignment="1">
      <alignment horizontal="center" vertical="center" wrapText="1"/>
    </xf>
    <xf numFmtId="0" fontId="13" fillId="45" borderId="27" xfId="0" applyFont="1" applyFill="1" applyBorder="1" applyAlignment="1">
      <alignment horizontal="center" vertical="center" wrapText="1"/>
    </xf>
    <xf numFmtId="185" fontId="0" fillId="44" borderId="41" xfId="62" applyNumberFormat="1" applyFont="1" applyFill="1" applyBorder="1" applyAlignment="1" applyProtection="1">
      <alignment horizontal="center" vertical="center"/>
      <protection locked="0"/>
    </xf>
    <xf numFmtId="185" fontId="0" fillId="44" borderId="33" xfId="62" applyNumberFormat="1" applyFont="1" applyFill="1" applyBorder="1" applyAlignment="1" applyProtection="1">
      <alignment horizontal="center" vertical="center"/>
      <protection locked="0"/>
    </xf>
    <xf numFmtId="185" fontId="70" fillId="44" borderId="33" xfId="62" applyNumberFormat="1" applyFont="1" applyFill="1" applyBorder="1" applyAlignment="1" applyProtection="1">
      <alignment horizontal="center" vertical="center"/>
      <protection locked="0"/>
    </xf>
    <xf numFmtId="185" fontId="13" fillId="44" borderId="46" xfId="0" applyNumberFormat="1" applyFont="1" applyFill="1" applyBorder="1" applyAlignment="1">
      <alignment horizontal="center"/>
    </xf>
    <xf numFmtId="185" fontId="13" fillId="44" borderId="48" xfId="0" applyNumberFormat="1" applyFont="1" applyFill="1" applyBorder="1" applyAlignment="1">
      <alignment horizontal="center"/>
    </xf>
    <xf numFmtId="174" fontId="0" fillId="0" borderId="45" xfId="62" applyNumberFormat="1" applyFont="1" applyFill="1" applyBorder="1" applyAlignment="1" applyProtection="1">
      <alignment vertical="center"/>
      <protection/>
    </xf>
    <xf numFmtId="179" fontId="0" fillId="0" borderId="47" xfId="60" applyNumberFormat="1" applyFont="1" applyFill="1" applyBorder="1" applyAlignment="1" applyProtection="1">
      <alignment vertical="center"/>
      <protection/>
    </xf>
    <xf numFmtId="174" fontId="13" fillId="59" borderId="51" xfId="62" applyNumberFormat="1" applyFont="1" applyFill="1" applyBorder="1" applyAlignment="1" applyProtection="1">
      <alignment vertical="center"/>
      <protection/>
    </xf>
    <xf numFmtId="174" fontId="13" fillId="59" borderId="77" xfId="62" applyNumberFormat="1" applyFont="1" applyFill="1" applyBorder="1" applyAlignment="1" applyProtection="1">
      <alignment vertical="center"/>
      <protection/>
    </xf>
    <xf numFmtId="174" fontId="0" fillId="0" borderId="43" xfId="0" applyNumberFormat="1" applyFont="1" applyFill="1" applyBorder="1" applyAlignment="1" applyProtection="1">
      <alignment vertical="center"/>
      <protection/>
    </xf>
    <xf numFmtId="174" fontId="0" fillId="0" borderId="21" xfId="0" applyNumberFormat="1" applyFont="1" applyFill="1" applyBorder="1" applyAlignment="1" applyProtection="1">
      <alignment vertical="center"/>
      <protection/>
    </xf>
    <xf numFmtId="174" fontId="13" fillId="59" borderId="22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Border="1" applyAlignment="1" applyProtection="1">
      <alignment horizontal="left"/>
      <protection/>
    </xf>
    <xf numFmtId="179" fontId="0" fillId="0" borderId="55" xfId="60" applyNumberFormat="1" applyFont="1" applyFill="1" applyBorder="1" applyAlignment="1" applyProtection="1">
      <alignment vertical="center"/>
      <protection/>
    </xf>
    <xf numFmtId="174" fontId="13" fillId="59" borderId="37" xfId="62" applyNumberFormat="1" applyFont="1" applyFill="1" applyBorder="1" applyAlignment="1" applyProtection="1">
      <alignment vertical="center"/>
      <protection/>
    </xf>
    <xf numFmtId="174" fontId="0" fillId="0" borderId="41" xfId="62" applyNumberFormat="1" applyFont="1" applyFill="1" applyBorder="1" applyAlignment="1" applyProtection="1">
      <alignment vertical="center"/>
      <protection/>
    </xf>
    <xf numFmtId="179" fontId="0" fillId="0" borderId="33" xfId="60" applyNumberFormat="1" applyFont="1" applyFill="1" applyBorder="1" applyAlignment="1" applyProtection="1">
      <alignment vertical="center"/>
      <protection/>
    </xf>
    <xf numFmtId="174" fontId="13" fillId="59" borderId="52" xfId="62" applyNumberFormat="1" applyFont="1" applyFill="1" applyBorder="1" applyAlignment="1" applyProtection="1">
      <alignment vertical="center"/>
      <protection/>
    </xf>
    <xf numFmtId="174" fontId="13" fillId="59" borderId="69" xfId="62" applyNumberFormat="1" applyFont="1" applyFill="1" applyBorder="1" applyAlignment="1" applyProtection="1">
      <alignment vertical="center"/>
      <protection/>
    </xf>
    <xf numFmtId="174" fontId="0" fillId="0" borderId="76" xfId="62" applyNumberFormat="1" applyFont="1" applyFill="1" applyBorder="1" applyAlignment="1" applyProtection="1">
      <alignment vertical="center"/>
      <protection/>
    </xf>
    <xf numFmtId="179" fontId="0" fillId="0" borderId="55" xfId="60" applyNumberFormat="1" applyFont="1" applyFill="1" applyBorder="1" applyAlignment="1" applyProtection="1">
      <alignment vertical="center"/>
      <protection/>
    </xf>
    <xf numFmtId="1" fontId="70" fillId="0" borderId="14" xfId="0" applyNumberFormat="1" applyFont="1" applyBorder="1" applyAlignment="1" applyProtection="1">
      <alignment horizontal="center" vertical="center" wrapText="1"/>
      <protection/>
    </xf>
    <xf numFmtId="184" fontId="0" fillId="44" borderId="0" xfId="62" applyNumberFormat="1" applyFont="1" applyFill="1" applyAlignment="1">
      <alignment vertical="center"/>
      <protection/>
    </xf>
    <xf numFmtId="175" fontId="0" fillId="44" borderId="0" xfId="69" applyFont="1" applyFill="1" applyAlignment="1">
      <alignment horizontal="left"/>
      <protection/>
    </xf>
    <xf numFmtId="0" fontId="70" fillId="44" borderId="12" xfId="0" applyFont="1" applyFill="1" applyBorder="1" applyAlignment="1" applyProtection="1">
      <alignment/>
      <protection/>
    </xf>
    <xf numFmtId="0" fontId="70" fillId="44" borderId="12" xfId="0" applyFont="1" applyFill="1" applyBorder="1" applyAlignment="1" applyProtection="1">
      <alignment horizontal="center" vertical="center"/>
      <protection locked="0"/>
    </xf>
    <xf numFmtId="187" fontId="70" fillId="0" borderId="12" xfId="62" applyNumberFormat="1" applyFont="1" applyBorder="1">
      <alignment/>
      <protection/>
    </xf>
    <xf numFmtId="49" fontId="70" fillId="0" borderId="12" xfId="0" applyNumberFormat="1" applyFont="1" applyFill="1" applyBorder="1" applyAlignment="1">
      <alignment/>
    </xf>
    <xf numFmtId="0" fontId="13" fillId="69" borderId="25" xfId="0" applyFont="1" applyFill="1" applyBorder="1" applyAlignment="1" applyProtection="1">
      <alignment horizontal="center" vertical="center" wrapText="1"/>
      <protection/>
    </xf>
    <xf numFmtId="0" fontId="0" fillId="44" borderId="25" xfId="0" applyFill="1" applyBorder="1" applyAlignment="1">
      <alignment horizontal="left" vertical="center"/>
    </xf>
    <xf numFmtId="0" fontId="0" fillId="44" borderId="26" xfId="0" applyFill="1" applyBorder="1" applyAlignment="1">
      <alignment/>
    </xf>
    <xf numFmtId="0" fontId="0" fillId="44" borderId="26" xfId="0" applyFill="1" applyBorder="1" applyAlignment="1">
      <alignment horizontal="left" vertical="center"/>
    </xf>
    <xf numFmtId="0" fontId="0" fillId="44" borderId="26" xfId="0" applyNumberFormat="1" applyFill="1" applyBorder="1" applyAlignment="1">
      <alignment horizontal="left" vertical="center"/>
    </xf>
    <xf numFmtId="0" fontId="0" fillId="44" borderId="26" xfId="0" applyNumberFormat="1" applyFont="1" applyFill="1" applyBorder="1" applyAlignment="1">
      <alignment horizontal="left" vertical="center"/>
    </xf>
    <xf numFmtId="184" fontId="0" fillId="44" borderId="12" xfId="62" applyNumberFormat="1" applyFont="1" applyFill="1" applyBorder="1" applyAlignment="1">
      <alignment vertical="center"/>
      <protection/>
    </xf>
    <xf numFmtId="184" fontId="0" fillId="44" borderId="21" xfId="62" applyNumberFormat="1" applyFont="1" applyFill="1" applyBorder="1" applyAlignment="1">
      <alignment vertical="center"/>
      <protection/>
    </xf>
    <xf numFmtId="0" fontId="0" fillId="44" borderId="57" xfId="0" applyNumberFormat="1" applyFont="1" applyFill="1" applyBorder="1" applyAlignment="1">
      <alignment horizontal="left" vertical="center"/>
    </xf>
    <xf numFmtId="0" fontId="13" fillId="44" borderId="0" xfId="0" applyFont="1" applyFill="1" applyBorder="1" applyAlignment="1">
      <alignment vertical="center"/>
    </xf>
    <xf numFmtId="0" fontId="23" fillId="44" borderId="0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184" fontId="0" fillId="52" borderId="20" xfId="62" applyNumberFormat="1" applyFont="1" applyFill="1" applyBorder="1" applyAlignment="1">
      <alignment vertical="center"/>
      <protection/>
    </xf>
    <xf numFmtId="184" fontId="0" fillId="52" borderId="22" xfId="62" applyNumberFormat="1" applyFont="1" applyFill="1" applyBorder="1" applyAlignment="1">
      <alignment vertical="center"/>
      <protection/>
    </xf>
    <xf numFmtId="49" fontId="68" fillId="44" borderId="12" xfId="0" applyNumberFormat="1" applyFont="1" applyFill="1" applyBorder="1" applyAlignment="1">
      <alignment/>
    </xf>
    <xf numFmtId="0" fontId="70" fillId="46" borderId="12" xfId="0" applyFont="1" applyFill="1" applyBorder="1" applyAlignment="1" applyProtection="1">
      <alignment/>
      <protection locked="0"/>
    </xf>
    <xf numFmtId="0" fontId="70" fillId="44" borderId="12" xfId="0" applyFont="1" applyFill="1" applyBorder="1" applyAlignment="1" applyProtection="1">
      <alignment horizontal="left" vertical="center"/>
      <protection locked="0"/>
    </xf>
    <xf numFmtId="173" fontId="0" fillId="0" borderId="12" xfId="62" applyNumberFormat="1" applyFont="1" applyFill="1" applyBorder="1" applyAlignment="1" applyProtection="1">
      <alignment vertical="center"/>
      <protection/>
    </xf>
    <xf numFmtId="173" fontId="0" fillId="0" borderId="42" xfId="62" applyNumberFormat="1" applyFont="1" applyFill="1" applyBorder="1" applyAlignment="1" applyProtection="1">
      <alignment vertical="center"/>
      <protection/>
    </xf>
    <xf numFmtId="173" fontId="0" fillId="0" borderId="20" xfId="62" applyNumberFormat="1" applyFont="1" applyFill="1" applyBorder="1" applyAlignment="1" applyProtection="1">
      <alignment vertical="center"/>
      <protection/>
    </xf>
    <xf numFmtId="174" fontId="10" fillId="70" borderId="42" xfId="0" applyNumberFormat="1" applyFont="1" applyFill="1" applyBorder="1" applyAlignment="1" applyProtection="1">
      <alignment horizontal="center" vertical="center" wrapText="1"/>
      <protection/>
    </xf>
    <xf numFmtId="0" fontId="10" fillId="70" borderId="42" xfId="0" applyFont="1" applyFill="1" applyBorder="1" applyAlignment="1" applyProtection="1">
      <alignment horizontal="center" vertical="center" wrapText="1"/>
      <protection/>
    </xf>
    <xf numFmtId="0" fontId="10" fillId="71" borderId="42" xfId="0" applyFont="1" applyFill="1" applyBorder="1" applyAlignment="1" applyProtection="1">
      <alignment horizontal="center" vertical="center" wrapText="1"/>
      <protection/>
    </xf>
    <xf numFmtId="0" fontId="72" fillId="70" borderId="43" xfId="0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left" vertical="center"/>
      <protection/>
    </xf>
    <xf numFmtId="174" fontId="13" fillId="43" borderId="20" xfId="62" applyNumberFormat="1" applyFont="1" applyFill="1" applyBorder="1" applyAlignment="1" applyProtection="1">
      <alignment vertical="center"/>
      <protection/>
    </xf>
    <xf numFmtId="174" fontId="13" fillId="8" borderId="20" xfId="62" applyNumberFormat="1" applyFont="1" applyFill="1" applyBorder="1" applyAlignment="1" applyProtection="1">
      <alignment vertical="center"/>
      <protection/>
    </xf>
    <xf numFmtId="174" fontId="0" fillId="8" borderId="20" xfId="62" applyNumberFormat="1" applyFont="1" applyFill="1" applyBorder="1" applyAlignment="1" applyProtection="1">
      <alignment vertical="center"/>
      <protection/>
    </xf>
    <xf numFmtId="174" fontId="13" fillId="0" borderId="22" xfId="62" applyNumberFormat="1" applyFont="1" applyFill="1" applyBorder="1" applyAlignment="1" applyProtection="1">
      <alignment vertical="center"/>
      <protection/>
    </xf>
    <xf numFmtId="185" fontId="0" fillId="44" borderId="12" xfId="62" applyNumberFormat="1" applyFont="1" applyFill="1" applyBorder="1" applyAlignment="1" applyProtection="1">
      <alignment horizontal="center" vertical="center"/>
      <protection locked="0"/>
    </xf>
    <xf numFmtId="185" fontId="0" fillId="44" borderId="33" xfId="62" applyNumberFormat="1" applyFont="1" applyFill="1" applyBorder="1" applyAlignment="1" applyProtection="1">
      <alignment horizontal="center" vertical="center"/>
      <protection locked="0"/>
    </xf>
    <xf numFmtId="0" fontId="0" fillId="44" borderId="26" xfId="0" applyFont="1" applyFill="1" applyBorder="1" applyAlignment="1">
      <alignment horizontal="left" vertical="center"/>
    </xf>
    <xf numFmtId="184" fontId="0" fillId="44" borderId="12" xfId="62" applyNumberFormat="1" applyFont="1" applyFill="1" applyBorder="1" applyAlignment="1">
      <alignment vertical="center"/>
      <protection/>
    </xf>
    <xf numFmtId="184" fontId="0" fillId="44" borderId="33" xfId="62" applyNumberFormat="1" applyFont="1" applyFill="1" applyBorder="1" applyAlignment="1">
      <alignment vertical="center"/>
      <protection/>
    </xf>
    <xf numFmtId="185" fontId="0" fillId="44" borderId="20" xfId="62" applyNumberFormat="1" applyFont="1" applyFill="1" applyBorder="1" applyAlignment="1" applyProtection="1">
      <alignment horizontal="center" vertical="center"/>
      <protection locked="0"/>
    </xf>
    <xf numFmtId="184" fontId="0" fillId="44" borderId="20" xfId="62" applyNumberFormat="1" applyFont="1" applyFill="1" applyBorder="1" applyAlignment="1">
      <alignment vertical="center"/>
      <protection/>
    </xf>
    <xf numFmtId="184" fontId="0" fillId="44" borderId="52" xfId="62" applyNumberFormat="1" applyFont="1" applyFill="1" applyBorder="1" applyAlignment="1">
      <alignment vertical="center"/>
      <protection/>
    </xf>
    <xf numFmtId="185" fontId="13" fillId="44" borderId="53" xfId="0" applyNumberFormat="1" applyFont="1" applyFill="1" applyBorder="1" applyAlignment="1">
      <alignment horizontal="center"/>
    </xf>
    <xf numFmtId="184" fontId="0" fillId="72" borderId="20" xfId="62" applyNumberFormat="1" applyFont="1" applyFill="1" applyBorder="1" applyAlignment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74" fontId="0" fillId="44" borderId="33" xfId="62" applyNumberFormat="1" applyFont="1" applyFill="1" applyBorder="1" applyAlignment="1" applyProtection="1">
      <alignment vertical="center"/>
      <protection locked="0"/>
    </xf>
    <xf numFmtId="174" fontId="0" fillId="44" borderId="26" xfId="62" applyNumberFormat="1" applyFont="1" applyFill="1" applyBorder="1" applyAlignment="1" applyProtection="1">
      <alignment vertical="center"/>
      <protection locked="0"/>
    </xf>
    <xf numFmtId="182" fontId="0" fillId="44" borderId="12" xfId="60" applyNumberFormat="1" applyFont="1" applyFill="1" applyBorder="1" applyAlignment="1" applyProtection="1">
      <alignment vertical="center"/>
      <protection locked="0"/>
    </xf>
    <xf numFmtId="174" fontId="0" fillId="53" borderId="21" xfId="62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Border="1" applyAlignment="1" applyProtection="1">
      <alignment horizontal="center" vertical="center" wrapText="1"/>
      <protection/>
    </xf>
    <xf numFmtId="181" fontId="0" fillId="8" borderId="15" xfId="0" applyNumberFormat="1" applyFont="1" applyFill="1" applyBorder="1" applyAlignment="1" applyProtection="1">
      <alignment horizontal="left"/>
      <protection/>
    </xf>
    <xf numFmtId="187" fontId="0" fillId="43" borderId="0" xfId="62" applyNumberFormat="1" applyFill="1" applyAlignment="1">
      <alignment vertical="center"/>
      <protection/>
    </xf>
    <xf numFmtId="187" fontId="0" fillId="44" borderId="0" xfId="0" applyNumberFormat="1" applyFont="1" applyFill="1" applyAlignment="1" applyProtection="1">
      <alignment vertical="center"/>
      <protection/>
    </xf>
    <xf numFmtId="174" fontId="70" fillId="44" borderId="26" xfId="62" applyNumberFormat="1" applyFont="1" applyFill="1" applyBorder="1" applyAlignment="1" applyProtection="1">
      <alignment vertical="center"/>
      <protection locked="0"/>
    </xf>
    <xf numFmtId="182" fontId="70" fillId="44" borderId="12" xfId="60" applyNumberFormat="1" applyFont="1" applyFill="1" applyBorder="1" applyAlignment="1" applyProtection="1">
      <alignment vertical="center"/>
      <protection locked="0"/>
    </xf>
    <xf numFmtId="174" fontId="70" fillId="53" borderId="21" xfId="62" applyNumberFormat="1" applyFont="1" applyFill="1" applyBorder="1" applyAlignment="1" applyProtection="1">
      <alignment vertical="center"/>
      <protection/>
    </xf>
    <xf numFmtId="174" fontId="73" fillId="47" borderId="32" xfId="62" applyNumberFormat="1" applyFont="1" applyFill="1" applyBorder="1" applyAlignment="1" applyProtection="1">
      <alignment vertical="center"/>
      <protection/>
    </xf>
    <xf numFmtId="0" fontId="59" fillId="0" borderId="0" xfId="57" applyAlignment="1" applyProtection="1">
      <alignment horizontal="left" vertical="center"/>
      <protection/>
    </xf>
    <xf numFmtId="0" fontId="21" fillId="0" borderId="0" xfId="57" applyFont="1" applyAlignment="1" applyProtection="1">
      <alignment horizontal="left" vertical="center"/>
      <protection/>
    </xf>
    <xf numFmtId="0" fontId="0" fillId="9" borderId="25" xfId="0" applyFont="1" applyFill="1" applyBorder="1" applyAlignment="1" applyProtection="1">
      <alignment horizontal="center" vertical="center" wrapText="1"/>
      <protection/>
    </xf>
    <xf numFmtId="0" fontId="0" fillId="9" borderId="26" xfId="0" applyFont="1" applyFill="1" applyBorder="1" applyAlignment="1" applyProtection="1">
      <alignment horizontal="center" vertical="center" wrapText="1"/>
      <protection/>
    </xf>
    <xf numFmtId="0" fontId="0" fillId="9" borderId="57" xfId="0" applyFont="1" applyFill="1" applyBorder="1" applyAlignment="1" applyProtection="1">
      <alignment horizontal="center" vertical="center" wrapText="1"/>
      <protection/>
    </xf>
    <xf numFmtId="174" fontId="0" fillId="73" borderId="76" xfId="62" applyNumberFormat="1" applyFont="1" applyFill="1" applyBorder="1" applyAlignment="1" applyProtection="1">
      <alignment horizontal="right" vertical="center"/>
      <protection/>
    </xf>
    <xf numFmtId="174" fontId="0" fillId="73" borderId="55" xfId="62" applyNumberFormat="1" applyFont="1" applyFill="1" applyBorder="1" applyAlignment="1" applyProtection="1">
      <alignment horizontal="right" vertical="center"/>
      <protection/>
    </xf>
    <xf numFmtId="0" fontId="0" fillId="16" borderId="25" xfId="0" applyFont="1" applyFill="1" applyBorder="1" applyAlignment="1" applyProtection="1">
      <alignment horizontal="center" vertical="center" wrapText="1"/>
      <protection/>
    </xf>
    <xf numFmtId="0" fontId="0" fillId="16" borderId="26" xfId="0" applyFont="1" applyFill="1" applyBorder="1" applyAlignment="1" applyProtection="1">
      <alignment horizontal="center" vertical="center" wrapText="1"/>
      <protection/>
    </xf>
    <xf numFmtId="0" fontId="0" fillId="16" borderId="57" xfId="0" applyFont="1" applyFill="1" applyBorder="1" applyAlignment="1" applyProtection="1">
      <alignment horizontal="center" vertical="center" wrapText="1"/>
      <protection/>
    </xf>
    <xf numFmtId="174" fontId="13" fillId="67" borderId="78" xfId="0" applyNumberFormat="1" applyFont="1" applyFill="1" applyBorder="1" applyAlignment="1" applyProtection="1">
      <alignment horizontal="center" vertical="center" wrapText="1"/>
      <protection/>
    </xf>
    <xf numFmtId="174" fontId="13" fillId="67" borderId="79" xfId="0" applyNumberFormat="1" applyFont="1" applyFill="1" applyBorder="1" applyAlignment="1" applyProtection="1">
      <alignment horizontal="center" vertical="center" wrapText="1"/>
      <protection/>
    </xf>
    <xf numFmtId="0" fontId="0" fillId="13" borderId="25" xfId="0" applyFont="1" applyFill="1" applyBorder="1" applyAlignment="1" applyProtection="1">
      <alignment horizontal="center" vertical="center" wrapText="1"/>
      <protection/>
    </xf>
    <xf numFmtId="0" fontId="0" fillId="13" borderId="26" xfId="0" applyFont="1" applyFill="1" applyBorder="1" applyAlignment="1" applyProtection="1">
      <alignment horizontal="center" vertical="center" wrapText="1"/>
      <protection/>
    </xf>
    <xf numFmtId="0" fontId="0" fillId="13" borderId="57" xfId="0" applyFont="1" applyFill="1" applyBorder="1" applyAlignment="1" applyProtection="1">
      <alignment horizontal="center" vertical="center" wrapText="1"/>
      <protection/>
    </xf>
    <xf numFmtId="0" fontId="0" fillId="13" borderId="71" xfId="0" applyFont="1" applyFill="1" applyBorder="1" applyAlignment="1" applyProtection="1">
      <alignment horizontal="center" vertical="center" wrapText="1"/>
      <protection/>
    </xf>
    <xf numFmtId="0" fontId="0" fillId="13" borderId="66" xfId="0" applyFont="1" applyFill="1" applyBorder="1" applyAlignment="1" applyProtection="1">
      <alignment horizontal="center" vertical="center" wrapText="1"/>
      <protection/>
    </xf>
    <xf numFmtId="0" fontId="0" fillId="13" borderId="67" xfId="0" applyFont="1" applyFill="1" applyBorder="1" applyAlignment="1" applyProtection="1">
      <alignment horizontal="center" vertical="center" wrapText="1"/>
      <protection/>
    </xf>
    <xf numFmtId="0" fontId="0" fillId="17" borderId="25" xfId="0" applyFont="1" applyFill="1" applyBorder="1" applyAlignment="1" applyProtection="1">
      <alignment horizontal="center" vertical="center" wrapText="1"/>
      <protection/>
    </xf>
    <xf numFmtId="0" fontId="0" fillId="17" borderId="26" xfId="0" applyFont="1" applyFill="1" applyBorder="1" applyAlignment="1" applyProtection="1">
      <alignment horizontal="center" vertical="center" wrapText="1"/>
      <protection/>
    </xf>
    <xf numFmtId="0" fontId="0" fillId="17" borderId="57" xfId="0" applyFont="1" applyFill="1" applyBorder="1" applyAlignment="1" applyProtection="1">
      <alignment horizontal="center" vertical="center" wrapText="1"/>
      <protection/>
    </xf>
    <xf numFmtId="0" fontId="13" fillId="14" borderId="0" xfId="0" applyFont="1" applyFill="1" applyBorder="1" applyAlignment="1" applyProtection="1">
      <alignment horizontal="center" vertical="center"/>
      <protection/>
    </xf>
    <xf numFmtId="174" fontId="72" fillId="57" borderId="25" xfId="0" applyNumberFormat="1" applyFont="1" applyFill="1" applyBorder="1" applyAlignment="1" applyProtection="1">
      <alignment horizontal="center" vertical="center" wrapText="1"/>
      <protection/>
    </xf>
    <xf numFmtId="174" fontId="72" fillId="57" borderId="42" xfId="0" applyNumberFormat="1" applyFont="1" applyFill="1" applyBorder="1" applyAlignment="1" applyProtection="1">
      <alignment horizontal="center" vertical="center" wrapText="1"/>
      <protection/>
    </xf>
    <xf numFmtId="174" fontId="72" fillId="57" borderId="41" xfId="0" applyNumberFormat="1" applyFont="1" applyFill="1" applyBorder="1" applyAlignment="1" applyProtection="1">
      <alignment horizontal="center" vertical="center" wrapText="1"/>
      <protection/>
    </xf>
    <xf numFmtId="174" fontId="72" fillId="57" borderId="46" xfId="0" applyNumberFormat="1" applyFont="1" applyFill="1" applyBorder="1" applyAlignment="1" applyProtection="1">
      <alignment horizontal="center" vertical="center" wrapText="1"/>
      <protection/>
    </xf>
    <xf numFmtId="174" fontId="72" fillId="57" borderId="56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right" vertical="center"/>
      <protection/>
    </xf>
    <xf numFmtId="0" fontId="13" fillId="43" borderId="15" xfId="0" applyFont="1" applyFill="1" applyBorder="1" applyAlignment="1" applyProtection="1">
      <alignment horizontal="center" vertical="center"/>
      <protection/>
    </xf>
    <xf numFmtId="0" fontId="13" fillId="43" borderId="30" xfId="0" applyFont="1" applyFill="1" applyBorder="1" applyAlignment="1" applyProtection="1">
      <alignment horizontal="center" vertical="center"/>
      <protection/>
    </xf>
    <xf numFmtId="174" fontId="13" fillId="69" borderId="43" xfId="0" applyNumberFormat="1" applyFont="1" applyFill="1" applyBorder="1" applyAlignment="1" applyProtection="1">
      <alignment horizontal="center" vertical="center"/>
      <protection/>
    </xf>
    <xf numFmtId="174" fontId="13" fillId="69" borderId="27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 indent="2"/>
      <protection/>
    </xf>
    <xf numFmtId="0" fontId="13" fillId="69" borderId="46" xfId="0" applyFont="1" applyFill="1" applyBorder="1" applyAlignment="1" applyProtection="1">
      <alignment horizontal="center" vertical="center" wrapText="1"/>
      <protection/>
    </xf>
    <xf numFmtId="0" fontId="13" fillId="69" borderId="48" xfId="0" applyFont="1" applyFill="1" applyBorder="1" applyAlignment="1" applyProtection="1">
      <alignment horizontal="center" vertical="center" wrapText="1"/>
      <protection/>
    </xf>
    <xf numFmtId="0" fontId="13" fillId="69" borderId="25" xfId="0" applyFont="1" applyFill="1" applyBorder="1" applyAlignment="1" applyProtection="1">
      <alignment horizontal="center" vertical="center" wrapText="1"/>
      <protection/>
    </xf>
    <xf numFmtId="0" fontId="13" fillId="69" borderId="49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80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0" fillId="53" borderId="71" xfId="0" applyFont="1" applyFill="1" applyBorder="1" applyAlignment="1" applyProtection="1">
      <alignment horizontal="center" vertical="center" wrapText="1"/>
      <protection/>
    </xf>
    <xf numFmtId="0" fontId="0" fillId="53" borderId="66" xfId="0" applyFont="1" applyFill="1" applyBorder="1" applyAlignment="1" applyProtection="1">
      <alignment horizontal="center" vertical="center" wrapText="1"/>
      <protection/>
    </xf>
    <xf numFmtId="0" fontId="0" fillId="53" borderId="67" xfId="0" applyFont="1" applyFill="1" applyBorder="1" applyAlignment="1" applyProtection="1">
      <alignment horizontal="center" vertical="center" wrapText="1"/>
      <protection/>
    </xf>
    <xf numFmtId="174" fontId="13" fillId="68" borderId="81" xfId="0" applyNumberFormat="1" applyFont="1" applyFill="1" applyBorder="1" applyAlignment="1" applyProtection="1">
      <alignment horizontal="center" vertical="center"/>
      <protection/>
    </xf>
    <xf numFmtId="174" fontId="13" fillId="68" borderId="82" xfId="0" applyNumberFormat="1" applyFont="1" applyFill="1" applyBorder="1" applyAlignment="1" applyProtection="1">
      <alignment horizontal="center" vertical="center"/>
      <protection/>
    </xf>
    <xf numFmtId="0" fontId="13" fillId="61" borderId="25" xfId="0" applyFont="1" applyFill="1" applyBorder="1" applyAlignment="1">
      <alignment horizontal="center" vertical="center" wrapText="1"/>
    </xf>
    <xf numFmtId="0" fontId="13" fillId="61" borderId="49" xfId="0" applyFont="1" applyFill="1" applyBorder="1" applyAlignment="1">
      <alignment horizontal="center" vertical="center" wrapText="1"/>
    </xf>
    <xf numFmtId="0" fontId="13" fillId="45" borderId="41" xfId="0" applyFont="1" applyFill="1" applyBorder="1" applyAlignment="1">
      <alignment horizontal="center" vertical="center" wrapText="1"/>
    </xf>
    <xf numFmtId="0" fontId="13" fillId="45" borderId="69" xfId="0" applyFont="1" applyFill="1" applyBorder="1" applyAlignment="1">
      <alignment horizontal="center" vertical="center" wrapText="1"/>
    </xf>
    <xf numFmtId="174" fontId="74" fillId="60" borderId="25" xfId="0" applyNumberFormat="1" applyFont="1" applyFill="1" applyBorder="1" applyAlignment="1">
      <alignment horizontal="center" vertical="center" wrapText="1"/>
    </xf>
    <xf numFmtId="174" fontId="74" fillId="60" borderId="42" xfId="0" applyNumberFormat="1" applyFont="1" applyFill="1" applyBorder="1" applyAlignment="1">
      <alignment horizontal="center" vertical="center" wrapText="1"/>
    </xf>
    <xf numFmtId="174" fontId="74" fillId="60" borderId="43" xfId="0" applyNumberFormat="1" applyFont="1" applyFill="1" applyBorder="1" applyAlignment="1">
      <alignment horizontal="center" vertical="center" wrapText="1"/>
    </xf>
    <xf numFmtId="0" fontId="20" fillId="44" borderId="0" xfId="0" applyFont="1" applyFill="1" applyAlignment="1">
      <alignment horizontal="left" vertical="center" indent="2"/>
    </xf>
    <xf numFmtId="0" fontId="13" fillId="61" borderId="57" xfId="0" applyFont="1" applyFill="1" applyBorder="1" applyAlignment="1">
      <alignment horizontal="center" vertical="center" wrapText="1"/>
    </xf>
    <xf numFmtId="0" fontId="13" fillId="45" borderId="43" xfId="0" applyFont="1" applyFill="1" applyBorder="1" applyAlignment="1">
      <alignment horizontal="center" vertical="center" wrapText="1"/>
    </xf>
    <xf numFmtId="0" fontId="13" fillId="45" borderId="27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0" fontId="23" fillId="44" borderId="78" xfId="0" applyFont="1" applyFill="1" applyBorder="1" applyAlignment="1">
      <alignment horizontal="center" vertical="center" wrapText="1"/>
    </xf>
    <xf numFmtId="0" fontId="23" fillId="44" borderId="83" xfId="0" applyFont="1" applyFill="1" applyBorder="1" applyAlignment="1">
      <alignment horizontal="center" vertical="center" wrapText="1"/>
    </xf>
    <xf numFmtId="0" fontId="23" fillId="44" borderId="70" xfId="0" applyFont="1" applyFill="1" applyBorder="1" applyAlignment="1">
      <alignment horizontal="center" vertical="center" wrapText="1"/>
    </xf>
    <xf numFmtId="0" fontId="17" fillId="44" borderId="78" xfId="0" applyFont="1" applyFill="1" applyBorder="1" applyAlignment="1">
      <alignment horizontal="center" vertical="center" wrapText="1"/>
    </xf>
    <xf numFmtId="0" fontId="17" fillId="44" borderId="83" xfId="0" applyFont="1" applyFill="1" applyBorder="1" applyAlignment="1">
      <alignment horizontal="center" vertical="center" wrapText="1"/>
    </xf>
    <xf numFmtId="0" fontId="17" fillId="44" borderId="70" xfId="0" applyFont="1" applyFill="1" applyBorder="1" applyAlignment="1">
      <alignment horizontal="center" vertical="center" wrapText="1"/>
    </xf>
    <xf numFmtId="175" fontId="0" fillId="44" borderId="0" xfId="69" applyFont="1" applyFill="1" applyBorder="1" applyAlignment="1">
      <alignment horizontal="left" wrapText="1"/>
      <protection/>
    </xf>
    <xf numFmtId="174" fontId="74" fillId="60" borderId="45" xfId="0" applyNumberFormat="1" applyFont="1" applyFill="1" applyBorder="1" applyAlignment="1">
      <alignment horizontal="center" vertical="center" wrapText="1"/>
    </xf>
    <xf numFmtId="0" fontId="23" fillId="0" borderId="84" xfId="0" applyFont="1" applyFill="1" applyBorder="1" applyAlignment="1" applyProtection="1">
      <alignment horizontal="center" vertical="top" wrapText="1"/>
      <protection/>
    </xf>
    <xf numFmtId="0" fontId="23" fillId="0" borderId="85" xfId="0" applyFont="1" applyFill="1" applyBorder="1" applyAlignment="1" applyProtection="1">
      <alignment horizontal="center" vertical="top" wrapText="1"/>
      <protection/>
    </xf>
    <xf numFmtId="0" fontId="23" fillId="0" borderId="81" xfId="0" applyFont="1" applyFill="1" applyBorder="1" applyAlignment="1" applyProtection="1">
      <alignment horizontal="center" vertical="top" wrapText="1"/>
      <protection/>
    </xf>
    <xf numFmtId="0" fontId="18" fillId="43" borderId="15" xfId="0" applyFont="1" applyFill="1" applyBorder="1" applyAlignment="1" applyProtection="1">
      <alignment horizontal="center" vertical="center"/>
      <protection locked="0"/>
    </xf>
    <xf numFmtId="0" fontId="18" fillId="43" borderId="30" xfId="0" applyFont="1" applyFill="1" applyBorder="1" applyAlignment="1" applyProtection="1">
      <alignment horizontal="center" vertical="center"/>
      <protection locked="0"/>
    </xf>
    <xf numFmtId="172" fontId="13" fillId="74" borderId="79" xfId="62" applyFont="1" applyFill="1" applyBorder="1" applyAlignment="1" applyProtection="1">
      <alignment horizontal="center" vertical="center" wrapText="1"/>
      <protection/>
    </xf>
    <xf numFmtId="172" fontId="13" fillId="74" borderId="86" xfId="62" applyFont="1" applyFill="1" applyBorder="1" applyAlignment="1" applyProtection="1">
      <alignment horizontal="center" vertical="center" wrapText="1"/>
      <protection/>
    </xf>
    <xf numFmtId="0" fontId="11" fillId="69" borderId="87" xfId="0" applyFont="1" applyFill="1" applyBorder="1" applyAlignment="1" applyProtection="1">
      <alignment horizontal="center" vertical="center"/>
      <protection/>
    </xf>
    <xf numFmtId="0" fontId="11" fillId="69" borderId="88" xfId="0" applyFont="1" applyFill="1" applyBorder="1" applyAlignment="1" applyProtection="1">
      <alignment horizontal="center" vertical="center"/>
      <protection/>
    </xf>
    <xf numFmtId="0" fontId="13" fillId="41" borderId="87" xfId="0" applyFont="1" applyFill="1" applyBorder="1" applyAlignment="1" applyProtection="1">
      <alignment horizontal="center" vertical="center"/>
      <protection/>
    </xf>
    <xf numFmtId="0" fontId="13" fillId="41" borderId="88" xfId="0" applyFont="1" applyFill="1" applyBorder="1" applyAlignment="1" applyProtection="1">
      <alignment horizontal="center" vertical="center"/>
      <protection/>
    </xf>
    <xf numFmtId="0" fontId="11" fillId="75" borderId="89" xfId="0" applyFont="1" applyFill="1" applyBorder="1" applyAlignment="1" applyProtection="1">
      <alignment horizontal="center" vertical="center"/>
      <protection/>
    </xf>
    <xf numFmtId="0" fontId="11" fillId="75" borderId="90" xfId="0" applyFont="1" applyFill="1" applyBorder="1" applyAlignment="1" applyProtection="1">
      <alignment horizontal="center" vertical="center"/>
      <protection/>
    </xf>
    <xf numFmtId="0" fontId="11" fillId="41" borderId="91" xfId="0" applyFont="1" applyFill="1" applyBorder="1" applyAlignment="1" applyProtection="1">
      <alignment horizontal="center" vertical="center"/>
      <protection/>
    </xf>
    <xf numFmtId="0" fontId="11" fillId="41" borderId="92" xfId="0" applyFont="1" applyFill="1" applyBorder="1" applyAlignment="1" applyProtection="1">
      <alignment horizontal="center" vertical="center"/>
      <protection/>
    </xf>
    <xf numFmtId="0" fontId="11" fillId="41" borderId="93" xfId="0" applyFont="1" applyFill="1" applyBorder="1" applyAlignment="1" applyProtection="1">
      <alignment horizontal="center" vertical="center"/>
      <protection/>
    </xf>
    <xf numFmtId="0" fontId="11" fillId="75" borderId="94" xfId="0" applyFont="1" applyFill="1" applyBorder="1" applyAlignment="1" applyProtection="1">
      <alignment horizontal="center" vertical="center" wrapText="1"/>
      <protection/>
    </xf>
    <xf numFmtId="0" fontId="11" fillId="75" borderId="95" xfId="0" applyFont="1" applyFill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left" vertical="center" indent="2"/>
      <protection/>
    </xf>
    <xf numFmtId="0" fontId="23" fillId="40" borderId="68" xfId="0" applyFont="1" applyFill="1" applyBorder="1" applyAlignment="1" applyProtection="1">
      <alignment horizontal="center" vertical="center" wrapText="1"/>
      <protection/>
    </xf>
    <xf numFmtId="0" fontId="23" fillId="40" borderId="26" xfId="0" applyFont="1" applyFill="1" applyBorder="1" applyAlignment="1" applyProtection="1">
      <alignment horizontal="center" vertical="center" wrapText="1"/>
      <protection/>
    </xf>
    <xf numFmtId="0" fontId="23" fillId="40" borderId="57" xfId="0" applyFont="1" applyFill="1" applyBorder="1" applyAlignment="1" applyProtection="1">
      <alignment horizontal="center" vertical="center" wrapText="1"/>
      <protection/>
    </xf>
    <xf numFmtId="183" fontId="13" fillId="8" borderId="96" xfId="0" applyNumberFormat="1" applyFont="1" applyFill="1" applyBorder="1" applyAlignment="1" applyProtection="1">
      <alignment horizontal="right" vertical="center"/>
      <protection/>
    </xf>
    <xf numFmtId="183" fontId="13" fillId="8" borderId="48" xfId="0" applyNumberFormat="1" applyFont="1" applyFill="1" applyBorder="1" applyAlignment="1" applyProtection="1">
      <alignment horizontal="right" vertical="center"/>
      <protection/>
    </xf>
    <xf numFmtId="183" fontId="13" fillId="8" borderId="53" xfId="0" applyNumberFormat="1" applyFont="1" applyFill="1" applyBorder="1" applyAlignment="1" applyProtection="1">
      <alignment horizontal="right" vertical="center"/>
      <protection/>
    </xf>
    <xf numFmtId="0" fontId="17" fillId="47" borderId="42" xfId="0" applyFont="1" applyFill="1" applyBorder="1" applyAlignment="1" applyProtection="1">
      <alignment horizontal="center" vertical="center"/>
      <protection/>
    </xf>
    <xf numFmtId="0" fontId="17" fillId="47" borderId="41" xfId="0" applyFont="1" applyFill="1" applyBorder="1" applyAlignment="1" applyProtection="1">
      <alignment horizontal="center" vertical="center"/>
      <protection/>
    </xf>
    <xf numFmtId="0" fontId="13" fillId="9" borderId="71" xfId="0" applyFont="1" applyFill="1" applyBorder="1" applyAlignment="1" applyProtection="1">
      <alignment horizontal="center" vertical="center" wrapText="1"/>
      <protection/>
    </xf>
    <xf numFmtId="0" fontId="13" fillId="9" borderId="80" xfId="0" applyFont="1" applyFill="1" applyBorder="1" applyAlignment="1" applyProtection="1">
      <alignment horizontal="center" vertical="center" wrapText="1"/>
      <protection/>
    </xf>
    <xf numFmtId="0" fontId="13" fillId="42" borderId="46" xfId="0" applyFont="1" applyFill="1" applyBorder="1" applyAlignment="1" applyProtection="1">
      <alignment horizontal="center" vertical="center" wrapText="1"/>
      <protection/>
    </xf>
    <xf numFmtId="0" fontId="13" fillId="42" borderId="97" xfId="0" applyFont="1" applyFill="1" applyBorder="1" applyAlignment="1" applyProtection="1">
      <alignment horizontal="center" vertical="center" wrapText="1"/>
      <protection/>
    </xf>
    <xf numFmtId="183" fontId="13" fillId="8" borderId="98" xfId="0" applyNumberFormat="1" applyFont="1" applyFill="1" applyBorder="1" applyAlignment="1" applyProtection="1">
      <alignment horizontal="center" vertical="center"/>
      <protection/>
    </xf>
    <xf numFmtId="183" fontId="13" fillId="8" borderId="99" xfId="0" applyNumberFormat="1" applyFont="1" applyFill="1" applyBorder="1" applyAlignment="1" applyProtection="1">
      <alignment horizontal="center" vertical="center"/>
      <protection/>
    </xf>
    <xf numFmtId="183" fontId="13" fillId="8" borderId="29" xfId="0" applyNumberFormat="1" applyFont="1" applyFill="1" applyBorder="1" applyAlignment="1" applyProtection="1">
      <alignment horizontal="center" vertical="center"/>
      <protection/>
    </xf>
    <xf numFmtId="0" fontId="23" fillId="40" borderId="84" xfId="0" applyFont="1" applyFill="1" applyBorder="1" applyAlignment="1" applyProtection="1">
      <alignment horizontal="center" vertical="center" wrapText="1"/>
      <protection/>
    </xf>
    <xf numFmtId="0" fontId="23" fillId="40" borderId="85" xfId="0" applyFont="1" applyFill="1" applyBorder="1" applyAlignment="1" applyProtection="1">
      <alignment horizontal="center" vertical="center" wrapText="1"/>
      <protection/>
    </xf>
    <xf numFmtId="0" fontId="23" fillId="40" borderId="81" xfId="0" applyFont="1" applyFill="1" applyBorder="1" applyAlignment="1" applyProtection="1">
      <alignment horizontal="center" vertical="center" wrapText="1"/>
      <protection/>
    </xf>
    <xf numFmtId="0" fontId="13" fillId="75" borderId="25" xfId="0" applyFont="1" applyFill="1" applyBorder="1" applyAlignment="1" applyProtection="1">
      <alignment horizontal="center" vertical="center" wrapText="1"/>
      <protection/>
    </xf>
    <xf numFmtId="0" fontId="13" fillId="75" borderId="49" xfId="0" applyFont="1" applyFill="1" applyBorder="1" applyAlignment="1" applyProtection="1">
      <alignment horizontal="center" vertical="center" wrapText="1"/>
      <protection/>
    </xf>
    <xf numFmtId="0" fontId="13" fillId="75" borderId="42" xfId="0" applyFont="1" applyFill="1" applyBorder="1" applyAlignment="1" applyProtection="1">
      <alignment horizontal="center" vertical="center"/>
      <protection/>
    </xf>
    <xf numFmtId="0" fontId="13" fillId="75" borderId="50" xfId="0" applyFont="1" applyFill="1" applyBorder="1" applyAlignment="1" applyProtection="1">
      <alignment horizontal="center" vertical="center"/>
      <protection/>
    </xf>
    <xf numFmtId="0" fontId="13" fillId="75" borderId="42" xfId="0" applyFont="1" applyFill="1" applyBorder="1" applyAlignment="1" applyProtection="1">
      <alignment horizontal="center" vertical="center" wrapText="1"/>
      <protection/>
    </xf>
    <xf numFmtId="0" fontId="13" fillId="47" borderId="50" xfId="0" applyFont="1" applyFill="1" applyBorder="1" applyAlignment="1" applyProtection="1">
      <alignment horizontal="center" vertical="center" wrapText="1"/>
      <protection/>
    </xf>
    <xf numFmtId="0" fontId="23" fillId="40" borderId="98" xfId="0" applyFont="1" applyFill="1" applyBorder="1" applyAlignment="1" applyProtection="1">
      <alignment horizontal="center" vertical="center" wrapText="1"/>
      <protection/>
    </xf>
    <xf numFmtId="0" fontId="23" fillId="40" borderId="99" xfId="0" applyFont="1" applyFill="1" applyBorder="1" applyAlignment="1" applyProtection="1">
      <alignment horizontal="center" vertical="center" wrapText="1"/>
      <protection/>
    </xf>
    <xf numFmtId="0" fontId="23" fillId="40" borderId="29" xfId="0" applyFont="1" applyFill="1" applyBorder="1" applyAlignment="1" applyProtection="1">
      <alignment horizontal="center" vertical="center" wrapText="1"/>
      <protection/>
    </xf>
    <xf numFmtId="183" fontId="28" fillId="8" borderId="98" xfId="0" applyNumberFormat="1" applyFont="1" applyFill="1" applyBorder="1" applyAlignment="1" applyProtection="1">
      <alignment horizontal="right" vertical="center"/>
      <protection/>
    </xf>
    <xf numFmtId="183" fontId="28" fillId="8" borderId="99" xfId="0" applyNumberFormat="1" applyFont="1" applyFill="1" applyBorder="1" applyAlignment="1" applyProtection="1">
      <alignment horizontal="right" vertical="center"/>
      <protection/>
    </xf>
    <xf numFmtId="183" fontId="28" fillId="8" borderId="29" xfId="0" applyNumberFormat="1" applyFont="1" applyFill="1" applyBorder="1" applyAlignment="1" applyProtection="1">
      <alignment horizontal="right" vertical="center"/>
      <protection/>
    </xf>
    <xf numFmtId="0" fontId="13" fillId="75" borderId="98" xfId="0" applyFont="1" applyFill="1" applyBorder="1" applyAlignment="1" applyProtection="1">
      <alignment horizontal="center" vertical="center" wrapText="1"/>
      <protection/>
    </xf>
    <xf numFmtId="0" fontId="13" fillId="75" borderId="29" xfId="0" applyFont="1" applyFill="1" applyBorder="1" applyAlignment="1" applyProtection="1">
      <alignment horizontal="center" vertical="center" wrapText="1"/>
      <protection/>
    </xf>
    <xf numFmtId="0" fontId="13" fillId="75" borderId="84" xfId="0" applyFont="1" applyFill="1" applyBorder="1" applyAlignment="1" applyProtection="1">
      <alignment horizontal="center" vertical="center"/>
      <protection/>
    </xf>
    <xf numFmtId="0" fontId="13" fillId="75" borderId="81" xfId="0" applyFont="1" applyFill="1" applyBorder="1" applyAlignment="1" applyProtection="1">
      <alignment horizontal="center" vertical="center"/>
      <protection/>
    </xf>
    <xf numFmtId="0" fontId="13" fillId="75" borderId="100" xfId="0" applyFont="1" applyFill="1" applyBorder="1" applyAlignment="1" applyProtection="1">
      <alignment horizontal="center" vertical="center" wrapText="1"/>
      <protection/>
    </xf>
    <xf numFmtId="0" fontId="13" fillId="75" borderId="58" xfId="0" applyFont="1" applyFill="1" applyBorder="1" applyAlignment="1" applyProtection="1">
      <alignment horizontal="center" vertical="center" wrapText="1"/>
      <protection/>
    </xf>
    <xf numFmtId="0" fontId="13" fillId="9" borderId="98" xfId="0" applyFont="1" applyFill="1" applyBorder="1" applyAlignment="1" applyProtection="1">
      <alignment horizontal="center" vertical="center" wrapText="1"/>
      <protection/>
    </xf>
    <xf numFmtId="0" fontId="13" fillId="9" borderId="29" xfId="0" applyFont="1" applyFill="1" applyBorder="1" applyAlignment="1" applyProtection="1">
      <alignment horizontal="center" vertical="center" wrapText="1"/>
      <protection/>
    </xf>
    <xf numFmtId="0" fontId="18" fillId="43" borderId="101" xfId="0" applyFont="1" applyFill="1" applyBorder="1" applyAlignment="1" applyProtection="1">
      <alignment horizontal="center" vertical="center"/>
      <protection locked="0"/>
    </xf>
    <xf numFmtId="0" fontId="18" fillId="43" borderId="102" xfId="0" applyFont="1" applyFill="1" applyBorder="1" applyAlignment="1" applyProtection="1">
      <alignment horizontal="center" vertical="center"/>
      <protection locked="0"/>
    </xf>
    <xf numFmtId="0" fontId="0" fillId="44" borderId="103" xfId="0" applyFill="1" applyBorder="1" applyAlignment="1">
      <alignment horizontal="center" vertical="center" wrapText="1"/>
    </xf>
    <xf numFmtId="0" fontId="17" fillId="47" borderId="71" xfId="0" applyFont="1" applyFill="1" applyBorder="1" applyAlignment="1" applyProtection="1">
      <alignment horizontal="center" vertical="center"/>
      <protection/>
    </xf>
    <xf numFmtId="0" fontId="17" fillId="47" borderId="104" xfId="0" applyFont="1" applyFill="1" applyBorder="1" applyAlignment="1" applyProtection="1">
      <alignment horizontal="center" vertical="center"/>
      <protection/>
    </xf>
    <xf numFmtId="0" fontId="17" fillId="47" borderId="76" xfId="0" applyFont="1" applyFill="1" applyBorder="1" applyAlignment="1" applyProtection="1">
      <alignment horizontal="center" vertical="center"/>
      <protection/>
    </xf>
    <xf numFmtId="0" fontId="13" fillId="75" borderId="105" xfId="0" applyFont="1" applyFill="1" applyBorder="1" applyAlignment="1" applyProtection="1">
      <alignment horizontal="center" vertical="center" wrapText="1"/>
      <protection/>
    </xf>
    <xf numFmtId="0" fontId="13" fillId="75" borderId="106" xfId="0" applyFont="1" applyFill="1" applyBorder="1" applyAlignment="1" applyProtection="1">
      <alignment horizontal="center" vertical="center" wrapText="1"/>
      <protection/>
    </xf>
    <xf numFmtId="183" fontId="13" fillId="0" borderId="50" xfId="0" applyNumberFormat="1" applyFont="1" applyFill="1" applyBorder="1" applyAlignment="1" applyProtection="1">
      <alignment horizontal="center" vertical="center" wrapText="1"/>
      <protection/>
    </xf>
    <xf numFmtId="183" fontId="13" fillId="0" borderId="62" xfId="0" applyNumberFormat="1" applyFont="1" applyFill="1" applyBorder="1" applyAlignment="1" applyProtection="1">
      <alignment horizontal="center" vertical="center" wrapText="1"/>
      <protection/>
    </xf>
    <xf numFmtId="183" fontId="13" fillId="0" borderId="54" xfId="0" applyNumberFormat="1" applyFont="1" applyFill="1" applyBorder="1" applyAlignment="1" applyProtection="1">
      <alignment horizontal="center" vertical="center" wrapText="1"/>
      <protection/>
    </xf>
    <xf numFmtId="187" fontId="0" fillId="0" borderId="0" xfId="62" applyNumberFormat="1" applyAlignment="1">
      <alignment horizontal="right"/>
      <protection/>
    </xf>
    <xf numFmtId="187" fontId="0" fillId="0" borderId="63" xfId="62" applyNumberFormat="1" applyBorder="1" applyAlignment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63" xfId="0" applyFont="1" applyFill="1" applyBorder="1" applyAlignment="1" applyProtection="1">
      <alignment horizontal="right"/>
      <protection/>
    </xf>
    <xf numFmtId="174" fontId="19" fillId="76" borderId="84" xfId="0" applyNumberFormat="1" applyFont="1" applyFill="1" applyBorder="1" applyAlignment="1" applyProtection="1">
      <alignment horizontal="center" vertical="center" wrapText="1"/>
      <protection/>
    </xf>
    <xf numFmtId="174" fontId="19" fillId="76" borderId="100" xfId="0" applyNumberFormat="1" applyFont="1" applyFill="1" applyBorder="1" applyAlignment="1" applyProtection="1">
      <alignment horizontal="center" vertical="center" wrapText="1"/>
      <protection/>
    </xf>
    <xf numFmtId="174" fontId="19" fillId="76" borderId="105" xfId="0" applyNumberFormat="1" applyFont="1" applyFill="1" applyBorder="1" applyAlignment="1" applyProtection="1">
      <alignment horizontal="center" vertical="center" wrapText="1"/>
      <protection/>
    </xf>
    <xf numFmtId="0" fontId="13" fillId="75" borderId="71" xfId="0" applyFont="1" applyFill="1" applyBorder="1" applyAlignment="1">
      <alignment horizontal="center" vertical="center" wrapText="1"/>
    </xf>
    <xf numFmtId="0" fontId="13" fillId="75" borderId="67" xfId="0" applyFont="1" applyFill="1" applyBorder="1" applyAlignment="1">
      <alignment horizontal="center" vertical="center" wrapText="1"/>
    </xf>
    <xf numFmtId="174" fontId="19" fillId="76" borderId="25" xfId="0" applyNumberFormat="1" applyFont="1" applyFill="1" applyBorder="1" applyAlignment="1">
      <alignment horizontal="center" vertical="center" wrapText="1"/>
    </xf>
    <xf numFmtId="174" fontId="19" fillId="76" borderId="42" xfId="0" applyNumberFormat="1" applyFont="1" applyFill="1" applyBorder="1" applyAlignment="1">
      <alignment horizontal="center" vertical="center" wrapText="1"/>
    </xf>
    <xf numFmtId="174" fontId="19" fillId="76" borderId="4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indent="2"/>
      <protection/>
    </xf>
    <xf numFmtId="174" fontId="19" fillId="76" borderId="25" xfId="0" applyNumberFormat="1" applyFont="1" applyFill="1" applyBorder="1" applyAlignment="1" applyProtection="1">
      <alignment horizontal="center" vertical="center" wrapText="1"/>
      <protection/>
    </xf>
    <xf numFmtId="174" fontId="19" fillId="76" borderId="42" xfId="0" applyNumberFormat="1" applyFont="1" applyFill="1" applyBorder="1" applyAlignment="1" applyProtection="1">
      <alignment horizontal="center" vertical="center" wrapText="1"/>
      <protection/>
    </xf>
    <xf numFmtId="174" fontId="19" fillId="76" borderId="43" xfId="0" applyNumberFormat="1" applyFont="1" applyFill="1" applyBorder="1" applyAlignment="1" applyProtection="1">
      <alignment horizontal="center" vertical="center" wrapText="1"/>
      <protection/>
    </xf>
    <xf numFmtId="0" fontId="13" fillId="69" borderId="41" xfId="0" applyFont="1" applyFill="1" applyBorder="1" applyAlignment="1" applyProtection="1">
      <alignment horizontal="center" vertical="center" wrapText="1"/>
      <protection/>
    </xf>
    <xf numFmtId="0" fontId="13" fillId="69" borderId="69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57" xfId="0" applyFont="1" applyFill="1" applyBorder="1" applyAlignment="1" applyProtection="1">
      <alignment horizontal="center" vertical="center" wrapText="1"/>
      <protection/>
    </xf>
    <xf numFmtId="0" fontId="13" fillId="44" borderId="0" xfId="0" applyFont="1" applyFill="1" applyAlignment="1">
      <alignment horizontal="center"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" xfId="54"/>
    <cellStyle name="Heading 1" xfId="55"/>
    <cellStyle name="Heading 2" xfId="56"/>
    <cellStyle name="Hyperlink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Moneda [0] 2" xfId="64"/>
    <cellStyle name="Neutral" xfId="65"/>
    <cellStyle name="Normal 2" xfId="66"/>
    <cellStyle name="Notas" xfId="67"/>
    <cellStyle name="Note" xfId="68"/>
    <cellStyle name="Percent" xfId="69"/>
    <cellStyle name="Salida" xfId="70"/>
    <cellStyle name="Status" xfId="71"/>
    <cellStyle name="Text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  <cellStyle name="Warning" xfId="79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%20PUBLICO\100%20PUBLICO%20DIRECCION\100%20DIRECTOR\01%20-DALEGRIA%20-%20NUEVO%20MODELO%202022\ESTRUCTURA%20NUEVO%20MODELO%20(HONORARI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OR HONORARIOS"/>
      <sheetName val="B) Tarifas y Ocupación"/>
      <sheetName val="C) Estimación Costos"/>
      <sheetName val="HONORARIOS"/>
    </sheetNames>
    <sheetDataSet>
      <sheetData sheetId="1">
        <row r="9">
          <cell r="D9" t="str">
            <v>BIENVALP</v>
          </cell>
        </row>
        <row r="16">
          <cell r="A16" t="str">
            <v>DALEGRÍA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showGridLines="0" zoomScale="80" zoomScaleNormal="80" zoomScalePageLayoutView="0" workbookViewId="0" topLeftCell="A1">
      <selection activeCell="M38" sqref="M38"/>
    </sheetView>
  </sheetViews>
  <sheetFormatPr defaultColWidth="11.421875" defaultRowHeight="12.75"/>
  <cols>
    <col min="1" max="16384" width="11.421875" style="53" customWidth="1"/>
  </cols>
  <sheetData>
    <row r="1" ht="12.75">
      <c r="H1" s="34" t="s">
        <v>77</v>
      </c>
    </row>
    <row r="2" ht="12.75">
      <c r="H2" s="34" t="s">
        <v>48</v>
      </c>
    </row>
    <row r="5" spans="2:6" s="54" customFormat="1" ht="18">
      <c r="B5" s="481" t="s">
        <v>49</v>
      </c>
      <c r="C5" s="481"/>
      <c r="D5" s="481"/>
      <c r="E5" s="481"/>
      <c r="F5" s="481"/>
    </row>
    <row r="7" spans="3:11" ht="12.75">
      <c r="C7" s="480" t="s">
        <v>55</v>
      </c>
      <c r="D7" s="480"/>
      <c r="E7" s="480"/>
      <c r="F7" s="480"/>
      <c r="G7" s="480"/>
      <c r="H7" s="480"/>
      <c r="I7" s="480"/>
      <c r="J7" s="480"/>
      <c r="K7" s="480"/>
    </row>
    <row r="9" spans="3:11" ht="12.75">
      <c r="C9" s="480" t="s">
        <v>56</v>
      </c>
      <c r="D9" s="480"/>
      <c r="E9" s="480"/>
      <c r="F9" s="480"/>
      <c r="G9" s="480"/>
      <c r="H9" s="480"/>
      <c r="I9" s="480"/>
      <c r="J9" s="480"/>
      <c r="K9" s="480"/>
    </row>
    <row r="13" spans="2:6" s="54" customFormat="1" ht="18">
      <c r="B13" s="481" t="s">
        <v>50</v>
      </c>
      <c r="C13" s="481"/>
      <c r="D13" s="481"/>
      <c r="E13" s="481"/>
      <c r="F13" s="481"/>
    </row>
    <row r="15" spans="3:11" ht="12.75">
      <c r="C15" s="480" t="s">
        <v>69</v>
      </c>
      <c r="D15" s="480"/>
      <c r="E15" s="480"/>
      <c r="F15" s="480"/>
      <c r="G15" s="480"/>
      <c r="H15" s="480"/>
      <c r="I15" s="480"/>
      <c r="J15" s="480"/>
      <c r="K15" s="480"/>
    </row>
    <row r="19" spans="2:6" s="54" customFormat="1" ht="18">
      <c r="B19" s="481" t="s">
        <v>51</v>
      </c>
      <c r="C19" s="481"/>
      <c r="D19" s="481"/>
      <c r="E19" s="481"/>
      <c r="F19" s="481"/>
    </row>
    <row r="21" spans="3:11" ht="12.75">
      <c r="C21" s="480" t="s">
        <v>75</v>
      </c>
      <c r="D21" s="480"/>
      <c r="E21" s="480"/>
      <c r="F21" s="480"/>
      <c r="G21" s="480"/>
      <c r="H21" s="480"/>
      <c r="I21" s="480"/>
      <c r="J21" s="480"/>
      <c r="K21" s="480"/>
    </row>
    <row r="26" spans="2:6" s="54" customFormat="1" ht="18">
      <c r="B26" s="481" t="s">
        <v>79</v>
      </c>
      <c r="C26" s="481"/>
      <c r="D26" s="481"/>
      <c r="E26" s="481"/>
      <c r="F26" s="481"/>
    </row>
    <row r="28" spans="3:10" ht="12.75">
      <c r="C28" s="480" t="s">
        <v>80</v>
      </c>
      <c r="D28" s="480"/>
      <c r="E28" s="480"/>
      <c r="F28" s="480"/>
      <c r="G28" s="480"/>
      <c r="H28" s="480"/>
      <c r="I28" s="480"/>
      <c r="J28" s="480"/>
    </row>
    <row r="33" spans="2:6" s="54" customFormat="1" ht="18">
      <c r="B33" s="481" t="s">
        <v>70</v>
      </c>
      <c r="C33" s="481"/>
      <c r="D33" s="481"/>
      <c r="E33" s="481"/>
      <c r="F33" s="481"/>
    </row>
    <row r="35" spans="3:10" ht="12.75">
      <c r="C35" s="480" t="s">
        <v>82</v>
      </c>
      <c r="D35" s="480"/>
      <c r="E35" s="480"/>
      <c r="F35" s="480"/>
      <c r="G35" s="480"/>
      <c r="H35" s="480"/>
      <c r="I35" s="480"/>
      <c r="J35" s="480"/>
    </row>
    <row r="37" spans="3:10" ht="12.75">
      <c r="C37" s="480" t="s">
        <v>74</v>
      </c>
      <c r="D37" s="480"/>
      <c r="E37" s="480"/>
      <c r="F37" s="480"/>
      <c r="G37" s="480"/>
      <c r="H37" s="480"/>
      <c r="I37" s="480"/>
      <c r="J37" s="480"/>
    </row>
    <row r="41" spans="2:6" s="54" customFormat="1" ht="18">
      <c r="B41" s="481" t="s">
        <v>52</v>
      </c>
      <c r="C41" s="481"/>
      <c r="D41" s="481"/>
      <c r="E41" s="481"/>
      <c r="F41" s="481"/>
    </row>
    <row r="43" spans="3:10" ht="12.75">
      <c r="C43" s="480" t="s">
        <v>81</v>
      </c>
      <c r="D43" s="480"/>
      <c r="E43" s="480"/>
      <c r="F43" s="480"/>
      <c r="G43" s="480"/>
      <c r="H43" s="480"/>
      <c r="I43" s="480"/>
      <c r="J43" s="480"/>
    </row>
    <row r="47" spans="2:6" s="54" customFormat="1" ht="18">
      <c r="B47" s="481" t="s">
        <v>53</v>
      </c>
      <c r="C47" s="481"/>
      <c r="D47" s="481"/>
      <c r="E47" s="481"/>
      <c r="F47" s="481"/>
    </row>
  </sheetData>
  <sheetProtection sheet="1" objects="1" scenarios="1"/>
  <mergeCells count="15">
    <mergeCell ref="B47:F47"/>
    <mergeCell ref="C35:J35"/>
    <mergeCell ref="C37:J37"/>
    <mergeCell ref="C43:J43"/>
    <mergeCell ref="B41:F41"/>
    <mergeCell ref="B33:F33"/>
    <mergeCell ref="C7:K7"/>
    <mergeCell ref="C9:K9"/>
    <mergeCell ref="C15:K15"/>
    <mergeCell ref="C21:K21"/>
    <mergeCell ref="C28:J28"/>
    <mergeCell ref="B5:F5"/>
    <mergeCell ref="B13:F13"/>
    <mergeCell ref="B19:F19"/>
    <mergeCell ref="B26:F26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B26" location="'D) Estimación Costos'!A1" display="D) Estimación Costos"/>
    <hyperlink ref="C28" location="'D) Estimación Costos'!A9:L85" display="TABLA 1. COSTOS DIRECTOS POR CENTRO DE COSTO"/>
    <hyperlink ref="B33" location="'E) Resumen Ingresos y Egresos'!A1" display="E) Resumen Ingresos y Egresos"/>
    <hyperlink ref="C35" location="'E) Resumen Ingresos y Egresos'!A7:J25" display="TABLA 1. RESUMEN DE INGRESOS Y EGRESOS POR CENTRO DE COSTO"/>
    <hyperlink ref="C37" location="'E) Resumen Ingresos y Egresos'!A30:J79" display="TABLA 2. DETALLE DE INGRESOS POR CENTRO DE COSTO Y PRESTACIÓN"/>
    <hyperlink ref="B41" location="'F) Resumen Tarifado '!A1" display="F) Resumen Tarifado"/>
    <hyperlink ref="C43" location="'F) Resumen Tarifado '!A7:R40" display="TABLA 1. RESUMEN DE TARIFADO POR CENTRO DE COSTO"/>
    <hyperlink ref="B47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8:J28" location="'D) Estimación Costos'!A8" display="TABLA 6: COSTOS DIRECTOS DE CENTROS DE BENEFICIOS"/>
    <hyperlink ref="C35:J35" location="'E) Resumen Ingresos y Egresos'!A6" display="TABLA 8: RESUMEN DE INGRESOS Y EGRESOS DE CENTROS DE BENEFICIOS"/>
    <hyperlink ref="C37:J37" location="'E) Resumen Ingresos y Egresos'!A15" display="TABLA 7: DETALLE DE INGRESOS POR PRESTACIÓN Y SEGMENTO"/>
    <hyperlink ref="C43:J43" location="'F) Resumen Tarifado '!A6" display="TABLA 10: RESUMEN DE TARIFADO"/>
    <hyperlink ref="C9:K9" location="'A) Reajuste Tarifas y Ocupación'!W8" display="TABLA 2: METAS DE OCUPACIÓN POR PRESTACIÓN Y SEGMENT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L59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20.00390625" style="3" customWidth="1"/>
    <col min="2" max="2" width="25.140625" style="3" customWidth="1"/>
    <col min="3" max="3" width="20.8515625" style="3" bestFit="1" customWidth="1"/>
    <col min="4" max="4" width="19.28125" style="3" customWidth="1"/>
    <col min="5" max="5" width="18.8515625" style="3" customWidth="1"/>
    <col min="6" max="6" width="18.00390625" style="3" customWidth="1"/>
    <col min="7" max="11" width="18.28125" style="3" customWidth="1"/>
    <col min="12" max="12" width="5.421875" style="3" customWidth="1"/>
    <col min="13" max="13" width="27.57421875" style="3" customWidth="1"/>
    <col min="14" max="14" width="17.57421875" style="3" customWidth="1"/>
    <col min="15" max="15" width="6.28125" style="3" customWidth="1"/>
    <col min="16" max="16" width="28.140625" style="3" bestFit="1" customWidth="1"/>
    <col min="17" max="17" width="15.8515625" style="3" customWidth="1"/>
    <col min="18" max="16384" width="11.421875" style="3" customWidth="1"/>
  </cols>
  <sheetData>
    <row r="1" spans="1:246" s="5" customFormat="1" ht="12.75">
      <c r="A1" s="4"/>
      <c r="C1" s="6"/>
      <c r="D1" s="6"/>
      <c r="E1" s="34" t="s">
        <v>77</v>
      </c>
      <c r="F1" s="6"/>
      <c r="G1" s="6"/>
      <c r="H1" s="6"/>
      <c r="I1" s="6"/>
      <c r="J1" s="6"/>
      <c r="K1" s="6"/>
      <c r="IK1" s="3"/>
      <c r="IL1" s="3"/>
    </row>
    <row r="2" spans="1:246" s="5" customFormat="1" ht="12.75">
      <c r="A2" s="7"/>
      <c r="C2" s="6"/>
      <c r="D2" s="6"/>
      <c r="E2" s="34" t="s">
        <v>71</v>
      </c>
      <c r="F2" s="6"/>
      <c r="G2" s="6"/>
      <c r="H2" s="6"/>
      <c r="I2" s="6"/>
      <c r="J2" s="6"/>
      <c r="K2" s="6"/>
      <c r="L2" s="6"/>
      <c r="M2" s="501" t="s">
        <v>263</v>
      </c>
      <c r="N2" s="501"/>
      <c r="P2" s="95"/>
      <c r="Q2" s="95"/>
      <c r="IK2" s="3"/>
      <c r="IL2" s="3"/>
    </row>
    <row r="3" spans="1:246" s="5" customFormat="1" ht="12.75">
      <c r="A3" s="3"/>
      <c r="M3" s="369" t="s">
        <v>135</v>
      </c>
      <c r="N3" s="365">
        <v>31000000</v>
      </c>
      <c r="P3" s="95"/>
      <c r="Q3" s="95"/>
      <c r="IK3" s="3"/>
      <c r="IL3" s="3"/>
    </row>
    <row r="4" spans="1:241" s="5" customFormat="1" ht="12" customHeight="1">
      <c r="A4" s="17"/>
      <c r="B4" s="18"/>
      <c r="C4" s="507" t="s">
        <v>0</v>
      </c>
      <c r="D4" s="507"/>
      <c r="E4" s="508" t="str">
        <f>+'[1]B) Tarifas y Ocupación'!D9</f>
        <v>BIENVALP</v>
      </c>
      <c r="F4" s="509"/>
      <c r="M4" s="370" t="s">
        <v>136</v>
      </c>
      <c r="N4" s="474">
        <v>15000000</v>
      </c>
      <c r="P4" s="95"/>
      <c r="Q4" s="95"/>
      <c r="IB4" s="3"/>
      <c r="IC4" s="3"/>
      <c r="ID4" s="3"/>
      <c r="IE4" s="3"/>
      <c r="IF4" s="3"/>
      <c r="IG4" s="3"/>
    </row>
    <row r="5" spans="1:241" s="5" customFormat="1" ht="13.5" thickBot="1">
      <c r="A5" s="3"/>
      <c r="B5" s="3"/>
      <c r="C5" s="3"/>
      <c r="D5" s="3"/>
      <c r="E5" s="3"/>
      <c r="F5" s="8"/>
      <c r="G5" s="52"/>
      <c r="H5" s="52"/>
      <c r="I5" s="52"/>
      <c r="J5" s="52"/>
      <c r="K5" s="52"/>
      <c r="M5" s="3" t="s">
        <v>262</v>
      </c>
      <c r="N5" s="366">
        <f>+'D) Remuneraciones'!K63</f>
        <v>29408246.00572763</v>
      </c>
      <c r="P5" s="95"/>
      <c r="Q5" s="95"/>
      <c r="IB5" s="3"/>
      <c r="IC5" s="3"/>
      <c r="ID5" s="3"/>
      <c r="IE5" s="3"/>
      <c r="IF5" s="3"/>
      <c r="IG5" s="3"/>
    </row>
    <row r="6" spans="1:241" s="5" customFormat="1" ht="13.5" thickTop="1">
      <c r="A6" s="512" t="s">
        <v>82</v>
      </c>
      <c r="B6" s="512"/>
      <c r="C6" s="512"/>
      <c r="D6" s="512"/>
      <c r="E6" s="3"/>
      <c r="F6" s="8"/>
      <c r="G6" s="52"/>
      <c r="H6" s="52"/>
      <c r="I6" s="52"/>
      <c r="J6" s="52"/>
      <c r="K6" s="52"/>
      <c r="M6" s="8" t="s">
        <v>5</v>
      </c>
      <c r="N6" s="206">
        <f>SUM(N3:N5)</f>
        <v>75408246.00572763</v>
      </c>
      <c r="P6" s="95"/>
      <c r="Q6" s="95"/>
      <c r="IB6" s="3"/>
      <c r="IC6" s="3"/>
      <c r="ID6" s="3"/>
      <c r="IE6" s="3"/>
      <c r="IF6" s="3"/>
      <c r="IG6" s="3"/>
    </row>
    <row r="7" spans="2:14" ht="13.5" thickBot="1">
      <c r="B7" s="37"/>
      <c r="C7" s="37"/>
      <c r="E7" s="37"/>
      <c r="F7" s="37"/>
      <c r="G7" s="37"/>
      <c r="H7" s="37"/>
      <c r="I7" s="37"/>
      <c r="J7" s="37"/>
      <c r="K7" s="37"/>
      <c r="L7" s="45"/>
      <c r="M7" s="371" t="s">
        <v>261</v>
      </c>
      <c r="N7" s="368">
        <f>+'F) Puesta en Marcha'!C35</f>
        <v>9950128</v>
      </c>
    </row>
    <row r="8" spans="1:17" ht="39" customHeight="1">
      <c r="A8" s="428" t="s">
        <v>66</v>
      </c>
      <c r="B8" s="448" t="s">
        <v>123</v>
      </c>
      <c r="C8" s="449" t="s">
        <v>47</v>
      </c>
      <c r="D8" s="450" t="s">
        <v>45</v>
      </c>
      <c r="E8" s="450" t="s">
        <v>46</v>
      </c>
      <c r="F8" s="450" t="s">
        <v>64</v>
      </c>
      <c r="G8" s="451" t="s">
        <v>290</v>
      </c>
      <c r="M8" s="372" t="s">
        <v>265</v>
      </c>
      <c r="N8" s="373">
        <f>+N6+N7</f>
        <v>85358374.00572763</v>
      </c>
      <c r="P8" s="5"/>
      <c r="Q8" s="5"/>
    </row>
    <row r="9" spans="1:17" ht="39.75" customHeight="1" thickBot="1">
      <c r="A9" s="452" t="str">
        <f>+'[1]B) Tarifas y Ocupación'!A16</f>
        <v>DALEGRÍA</v>
      </c>
      <c r="B9" s="453">
        <f>+N6</f>
        <v>75408246.00572763</v>
      </c>
      <c r="C9" s="454">
        <f>+K59</f>
        <v>83737820</v>
      </c>
      <c r="D9" s="454">
        <f>+'C) Estimación Costos'!H74</f>
        <v>209012133.3641765</v>
      </c>
      <c r="E9" s="455"/>
      <c r="F9" s="454">
        <f>+D9+E9</f>
        <v>209012133.3641765</v>
      </c>
      <c r="G9" s="456">
        <f>B9+C9-F9</f>
        <v>-49866067.35844886</v>
      </c>
      <c r="M9" s="364" t="s">
        <v>264</v>
      </c>
      <c r="N9" s="338">
        <v>24000000</v>
      </c>
      <c r="P9" s="5"/>
      <c r="Q9" s="5"/>
    </row>
    <row r="10" spans="1:17" s="94" customFormat="1" ht="12.75">
      <c r="A10" s="90"/>
      <c r="B10" s="91"/>
      <c r="C10" s="92"/>
      <c r="D10" s="92"/>
      <c r="E10" s="93"/>
      <c r="F10" s="92"/>
      <c r="G10" s="92">
        <f>G9+N9</f>
        <v>-25866067.358448863</v>
      </c>
      <c r="H10" s="93" t="s">
        <v>295</v>
      </c>
      <c r="I10" s="93"/>
      <c r="J10" s="93"/>
      <c r="K10" s="93"/>
      <c r="P10" s="95"/>
      <c r="Q10" s="95"/>
    </row>
    <row r="11" spans="1:15" s="94" customFormat="1" ht="12.75">
      <c r="A11" s="90"/>
      <c r="B11" s="89"/>
      <c r="C11" s="201"/>
      <c r="D11" s="92"/>
      <c r="E11" s="92"/>
      <c r="F11" s="92"/>
      <c r="G11" s="93"/>
      <c r="H11" s="94" t="s">
        <v>275</v>
      </c>
      <c r="K11" s="93"/>
      <c r="L11" s="95"/>
      <c r="N11" s="475">
        <f>N3+N5-N4-N7</f>
        <v>35458118.005727634</v>
      </c>
      <c r="O11" s="94" t="s">
        <v>296</v>
      </c>
    </row>
    <row r="12" spans="1:241" s="5" customFormat="1" ht="15.75" customHeight="1">
      <c r="A12" s="10"/>
      <c r="B12" s="89"/>
      <c r="C12" s="11"/>
      <c r="D12" s="11"/>
      <c r="E12" s="11"/>
      <c r="F12" s="11"/>
      <c r="G12" s="11"/>
      <c r="H12" s="11"/>
      <c r="I12" s="11"/>
      <c r="J12" s="11"/>
      <c r="K12" s="11"/>
      <c r="L12" s="11"/>
      <c r="IA12" s="3"/>
      <c r="IB12" s="3"/>
      <c r="IC12" s="3"/>
      <c r="ID12" s="3"/>
      <c r="IE12" s="3"/>
      <c r="IF12" s="3"/>
      <c r="IG12" s="3"/>
    </row>
    <row r="13" spans="1:241" s="5" customFormat="1" ht="15.75" customHeight="1">
      <c r="A13" s="10"/>
      <c r="B13" s="89"/>
      <c r="C13" s="10"/>
      <c r="D13" s="11"/>
      <c r="E13" s="11"/>
      <c r="F13" s="11"/>
      <c r="G13" s="11"/>
      <c r="H13" s="11"/>
      <c r="I13" s="11"/>
      <c r="J13" s="11"/>
      <c r="K13" s="11"/>
      <c r="L13" s="11"/>
      <c r="IA13" s="3"/>
      <c r="IB13" s="3"/>
      <c r="IC13" s="3"/>
      <c r="ID13" s="3"/>
      <c r="IE13" s="3"/>
      <c r="IF13" s="3"/>
      <c r="IG13" s="3"/>
    </row>
    <row r="14" spans="1:241" s="5" customFormat="1" ht="15.75" customHeight="1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IA14" s="3"/>
      <c r="IB14" s="3"/>
      <c r="IC14" s="3"/>
      <c r="ID14" s="3"/>
      <c r="IE14" s="3"/>
      <c r="IF14" s="3"/>
      <c r="IG14" s="3"/>
    </row>
    <row r="15" spans="1:241" s="5" customFormat="1" ht="15.75" customHeight="1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IA15" s="3"/>
      <c r="IB15" s="3"/>
      <c r="IC15" s="3"/>
      <c r="ID15" s="3"/>
      <c r="IE15" s="3"/>
      <c r="IF15" s="3"/>
      <c r="IG15" s="3"/>
    </row>
    <row r="16" spans="1:241" s="5" customFormat="1" ht="15.75" customHeight="1">
      <c r="A16" s="512" t="s">
        <v>74</v>
      </c>
      <c r="B16" s="512"/>
      <c r="C16" s="512"/>
      <c r="D16" s="512"/>
      <c r="E16" s="11"/>
      <c r="F16" s="11"/>
      <c r="G16" s="11"/>
      <c r="H16" s="11"/>
      <c r="I16" s="11"/>
      <c r="J16" s="11"/>
      <c r="K16" s="11"/>
      <c r="L16" s="11"/>
      <c r="IA16" s="3"/>
      <c r="IB16" s="3"/>
      <c r="IC16" s="3"/>
      <c r="ID16" s="3"/>
      <c r="IE16" s="3"/>
      <c r="IF16" s="3"/>
      <c r="IG16" s="3"/>
    </row>
    <row r="17" spans="2:246" s="12" customFormat="1" ht="13.5" thickBot="1">
      <c r="B17" s="37"/>
      <c r="C17" s="37"/>
      <c r="D17" s="5"/>
      <c r="E17" s="5"/>
      <c r="F17" s="5"/>
      <c r="G17" s="5"/>
      <c r="H17" s="5"/>
      <c r="I17" s="5"/>
      <c r="J17" s="5"/>
      <c r="K17" s="69"/>
      <c r="L17" s="2"/>
      <c r="O17" s="13"/>
      <c r="IK17" s="9"/>
      <c r="IL17" s="9"/>
    </row>
    <row r="18" spans="1:11" s="14" customFormat="1" ht="30" customHeight="1" thickBot="1">
      <c r="A18" s="513" t="s">
        <v>66</v>
      </c>
      <c r="B18" s="515" t="s">
        <v>4</v>
      </c>
      <c r="C18" s="510" t="s">
        <v>1</v>
      </c>
      <c r="D18" s="502" t="s">
        <v>147</v>
      </c>
      <c r="E18" s="503"/>
      <c r="F18" s="503"/>
      <c r="G18" s="503"/>
      <c r="H18" s="504"/>
      <c r="I18" s="490" t="s">
        <v>267</v>
      </c>
      <c r="J18" s="491"/>
      <c r="K18" s="505" t="s">
        <v>63</v>
      </c>
    </row>
    <row r="19" spans="1:11" s="14" customFormat="1" ht="54" customHeight="1" thickBot="1">
      <c r="A19" s="514"/>
      <c r="B19" s="516"/>
      <c r="C19" s="511"/>
      <c r="D19" s="171" t="s">
        <v>111</v>
      </c>
      <c r="E19" s="172" t="s">
        <v>122</v>
      </c>
      <c r="F19" s="172" t="s">
        <v>112</v>
      </c>
      <c r="G19" s="172" t="s">
        <v>113</v>
      </c>
      <c r="H19" s="341" t="s">
        <v>114</v>
      </c>
      <c r="I19" s="384" t="s">
        <v>111</v>
      </c>
      <c r="J19" s="384" t="s">
        <v>122</v>
      </c>
      <c r="K19" s="506"/>
    </row>
    <row r="20" spans="1:11" ht="12.75" customHeight="1">
      <c r="A20" s="517" t="str">
        <f>+'[1]B) Tarifas y Ocupación'!A16</f>
        <v>DALEGRÍA</v>
      </c>
      <c r="B20" s="520" t="str">
        <f>+'B) Tarifas y Ocupación'!B16</f>
        <v>PERMANENCIA MEDIA JORNADA (sin almuerzo)</v>
      </c>
      <c r="C20" s="376" t="s">
        <v>258</v>
      </c>
      <c r="D20" s="405">
        <f>+'B) Tarifas y Ocupación'!C16</f>
        <v>79600</v>
      </c>
      <c r="E20" s="173">
        <f>+'B) Tarifas y Ocupación'!D16</f>
        <v>106400</v>
      </c>
      <c r="F20" s="173">
        <f>+'B) Tarifas y Ocupación'!E16</f>
        <v>106700</v>
      </c>
      <c r="G20" s="173">
        <f>+'B) Tarifas y Ocupación'!F16</f>
        <v>106700</v>
      </c>
      <c r="H20" s="415">
        <f>+'B) Tarifas y Ocupación'!G16</f>
        <v>146300</v>
      </c>
      <c r="I20" s="395">
        <f>+'E) Resumen Tarifado '!C29</f>
        <v>66300</v>
      </c>
      <c r="J20" s="419">
        <f>+'E) Resumen Tarifado '!D29</f>
        <v>88600</v>
      </c>
      <c r="K20" s="485"/>
    </row>
    <row r="21" spans="1:11" ht="12.75">
      <c r="A21" s="517"/>
      <c r="B21" s="521"/>
      <c r="C21" s="377" t="s">
        <v>6</v>
      </c>
      <c r="D21" s="406">
        <f>+'B) Tarifas y Ocupación'!C39</f>
        <v>3</v>
      </c>
      <c r="E21" s="67">
        <f>+'B) Tarifas y Ocupación'!D39</f>
        <v>2</v>
      </c>
      <c r="F21" s="67">
        <f>+'B) Tarifas y Ocupación'!E39</f>
        <v>0</v>
      </c>
      <c r="G21" s="67">
        <f>+'B) Tarifas y Ocupación'!F39</f>
        <v>0</v>
      </c>
      <c r="H21" s="416">
        <f>+'B) Tarifas y Ocupación'!G39</f>
        <v>4</v>
      </c>
      <c r="I21" s="396">
        <v>1</v>
      </c>
      <c r="J21" s="420">
        <v>1</v>
      </c>
      <c r="K21" s="486"/>
    </row>
    <row r="22" spans="1:11" ht="13.5" thickBot="1">
      <c r="A22" s="517"/>
      <c r="B22" s="522"/>
      <c r="C22" s="378" t="s">
        <v>7</v>
      </c>
      <c r="D22" s="407">
        <f>(D21*D20)*11</f>
        <v>2626800</v>
      </c>
      <c r="E22" s="174">
        <f>(E21*E20)*11</f>
        <v>2340800</v>
      </c>
      <c r="F22" s="174">
        <f>(F21*F20)*11</f>
        <v>0</v>
      </c>
      <c r="G22" s="174">
        <f>(G21*G20)*11</f>
        <v>0</v>
      </c>
      <c r="H22" s="417">
        <f>(H21*H20)*11</f>
        <v>6437200</v>
      </c>
      <c r="I22" s="379">
        <f>+I20*I21</f>
        <v>66300</v>
      </c>
      <c r="J22" s="414">
        <f>+J20*J21</f>
        <v>88600</v>
      </c>
      <c r="K22" s="367">
        <f>SUM(D22:J22)</f>
        <v>11559700</v>
      </c>
    </row>
    <row r="23" spans="1:11" ht="12.75">
      <c r="A23" s="517"/>
      <c r="B23" s="520" t="str">
        <f>+'B) Tarifas y Ocupación'!B17</f>
        <v>PERMANENCIA J. COMPLETA (con almuerzo)</v>
      </c>
      <c r="C23" s="376" t="s">
        <v>258</v>
      </c>
      <c r="D23" s="405">
        <f>+'B) Tarifas y Ocupación'!C17</f>
        <v>111500</v>
      </c>
      <c r="E23" s="173">
        <f>+'B) Tarifas y Ocupación'!D17</f>
        <v>156300</v>
      </c>
      <c r="F23" s="173">
        <f>+'B) Tarifas y Ocupación'!E17</f>
        <v>156500</v>
      </c>
      <c r="G23" s="173">
        <f>+'B) Tarifas y Ocupación'!F17</f>
        <v>156500</v>
      </c>
      <c r="H23" s="415">
        <f>+'B) Tarifas y Ocupación'!G17</f>
        <v>194200</v>
      </c>
      <c r="I23" s="395">
        <v>119800</v>
      </c>
      <c r="J23" s="419">
        <v>121900</v>
      </c>
      <c r="K23" s="485"/>
    </row>
    <row r="24" spans="1:11" ht="12.75">
      <c r="A24" s="517"/>
      <c r="B24" s="521"/>
      <c r="C24" s="377" t="s">
        <v>6</v>
      </c>
      <c r="D24" s="406">
        <f>+'B) Tarifas y Ocupación'!C40</f>
        <v>1</v>
      </c>
      <c r="E24" s="67">
        <f>+'B) Tarifas y Ocupación'!D40</f>
        <v>5</v>
      </c>
      <c r="F24" s="67">
        <f>+'B) Tarifas y Ocupación'!E40</f>
        <v>0</v>
      </c>
      <c r="G24" s="67">
        <f>+'B) Tarifas y Ocupación'!F40</f>
        <v>0</v>
      </c>
      <c r="H24" s="416">
        <f>+'B) Tarifas y Ocupación'!G40</f>
        <v>1</v>
      </c>
      <c r="I24" s="396">
        <v>2</v>
      </c>
      <c r="J24" s="420">
        <v>2</v>
      </c>
      <c r="K24" s="486"/>
    </row>
    <row r="25" spans="1:11" ht="13.5" thickBot="1">
      <c r="A25" s="517"/>
      <c r="B25" s="522"/>
      <c r="C25" s="378" t="s">
        <v>7</v>
      </c>
      <c r="D25" s="407">
        <f>(D24*D23)*11</f>
        <v>1226500</v>
      </c>
      <c r="E25" s="174">
        <f>(E24*E23)*11</f>
        <v>8596500</v>
      </c>
      <c r="F25" s="174">
        <f>(F24*F23)*11</f>
        <v>0</v>
      </c>
      <c r="G25" s="174">
        <f>(G24*G23)*11</f>
        <v>0</v>
      </c>
      <c r="H25" s="417">
        <f>(H24*H23)*11</f>
        <v>2136200</v>
      </c>
      <c r="I25" s="379">
        <f>+I23*I24</f>
        <v>239600</v>
      </c>
      <c r="J25" s="414">
        <f>+J23*J24</f>
        <v>243800</v>
      </c>
      <c r="K25" s="367">
        <f>SUM(D25:J25)</f>
        <v>12442600</v>
      </c>
    </row>
    <row r="26" spans="1:11" ht="12.75">
      <c r="A26" s="517"/>
      <c r="B26" s="495" t="str">
        <f>+'B) Tarifas y Ocupación'!B18</f>
        <v>AMBULATORIO OTROS DIAGNOSTICOS (8 Sesiones Mensuales)</v>
      </c>
      <c r="C26" s="376" t="s">
        <v>258</v>
      </c>
      <c r="D26" s="405">
        <f>+'B) Tarifas y Ocupación'!C18</f>
        <v>65600</v>
      </c>
      <c r="E26" s="173">
        <f>+'B) Tarifas y Ocupación'!D18</f>
        <v>78720</v>
      </c>
      <c r="F26" s="173">
        <f>+'B) Tarifas y Ocupación'!E18</f>
        <v>85280</v>
      </c>
      <c r="G26" s="173">
        <f>+'B) Tarifas y Ocupación'!F18</f>
        <v>85280</v>
      </c>
      <c r="H26" s="415">
        <f>+'B) Tarifas y Ocupación'!G18</f>
        <v>98400</v>
      </c>
      <c r="I26" s="395">
        <f>+'E) Resumen Tarifado '!C32</f>
        <v>58400</v>
      </c>
      <c r="J26" s="419">
        <f>+'E) Resumen Tarifado '!D32</f>
        <v>88600</v>
      </c>
      <c r="K26" s="485"/>
    </row>
    <row r="27" spans="1:11" ht="12.75">
      <c r="A27" s="517"/>
      <c r="B27" s="496"/>
      <c r="C27" s="377" t="s">
        <v>6</v>
      </c>
      <c r="D27" s="406">
        <v>2</v>
      </c>
      <c r="E27" s="67">
        <f>+'B) Tarifas y Ocupación'!D41</f>
        <v>0</v>
      </c>
      <c r="F27" s="67">
        <f>+'B) Tarifas y Ocupación'!E41</f>
        <v>0</v>
      </c>
      <c r="G27" s="67">
        <f>+'B) Tarifas y Ocupación'!F41</f>
        <v>0</v>
      </c>
      <c r="H27" s="416">
        <f>+'B) Tarifas y Ocupación'!G41</f>
        <v>0</v>
      </c>
      <c r="I27" s="380">
        <v>9</v>
      </c>
      <c r="J27" s="413">
        <v>1</v>
      </c>
      <c r="K27" s="486"/>
    </row>
    <row r="28" spans="1:11" ht="13.5" thickBot="1">
      <c r="A28" s="517"/>
      <c r="B28" s="497"/>
      <c r="C28" s="378" t="s">
        <v>7</v>
      </c>
      <c r="D28" s="407">
        <f>+D26*D27*10</f>
        <v>1312000</v>
      </c>
      <c r="E28" s="174">
        <f>+E26*E27*10</f>
        <v>0</v>
      </c>
      <c r="F28" s="174">
        <f>+F26*F27*10</f>
        <v>0</v>
      </c>
      <c r="G28" s="174">
        <f>+G26*G27*10</f>
        <v>0</v>
      </c>
      <c r="H28" s="417">
        <f>+H26*H27*10</f>
        <v>0</v>
      </c>
      <c r="I28" s="379">
        <f>+I26*I27</f>
        <v>525600</v>
      </c>
      <c r="J28" s="414">
        <f>+J26*J27</f>
        <v>88600</v>
      </c>
      <c r="K28" s="367">
        <f>SUM(D28:J28)</f>
        <v>1926200</v>
      </c>
    </row>
    <row r="29" spans="1:11" ht="12.75">
      <c r="A29" s="517"/>
      <c r="B29" s="495" t="str">
        <f>+'B) Tarifas y Ocupación'!B19</f>
        <v>AMBULATORIO OTROS DIAGOSTICOS (12 Sesiones Mensuales)</v>
      </c>
      <c r="C29" s="376" t="s">
        <v>258</v>
      </c>
      <c r="D29" s="405">
        <f>+'B) Tarifas y Ocupación'!C19</f>
        <v>98400</v>
      </c>
      <c r="E29" s="173">
        <f>+'B) Tarifas y Ocupación'!D17</f>
        <v>156300</v>
      </c>
      <c r="F29" s="173">
        <f>+'B) Tarifas y Ocupación'!E17</f>
        <v>156500</v>
      </c>
      <c r="G29" s="173">
        <f>+'B) Tarifas y Ocupación'!F17</f>
        <v>156500</v>
      </c>
      <c r="H29" s="415">
        <f>+'B) Tarifas y Ocupación'!G17</f>
        <v>194200</v>
      </c>
      <c r="I29" s="381"/>
      <c r="J29" s="391"/>
      <c r="K29" s="485"/>
    </row>
    <row r="30" spans="1:11" ht="12.75">
      <c r="A30" s="517"/>
      <c r="B30" s="496"/>
      <c r="C30" s="377" t="s">
        <v>6</v>
      </c>
      <c r="D30" s="406">
        <v>2</v>
      </c>
      <c r="E30" s="67">
        <f>+'B) Tarifas y Ocupación'!D42</f>
        <v>1</v>
      </c>
      <c r="F30" s="67">
        <f>+'B) Tarifas y Ocupación'!E42</f>
        <v>0</v>
      </c>
      <c r="G30" s="67">
        <f>+'B) Tarifas y Ocupación'!F42</f>
        <v>0</v>
      </c>
      <c r="H30" s="416">
        <f>+'B) Tarifas y Ocupación'!G42</f>
        <v>0</v>
      </c>
      <c r="I30" s="382"/>
      <c r="J30" s="392"/>
      <c r="K30" s="486"/>
    </row>
    <row r="31" spans="1:11" ht="13.5" thickBot="1">
      <c r="A31" s="517"/>
      <c r="B31" s="497"/>
      <c r="C31" s="378" t="s">
        <v>7</v>
      </c>
      <c r="D31" s="408">
        <f>+D29*D30*10</f>
        <v>1968000</v>
      </c>
      <c r="E31" s="394">
        <f>+E29*E30*10</f>
        <v>1563000</v>
      </c>
      <c r="F31" s="394">
        <f>+F29*F30*10</f>
        <v>0</v>
      </c>
      <c r="G31" s="394">
        <f>+G29*G30*10</f>
        <v>0</v>
      </c>
      <c r="H31" s="418">
        <f>+H29*H30*10</f>
        <v>0</v>
      </c>
      <c r="I31" s="383"/>
      <c r="J31" s="393"/>
      <c r="K31" s="367">
        <f>SUM(D31:J31)</f>
        <v>3531000</v>
      </c>
    </row>
    <row r="32" spans="1:11" ht="12.75">
      <c r="A32" s="517"/>
      <c r="B32" s="492" t="str">
        <f>+'B) Tarifas y Ocupación'!B20</f>
        <v>AMBULATORIO TEA (8 Sesiones Mensuales)</v>
      </c>
      <c r="C32" s="409" t="s">
        <v>258</v>
      </c>
      <c r="D32" s="405">
        <f>+'B) Tarifas y Ocupación'!C20</f>
        <v>88000</v>
      </c>
      <c r="E32" s="173">
        <f>+'B) Tarifas y Ocupación'!D20</f>
        <v>105600</v>
      </c>
      <c r="F32" s="173">
        <f>+'B) Tarifas y Ocupación'!E20</f>
        <v>114400</v>
      </c>
      <c r="G32" s="173">
        <f>+'B) Tarifas y Ocupación'!F20</f>
        <v>114400</v>
      </c>
      <c r="H32" s="415">
        <f>+'B) Tarifas y Ocupación'!G20</f>
        <v>132000</v>
      </c>
      <c r="I32" s="381"/>
      <c r="J32" s="391"/>
      <c r="K32" s="485"/>
    </row>
    <row r="33" spans="1:11" ht="12.75">
      <c r="A33" s="517"/>
      <c r="B33" s="493"/>
      <c r="C33" s="410" t="s">
        <v>6</v>
      </c>
      <c r="D33" s="406">
        <v>16</v>
      </c>
      <c r="E33" s="67">
        <v>2</v>
      </c>
      <c r="F33" s="67">
        <f>+'B) Tarifas y Ocupación'!E43</f>
        <v>0</v>
      </c>
      <c r="G33" s="67">
        <f>+'B) Tarifas y Ocupación'!F43</f>
        <v>0</v>
      </c>
      <c r="H33" s="416">
        <f>+'B) Tarifas y Ocupación'!G43</f>
        <v>0</v>
      </c>
      <c r="I33" s="382"/>
      <c r="J33" s="392"/>
      <c r="K33" s="486"/>
    </row>
    <row r="34" spans="1:11" ht="13.5" thickBot="1">
      <c r="A34" s="517"/>
      <c r="B34" s="494"/>
      <c r="C34" s="411" t="s">
        <v>7</v>
      </c>
      <c r="D34" s="408">
        <f>+D32*D33*10</f>
        <v>14080000</v>
      </c>
      <c r="E34" s="394">
        <f>+E32*E33*10</f>
        <v>2112000</v>
      </c>
      <c r="F34" s="394">
        <f>+F32*F33*10</f>
        <v>0</v>
      </c>
      <c r="G34" s="394">
        <f>+G32*G33*10</f>
        <v>0</v>
      </c>
      <c r="H34" s="418">
        <f>+H32*H33*10</f>
        <v>0</v>
      </c>
      <c r="I34" s="383"/>
      <c r="J34" s="393"/>
      <c r="K34" s="367">
        <f>SUM(D34:J34)</f>
        <v>16192000</v>
      </c>
    </row>
    <row r="35" spans="1:11" ht="12.75">
      <c r="A35" s="517"/>
      <c r="B35" s="492" t="str">
        <f>+'B) Tarifas y Ocupación'!B21</f>
        <v>AMBULATORIO TEA (12 Sesiones Mensuales)</v>
      </c>
      <c r="C35" s="409" t="s">
        <v>258</v>
      </c>
      <c r="D35" s="405">
        <f>+'B) Tarifas y Ocupación'!C21</f>
        <v>132000</v>
      </c>
      <c r="E35" s="173">
        <f>+'B) Tarifas y Ocupación'!D21</f>
        <v>158400</v>
      </c>
      <c r="F35" s="173">
        <f>+'B) Tarifas y Ocupación'!E21</f>
        <v>171600</v>
      </c>
      <c r="G35" s="173">
        <f>+'B) Tarifas y Ocupación'!F21</f>
        <v>171600</v>
      </c>
      <c r="H35" s="415">
        <f>+'B) Tarifas y Ocupación'!G21</f>
        <v>198000</v>
      </c>
      <c r="I35" s="381"/>
      <c r="J35" s="391"/>
      <c r="K35" s="485"/>
    </row>
    <row r="36" spans="1:11" ht="12.75">
      <c r="A36" s="517"/>
      <c r="B36" s="493"/>
      <c r="C36" s="410" t="s">
        <v>6</v>
      </c>
      <c r="D36" s="406">
        <v>12</v>
      </c>
      <c r="E36" s="67">
        <f>+'B) Tarifas y Ocupación'!D44</f>
        <v>0</v>
      </c>
      <c r="F36" s="67">
        <f>+'B) Tarifas y Ocupación'!E44</f>
        <v>0</v>
      </c>
      <c r="G36" s="67">
        <f>+'B) Tarifas y Ocupación'!F44</f>
        <v>0</v>
      </c>
      <c r="H36" s="416">
        <f>+'B) Tarifas y Ocupación'!G44</f>
        <v>0</v>
      </c>
      <c r="I36" s="382"/>
      <c r="J36" s="392"/>
      <c r="K36" s="486"/>
    </row>
    <row r="37" spans="1:11" ht="13.5" thickBot="1">
      <c r="A37" s="517"/>
      <c r="B37" s="494"/>
      <c r="C37" s="411" t="s">
        <v>7</v>
      </c>
      <c r="D37" s="407">
        <f>D36*D35*10</f>
        <v>15840000</v>
      </c>
      <c r="E37" s="174">
        <f>E36*E35*10</f>
        <v>0</v>
      </c>
      <c r="F37" s="174">
        <f>F36*F35*10</f>
        <v>0</v>
      </c>
      <c r="G37" s="174">
        <f>G36*G35*10</f>
        <v>0</v>
      </c>
      <c r="H37" s="417">
        <f>H36*H35*10</f>
        <v>0</v>
      </c>
      <c r="I37" s="383"/>
      <c r="J37" s="393"/>
      <c r="K37" s="367">
        <f>SUM(D37:J37)</f>
        <v>15840000</v>
      </c>
    </row>
    <row r="38" spans="1:11" ht="12.75" customHeight="1">
      <c r="A38" s="518"/>
      <c r="B38" s="487" t="str">
        <f>+'B) Tarifas y Ocupación'!B22</f>
        <v>PLAN DE ARTICULACION OTROS DIAGNÓSTICOS</v>
      </c>
      <c r="C38" s="409" t="s">
        <v>258</v>
      </c>
      <c r="D38" s="405">
        <f>+'B) Tarifas y Ocupación'!C22</f>
        <v>16400</v>
      </c>
      <c r="E38" s="405">
        <f>+'B) Tarifas y Ocupación'!D22</f>
        <v>19680</v>
      </c>
      <c r="F38" s="405">
        <f>+'B) Tarifas y Ocupación'!E22</f>
        <v>21320</v>
      </c>
      <c r="G38" s="405">
        <f>+'B) Tarifas y Ocupación'!F22</f>
        <v>21320</v>
      </c>
      <c r="H38" s="405">
        <f>+'B) Tarifas y Ocupación'!G22</f>
        <v>24600</v>
      </c>
      <c r="I38" s="381"/>
      <c r="J38" s="391"/>
      <c r="K38" s="485"/>
    </row>
    <row r="39" spans="1:11" ht="12.75">
      <c r="A39" s="518"/>
      <c r="B39" s="488"/>
      <c r="C39" s="410" t="s">
        <v>6</v>
      </c>
      <c r="D39" s="406">
        <v>3</v>
      </c>
      <c r="E39" s="406">
        <f>+'B) Tarifas y Ocupación'!D45</f>
        <v>0</v>
      </c>
      <c r="F39" s="406">
        <f>+'B) Tarifas y Ocupación'!E45</f>
        <v>0</v>
      </c>
      <c r="G39" s="406">
        <f>+'B) Tarifas y Ocupación'!F45</f>
        <v>0</v>
      </c>
      <c r="H39" s="406">
        <f>+'B) Tarifas y Ocupación'!G45</f>
        <v>0</v>
      </c>
      <c r="I39" s="382"/>
      <c r="J39" s="392"/>
      <c r="K39" s="486"/>
    </row>
    <row r="40" spans="1:11" ht="13.5" thickBot="1">
      <c r="A40" s="518"/>
      <c r="B40" s="489"/>
      <c r="C40" s="411" t="s">
        <v>7</v>
      </c>
      <c r="D40" s="407">
        <f>D39*D38*9</f>
        <v>442800</v>
      </c>
      <c r="E40" s="407">
        <f>E39*E38*10</f>
        <v>0</v>
      </c>
      <c r="F40" s="407">
        <f>F39*F38*10</f>
        <v>0</v>
      </c>
      <c r="G40" s="407">
        <f>G39*G38*10</f>
        <v>0</v>
      </c>
      <c r="H40" s="407">
        <f>H39*H38*10</f>
        <v>0</v>
      </c>
      <c r="I40" s="383"/>
      <c r="J40" s="393"/>
      <c r="K40" s="367">
        <f>SUM(D40:J40)</f>
        <v>442800</v>
      </c>
    </row>
    <row r="41" spans="1:11" ht="12.75" customHeight="1">
      <c r="A41" s="518"/>
      <c r="B41" s="487" t="str">
        <f>+'B) Tarifas y Ocupación'!B23</f>
        <v>PLAN DE ARTICULACION TEA</v>
      </c>
      <c r="C41" s="409" t="s">
        <v>258</v>
      </c>
      <c r="D41" s="405">
        <f>+'B) Tarifas y Ocupación'!C23</f>
        <v>22000</v>
      </c>
      <c r="E41" s="405">
        <f>+'B) Tarifas y Ocupación'!D23</f>
        <v>26400</v>
      </c>
      <c r="F41" s="405">
        <f>+'B) Tarifas y Ocupación'!E23</f>
        <v>28600</v>
      </c>
      <c r="G41" s="405">
        <f>+'B) Tarifas y Ocupación'!F23</f>
        <v>28600</v>
      </c>
      <c r="H41" s="405">
        <f>+'B) Tarifas y Ocupación'!G23</f>
        <v>33000</v>
      </c>
      <c r="I41" s="381"/>
      <c r="J41" s="391"/>
      <c r="K41" s="485"/>
    </row>
    <row r="42" spans="1:11" ht="12.75">
      <c r="A42" s="518"/>
      <c r="B42" s="488"/>
      <c r="C42" s="410" t="s">
        <v>6</v>
      </c>
      <c r="D42" s="406">
        <v>0</v>
      </c>
      <c r="E42" s="406">
        <f>+'B) Tarifas y Ocupación'!D46</f>
        <v>0</v>
      </c>
      <c r="F42" s="406">
        <f>+'B) Tarifas y Ocupación'!E46</f>
        <v>0</v>
      </c>
      <c r="G42" s="406">
        <f>+'B) Tarifas y Ocupación'!F46</f>
        <v>0</v>
      </c>
      <c r="H42" s="406">
        <f>+'B) Tarifas y Ocupación'!G46</f>
        <v>0</v>
      </c>
      <c r="I42" s="382"/>
      <c r="J42" s="392"/>
      <c r="K42" s="486"/>
    </row>
    <row r="43" spans="1:11" ht="13.5" thickBot="1">
      <c r="A43" s="518"/>
      <c r="B43" s="489"/>
      <c r="C43" s="411" t="s">
        <v>7</v>
      </c>
      <c r="D43" s="407">
        <f>D42*D41*9</f>
        <v>0</v>
      </c>
      <c r="E43" s="407">
        <f>E42*E41*10</f>
        <v>0</v>
      </c>
      <c r="F43" s="407">
        <f>F42*F41*10</f>
        <v>0</v>
      </c>
      <c r="G43" s="407">
        <f>G42*G41*10</f>
        <v>0</v>
      </c>
      <c r="H43" s="407">
        <f>H42*H41*10</f>
        <v>0</v>
      </c>
      <c r="I43" s="383"/>
      <c r="J43" s="393"/>
      <c r="K43" s="367">
        <f>SUM(D43:J43)</f>
        <v>0</v>
      </c>
    </row>
    <row r="44" spans="1:11" ht="12.75" customHeight="1">
      <c r="A44" s="518"/>
      <c r="B44" s="482" t="str">
        <f>+'B) Tarifas y Ocupación'!B24</f>
        <v>EVALUACIÓN OTROS DIAGNOSTICOS 8 SESIONES</v>
      </c>
      <c r="C44" s="409" t="s">
        <v>258</v>
      </c>
      <c r="D44" s="405">
        <f>+'B) Tarifas y Ocupación'!C24</f>
        <v>65600</v>
      </c>
      <c r="E44" s="405">
        <f>+'B) Tarifas y Ocupación'!D24</f>
        <v>78720</v>
      </c>
      <c r="F44" s="405">
        <f>+'B) Tarifas y Ocupación'!E24</f>
        <v>85280</v>
      </c>
      <c r="G44" s="405">
        <f>+'B) Tarifas y Ocupación'!F24</f>
        <v>85280</v>
      </c>
      <c r="H44" s="405">
        <f>+'B) Tarifas y Ocupación'!G24</f>
        <v>98400</v>
      </c>
      <c r="I44" s="381"/>
      <c r="J44" s="391"/>
      <c r="K44" s="485"/>
    </row>
    <row r="45" spans="1:11" ht="12.75">
      <c r="A45" s="518"/>
      <c r="B45" s="483"/>
      <c r="C45" s="410" t="s">
        <v>6</v>
      </c>
      <c r="D45" s="406">
        <v>0</v>
      </c>
      <c r="E45" s="406">
        <f>+'B) Tarifas y Ocupación'!D47</f>
        <v>0</v>
      </c>
      <c r="F45" s="406">
        <f>+'B) Tarifas y Ocupación'!E47</f>
        <v>0</v>
      </c>
      <c r="G45" s="406">
        <f>+'B) Tarifas y Ocupación'!F47</f>
        <v>0</v>
      </c>
      <c r="H45" s="406">
        <f>+'B) Tarifas y Ocupación'!G47</f>
        <v>0</v>
      </c>
      <c r="I45" s="382"/>
      <c r="J45" s="392"/>
      <c r="K45" s="486"/>
    </row>
    <row r="46" spans="1:11" ht="13.5" thickBot="1">
      <c r="A46" s="518"/>
      <c r="B46" s="484"/>
      <c r="C46" s="411" t="s">
        <v>7</v>
      </c>
      <c r="D46" s="407">
        <f>D45*D44*9</f>
        <v>0</v>
      </c>
      <c r="E46" s="407">
        <f>E45*E44*9</f>
        <v>0</v>
      </c>
      <c r="F46" s="407">
        <f>F45*F44*9</f>
        <v>0</v>
      </c>
      <c r="G46" s="407">
        <f>G45*G44*9</f>
        <v>0</v>
      </c>
      <c r="H46" s="407">
        <f>H45*H44*9</f>
        <v>0</v>
      </c>
      <c r="I46" s="383"/>
      <c r="J46" s="393"/>
      <c r="K46" s="367">
        <f>SUM(D46:J46)</f>
        <v>0</v>
      </c>
    </row>
    <row r="47" spans="1:11" ht="12.75" customHeight="1">
      <c r="A47" s="518"/>
      <c r="B47" s="482" t="str">
        <f>+'B) Tarifas y Ocupación'!B25</f>
        <v>EVALUACIÓN TEA 8 SESIONES</v>
      </c>
      <c r="C47" s="409" t="s">
        <v>258</v>
      </c>
      <c r="D47" s="405">
        <f>+'B) Tarifas y Ocupación'!C25</f>
        <v>88000</v>
      </c>
      <c r="E47" s="405">
        <f>+'B) Tarifas y Ocupación'!D25</f>
        <v>105600</v>
      </c>
      <c r="F47" s="405">
        <f>+'B) Tarifas y Ocupación'!E25</f>
        <v>114400</v>
      </c>
      <c r="G47" s="405">
        <f>+'B) Tarifas y Ocupación'!F25</f>
        <v>114400</v>
      </c>
      <c r="H47" s="405">
        <f>+'B) Tarifas y Ocupación'!G25</f>
        <v>132000</v>
      </c>
      <c r="I47" s="381"/>
      <c r="J47" s="391"/>
      <c r="K47" s="485"/>
    </row>
    <row r="48" spans="1:11" ht="12.75">
      <c r="A48" s="518"/>
      <c r="B48" s="483"/>
      <c r="C48" s="410" t="s">
        <v>6</v>
      </c>
      <c r="D48" s="406">
        <v>12</v>
      </c>
      <c r="E48" s="406">
        <f>+'B) Tarifas y Ocupación'!D48</f>
        <v>0</v>
      </c>
      <c r="F48" s="406">
        <f>+'B) Tarifas y Ocupación'!E48</f>
        <v>0</v>
      </c>
      <c r="G48" s="406">
        <f>+'B) Tarifas y Ocupación'!F48</f>
        <v>0</v>
      </c>
      <c r="H48" s="406">
        <f>+'B) Tarifas y Ocupación'!G48</f>
        <v>0</v>
      </c>
      <c r="I48" s="382"/>
      <c r="J48" s="392"/>
      <c r="K48" s="486"/>
    </row>
    <row r="49" spans="1:11" ht="13.5" thickBot="1">
      <c r="A49" s="518"/>
      <c r="B49" s="484"/>
      <c r="C49" s="411" t="s">
        <v>7</v>
      </c>
      <c r="D49" s="407">
        <f>D48*D47*9</f>
        <v>9504000</v>
      </c>
      <c r="E49" s="407">
        <f>E48*E47*9</f>
        <v>0</v>
      </c>
      <c r="F49" s="407">
        <f>F48*F47*9</f>
        <v>0</v>
      </c>
      <c r="G49" s="407">
        <f>G48*G47*9</f>
        <v>0</v>
      </c>
      <c r="H49" s="407">
        <f>H48*H47*9</f>
        <v>0</v>
      </c>
      <c r="I49" s="383"/>
      <c r="J49" s="393"/>
      <c r="K49" s="367">
        <f>SUM(D49:J49)</f>
        <v>9504000</v>
      </c>
    </row>
    <row r="50" spans="1:11" ht="12.75" customHeight="1">
      <c r="A50" s="518"/>
      <c r="B50" s="482" t="str">
        <f>+'B) Tarifas y Ocupación'!B26</f>
        <v>EVALUACIÓN OTROS DIAGNOSTICOS 9 A 12 SESIONES</v>
      </c>
      <c r="C50" s="409" t="s">
        <v>258</v>
      </c>
      <c r="D50" s="405">
        <f>+'B) Tarifas y Ocupación'!C26</f>
        <v>98400</v>
      </c>
      <c r="E50" s="405">
        <f>+'B) Tarifas y Ocupación'!D26</f>
        <v>118080</v>
      </c>
      <c r="F50" s="405">
        <f>+'B) Tarifas y Ocupación'!E26</f>
        <v>127920</v>
      </c>
      <c r="G50" s="405">
        <f>+'B) Tarifas y Ocupación'!F26</f>
        <v>127920</v>
      </c>
      <c r="H50" s="405">
        <f>+'B) Tarifas y Ocupación'!G26</f>
        <v>147600</v>
      </c>
      <c r="I50" s="381"/>
      <c r="J50" s="391"/>
      <c r="K50" s="485"/>
    </row>
    <row r="51" spans="1:11" ht="12.75">
      <c r="A51" s="518"/>
      <c r="B51" s="483"/>
      <c r="C51" s="410" t="s">
        <v>6</v>
      </c>
      <c r="D51" s="406">
        <v>3</v>
      </c>
      <c r="E51" s="406">
        <v>1</v>
      </c>
      <c r="F51" s="406">
        <f>+'B) Tarifas y Ocupación'!E49</f>
        <v>0</v>
      </c>
      <c r="G51" s="406">
        <f>+'B) Tarifas y Ocupación'!F49</f>
        <v>0</v>
      </c>
      <c r="H51" s="406">
        <f>+'B) Tarifas y Ocupación'!G49</f>
        <v>0</v>
      </c>
      <c r="I51" s="382"/>
      <c r="J51" s="392"/>
      <c r="K51" s="486"/>
    </row>
    <row r="52" spans="1:11" ht="13.5" thickBot="1">
      <c r="A52" s="518"/>
      <c r="B52" s="484"/>
      <c r="C52" s="411" t="s">
        <v>7</v>
      </c>
      <c r="D52" s="407">
        <f>D51*D50*9</f>
        <v>2656800</v>
      </c>
      <c r="E52" s="407">
        <f>E51*E50*9</f>
        <v>1062720</v>
      </c>
      <c r="F52" s="407">
        <f>F51*F50*9</f>
        <v>0</v>
      </c>
      <c r="G52" s="407">
        <f>G51*G50*9</f>
        <v>0</v>
      </c>
      <c r="H52" s="407">
        <f>H51*H50*9</f>
        <v>0</v>
      </c>
      <c r="I52" s="383"/>
      <c r="J52" s="393"/>
      <c r="K52" s="367">
        <f>SUM(D52:J52)</f>
        <v>3719520</v>
      </c>
    </row>
    <row r="53" spans="1:11" ht="12.75" customHeight="1">
      <c r="A53" s="518"/>
      <c r="B53" s="482" t="str">
        <f>+'B) Tarifas y Ocupación'!B27</f>
        <v>EVALUACIÓN TEA DE 9 A 12 SESIONES</v>
      </c>
      <c r="C53" s="409" t="s">
        <v>258</v>
      </c>
      <c r="D53" s="405">
        <f>+'B) Tarifas y Ocupación'!C27</f>
        <v>132000</v>
      </c>
      <c r="E53" s="405">
        <f>+'B) Tarifas y Ocupación'!D27</f>
        <v>158400</v>
      </c>
      <c r="F53" s="405">
        <f>+'B) Tarifas y Ocupación'!E27</f>
        <v>171600</v>
      </c>
      <c r="G53" s="405">
        <f>+'B) Tarifas y Ocupación'!F27</f>
        <v>171600</v>
      </c>
      <c r="H53" s="405">
        <f>+'B) Tarifas y Ocupación'!G27</f>
        <v>198000</v>
      </c>
      <c r="I53" s="381"/>
      <c r="J53" s="391"/>
      <c r="K53" s="485"/>
    </row>
    <row r="54" spans="1:11" ht="12.75">
      <c r="A54" s="518"/>
      <c r="B54" s="483"/>
      <c r="C54" s="410" t="s">
        <v>6</v>
      </c>
      <c r="D54" s="406">
        <v>5</v>
      </c>
      <c r="E54" s="406">
        <f>+'B) Tarifas y Ocupación'!D50</f>
        <v>0</v>
      </c>
      <c r="F54" s="406">
        <f>+'B) Tarifas y Ocupación'!E50</f>
        <v>0</v>
      </c>
      <c r="G54" s="406">
        <f>+'B) Tarifas y Ocupación'!F50</f>
        <v>0</v>
      </c>
      <c r="H54" s="406">
        <f>+'B) Tarifas y Ocupación'!G50</f>
        <v>0</v>
      </c>
      <c r="I54" s="382"/>
      <c r="J54" s="392"/>
      <c r="K54" s="486"/>
    </row>
    <row r="55" spans="1:11" ht="13.5" thickBot="1">
      <c r="A55" s="518"/>
      <c r="B55" s="484"/>
      <c r="C55" s="411" t="s">
        <v>7</v>
      </c>
      <c r="D55" s="407">
        <f>D54*D53*9</f>
        <v>5940000</v>
      </c>
      <c r="E55" s="407">
        <f>E54*E53*9</f>
        <v>0</v>
      </c>
      <c r="F55" s="407">
        <f>F54*F53*9</f>
        <v>0</v>
      </c>
      <c r="G55" s="407">
        <f>G54*G53*9</f>
        <v>0</v>
      </c>
      <c r="H55" s="407">
        <f>H54*H53*9</f>
        <v>0</v>
      </c>
      <c r="I55" s="383"/>
      <c r="J55" s="393"/>
      <c r="K55" s="367">
        <f>SUM(D55:J55)</f>
        <v>5940000</v>
      </c>
    </row>
    <row r="56" spans="1:11" ht="12.75" customHeight="1">
      <c r="A56" s="518"/>
      <c r="B56" s="498" t="str">
        <f>+'B) Tarifas y Ocupación'!B28</f>
        <v>CONVENIO DIRECSAN</v>
      </c>
      <c r="C56" s="409" t="s">
        <v>258</v>
      </c>
      <c r="D56" s="405">
        <f>+'B) Tarifas y Ocupación'!C28</f>
        <v>132000</v>
      </c>
      <c r="E56" s="405">
        <f>+'B) Tarifas y Ocupación'!D28</f>
        <v>0</v>
      </c>
      <c r="F56" s="405">
        <f>+'B) Tarifas y Ocupación'!E28</f>
        <v>0</v>
      </c>
      <c r="G56" s="405">
        <f>+'B) Tarifas y Ocupación'!F28</f>
        <v>0</v>
      </c>
      <c r="H56" s="405">
        <f>+'B) Tarifas y Ocupación'!G28</f>
        <v>0</v>
      </c>
      <c r="I56" s="381"/>
      <c r="J56" s="391"/>
      <c r="K56" s="485"/>
    </row>
    <row r="57" spans="1:11" ht="12.75">
      <c r="A57" s="518"/>
      <c r="B57" s="499"/>
      <c r="C57" s="410" t="s">
        <v>6</v>
      </c>
      <c r="D57" s="406">
        <v>2</v>
      </c>
      <c r="E57" s="406">
        <f>+'B) Tarifas y Ocupación'!D51</f>
        <v>0</v>
      </c>
      <c r="F57" s="406">
        <f>+'B) Tarifas y Ocupación'!E51</f>
        <v>0</v>
      </c>
      <c r="G57" s="406">
        <f>+'B) Tarifas y Ocupación'!F51</f>
        <v>0</v>
      </c>
      <c r="H57" s="406">
        <f>+'B) Tarifas y Ocupación'!G51</f>
        <v>0</v>
      </c>
      <c r="I57" s="382"/>
      <c r="J57" s="392"/>
      <c r="K57" s="486"/>
    </row>
    <row r="58" spans="1:11" ht="13.5" thickBot="1">
      <c r="A58" s="518"/>
      <c r="B58" s="500"/>
      <c r="C58" s="411" t="s">
        <v>7</v>
      </c>
      <c r="D58" s="407">
        <f>D57*D56*10</f>
        <v>2640000</v>
      </c>
      <c r="E58" s="407">
        <f>E57*E56*11</f>
        <v>0</v>
      </c>
      <c r="F58" s="407">
        <f>F57*F56*11</f>
        <v>0</v>
      </c>
      <c r="G58" s="407">
        <f>G57*G56*11</f>
        <v>0</v>
      </c>
      <c r="H58" s="407">
        <f>H57*H56*11</f>
        <v>0</v>
      </c>
      <c r="I58" s="383"/>
      <c r="J58" s="393"/>
      <c r="K58" s="367">
        <f>SUM(D58:J58)</f>
        <v>2640000</v>
      </c>
    </row>
    <row r="59" spans="1:11" s="68" customFormat="1" ht="21.75" customHeight="1" thickBot="1">
      <c r="A59" s="519"/>
      <c r="B59" s="523" t="s">
        <v>8</v>
      </c>
      <c r="C59" s="524"/>
      <c r="D59" s="385">
        <f>+D22+D25+D28+D31+D34+D37+D40+D43+D46+D49+D52+D55+D58</f>
        <v>58236900</v>
      </c>
      <c r="E59" s="385">
        <f aca="true" t="shared" si="0" ref="E59:K59">+E22+E25+E28+E31+E34+E37+E40+E43+E46+E49+E52+E55+E58</f>
        <v>15675020</v>
      </c>
      <c r="F59" s="385">
        <f t="shared" si="0"/>
        <v>0</v>
      </c>
      <c r="G59" s="385">
        <f t="shared" si="0"/>
        <v>0</v>
      </c>
      <c r="H59" s="385">
        <f t="shared" si="0"/>
        <v>8573400</v>
      </c>
      <c r="I59" s="385">
        <f t="shared" si="0"/>
        <v>831500</v>
      </c>
      <c r="J59" s="385">
        <f t="shared" si="0"/>
        <v>421000</v>
      </c>
      <c r="K59" s="385">
        <f t="shared" si="0"/>
        <v>83737820</v>
      </c>
    </row>
  </sheetData>
  <sheetProtection/>
  <mergeCells count="39">
    <mergeCell ref="A16:D16"/>
    <mergeCell ref="A18:A19"/>
    <mergeCell ref="B18:B19"/>
    <mergeCell ref="K35:K36"/>
    <mergeCell ref="A20:A59"/>
    <mergeCell ref="B20:B22"/>
    <mergeCell ref="B23:B25"/>
    <mergeCell ref="B26:B28"/>
    <mergeCell ref="B32:B34"/>
    <mergeCell ref="B59:C59"/>
    <mergeCell ref="M2:N2"/>
    <mergeCell ref="D18:H18"/>
    <mergeCell ref="K32:K33"/>
    <mergeCell ref="K20:K21"/>
    <mergeCell ref="K18:K19"/>
    <mergeCell ref="K23:K24"/>
    <mergeCell ref="C4:D4"/>
    <mergeCell ref="E4:F4"/>
    <mergeCell ref="C18:C19"/>
    <mergeCell ref="A6:D6"/>
    <mergeCell ref="K47:K48"/>
    <mergeCell ref="B41:B43"/>
    <mergeCell ref="B44:B46"/>
    <mergeCell ref="K56:K57"/>
    <mergeCell ref="I18:J18"/>
    <mergeCell ref="B35:B37"/>
    <mergeCell ref="B29:B31"/>
    <mergeCell ref="B56:B58"/>
    <mergeCell ref="K50:K51"/>
    <mergeCell ref="B47:B49"/>
    <mergeCell ref="K26:K27"/>
    <mergeCell ref="K29:K30"/>
    <mergeCell ref="B53:B55"/>
    <mergeCell ref="K53:K54"/>
    <mergeCell ref="B38:B40"/>
    <mergeCell ref="K38:K39"/>
    <mergeCell ref="B50:B52"/>
    <mergeCell ref="K41:K42"/>
    <mergeCell ref="K44:K45"/>
  </mergeCells>
  <conditionalFormatting sqref="K11 B11:G11 M9 B9:G9 B10:K10 D14:N15 D13:L13 C12:L12 E16:L16">
    <cfRule type="cellIs" priority="14" dxfId="0" operator="lessThan" stopIfTrue="1">
      <formula>0</formula>
    </cfRule>
  </conditionalFormatting>
  <conditionalFormatting sqref="N3">
    <cfRule type="cellIs" priority="9" dxfId="0" operator="lessThan" stopIfTrue="1">
      <formula>0</formula>
    </cfRule>
  </conditionalFormatting>
  <conditionalFormatting sqref="N9">
    <cfRule type="cellIs" priority="7" dxfId="0" operator="lessThan" stopIfTrue="1">
      <formula>0</formula>
    </cfRule>
  </conditionalFormatting>
  <conditionalFormatting sqref="N5">
    <cfRule type="cellIs" priority="4" dxfId="0" operator="lessThan" stopIfTrue="1">
      <formula>0</formula>
    </cfRule>
  </conditionalFormatting>
  <conditionalFormatting sqref="N7">
    <cfRule type="cellIs" priority="1" dxfId="0" operator="lessThan" stopIfTrue="1">
      <formula>0</formula>
    </cfRule>
  </conditionalFormatting>
  <conditionalFormatting sqref="M7">
    <cfRule type="cellIs" priority="2" dxfId="0" operator="lessThan" stopIfTrue="1">
      <formula>0</formula>
    </cfRule>
  </conditionalFormatting>
  <printOptions/>
  <pageMargins left="0.19652777777777777" right="0.19652777777777777" top="0.275" bottom="0.19652777777777777" header="0.19652777777777777" footer="0.5118055555555555"/>
  <pageSetup fitToHeight="14" fitToWidth="1" horizontalDpi="300" verticalDpi="300" orientation="landscape" r:id="rId3"/>
  <headerFooter alignWithMargins="0">
    <oddHeader>&amp;LSEPT - 2004&amp;CDIRECTIVA D.B.S.A.ORDINARIA&amp;R02-BS/0307/02Pag &amp;P de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IS59"/>
  <sheetViews>
    <sheetView zoomScale="80" zoomScaleNormal="80" zoomScalePageLayoutView="0" workbookViewId="0" topLeftCell="A10">
      <selection activeCell="F33" sqref="F33"/>
    </sheetView>
  </sheetViews>
  <sheetFormatPr defaultColWidth="11.421875" defaultRowHeight="12.75"/>
  <cols>
    <col min="1" max="1" width="18.140625" style="175" customWidth="1"/>
    <col min="2" max="2" width="60.57421875" style="175" customWidth="1"/>
    <col min="3" max="3" width="18.00390625" style="175" customWidth="1"/>
    <col min="4" max="5" width="15.57421875" style="175" customWidth="1"/>
    <col min="6" max="6" width="19.57421875" style="175" customWidth="1"/>
    <col min="7" max="7" width="15.7109375" style="175" customWidth="1"/>
    <col min="8" max="8" width="19.00390625" style="175" customWidth="1"/>
    <col min="9" max="10" width="15.8515625" style="175" customWidth="1"/>
    <col min="11" max="11" width="18.28125" style="175" customWidth="1"/>
    <col min="12" max="12" width="16.421875" style="175" customWidth="1"/>
    <col min="13" max="13" width="17.7109375" style="175" customWidth="1"/>
    <col min="14" max="14" width="16.57421875" style="175" customWidth="1"/>
    <col min="15" max="15" width="45.140625" style="175" bestFit="1" customWidth="1"/>
    <col min="16" max="16" width="19.28125" style="175" customWidth="1"/>
    <col min="17" max="17" width="16.421875" style="175" customWidth="1"/>
    <col min="18" max="18" width="11.7109375" style="175" customWidth="1"/>
    <col min="19" max="19" width="11.8515625" style="175" customWidth="1"/>
    <col min="20" max="20" width="14.8515625" style="175" customWidth="1"/>
    <col min="21" max="21" width="35.00390625" style="175" customWidth="1"/>
    <col min="22" max="22" width="17.8515625" style="175" customWidth="1"/>
    <col min="23" max="23" width="15.00390625" style="175" customWidth="1"/>
    <col min="24" max="25" width="16.421875" style="175" customWidth="1"/>
    <col min="26" max="26" width="15.57421875" style="175" customWidth="1"/>
    <col min="27" max="27" width="16.28125" style="175" customWidth="1"/>
    <col min="28" max="28" width="14.7109375" style="175" customWidth="1"/>
    <col min="29" max="16384" width="11.421875" style="175" customWidth="1"/>
  </cols>
  <sheetData>
    <row r="1" ht="12.75"/>
    <row r="2" ht="12.75"/>
    <row r="3" ht="12.75"/>
    <row r="4" ht="12.75"/>
    <row r="5" spans="1:20" s="177" customFormat="1" ht="12.75">
      <c r="A5" s="176"/>
      <c r="D5" s="178" t="s">
        <v>77</v>
      </c>
      <c r="E5" s="178"/>
      <c r="T5" s="176"/>
    </row>
    <row r="6" spans="1:20" s="177" customFormat="1" ht="12.75">
      <c r="A6" s="179"/>
      <c r="D6" s="178" t="s">
        <v>84</v>
      </c>
      <c r="E6" s="178"/>
      <c r="T6" s="179"/>
    </row>
    <row r="7" spans="1:20" s="177" customFormat="1" ht="12.75">
      <c r="A7" s="180"/>
      <c r="T7" s="180"/>
    </row>
    <row r="8" spans="1:253" s="177" customFormat="1" ht="12.75">
      <c r="A8" s="180"/>
      <c r="B8" s="181"/>
      <c r="T8" s="180"/>
      <c r="U8" s="181"/>
      <c r="IN8" s="180"/>
      <c r="IO8" s="180"/>
      <c r="IP8" s="180"/>
      <c r="IQ8" s="180"/>
      <c r="IR8" s="180"/>
      <c r="IS8" s="180"/>
    </row>
    <row r="9" spans="1:253" s="177" customFormat="1" ht="18" customHeight="1">
      <c r="A9" s="180"/>
      <c r="B9" s="181"/>
      <c r="C9" s="182" t="s">
        <v>0</v>
      </c>
      <c r="D9" s="183" t="s">
        <v>83</v>
      </c>
      <c r="E9" s="184"/>
      <c r="F9" s="184"/>
      <c r="G9" s="184"/>
      <c r="T9" s="180"/>
      <c r="U9" s="181"/>
      <c r="W9" s="185"/>
      <c r="IN9" s="180"/>
      <c r="IO9" s="180"/>
      <c r="IP9" s="180"/>
      <c r="IQ9" s="180"/>
      <c r="IR9" s="180"/>
      <c r="IS9" s="180"/>
    </row>
    <row r="10" spans="1:253" s="177" customFormat="1" ht="18" customHeight="1">
      <c r="A10" s="180"/>
      <c r="B10" s="181"/>
      <c r="C10" s="182"/>
      <c r="D10" s="178"/>
      <c r="E10" s="178"/>
      <c r="F10" s="178"/>
      <c r="G10" s="178"/>
      <c r="T10" s="180"/>
      <c r="U10" s="181"/>
      <c r="W10" s="185"/>
      <c r="IN10" s="180"/>
      <c r="IO10" s="180"/>
      <c r="IP10" s="180"/>
      <c r="IQ10" s="180"/>
      <c r="IR10" s="180"/>
      <c r="IS10" s="180"/>
    </row>
    <row r="11" spans="1:253" s="177" customFormat="1" ht="18" customHeight="1">
      <c r="A11" s="180"/>
      <c r="B11" s="181"/>
      <c r="C11" s="182"/>
      <c r="D11" s="178"/>
      <c r="E11" s="178"/>
      <c r="F11" s="178"/>
      <c r="G11" s="178"/>
      <c r="T11" s="180"/>
      <c r="U11" s="181"/>
      <c r="W11" s="186"/>
      <c r="IN11" s="180"/>
      <c r="IO11" s="180"/>
      <c r="IP11" s="180"/>
      <c r="IQ11" s="180"/>
      <c r="IR11" s="180"/>
      <c r="IS11" s="180"/>
    </row>
    <row r="12" spans="1:253" s="177" customFormat="1" ht="15.75">
      <c r="A12" s="187" t="s">
        <v>55</v>
      </c>
      <c r="B12" s="187"/>
      <c r="C12" s="187"/>
      <c r="D12" s="178"/>
      <c r="E12" s="178"/>
      <c r="F12" s="178"/>
      <c r="G12" s="178"/>
      <c r="IN12" s="180"/>
      <c r="IO12" s="180"/>
      <c r="IP12" s="180"/>
      <c r="IQ12" s="180"/>
      <c r="IR12" s="180"/>
      <c r="IS12" s="180"/>
    </row>
    <row r="13" spans="6:8" ht="13.5" customHeight="1" thickBot="1">
      <c r="F13" s="356"/>
      <c r="G13" s="357" t="s">
        <v>260</v>
      </c>
      <c r="H13" s="358">
        <v>0.2</v>
      </c>
    </row>
    <row r="14" spans="1:20" ht="15.75" customHeight="1">
      <c r="A14" s="525" t="s">
        <v>66</v>
      </c>
      <c r="B14" s="527" t="s">
        <v>4</v>
      </c>
      <c r="C14" s="529" t="s">
        <v>146</v>
      </c>
      <c r="D14" s="530"/>
      <c r="E14" s="530"/>
      <c r="F14" s="530"/>
      <c r="G14" s="531"/>
      <c r="H14" s="188"/>
      <c r="N14" s="177"/>
      <c r="O14" s="177"/>
      <c r="P14" s="177"/>
      <c r="Q14" s="177"/>
      <c r="R14" s="177"/>
      <c r="S14" s="177"/>
      <c r="T14" s="177"/>
    </row>
    <row r="15" spans="1:20" ht="40.5" customHeight="1" thickBot="1">
      <c r="A15" s="526"/>
      <c r="B15" s="528"/>
      <c r="C15" s="194" t="s">
        <v>115</v>
      </c>
      <c r="D15" s="195" t="s">
        <v>116</v>
      </c>
      <c r="E15" s="195" t="s">
        <v>112</v>
      </c>
      <c r="F15" s="195" t="s">
        <v>121</v>
      </c>
      <c r="G15" s="340" t="s">
        <v>117</v>
      </c>
      <c r="H15" s="188"/>
      <c r="J15" s="177"/>
      <c r="K15" s="177"/>
      <c r="L15" s="177"/>
      <c r="N15" s="177"/>
      <c r="O15" s="177"/>
      <c r="P15" s="177"/>
      <c r="Q15" s="177"/>
      <c r="R15" s="177"/>
      <c r="S15" s="177"/>
      <c r="T15" s="177"/>
    </row>
    <row r="16" spans="1:20" ht="13.5" customHeight="1">
      <c r="A16" s="537" t="s">
        <v>73</v>
      </c>
      <c r="B16" s="429" t="s">
        <v>255</v>
      </c>
      <c r="C16" s="189">
        <f>CEILING(+'E) Resumen Tarifado '!C29*(1+'B) Tarifas y Ocupación'!$H$13),100)</f>
        <v>79600</v>
      </c>
      <c r="D16" s="189">
        <f>CEILING(+'E) Resumen Tarifado '!D29*(1+'B) Tarifas y Ocupación'!$H$13),100)</f>
        <v>106400</v>
      </c>
      <c r="E16" s="189">
        <f>CEILING(+'E) Resumen Tarifado '!E29*(1+'B) Tarifas y Ocupación'!$H$13),100)</f>
        <v>106700</v>
      </c>
      <c r="F16" s="189">
        <f>CEILING(+'E) Resumen Tarifado '!F29*(1+'B) Tarifas y Ocupación'!$H$13),100)</f>
        <v>106700</v>
      </c>
      <c r="G16" s="347">
        <f>CEILING(+'E) Resumen Tarifado '!G29*(1+'B) Tarifas y Ocupación'!$H$13),100)</f>
        <v>146300</v>
      </c>
      <c r="H16" s="190"/>
      <c r="J16" s="177"/>
      <c r="K16" s="177"/>
      <c r="L16" s="177"/>
      <c r="M16" s="343"/>
      <c r="N16" s="177"/>
      <c r="O16" s="177"/>
      <c r="P16" s="177"/>
      <c r="Q16" s="177"/>
      <c r="R16" s="177"/>
      <c r="S16" s="177"/>
      <c r="T16" s="177"/>
    </row>
    <row r="17" spans="1:20" ht="13.5" customHeight="1">
      <c r="A17" s="538"/>
      <c r="B17" s="430" t="s">
        <v>256</v>
      </c>
      <c r="C17" s="191">
        <f>CEILING(+'E) Resumen Tarifado '!C31*(1+'B) Tarifas y Ocupación'!$H$13),100)</f>
        <v>111500</v>
      </c>
      <c r="D17" s="191">
        <f>CEILING(+'E) Resumen Tarifado '!D31*(1+'B) Tarifas y Ocupación'!$H$13),100)</f>
        <v>156300</v>
      </c>
      <c r="E17" s="191">
        <f>CEILING(+'E) Resumen Tarifado '!E31*(1+'B) Tarifas y Ocupación'!$H$13),100)</f>
        <v>156500</v>
      </c>
      <c r="F17" s="191">
        <f>CEILING(+'E) Resumen Tarifado '!F31*(1+'B) Tarifas y Ocupación'!$H$13),100)</f>
        <v>156500</v>
      </c>
      <c r="G17" s="349">
        <f>CEILING(+'E) Resumen Tarifado '!G31*(1+'B) Tarifas y Ocupación'!$H$13),100)</f>
        <v>194200</v>
      </c>
      <c r="H17" s="190"/>
      <c r="J17" s="177"/>
      <c r="K17" s="177"/>
      <c r="L17" s="177"/>
      <c r="N17" s="177"/>
      <c r="O17" s="177"/>
      <c r="P17" s="177"/>
      <c r="Q17" s="177"/>
      <c r="R17" s="177"/>
      <c r="S17" s="177"/>
      <c r="T17" s="177"/>
    </row>
    <row r="18" spans="1:20" ht="13.5" customHeight="1">
      <c r="A18" s="538"/>
      <c r="B18" s="431" t="s">
        <v>271</v>
      </c>
      <c r="C18" s="191">
        <f>+C29*8</f>
        <v>65600</v>
      </c>
      <c r="D18" s="191">
        <f aca="true" t="shared" si="0" ref="D18:D23">+C18*1.2</f>
        <v>78720</v>
      </c>
      <c r="E18" s="191">
        <f>+C18*1.3</f>
        <v>85280</v>
      </c>
      <c r="F18" s="191">
        <f aca="true" t="shared" si="1" ref="F18:F26">+E18</f>
        <v>85280</v>
      </c>
      <c r="G18" s="349">
        <f>+C18*1.5</f>
        <v>98400</v>
      </c>
      <c r="H18" s="190"/>
      <c r="J18" s="177"/>
      <c r="K18" s="177"/>
      <c r="L18" s="177"/>
      <c r="M18" s="343"/>
      <c r="N18" s="177"/>
      <c r="O18" s="177"/>
      <c r="P18" s="177"/>
      <c r="Q18" s="177"/>
      <c r="R18" s="177"/>
      <c r="S18" s="177"/>
      <c r="T18" s="177"/>
    </row>
    <row r="19" spans="1:20" ht="13.5" customHeight="1">
      <c r="A19" s="538"/>
      <c r="B19" s="431" t="s">
        <v>274</v>
      </c>
      <c r="C19" s="191">
        <f>+C29*12</f>
        <v>98400</v>
      </c>
      <c r="D19" s="191">
        <f t="shared" si="0"/>
        <v>118080</v>
      </c>
      <c r="E19" s="191">
        <f>+C19*1.3</f>
        <v>127920</v>
      </c>
      <c r="F19" s="191">
        <f t="shared" si="1"/>
        <v>127920</v>
      </c>
      <c r="G19" s="349">
        <f>+C19*1.5</f>
        <v>147600</v>
      </c>
      <c r="H19" s="190"/>
      <c r="J19" s="177"/>
      <c r="K19" s="177"/>
      <c r="L19" s="177"/>
      <c r="N19" s="177"/>
      <c r="O19" s="177"/>
      <c r="P19" s="177"/>
      <c r="Q19" s="177"/>
      <c r="R19" s="177"/>
      <c r="S19" s="177"/>
      <c r="T19" s="177"/>
    </row>
    <row r="20" spans="1:20" ht="13.5" customHeight="1">
      <c r="A20" s="538"/>
      <c r="B20" s="432" t="s">
        <v>272</v>
      </c>
      <c r="C20" s="191">
        <f>8*$C$30</f>
        <v>88000</v>
      </c>
      <c r="D20" s="191">
        <f t="shared" si="0"/>
        <v>105600</v>
      </c>
      <c r="E20" s="191">
        <f>+C20*1.3</f>
        <v>114400</v>
      </c>
      <c r="F20" s="191">
        <f t="shared" si="1"/>
        <v>114400</v>
      </c>
      <c r="G20" s="349">
        <f>+C20*1.5</f>
        <v>132000</v>
      </c>
      <c r="H20" s="190"/>
      <c r="J20" s="177"/>
      <c r="K20" s="437"/>
      <c r="L20" s="437"/>
      <c r="N20" s="177"/>
      <c r="O20" s="177"/>
      <c r="P20" s="177"/>
      <c r="Q20" s="177"/>
      <c r="R20" s="177"/>
      <c r="S20" s="177"/>
      <c r="T20" s="177"/>
    </row>
    <row r="21" spans="1:20" ht="13.5" customHeight="1">
      <c r="A21" s="538"/>
      <c r="B21" s="433" t="s">
        <v>273</v>
      </c>
      <c r="C21" s="434">
        <f>12*C30</f>
        <v>132000</v>
      </c>
      <c r="D21" s="434">
        <f t="shared" si="0"/>
        <v>158400</v>
      </c>
      <c r="E21" s="434">
        <f>+C21*1.3</f>
        <v>171600</v>
      </c>
      <c r="F21" s="434">
        <f t="shared" si="1"/>
        <v>171600</v>
      </c>
      <c r="G21" s="435">
        <f>+C21*1.5</f>
        <v>198000</v>
      </c>
      <c r="H21" s="190"/>
      <c r="J21" s="177"/>
      <c r="K21" s="437"/>
      <c r="L21" s="437"/>
      <c r="N21" s="177"/>
      <c r="O21" s="177"/>
      <c r="P21" s="177"/>
      <c r="Q21" s="177"/>
      <c r="R21" s="177"/>
      <c r="S21" s="177"/>
      <c r="T21" s="177"/>
    </row>
    <row r="22" spans="1:20" ht="13.5" customHeight="1">
      <c r="A22" s="538"/>
      <c r="B22" s="433" t="s">
        <v>279</v>
      </c>
      <c r="C22" s="434">
        <f>+C29*2</f>
        <v>16400</v>
      </c>
      <c r="D22" s="434">
        <f>+C22*1.2</f>
        <v>19680</v>
      </c>
      <c r="E22" s="434">
        <f aca="true" t="shared" si="2" ref="E22:E27">+C22*1.3</f>
        <v>21320</v>
      </c>
      <c r="F22" s="434">
        <f t="shared" si="1"/>
        <v>21320</v>
      </c>
      <c r="G22" s="435">
        <f aca="true" t="shared" si="3" ref="G22:G27">+C22*1.5</f>
        <v>24600</v>
      </c>
      <c r="H22" s="422"/>
      <c r="J22" s="177"/>
      <c r="K22" s="437"/>
      <c r="L22" s="437"/>
      <c r="N22" s="177"/>
      <c r="O22" s="177"/>
      <c r="P22" s="177"/>
      <c r="Q22" s="177"/>
      <c r="R22" s="177"/>
      <c r="S22" s="177"/>
      <c r="T22" s="177"/>
    </row>
    <row r="23" spans="1:20" ht="13.5" customHeight="1">
      <c r="A23" s="538"/>
      <c r="B23" s="433" t="s">
        <v>280</v>
      </c>
      <c r="C23" s="434">
        <f>+C30*2</f>
        <v>22000</v>
      </c>
      <c r="D23" s="434">
        <f t="shared" si="0"/>
        <v>26400</v>
      </c>
      <c r="E23" s="434">
        <f t="shared" si="2"/>
        <v>28600</v>
      </c>
      <c r="F23" s="434">
        <f t="shared" si="1"/>
        <v>28600</v>
      </c>
      <c r="G23" s="435">
        <f t="shared" si="3"/>
        <v>33000</v>
      </c>
      <c r="H23" s="190"/>
      <c r="J23" s="177"/>
      <c r="K23" s="536"/>
      <c r="L23" s="437"/>
      <c r="N23" s="177"/>
      <c r="O23" s="177"/>
      <c r="P23" s="177"/>
      <c r="Q23" s="177"/>
      <c r="R23" s="177"/>
      <c r="S23" s="177"/>
      <c r="T23" s="177"/>
    </row>
    <row r="24" spans="1:20" ht="13.5" customHeight="1">
      <c r="A24" s="538"/>
      <c r="B24" s="433" t="s">
        <v>284</v>
      </c>
      <c r="C24" s="434">
        <f>+C29*8</f>
        <v>65600</v>
      </c>
      <c r="D24" s="434">
        <f>+C24*1.2</f>
        <v>78720</v>
      </c>
      <c r="E24" s="434">
        <f t="shared" si="2"/>
        <v>85280</v>
      </c>
      <c r="F24" s="434">
        <f>+E24</f>
        <v>85280</v>
      </c>
      <c r="G24" s="435">
        <f t="shared" si="3"/>
        <v>98400</v>
      </c>
      <c r="H24" s="422"/>
      <c r="J24" s="177"/>
      <c r="K24" s="536"/>
      <c r="L24" s="437"/>
      <c r="N24" s="177"/>
      <c r="O24" s="177"/>
      <c r="P24" s="177"/>
      <c r="Q24" s="177"/>
      <c r="R24" s="177"/>
      <c r="S24" s="177"/>
      <c r="T24" s="177"/>
    </row>
    <row r="25" spans="1:20" ht="13.5" customHeight="1">
      <c r="A25" s="538"/>
      <c r="B25" s="433" t="s">
        <v>287</v>
      </c>
      <c r="C25" s="434">
        <f>+C30*8</f>
        <v>88000</v>
      </c>
      <c r="D25" s="434">
        <f>+C25*1.2</f>
        <v>105600</v>
      </c>
      <c r="E25" s="434">
        <f t="shared" si="2"/>
        <v>114400</v>
      </c>
      <c r="F25" s="434">
        <f>+E25</f>
        <v>114400</v>
      </c>
      <c r="G25" s="435">
        <f t="shared" si="3"/>
        <v>132000</v>
      </c>
      <c r="H25" s="422"/>
      <c r="J25" s="177"/>
      <c r="K25" s="536"/>
      <c r="L25" s="437"/>
      <c r="N25" s="177"/>
      <c r="O25" s="177"/>
      <c r="P25" s="177"/>
      <c r="Q25" s="177"/>
      <c r="R25" s="177"/>
      <c r="S25" s="177"/>
      <c r="T25" s="177"/>
    </row>
    <row r="26" spans="1:20" ht="13.5" customHeight="1">
      <c r="A26" s="538"/>
      <c r="B26" s="433" t="s">
        <v>286</v>
      </c>
      <c r="C26" s="434">
        <f>+C29*12</f>
        <v>98400</v>
      </c>
      <c r="D26" s="434">
        <f>+C26*1.2</f>
        <v>118080</v>
      </c>
      <c r="E26" s="434">
        <f t="shared" si="2"/>
        <v>127920</v>
      </c>
      <c r="F26" s="434">
        <f t="shared" si="1"/>
        <v>127920</v>
      </c>
      <c r="G26" s="435">
        <f t="shared" si="3"/>
        <v>147600</v>
      </c>
      <c r="H26" s="190"/>
      <c r="J26" s="177"/>
      <c r="K26" s="536"/>
      <c r="L26" s="437"/>
      <c r="N26" s="177"/>
      <c r="O26" s="177"/>
      <c r="P26" s="177"/>
      <c r="Q26" s="177"/>
      <c r="R26" s="177"/>
      <c r="S26" s="177"/>
      <c r="T26" s="177"/>
    </row>
    <row r="27" spans="1:20" ht="13.5" customHeight="1">
      <c r="A27" s="538"/>
      <c r="B27" s="433" t="s">
        <v>285</v>
      </c>
      <c r="C27" s="434">
        <f>+C30*12</f>
        <v>132000</v>
      </c>
      <c r="D27" s="434">
        <f>+C27*1.2</f>
        <v>158400</v>
      </c>
      <c r="E27" s="434">
        <f t="shared" si="2"/>
        <v>171600</v>
      </c>
      <c r="F27" s="434">
        <f>+E27</f>
        <v>171600</v>
      </c>
      <c r="G27" s="435">
        <f t="shared" si="3"/>
        <v>198000</v>
      </c>
      <c r="H27" s="190"/>
      <c r="J27" s="177"/>
      <c r="K27" s="536"/>
      <c r="L27" s="437"/>
      <c r="N27" s="177"/>
      <c r="O27" s="177"/>
      <c r="P27" s="177"/>
      <c r="Q27" s="177"/>
      <c r="R27" s="177"/>
      <c r="S27" s="177"/>
      <c r="T27" s="177"/>
    </row>
    <row r="28" spans="1:14" ht="13.5" customHeight="1" thickBot="1">
      <c r="A28" s="539"/>
      <c r="B28" s="436" t="s">
        <v>288</v>
      </c>
      <c r="C28" s="466">
        <v>132000</v>
      </c>
      <c r="D28" s="440"/>
      <c r="E28" s="440"/>
      <c r="F28" s="440"/>
      <c r="G28" s="441"/>
      <c r="H28" s="422"/>
      <c r="J28" s="177"/>
      <c r="K28" s="439"/>
      <c r="L28" s="437"/>
      <c r="N28" s="438"/>
    </row>
    <row r="29" spans="2:12" ht="12.75">
      <c r="B29" s="359" t="s">
        <v>270</v>
      </c>
      <c r="C29" s="360">
        <v>8200</v>
      </c>
      <c r="D29" s="343"/>
      <c r="E29" s="343"/>
      <c r="F29" s="343"/>
      <c r="G29" s="343"/>
      <c r="J29" s="177"/>
      <c r="K29" s="536"/>
      <c r="L29" s="437"/>
    </row>
    <row r="30" spans="2:12" ht="12.75">
      <c r="B30" s="359" t="s">
        <v>269</v>
      </c>
      <c r="C30" s="360">
        <v>11000</v>
      </c>
      <c r="J30" s="177"/>
      <c r="K30" s="536"/>
      <c r="L30" s="437"/>
    </row>
    <row r="31" spans="2:12" ht="12.75">
      <c r="B31" s="342"/>
      <c r="C31" s="343"/>
      <c r="D31" s="177"/>
      <c r="J31" s="177"/>
      <c r="K31" s="536"/>
      <c r="L31" s="437"/>
    </row>
    <row r="32" spans="2:12" ht="12.75">
      <c r="B32" s="342"/>
      <c r="C32" s="343"/>
      <c r="J32" s="177"/>
      <c r="K32" s="177"/>
      <c r="L32" s="177"/>
    </row>
    <row r="35" spans="1:8" ht="15.75">
      <c r="A35" s="532" t="s">
        <v>56</v>
      </c>
      <c r="B35" s="532"/>
      <c r="C35" s="532"/>
      <c r="D35" s="532"/>
      <c r="E35" s="192"/>
      <c r="F35" s="177"/>
      <c r="G35" s="177"/>
      <c r="H35" s="177"/>
    </row>
    <row r="36" ht="13.5" thickBot="1"/>
    <row r="37" spans="1:8" ht="15.75">
      <c r="A37" s="525" t="s">
        <v>66</v>
      </c>
      <c r="B37" s="534" t="s">
        <v>4</v>
      </c>
      <c r="C37" s="544" t="s">
        <v>289</v>
      </c>
      <c r="D37" s="530"/>
      <c r="E37" s="530"/>
      <c r="F37" s="530"/>
      <c r="G37" s="530"/>
      <c r="H37" s="531"/>
    </row>
    <row r="38" spans="1:8" ht="59.25" customHeight="1" thickBot="1">
      <c r="A38" s="533"/>
      <c r="B38" s="535"/>
      <c r="C38" s="397" t="s">
        <v>115</v>
      </c>
      <c r="D38" s="398" t="s">
        <v>118</v>
      </c>
      <c r="E38" s="195" t="s">
        <v>119</v>
      </c>
      <c r="F38" s="195" t="s">
        <v>120</v>
      </c>
      <c r="G38" s="195" t="s">
        <v>117</v>
      </c>
      <c r="H38" s="399" t="s">
        <v>72</v>
      </c>
    </row>
    <row r="39" spans="1:9" ht="12.75" customHeight="1">
      <c r="A39" s="540" t="s">
        <v>73</v>
      </c>
      <c r="B39" s="429" t="str">
        <f aca="true" t="shared" si="4" ref="B39:B44">+B16</f>
        <v>PERMANENCIA MEDIA JORNADA (sin almuerzo)</v>
      </c>
      <c r="C39" s="390">
        <v>3</v>
      </c>
      <c r="D39" s="390">
        <v>2</v>
      </c>
      <c r="E39" s="390"/>
      <c r="F39" s="390"/>
      <c r="G39" s="400">
        <v>4</v>
      </c>
      <c r="H39" s="403">
        <f aca="true" t="shared" si="5" ref="H39:H51">SUM(C39:G39)</f>
        <v>9</v>
      </c>
      <c r="I39" s="235"/>
    </row>
    <row r="40" spans="1:8" ht="12.75" customHeight="1">
      <c r="A40" s="541"/>
      <c r="B40" s="431" t="str">
        <f t="shared" si="4"/>
        <v>PERMANENCIA J. COMPLETA (con almuerzo)</v>
      </c>
      <c r="C40" s="193">
        <v>1</v>
      </c>
      <c r="D40" s="193">
        <v>5</v>
      </c>
      <c r="E40" s="193"/>
      <c r="F40" s="193"/>
      <c r="G40" s="401">
        <v>1</v>
      </c>
      <c r="H40" s="404">
        <f t="shared" si="5"/>
        <v>7</v>
      </c>
    </row>
    <row r="41" spans="1:9" ht="12.75" customHeight="1">
      <c r="A41" s="541"/>
      <c r="B41" s="431" t="str">
        <f t="shared" si="4"/>
        <v>AMBULATORIO OTROS DIAGNOSTICOS (8 Sesiones Mensuales)</v>
      </c>
      <c r="C41" s="193">
        <v>1</v>
      </c>
      <c r="D41" s="193"/>
      <c r="E41" s="193"/>
      <c r="F41" s="193"/>
      <c r="G41" s="402"/>
      <c r="H41" s="404">
        <f t="shared" si="5"/>
        <v>1</v>
      </c>
      <c r="I41" s="236"/>
    </row>
    <row r="42" spans="1:9" ht="12.75" customHeight="1">
      <c r="A42" s="541"/>
      <c r="B42" s="431" t="str">
        <f t="shared" si="4"/>
        <v>AMBULATORIO OTROS DIAGOSTICOS (12 Sesiones Mensuales)</v>
      </c>
      <c r="C42" s="193">
        <v>3</v>
      </c>
      <c r="D42" s="193">
        <v>1</v>
      </c>
      <c r="E42" s="193"/>
      <c r="F42" s="193"/>
      <c r="G42" s="402"/>
      <c r="H42" s="404">
        <f t="shared" si="5"/>
        <v>4</v>
      </c>
      <c r="I42" s="235"/>
    </row>
    <row r="43" spans="1:9" ht="12.75" customHeight="1">
      <c r="A43" s="541"/>
      <c r="B43" s="431" t="str">
        <f t="shared" si="4"/>
        <v>AMBULATORIO TEA (8 Sesiones Mensuales)</v>
      </c>
      <c r="C43" s="193">
        <v>17</v>
      </c>
      <c r="D43" s="193">
        <v>1</v>
      </c>
      <c r="E43" s="193"/>
      <c r="F43" s="193"/>
      <c r="G43" s="402"/>
      <c r="H43" s="404">
        <f t="shared" si="5"/>
        <v>18</v>
      </c>
      <c r="I43" s="235"/>
    </row>
    <row r="44" spans="1:9" ht="13.5" customHeight="1">
      <c r="A44" s="541"/>
      <c r="B44" s="431" t="str">
        <f t="shared" si="4"/>
        <v>AMBULATORIO TEA (12 Sesiones Mensuales)</v>
      </c>
      <c r="C44" s="193">
        <v>10</v>
      </c>
      <c r="D44" s="193"/>
      <c r="E44" s="193"/>
      <c r="F44" s="193"/>
      <c r="G44" s="402"/>
      <c r="H44" s="404">
        <f t="shared" si="5"/>
        <v>10</v>
      </c>
      <c r="I44" s="235"/>
    </row>
    <row r="45" spans="1:14" ht="13.5" customHeight="1">
      <c r="A45" s="541"/>
      <c r="B45" s="433" t="s">
        <v>279</v>
      </c>
      <c r="C45" s="457">
        <v>1</v>
      </c>
      <c r="D45" s="457"/>
      <c r="E45" s="457"/>
      <c r="F45" s="457"/>
      <c r="G45" s="458"/>
      <c r="H45" s="404">
        <f t="shared" si="5"/>
        <v>1</v>
      </c>
      <c r="I45" s="543" t="s">
        <v>281</v>
      </c>
      <c r="J45" s="543"/>
      <c r="K45" s="543"/>
      <c r="L45" s="543"/>
      <c r="M45" s="543"/>
      <c r="N45" s="543"/>
    </row>
    <row r="46" spans="1:9" ht="13.5" customHeight="1">
      <c r="A46" s="541"/>
      <c r="B46" s="433" t="s">
        <v>280</v>
      </c>
      <c r="C46" s="457">
        <v>3</v>
      </c>
      <c r="D46" s="457"/>
      <c r="E46" s="457"/>
      <c r="F46" s="457"/>
      <c r="G46" s="458"/>
      <c r="H46" s="404">
        <f t="shared" si="5"/>
        <v>3</v>
      </c>
      <c r="I46" s="423" t="s">
        <v>283</v>
      </c>
    </row>
    <row r="47" spans="1:9" ht="13.5" customHeight="1">
      <c r="A47" s="541"/>
      <c r="B47" s="433" t="s">
        <v>284</v>
      </c>
      <c r="C47" s="457">
        <v>0</v>
      </c>
      <c r="D47" s="457"/>
      <c r="E47" s="457"/>
      <c r="F47" s="457"/>
      <c r="G47" s="458"/>
      <c r="H47" s="404">
        <f t="shared" si="5"/>
        <v>0</v>
      </c>
      <c r="I47" s="423"/>
    </row>
    <row r="48" spans="1:9" ht="13.5" customHeight="1">
      <c r="A48" s="541"/>
      <c r="B48" s="433" t="s">
        <v>287</v>
      </c>
      <c r="C48" s="457">
        <v>0</v>
      </c>
      <c r="D48" s="457"/>
      <c r="E48" s="457"/>
      <c r="F48" s="457"/>
      <c r="G48" s="458"/>
      <c r="H48" s="404">
        <f t="shared" si="5"/>
        <v>0</v>
      </c>
      <c r="I48" s="423"/>
    </row>
    <row r="49" spans="1:9" ht="13.5" customHeight="1">
      <c r="A49" s="541"/>
      <c r="B49" s="459" t="str">
        <f>B26</f>
        <v>EVALUACIÓN OTROS DIAGNOSTICOS 9 A 12 SESIONES</v>
      </c>
      <c r="C49" s="457">
        <v>5</v>
      </c>
      <c r="D49" s="457"/>
      <c r="E49" s="457"/>
      <c r="F49" s="457"/>
      <c r="G49" s="458"/>
      <c r="H49" s="404">
        <f t="shared" si="5"/>
        <v>5</v>
      </c>
      <c r="I49" s="423" t="s">
        <v>282</v>
      </c>
    </row>
    <row r="50" spans="1:8" ht="13.5" customHeight="1">
      <c r="A50" s="541"/>
      <c r="B50" s="433" t="str">
        <f>B27</f>
        <v>EVALUACIÓN TEA DE 9 A 12 SESIONES</v>
      </c>
      <c r="C50" s="457">
        <v>11</v>
      </c>
      <c r="D50" s="460"/>
      <c r="E50" s="460"/>
      <c r="F50" s="460"/>
      <c r="G50" s="461"/>
      <c r="H50" s="404">
        <f t="shared" si="5"/>
        <v>11</v>
      </c>
    </row>
    <row r="51" spans="1:8" ht="13.5" customHeight="1" thickBot="1">
      <c r="A51" s="542"/>
      <c r="B51" s="436" t="s">
        <v>288</v>
      </c>
      <c r="C51" s="462">
        <v>1</v>
      </c>
      <c r="D51" s="463"/>
      <c r="E51" s="463"/>
      <c r="F51" s="463"/>
      <c r="G51" s="464"/>
      <c r="H51" s="465">
        <f t="shared" si="5"/>
        <v>1</v>
      </c>
    </row>
    <row r="53" spans="2:4" ht="12.75">
      <c r="B53" s="342"/>
      <c r="C53" s="344"/>
      <c r="D53" s="343"/>
    </row>
    <row r="54" ht="12.75">
      <c r="B54" s="342"/>
    </row>
    <row r="55" ht="12.75">
      <c r="B55" s="342"/>
    </row>
    <row r="56" spans="2:3" ht="12.75">
      <c r="B56" s="342"/>
      <c r="C56" s="345"/>
    </row>
    <row r="57" spans="2:6" ht="12.75">
      <c r="B57" s="342"/>
      <c r="C57" s="361"/>
      <c r="D57" s="362"/>
      <c r="E57" s="343"/>
      <c r="F57" s="343"/>
    </row>
    <row r="58" spans="2:5" ht="12.75">
      <c r="B58" s="342"/>
      <c r="C58" s="361"/>
      <c r="D58" s="362"/>
      <c r="E58" s="343"/>
    </row>
    <row r="59" ht="12.75">
      <c r="F59" s="343"/>
    </row>
  </sheetData>
  <sheetProtection/>
  <mergeCells count="12">
    <mergeCell ref="K23:K27"/>
    <mergeCell ref="K29:K31"/>
    <mergeCell ref="A16:A28"/>
    <mergeCell ref="A39:A51"/>
    <mergeCell ref="I45:N45"/>
    <mergeCell ref="C37:H37"/>
    <mergeCell ref="A14:A15"/>
    <mergeCell ref="B14:B15"/>
    <mergeCell ref="C14:G14"/>
    <mergeCell ref="A35:D35"/>
    <mergeCell ref="A37:A38"/>
    <mergeCell ref="B37:B3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88"/>
  <sheetViews>
    <sheetView showGridLines="0" tabSelected="1" zoomScale="80" zoomScaleNormal="80" zoomScalePageLayoutView="0" workbookViewId="0" topLeftCell="B27">
      <selection activeCell="F70" sqref="F70"/>
    </sheetView>
  </sheetViews>
  <sheetFormatPr defaultColWidth="11.421875" defaultRowHeight="12.75"/>
  <cols>
    <col min="1" max="1" width="24.00390625" style="9" customWidth="1"/>
    <col min="2" max="2" width="21.140625" style="3" customWidth="1"/>
    <col min="3" max="3" width="57.421875" style="3" bestFit="1" customWidth="1"/>
    <col min="4" max="4" width="17.00390625" style="3" customWidth="1"/>
    <col min="5" max="5" width="14.28125" style="3" customWidth="1"/>
    <col min="6" max="6" width="14.421875" style="19" customWidth="1"/>
    <col min="7" max="7" width="14.28125" style="5" customWidth="1"/>
    <col min="8" max="8" width="16.57421875" style="5" customWidth="1"/>
    <col min="9" max="9" width="40.8515625" style="3" bestFit="1" customWidth="1"/>
    <col min="10" max="10" width="17.7109375" style="3" customWidth="1"/>
    <col min="11" max="11" width="15.00390625" style="3" bestFit="1" customWidth="1"/>
    <col min="12" max="12" width="20.28125" style="3" customWidth="1"/>
    <col min="13" max="13" width="11.421875" style="3" customWidth="1"/>
    <col min="14" max="14" width="15.00390625" style="3" bestFit="1" customWidth="1"/>
    <col min="15" max="16384" width="11.421875" style="3" customWidth="1"/>
  </cols>
  <sheetData>
    <row r="1" spans="3:8" ht="12.75">
      <c r="C1" s="34"/>
      <c r="D1" s="34" t="s">
        <v>77</v>
      </c>
      <c r="E1" s="34"/>
      <c r="F1" s="34"/>
      <c r="G1" s="34"/>
      <c r="H1" s="34"/>
    </row>
    <row r="2" spans="3:8" ht="12.75">
      <c r="C2" s="34"/>
      <c r="D2" s="34" t="s">
        <v>78</v>
      </c>
      <c r="E2" s="34"/>
      <c r="F2" s="34"/>
      <c r="G2" s="34"/>
      <c r="H2" s="34"/>
    </row>
    <row r="3" spans="3:8" ht="12.75">
      <c r="C3" s="34"/>
      <c r="E3" s="34"/>
      <c r="F3" s="34"/>
      <c r="G3" s="34"/>
      <c r="H3" s="34"/>
    </row>
    <row r="4" spans="3:8" ht="19.5" customHeight="1">
      <c r="C4" s="52" t="s">
        <v>0</v>
      </c>
      <c r="D4" s="548" t="str">
        <f>+'[1]B) Tarifas y Ocupación'!D9</f>
        <v>BIENVALP</v>
      </c>
      <c r="E4" s="549"/>
      <c r="F4" s="34"/>
      <c r="G4" s="34"/>
      <c r="H4" s="34"/>
    </row>
    <row r="5" spans="2:8" ht="12.75">
      <c r="B5" s="34"/>
      <c r="C5" s="50"/>
      <c r="D5" s="34"/>
      <c r="E5" s="34"/>
      <c r="F5" s="34"/>
      <c r="G5" s="34"/>
      <c r="H5" s="34"/>
    </row>
    <row r="6" spans="2:8" ht="12.75">
      <c r="B6" s="34"/>
      <c r="C6" s="50"/>
      <c r="D6" s="34"/>
      <c r="E6" s="34"/>
      <c r="F6" s="34"/>
      <c r="G6" s="34"/>
      <c r="H6" s="34"/>
    </row>
    <row r="7" ht="12.75">
      <c r="C7" s="5"/>
    </row>
    <row r="8" spans="1:7" ht="15.75">
      <c r="A8" s="563" t="s">
        <v>80</v>
      </c>
      <c r="B8" s="563"/>
      <c r="C8" s="563"/>
      <c r="D8" s="50"/>
      <c r="G8" s="3"/>
    </row>
    <row r="9" ht="13.5" thickBot="1"/>
    <row r="10" spans="1:8" ht="12.75" customHeight="1">
      <c r="A10" s="556" t="s">
        <v>66</v>
      </c>
      <c r="B10" s="554" t="s">
        <v>41</v>
      </c>
      <c r="C10" s="552" t="s">
        <v>42</v>
      </c>
      <c r="D10" s="561" t="s">
        <v>43</v>
      </c>
      <c r="E10" s="558" t="s">
        <v>44</v>
      </c>
      <c r="F10" s="559"/>
      <c r="G10" s="560"/>
      <c r="H10" s="550" t="s">
        <v>124</v>
      </c>
    </row>
    <row r="11" spans="1:8" ht="26.25" thickBot="1">
      <c r="A11" s="557"/>
      <c r="B11" s="555"/>
      <c r="C11" s="553"/>
      <c r="D11" s="562"/>
      <c r="E11" s="113" t="s">
        <v>38</v>
      </c>
      <c r="F11" s="33" t="s">
        <v>39</v>
      </c>
      <c r="G11" s="123" t="s">
        <v>5</v>
      </c>
      <c r="H11" s="551"/>
    </row>
    <row r="12" spans="1:9" ht="15.75" customHeight="1">
      <c r="A12" s="545" t="str">
        <f>+'[1]B) Tarifas y Ocupación'!A16</f>
        <v>DALEGRÍA</v>
      </c>
      <c r="B12" s="124"/>
      <c r="C12" s="125" t="s">
        <v>9</v>
      </c>
      <c r="D12" s="126">
        <f>SUM(D13:D16)</f>
        <v>169235657.8339765</v>
      </c>
      <c r="E12" s="127"/>
      <c r="F12" s="128"/>
      <c r="G12" s="129"/>
      <c r="H12" s="132">
        <f>SUM(H13:H16)</f>
        <v>169235657.8339765</v>
      </c>
      <c r="I12" s="200"/>
    </row>
    <row r="13" spans="1:9" ht="12.75">
      <c r="A13" s="546"/>
      <c r="B13" s="58">
        <v>53103040100000</v>
      </c>
      <c r="C13" s="59" t="s">
        <v>57</v>
      </c>
      <c r="D13" s="108">
        <f>'D) Remuneraciones'!L69</f>
        <v>169235657.8339765</v>
      </c>
      <c r="E13" s="114"/>
      <c r="F13" s="60"/>
      <c r="G13" s="115"/>
      <c r="H13" s="105">
        <f>D13+G13</f>
        <v>169235657.8339765</v>
      </c>
      <c r="I13" s="200"/>
    </row>
    <row r="14" spans="1:8" ht="12.75">
      <c r="A14" s="546"/>
      <c r="B14" s="58">
        <v>53103050000000</v>
      </c>
      <c r="C14" s="59" t="s">
        <v>278</v>
      </c>
      <c r="D14" s="109">
        <v>0</v>
      </c>
      <c r="E14" s="116">
        <v>0</v>
      </c>
      <c r="F14" s="96">
        <v>0</v>
      </c>
      <c r="G14" s="117">
        <f>E14*F14</f>
        <v>0</v>
      </c>
      <c r="H14" s="105">
        <f>D14+G14</f>
        <v>0</v>
      </c>
    </row>
    <row r="15" spans="1:11" ht="12.75">
      <c r="A15" s="546"/>
      <c r="B15" s="61">
        <v>53103040400000</v>
      </c>
      <c r="C15" s="62" t="s">
        <v>85</v>
      </c>
      <c r="D15" s="109">
        <v>0</v>
      </c>
      <c r="E15" s="116">
        <v>0</v>
      </c>
      <c r="F15" s="96">
        <v>0</v>
      </c>
      <c r="G15" s="117">
        <f>E15*F15</f>
        <v>0</v>
      </c>
      <c r="H15" s="105">
        <f>D15+G15</f>
        <v>0</v>
      </c>
      <c r="K15" s="467"/>
    </row>
    <row r="16" spans="1:8" ht="12.75">
      <c r="A16" s="546"/>
      <c r="B16" s="58">
        <v>53103080010000</v>
      </c>
      <c r="C16" s="59" t="s">
        <v>86</v>
      </c>
      <c r="D16" s="109">
        <v>0</v>
      </c>
      <c r="E16" s="116">
        <v>0</v>
      </c>
      <c r="F16" s="96">
        <v>0</v>
      </c>
      <c r="G16" s="117">
        <f>E16*F16</f>
        <v>0</v>
      </c>
      <c r="H16" s="105">
        <f>D16+G16</f>
        <v>0</v>
      </c>
    </row>
    <row r="17" spans="1:8" ht="12.75">
      <c r="A17" s="546"/>
      <c r="B17" s="101"/>
      <c r="C17" s="102" t="s">
        <v>10</v>
      </c>
      <c r="D17" s="110">
        <f>SUM(D18:D37)</f>
        <v>15807485.621199999</v>
      </c>
      <c r="E17" s="118"/>
      <c r="F17" s="103"/>
      <c r="G17" s="119">
        <f>SUM(G18:G37)</f>
        <v>10550670</v>
      </c>
      <c r="H17" s="104">
        <f aca="true" t="shared" si="0" ref="H17:H73">D17+G17</f>
        <v>26358155.6212</v>
      </c>
    </row>
    <row r="18" spans="1:10" ht="12.75">
      <c r="A18" s="546"/>
      <c r="B18" s="58">
        <v>53201010100000</v>
      </c>
      <c r="C18" s="63" t="s">
        <v>87</v>
      </c>
      <c r="D18" s="111">
        <v>0</v>
      </c>
      <c r="E18" s="237">
        <v>1821</v>
      </c>
      <c r="F18" s="238">
        <f>6*20*10</f>
        <v>1200</v>
      </c>
      <c r="G18" s="239">
        <f>E18*F18</f>
        <v>2185200</v>
      </c>
      <c r="H18" s="240">
        <f t="shared" si="0"/>
        <v>2185200</v>
      </c>
      <c r="I18" s="3" t="s">
        <v>292</v>
      </c>
      <c r="J18" s="273"/>
    </row>
    <row r="19" spans="1:10" ht="12.75">
      <c r="A19" s="546"/>
      <c r="B19" s="58">
        <v>53201010100000</v>
      </c>
      <c r="C19" s="63" t="s">
        <v>88</v>
      </c>
      <c r="D19" s="111">
        <v>0</v>
      </c>
      <c r="E19" s="237">
        <v>1200</v>
      </c>
      <c r="F19" s="238">
        <f>7*20*9</f>
        <v>1260</v>
      </c>
      <c r="G19" s="239">
        <f aca="true" t="shared" si="1" ref="G19:G37">E19*F19</f>
        <v>1512000</v>
      </c>
      <c r="H19" s="240">
        <f t="shared" si="0"/>
        <v>1512000</v>
      </c>
      <c r="I19" s="3" t="s">
        <v>276</v>
      </c>
      <c r="J19" s="273"/>
    </row>
    <row r="20" spans="1:10" ht="12.75">
      <c r="A20" s="546"/>
      <c r="B20" s="58">
        <v>53201010100000</v>
      </c>
      <c r="C20" s="63" t="s">
        <v>89</v>
      </c>
      <c r="D20" s="111">
        <v>0</v>
      </c>
      <c r="E20" s="237">
        <v>50000</v>
      </c>
      <c r="F20" s="238">
        <f>2*9+1*4</f>
        <v>22</v>
      </c>
      <c r="G20" s="239">
        <f t="shared" si="1"/>
        <v>1100000</v>
      </c>
      <c r="H20" s="240">
        <f t="shared" si="0"/>
        <v>1100000</v>
      </c>
      <c r="I20" s="273"/>
      <c r="J20" s="273"/>
    </row>
    <row r="21" spans="1:10" ht="12.75">
      <c r="A21" s="546"/>
      <c r="B21" s="58">
        <v>53202010100000</v>
      </c>
      <c r="C21" s="59" t="s">
        <v>90</v>
      </c>
      <c r="D21" s="111">
        <v>0</v>
      </c>
      <c r="E21" s="237">
        <v>0</v>
      </c>
      <c r="F21" s="238">
        <v>0</v>
      </c>
      <c r="G21" s="239">
        <f t="shared" si="1"/>
        <v>0</v>
      </c>
      <c r="H21" s="240">
        <f t="shared" si="0"/>
        <v>0</v>
      </c>
      <c r="I21" s="273"/>
      <c r="J21" s="273"/>
    </row>
    <row r="22" spans="1:10" ht="12.75">
      <c r="A22" s="546"/>
      <c r="B22" s="58">
        <v>53203010100000</v>
      </c>
      <c r="C22" s="59" t="s">
        <v>11</v>
      </c>
      <c r="D22" s="111">
        <v>0</v>
      </c>
      <c r="E22" s="237">
        <v>0</v>
      </c>
      <c r="F22" s="238">
        <v>0</v>
      </c>
      <c r="G22" s="239">
        <f t="shared" si="1"/>
        <v>0</v>
      </c>
      <c r="H22" s="240">
        <f t="shared" si="0"/>
        <v>0</v>
      </c>
      <c r="I22" s="273"/>
      <c r="J22" s="273"/>
    </row>
    <row r="23" spans="1:10" ht="12.75">
      <c r="A23" s="546"/>
      <c r="B23" s="58">
        <v>53203030000000</v>
      </c>
      <c r="C23" s="59" t="s">
        <v>91</v>
      </c>
      <c r="D23" s="111">
        <v>0</v>
      </c>
      <c r="E23" s="237">
        <v>0</v>
      </c>
      <c r="F23" s="238">
        <v>0</v>
      </c>
      <c r="G23" s="239">
        <f t="shared" si="1"/>
        <v>0</v>
      </c>
      <c r="H23" s="240">
        <f t="shared" si="0"/>
        <v>0</v>
      </c>
      <c r="I23" s="273"/>
      <c r="J23" s="273"/>
    </row>
    <row r="24" spans="1:10" ht="12.75">
      <c r="A24" s="546"/>
      <c r="B24" s="58">
        <v>53204030000000</v>
      </c>
      <c r="C24" s="59" t="s">
        <v>92</v>
      </c>
      <c r="D24" s="111">
        <v>0</v>
      </c>
      <c r="E24" s="237">
        <v>15990</v>
      </c>
      <c r="F24" s="238">
        <v>7</v>
      </c>
      <c r="G24" s="239">
        <f>E24*F24</f>
        <v>111930</v>
      </c>
      <c r="H24" s="240">
        <f t="shared" si="0"/>
        <v>111930</v>
      </c>
      <c r="I24" s="3" t="s">
        <v>277</v>
      </c>
      <c r="J24" s="273"/>
    </row>
    <row r="25" spans="1:10" ht="12.75">
      <c r="A25" s="546"/>
      <c r="B25" s="421">
        <v>53204100100001</v>
      </c>
      <c r="C25" s="412" t="s">
        <v>12</v>
      </c>
      <c r="D25" s="468">
        <v>5088986</v>
      </c>
      <c r="E25" s="469">
        <v>0</v>
      </c>
      <c r="F25" s="470">
        <v>0</v>
      </c>
      <c r="G25" s="471">
        <f t="shared" si="1"/>
        <v>0</v>
      </c>
      <c r="H25" s="240">
        <f t="shared" si="0"/>
        <v>5088986</v>
      </c>
      <c r="I25" s="273" t="s">
        <v>203</v>
      </c>
      <c r="J25" s="273"/>
    </row>
    <row r="26" spans="1:10" ht="12.75">
      <c r="A26" s="546"/>
      <c r="B26" s="58">
        <v>53204130100000</v>
      </c>
      <c r="C26" s="59" t="s">
        <v>93</v>
      </c>
      <c r="D26" s="111">
        <v>0</v>
      </c>
      <c r="E26" s="237">
        <v>0</v>
      </c>
      <c r="F26" s="238">
        <v>0</v>
      </c>
      <c r="G26" s="239">
        <f t="shared" si="1"/>
        <v>0</v>
      </c>
      <c r="H26" s="240">
        <f t="shared" si="0"/>
        <v>0</v>
      </c>
      <c r="I26" s="273"/>
      <c r="J26" s="273"/>
    </row>
    <row r="27" spans="1:10" ht="12.75">
      <c r="A27" s="546"/>
      <c r="B27" s="58">
        <v>53205010100000</v>
      </c>
      <c r="C27" s="59" t="s">
        <v>13</v>
      </c>
      <c r="D27" s="111">
        <f>+J27*1.057</f>
        <v>1745375.478</v>
      </c>
      <c r="E27" s="237">
        <v>0</v>
      </c>
      <c r="F27" s="238">
        <v>0</v>
      </c>
      <c r="G27" s="239">
        <f t="shared" si="1"/>
        <v>0</v>
      </c>
      <c r="H27" s="240">
        <f t="shared" si="0"/>
        <v>1745375.478</v>
      </c>
      <c r="I27" s="3" t="s">
        <v>291</v>
      </c>
      <c r="J27" s="274">
        <f>+(4128135/30)*12</f>
        <v>1651254</v>
      </c>
    </row>
    <row r="28" spans="1:10" ht="12.75">
      <c r="A28" s="546"/>
      <c r="B28" s="58">
        <v>53205020100000</v>
      </c>
      <c r="C28" s="59" t="s">
        <v>14</v>
      </c>
      <c r="D28" s="111">
        <f>+J28*1.057</f>
        <v>694351.3332000001</v>
      </c>
      <c r="E28" s="237">
        <v>0</v>
      </c>
      <c r="F28" s="238">
        <v>0</v>
      </c>
      <c r="G28" s="239">
        <f t="shared" si="1"/>
        <v>0</v>
      </c>
      <c r="H28" s="240">
        <f t="shared" si="0"/>
        <v>694351.3332000001</v>
      </c>
      <c r="I28" s="273" t="s">
        <v>148</v>
      </c>
      <c r="J28" s="274">
        <f>+(1642269/30)*12</f>
        <v>656907.6000000001</v>
      </c>
    </row>
    <row r="29" spans="1:10" ht="12.75">
      <c r="A29" s="546"/>
      <c r="B29" s="58">
        <v>53205030100000</v>
      </c>
      <c r="C29" s="59" t="s">
        <v>15</v>
      </c>
      <c r="D29" s="111">
        <f>+J29*1.057</f>
        <v>8278772.81</v>
      </c>
      <c r="E29" s="237">
        <v>0</v>
      </c>
      <c r="F29" s="238">
        <v>0</v>
      </c>
      <c r="G29" s="239">
        <f t="shared" si="1"/>
        <v>0</v>
      </c>
      <c r="H29" s="240">
        <f t="shared" si="0"/>
        <v>8278772.81</v>
      </c>
      <c r="I29" s="273" t="s">
        <v>148</v>
      </c>
      <c r="J29" s="274">
        <f>+(7832330/12)*12</f>
        <v>7832330</v>
      </c>
    </row>
    <row r="30" spans="1:10" ht="12.75">
      <c r="A30" s="546"/>
      <c r="B30" s="58">
        <v>53205050100000</v>
      </c>
      <c r="C30" s="59" t="s">
        <v>16</v>
      </c>
      <c r="D30" s="111">
        <v>0</v>
      </c>
      <c r="E30" s="237">
        <v>17000</v>
      </c>
      <c r="F30" s="238">
        <v>12</v>
      </c>
      <c r="G30" s="239">
        <f t="shared" si="1"/>
        <v>204000</v>
      </c>
      <c r="H30" s="240">
        <f t="shared" si="0"/>
        <v>204000</v>
      </c>
      <c r="I30" s="3" t="s">
        <v>268</v>
      </c>
      <c r="J30" s="273"/>
    </row>
    <row r="31" spans="1:10" ht="12.75">
      <c r="A31" s="546"/>
      <c r="B31" s="472">
        <v>53205070100000</v>
      </c>
      <c r="C31" s="412" t="s">
        <v>17</v>
      </c>
      <c r="D31" s="468">
        <v>0</v>
      </c>
      <c r="E31" s="476">
        <f>(53915*5)+(7*300000)</f>
        <v>2369575</v>
      </c>
      <c r="F31" s="477">
        <v>0</v>
      </c>
      <c r="G31" s="478">
        <f t="shared" si="1"/>
        <v>0</v>
      </c>
      <c r="H31" s="479">
        <f>E31</f>
        <v>2369575</v>
      </c>
      <c r="I31" s="200" t="s">
        <v>169</v>
      </c>
      <c r="J31" s="273"/>
    </row>
    <row r="32" spans="1:10" ht="12.75">
      <c r="A32" s="546"/>
      <c r="B32" s="58">
        <v>53208010100000</v>
      </c>
      <c r="C32" s="59" t="s">
        <v>18</v>
      </c>
      <c r="D32" s="111"/>
      <c r="E32" s="237">
        <v>828836</v>
      </c>
      <c r="F32" s="238">
        <v>2</v>
      </c>
      <c r="G32" s="239">
        <f t="shared" si="1"/>
        <v>1657672</v>
      </c>
      <c r="H32" s="240">
        <f t="shared" si="0"/>
        <v>1657672</v>
      </c>
      <c r="I32" s="273"/>
      <c r="J32" s="273"/>
    </row>
    <row r="33" spans="1:10" ht="12.75">
      <c r="A33" s="546"/>
      <c r="B33" s="58">
        <v>53208070100001</v>
      </c>
      <c r="C33" s="59" t="s">
        <v>19</v>
      </c>
      <c r="D33" s="111">
        <v>0</v>
      </c>
      <c r="E33" s="237">
        <v>0</v>
      </c>
      <c r="F33" s="238">
        <v>0</v>
      </c>
      <c r="G33" s="239">
        <f t="shared" si="1"/>
        <v>0</v>
      </c>
      <c r="H33" s="240">
        <f t="shared" si="0"/>
        <v>0</v>
      </c>
      <c r="I33" s="273"/>
      <c r="J33" s="273"/>
    </row>
    <row r="34" spans="1:10" ht="12.75">
      <c r="A34" s="546"/>
      <c r="B34" s="58">
        <v>53208100100001</v>
      </c>
      <c r="C34" s="197" t="s">
        <v>94</v>
      </c>
      <c r="D34" s="111">
        <v>0</v>
      </c>
      <c r="E34" s="237">
        <v>0</v>
      </c>
      <c r="F34" s="238">
        <v>0</v>
      </c>
      <c r="G34" s="239">
        <f t="shared" si="1"/>
        <v>0</v>
      </c>
      <c r="H34" s="240">
        <f t="shared" si="0"/>
        <v>0</v>
      </c>
      <c r="I34" s="273"/>
      <c r="J34" s="273"/>
    </row>
    <row r="35" spans="1:10" ht="12.75">
      <c r="A35" s="546"/>
      <c r="B35" s="58">
        <v>53211030000000</v>
      </c>
      <c r="C35" s="59" t="s">
        <v>20</v>
      </c>
      <c r="D35" s="111">
        <v>0</v>
      </c>
      <c r="E35" s="237">
        <v>0</v>
      </c>
      <c r="F35" s="238">
        <v>0</v>
      </c>
      <c r="G35" s="239">
        <f t="shared" si="1"/>
        <v>0</v>
      </c>
      <c r="H35" s="240">
        <f t="shared" si="0"/>
        <v>0</v>
      </c>
      <c r="I35" s="273"/>
      <c r="J35" s="273"/>
    </row>
    <row r="36" spans="1:10" ht="12.75">
      <c r="A36" s="546"/>
      <c r="B36" s="58">
        <v>53212020100000</v>
      </c>
      <c r="C36" s="59" t="s">
        <v>95</v>
      </c>
      <c r="D36" s="111">
        <v>0</v>
      </c>
      <c r="E36" s="237">
        <v>326652</v>
      </c>
      <c r="F36" s="238">
        <v>9</v>
      </c>
      <c r="G36" s="239">
        <f t="shared" si="1"/>
        <v>2939868</v>
      </c>
      <c r="H36" s="240">
        <f t="shared" si="0"/>
        <v>2939868</v>
      </c>
      <c r="I36" s="273"/>
      <c r="J36" s="273"/>
    </row>
    <row r="37" spans="1:10" ht="12.75">
      <c r="A37" s="546"/>
      <c r="B37" s="472">
        <v>53214020000000</v>
      </c>
      <c r="C37" s="473" t="s">
        <v>96</v>
      </c>
      <c r="D37" s="468">
        <v>0</v>
      </c>
      <c r="E37" s="469">
        <v>420000</v>
      </c>
      <c r="F37" s="470">
        <v>2</v>
      </c>
      <c r="G37" s="471">
        <f t="shared" si="1"/>
        <v>840000</v>
      </c>
      <c r="H37" s="240">
        <f t="shared" si="0"/>
        <v>840000</v>
      </c>
      <c r="I37" s="273" t="s">
        <v>170</v>
      </c>
      <c r="J37" s="273"/>
    </row>
    <row r="38" spans="1:10" ht="15.75" customHeight="1">
      <c r="A38" s="546"/>
      <c r="B38" s="99"/>
      <c r="C38" s="100" t="s">
        <v>21</v>
      </c>
      <c r="D38" s="106">
        <f>+D44+D46+D55+D64+D72</f>
        <v>7050950.909</v>
      </c>
      <c r="E38" s="241"/>
      <c r="F38" s="242"/>
      <c r="G38" s="243">
        <f>+G39+G44+G46+G55+G64+G72</f>
        <v>6367369</v>
      </c>
      <c r="H38" s="244">
        <f t="shared" si="0"/>
        <v>13418319.909</v>
      </c>
      <c r="I38" s="273"/>
      <c r="J38" s="273"/>
    </row>
    <row r="39" spans="1:10" ht="12.75">
      <c r="A39" s="546"/>
      <c r="B39" s="97"/>
      <c r="C39" s="98" t="s">
        <v>22</v>
      </c>
      <c r="D39" s="107">
        <f>SUM(D40:D43)</f>
        <v>30000</v>
      </c>
      <c r="E39" s="245"/>
      <c r="F39" s="246"/>
      <c r="G39" s="247">
        <f>SUM(G40:G43)</f>
        <v>1009580</v>
      </c>
      <c r="H39" s="248">
        <f t="shared" si="0"/>
        <v>1039580</v>
      </c>
      <c r="I39" s="273"/>
      <c r="J39" s="273"/>
    </row>
    <row r="40" spans="1:10" ht="12.75">
      <c r="A40" s="546"/>
      <c r="B40" s="58">
        <v>53202020100000</v>
      </c>
      <c r="C40" s="59" t="s">
        <v>97</v>
      </c>
      <c r="D40" s="109">
        <v>30000</v>
      </c>
      <c r="E40" s="237">
        <v>54800</v>
      </c>
      <c r="F40" s="249">
        <v>17</v>
      </c>
      <c r="G40" s="239">
        <f>E40*F40</f>
        <v>931600</v>
      </c>
      <c r="H40" s="240">
        <f t="shared" si="0"/>
        <v>961600</v>
      </c>
      <c r="I40" s="273" t="s">
        <v>171</v>
      </c>
      <c r="J40" s="273"/>
    </row>
    <row r="41" spans="1:10" ht="12.75">
      <c r="A41" s="546"/>
      <c r="B41" s="58">
        <v>53202030000000</v>
      </c>
      <c r="C41" s="59" t="s">
        <v>98</v>
      </c>
      <c r="D41" s="109">
        <v>0</v>
      </c>
      <c r="E41" s="237">
        <v>38990</v>
      </c>
      <c r="F41" s="249">
        <v>2</v>
      </c>
      <c r="G41" s="239">
        <f>E41*F41</f>
        <v>77980</v>
      </c>
      <c r="H41" s="240">
        <f t="shared" si="0"/>
        <v>77980</v>
      </c>
      <c r="I41" s="273" t="s">
        <v>204</v>
      </c>
      <c r="J41" s="273"/>
    </row>
    <row r="42" spans="1:10" ht="12.75">
      <c r="A42" s="546"/>
      <c r="B42" s="58">
        <v>53211020000000</v>
      </c>
      <c r="C42" s="197" t="s">
        <v>23</v>
      </c>
      <c r="D42" s="109">
        <v>0</v>
      </c>
      <c r="E42" s="237">
        <v>0</v>
      </c>
      <c r="F42" s="249">
        <v>0</v>
      </c>
      <c r="G42" s="239">
        <f>E42*F42</f>
        <v>0</v>
      </c>
      <c r="H42" s="240">
        <f t="shared" si="0"/>
        <v>0</v>
      </c>
      <c r="I42" s="273"/>
      <c r="J42" s="273"/>
    </row>
    <row r="43" spans="1:10" ht="12.75">
      <c r="A43" s="546"/>
      <c r="B43" s="58">
        <v>53101040600000</v>
      </c>
      <c r="C43" s="59" t="s">
        <v>99</v>
      </c>
      <c r="D43" s="109">
        <v>0</v>
      </c>
      <c r="E43" s="237">
        <v>0</v>
      </c>
      <c r="F43" s="249">
        <v>0</v>
      </c>
      <c r="G43" s="239">
        <f>E43*F43</f>
        <v>0</v>
      </c>
      <c r="H43" s="240">
        <f t="shared" si="0"/>
        <v>0</v>
      </c>
      <c r="I43" s="273"/>
      <c r="J43" s="273"/>
    </row>
    <row r="44" spans="1:10" ht="12.75">
      <c r="A44" s="546"/>
      <c r="B44" s="97"/>
      <c r="C44" s="98" t="s">
        <v>24</v>
      </c>
      <c r="D44" s="107">
        <f>SUM(D45)</f>
        <v>0</v>
      </c>
      <c r="E44" s="245"/>
      <c r="F44" s="246"/>
      <c r="G44" s="247">
        <f>SUM(G45:G45)</f>
        <v>0</v>
      </c>
      <c r="H44" s="248">
        <f t="shared" si="0"/>
        <v>0</v>
      </c>
      <c r="I44" s="273"/>
      <c r="J44" s="273"/>
    </row>
    <row r="45" spans="1:10" ht="12.75">
      <c r="A45" s="546"/>
      <c r="B45" s="64">
        <v>53205990000000</v>
      </c>
      <c r="C45" s="59" t="s">
        <v>25</v>
      </c>
      <c r="D45" s="112">
        <v>0</v>
      </c>
      <c r="E45" s="237">
        <v>0</v>
      </c>
      <c r="F45" s="249">
        <v>0</v>
      </c>
      <c r="G45" s="239">
        <f>E45*F45</f>
        <v>0</v>
      </c>
      <c r="H45" s="240">
        <f t="shared" si="0"/>
        <v>0</v>
      </c>
      <c r="I45" s="273"/>
      <c r="J45" s="273"/>
    </row>
    <row r="46" spans="1:10" ht="12.75">
      <c r="A46" s="546"/>
      <c r="B46" s="97"/>
      <c r="C46" s="98" t="s">
        <v>26</v>
      </c>
      <c r="D46" s="107">
        <f>SUM(D47:D54)</f>
        <v>4246405.41</v>
      </c>
      <c r="E46" s="245"/>
      <c r="F46" s="246"/>
      <c r="G46" s="275">
        <f>SUM(G47:G54)</f>
        <v>3334229</v>
      </c>
      <c r="H46" s="276">
        <f t="shared" si="0"/>
        <v>7580634.41</v>
      </c>
      <c r="I46" s="273"/>
      <c r="J46" s="273"/>
    </row>
    <row r="47" spans="1:10" ht="12.75">
      <c r="A47" s="546"/>
      <c r="B47" s="58">
        <v>53204010000000</v>
      </c>
      <c r="C47" s="59" t="s">
        <v>27</v>
      </c>
      <c r="D47" s="111">
        <f>1500000*1.057</f>
        <v>1585500</v>
      </c>
      <c r="E47" s="237">
        <v>0</v>
      </c>
      <c r="F47" s="249">
        <v>0</v>
      </c>
      <c r="G47" s="239">
        <f>E47*F47</f>
        <v>0</v>
      </c>
      <c r="H47" s="240">
        <f t="shared" si="0"/>
        <v>1585500</v>
      </c>
      <c r="I47" s="277" t="s">
        <v>205</v>
      </c>
      <c r="J47" s="273"/>
    </row>
    <row r="48" spans="1:10" ht="12.75">
      <c r="A48" s="546"/>
      <c r="B48" s="64">
        <v>53204040200000</v>
      </c>
      <c r="C48" s="59" t="s">
        <v>100</v>
      </c>
      <c r="D48" s="109">
        <v>0</v>
      </c>
      <c r="E48" s="237">
        <v>18000</v>
      </c>
      <c r="F48" s="249">
        <v>7</v>
      </c>
      <c r="G48" s="239">
        <f aca="true" t="shared" si="2" ref="G48:G54">E48*F48</f>
        <v>126000</v>
      </c>
      <c r="H48" s="240">
        <f t="shared" si="0"/>
        <v>126000</v>
      </c>
      <c r="I48" s="273" t="s">
        <v>206</v>
      </c>
      <c r="J48" s="273"/>
    </row>
    <row r="49" spans="1:10" ht="12.75">
      <c r="A49" s="546"/>
      <c r="B49" s="58">
        <v>53204060000000</v>
      </c>
      <c r="C49" s="59" t="s">
        <v>28</v>
      </c>
      <c r="D49" s="109">
        <v>0</v>
      </c>
      <c r="E49" s="237">
        <v>0</v>
      </c>
      <c r="F49" s="249">
        <v>0</v>
      </c>
      <c r="G49" s="239">
        <f t="shared" si="2"/>
        <v>0</v>
      </c>
      <c r="H49" s="240">
        <f t="shared" si="0"/>
        <v>0</v>
      </c>
      <c r="I49" s="273"/>
      <c r="J49" s="273"/>
    </row>
    <row r="50" spans="1:10" ht="12.75">
      <c r="A50" s="546"/>
      <c r="B50" s="58">
        <v>53204070000000</v>
      </c>
      <c r="C50" s="59" t="s">
        <v>29</v>
      </c>
      <c r="D50" s="111">
        <v>2586925.98</v>
      </c>
      <c r="E50" s="237">
        <v>300000</v>
      </c>
      <c r="F50" s="249">
        <v>10</v>
      </c>
      <c r="G50" s="239">
        <f t="shared" si="2"/>
        <v>3000000</v>
      </c>
      <c r="H50" s="240">
        <f t="shared" si="0"/>
        <v>5586925.98</v>
      </c>
      <c r="I50" s="273" t="s">
        <v>172</v>
      </c>
      <c r="J50" s="273"/>
    </row>
    <row r="51" spans="1:10" ht="12.75">
      <c r="A51" s="546"/>
      <c r="B51" s="58">
        <v>53204080000000</v>
      </c>
      <c r="C51" s="59" t="s">
        <v>30</v>
      </c>
      <c r="D51" s="111">
        <f>69990*1.057</f>
        <v>73979.43</v>
      </c>
      <c r="E51" s="237">
        <v>0</v>
      </c>
      <c r="F51" s="249">
        <v>0</v>
      </c>
      <c r="G51" s="239">
        <f t="shared" si="2"/>
        <v>0</v>
      </c>
      <c r="H51" s="240">
        <f t="shared" si="0"/>
        <v>73979.43</v>
      </c>
      <c r="I51" s="273" t="s">
        <v>173</v>
      </c>
      <c r="J51" s="273"/>
    </row>
    <row r="52" spans="1:10" ht="12.75">
      <c r="A52" s="546"/>
      <c r="B52" s="58">
        <v>53214010000000</v>
      </c>
      <c r="C52" s="59" t="s">
        <v>31</v>
      </c>
      <c r="D52" s="109">
        <v>0</v>
      </c>
      <c r="E52" s="237">
        <v>0</v>
      </c>
      <c r="F52" s="249">
        <v>0</v>
      </c>
      <c r="G52" s="239">
        <f t="shared" si="2"/>
        <v>0</v>
      </c>
      <c r="H52" s="240">
        <f t="shared" si="0"/>
        <v>0</v>
      </c>
      <c r="I52" s="273"/>
      <c r="J52" s="273"/>
    </row>
    <row r="53" spans="1:10" ht="12.75">
      <c r="A53" s="546"/>
      <c r="B53" s="58">
        <v>53214040000000</v>
      </c>
      <c r="C53" s="59" t="s">
        <v>101</v>
      </c>
      <c r="D53" s="109">
        <v>0</v>
      </c>
      <c r="E53" s="237">
        <v>0</v>
      </c>
      <c r="F53" s="249">
        <v>0</v>
      </c>
      <c r="G53" s="239">
        <f t="shared" si="2"/>
        <v>0</v>
      </c>
      <c r="H53" s="240">
        <f t="shared" si="0"/>
        <v>0</v>
      </c>
      <c r="I53" s="273"/>
      <c r="J53" s="273"/>
    </row>
    <row r="54" spans="1:10" ht="12.75">
      <c r="A54" s="546"/>
      <c r="B54" s="61">
        <v>53204020100000</v>
      </c>
      <c r="C54" s="59" t="s">
        <v>102</v>
      </c>
      <c r="D54" s="111"/>
      <c r="E54" s="237">
        <f>39400*1.057</f>
        <v>41645.799999999996</v>
      </c>
      <c r="F54" s="249">
        <v>5</v>
      </c>
      <c r="G54" s="239">
        <f t="shared" si="2"/>
        <v>208228.99999999997</v>
      </c>
      <c r="H54" s="240">
        <f t="shared" si="0"/>
        <v>208228.99999999997</v>
      </c>
      <c r="I54" s="3" t="s">
        <v>293</v>
      </c>
      <c r="J54" s="273"/>
    </row>
    <row r="55" spans="1:10" ht="12.75">
      <c r="A55" s="546"/>
      <c r="B55" s="97"/>
      <c r="C55" s="98" t="s">
        <v>32</v>
      </c>
      <c r="D55" s="107">
        <f>SUM(D56:D63)</f>
        <v>2804545.499</v>
      </c>
      <c r="E55" s="245"/>
      <c r="F55" s="246"/>
      <c r="G55" s="275">
        <f>SUM(G56:G63)</f>
        <v>882000</v>
      </c>
      <c r="H55" s="276">
        <f t="shared" si="0"/>
        <v>3686545.499</v>
      </c>
      <c r="I55" s="273"/>
      <c r="J55" s="273"/>
    </row>
    <row r="56" spans="1:10" ht="12.75">
      <c r="A56" s="546"/>
      <c r="B56" s="58">
        <v>53207010000000</v>
      </c>
      <c r="C56" s="59" t="s">
        <v>33</v>
      </c>
      <c r="D56" s="109">
        <v>0</v>
      </c>
      <c r="E56" s="237">
        <v>0</v>
      </c>
      <c r="F56" s="249">
        <v>0</v>
      </c>
      <c r="G56" s="239">
        <f>E56*F56</f>
        <v>0</v>
      </c>
      <c r="H56" s="240">
        <f t="shared" si="0"/>
        <v>0</v>
      </c>
      <c r="I56" s="273"/>
      <c r="J56" s="273"/>
    </row>
    <row r="57" spans="1:10" ht="12.75">
      <c r="A57" s="546"/>
      <c r="B57" s="58">
        <v>53207020000000</v>
      </c>
      <c r="C57" s="59" t="s">
        <v>34</v>
      </c>
      <c r="D57" s="109">
        <v>0</v>
      </c>
      <c r="E57" s="237">
        <v>0</v>
      </c>
      <c r="F57" s="249">
        <v>0</v>
      </c>
      <c r="G57" s="239">
        <f aca="true" t="shared" si="3" ref="G57:G63">E57*F57</f>
        <v>0</v>
      </c>
      <c r="H57" s="240">
        <f t="shared" si="0"/>
        <v>0</v>
      </c>
      <c r="I57" s="273"/>
      <c r="J57" s="273"/>
    </row>
    <row r="58" spans="1:10" ht="12.75">
      <c r="A58" s="546"/>
      <c r="B58" s="58">
        <v>53208020000000</v>
      </c>
      <c r="C58" s="59" t="s">
        <v>103</v>
      </c>
      <c r="D58" s="109">
        <v>0</v>
      </c>
      <c r="E58" s="237">
        <v>0</v>
      </c>
      <c r="F58" s="249">
        <v>0</v>
      </c>
      <c r="G58" s="239">
        <f t="shared" si="3"/>
        <v>0</v>
      </c>
      <c r="H58" s="240">
        <f t="shared" si="0"/>
        <v>0</v>
      </c>
      <c r="I58" s="273"/>
      <c r="J58" s="273"/>
    </row>
    <row r="59" spans="1:10" ht="12.75">
      <c r="A59" s="546"/>
      <c r="B59" s="58">
        <v>53208990000000</v>
      </c>
      <c r="C59" s="59" t="s">
        <v>104</v>
      </c>
      <c r="D59" s="109">
        <v>0</v>
      </c>
      <c r="E59" s="237">
        <f>180000*1.057</f>
        <v>190260</v>
      </c>
      <c r="F59" s="249">
        <v>4</v>
      </c>
      <c r="G59" s="239">
        <f t="shared" si="3"/>
        <v>761040</v>
      </c>
      <c r="H59" s="240">
        <f t="shared" si="0"/>
        <v>761040</v>
      </c>
      <c r="I59" s="273"/>
      <c r="J59" s="273"/>
    </row>
    <row r="60" spans="1:10" ht="12.75">
      <c r="A60" s="546"/>
      <c r="B60" s="61">
        <v>53210020300000</v>
      </c>
      <c r="C60" s="412" t="s">
        <v>105</v>
      </c>
      <c r="D60" s="109">
        <v>0</v>
      </c>
      <c r="E60" s="237">
        <v>7560</v>
      </c>
      <c r="F60" s="249">
        <v>16</v>
      </c>
      <c r="G60" s="239">
        <f t="shared" si="3"/>
        <v>120960</v>
      </c>
      <c r="H60" s="240">
        <f t="shared" si="0"/>
        <v>120960</v>
      </c>
      <c r="I60" s="273"/>
      <c r="J60" s="273"/>
    </row>
    <row r="61" spans="1:10" ht="12.75">
      <c r="A61" s="546"/>
      <c r="B61" s="58">
        <v>53208990000000</v>
      </c>
      <c r="C61" s="59" t="s">
        <v>106</v>
      </c>
      <c r="D61" s="109">
        <v>0</v>
      </c>
      <c r="E61" s="237">
        <v>0</v>
      </c>
      <c r="F61" s="249">
        <v>0</v>
      </c>
      <c r="G61" s="239">
        <f t="shared" si="3"/>
        <v>0</v>
      </c>
      <c r="H61" s="240">
        <f t="shared" si="0"/>
        <v>0</v>
      </c>
      <c r="I61" s="273"/>
      <c r="J61" s="273"/>
    </row>
    <row r="62" spans="1:10" ht="12.75">
      <c r="A62" s="546"/>
      <c r="B62" s="58">
        <v>53209990000000</v>
      </c>
      <c r="C62" s="59" t="s">
        <v>107</v>
      </c>
      <c r="D62" s="109">
        <v>0</v>
      </c>
      <c r="E62" s="237">
        <v>0</v>
      </c>
      <c r="F62" s="249">
        <v>0</v>
      </c>
      <c r="G62" s="239">
        <f t="shared" si="3"/>
        <v>0</v>
      </c>
      <c r="H62" s="240">
        <f t="shared" si="0"/>
        <v>0</v>
      </c>
      <c r="I62" s="273"/>
      <c r="J62" s="273"/>
    </row>
    <row r="63" spans="1:10" ht="12.75">
      <c r="A63" s="546"/>
      <c r="B63" s="58">
        <v>53210020100000</v>
      </c>
      <c r="C63" s="59" t="s">
        <v>35</v>
      </c>
      <c r="D63" s="111">
        <f>2653307*1.057</f>
        <v>2804545.499</v>
      </c>
      <c r="E63" s="237">
        <v>0</v>
      </c>
      <c r="F63" s="249">
        <v>0</v>
      </c>
      <c r="G63" s="239">
        <f t="shared" si="3"/>
        <v>0</v>
      </c>
      <c r="H63" s="240">
        <f t="shared" si="0"/>
        <v>2804545.499</v>
      </c>
      <c r="I63" s="273"/>
      <c r="J63" s="273"/>
    </row>
    <row r="64" spans="1:10" ht="12.75">
      <c r="A64" s="546"/>
      <c r="B64" s="97"/>
      <c r="C64" s="98" t="s">
        <v>36</v>
      </c>
      <c r="D64" s="107">
        <f>SUM(D65:D71)</f>
        <v>0</v>
      </c>
      <c r="E64" s="245"/>
      <c r="F64" s="246"/>
      <c r="G64" s="275">
        <f>SUM(G65:G71)</f>
        <v>1141560</v>
      </c>
      <c r="H64" s="276">
        <f t="shared" si="0"/>
        <v>1141560</v>
      </c>
      <c r="I64" s="273"/>
      <c r="J64" s="273"/>
    </row>
    <row r="65" spans="1:10" ht="12.75">
      <c r="A65" s="546"/>
      <c r="B65" s="58">
        <v>53206030000000</v>
      </c>
      <c r="C65" s="59" t="s">
        <v>58</v>
      </c>
      <c r="D65" s="109">
        <v>0</v>
      </c>
      <c r="E65" s="237">
        <v>0</v>
      </c>
      <c r="F65" s="249">
        <v>0</v>
      </c>
      <c r="G65" s="239">
        <f>E65*F65</f>
        <v>0</v>
      </c>
      <c r="H65" s="240">
        <f t="shared" si="0"/>
        <v>0</v>
      </c>
      <c r="I65" s="273"/>
      <c r="J65" s="273"/>
    </row>
    <row r="66" spans="1:10" ht="12.75">
      <c r="A66" s="546"/>
      <c r="B66" s="58">
        <v>53206040000000</v>
      </c>
      <c r="C66" s="59" t="s">
        <v>59</v>
      </c>
      <c r="D66" s="109">
        <v>0</v>
      </c>
      <c r="E66" s="237">
        <v>0</v>
      </c>
      <c r="F66" s="249">
        <v>0</v>
      </c>
      <c r="G66" s="239">
        <f aca="true" t="shared" si="4" ref="G66:G71">E66*F66</f>
        <v>0</v>
      </c>
      <c r="H66" s="240">
        <f t="shared" si="0"/>
        <v>0</v>
      </c>
      <c r="I66" s="273"/>
      <c r="J66" s="273"/>
    </row>
    <row r="67" spans="1:10" ht="12.75">
      <c r="A67" s="546"/>
      <c r="B67" s="58">
        <v>53206060000000</v>
      </c>
      <c r="C67" s="59" t="s">
        <v>108</v>
      </c>
      <c r="D67" s="109">
        <v>0</v>
      </c>
      <c r="E67" s="237">
        <v>0</v>
      </c>
      <c r="F67" s="249">
        <v>0</v>
      </c>
      <c r="G67" s="239">
        <f t="shared" si="4"/>
        <v>0</v>
      </c>
      <c r="H67" s="240">
        <f t="shared" si="0"/>
        <v>0</v>
      </c>
      <c r="I67" s="273"/>
      <c r="J67" s="273"/>
    </row>
    <row r="68" spans="1:10" ht="12.75">
      <c r="A68" s="546"/>
      <c r="B68" s="58">
        <v>53206070000000</v>
      </c>
      <c r="C68" s="59" t="s">
        <v>60</v>
      </c>
      <c r="D68" s="109">
        <v>0</v>
      </c>
      <c r="E68" s="237">
        <v>0</v>
      </c>
      <c r="F68" s="249">
        <v>0</v>
      </c>
      <c r="G68" s="239">
        <f t="shared" si="4"/>
        <v>0</v>
      </c>
      <c r="H68" s="240">
        <f t="shared" si="0"/>
        <v>0</v>
      </c>
      <c r="I68" s="273"/>
      <c r="J68" s="273"/>
    </row>
    <row r="69" spans="1:10" ht="12.75">
      <c r="A69" s="546"/>
      <c r="B69" s="58">
        <v>53206990000000</v>
      </c>
      <c r="C69" s="59" t="s">
        <v>109</v>
      </c>
      <c r="D69" s="109">
        <v>0</v>
      </c>
      <c r="E69" s="237">
        <v>0</v>
      </c>
      <c r="F69" s="249">
        <v>0</v>
      </c>
      <c r="G69" s="239">
        <f t="shared" si="4"/>
        <v>0</v>
      </c>
      <c r="H69" s="240">
        <f t="shared" si="0"/>
        <v>0</v>
      </c>
      <c r="I69" s="273"/>
      <c r="J69" s="273"/>
    </row>
    <row r="70" spans="1:10" ht="12.75">
      <c r="A70" s="546"/>
      <c r="B70" s="58">
        <v>53208030000000</v>
      </c>
      <c r="C70" s="59" t="s">
        <v>61</v>
      </c>
      <c r="D70" s="109">
        <v>0</v>
      </c>
      <c r="E70" s="237">
        <f>180000*1.057</f>
        <v>190260</v>
      </c>
      <c r="F70" s="249">
        <v>6</v>
      </c>
      <c r="G70" s="239">
        <f t="shared" si="4"/>
        <v>1141560</v>
      </c>
      <c r="H70" s="240">
        <f>D70+G70</f>
        <v>1141560</v>
      </c>
      <c r="I70" s="273"/>
      <c r="J70" s="273"/>
    </row>
    <row r="71" spans="1:10" ht="12.75">
      <c r="A71" s="546"/>
      <c r="B71" s="58">
        <v>53206990000000</v>
      </c>
      <c r="C71" s="59" t="s">
        <v>110</v>
      </c>
      <c r="D71" s="109">
        <v>0</v>
      </c>
      <c r="E71" s="237">
        <v>0</v>
      </c>
      <c r="F71" s="249">
        <v>0</v>
      </c>
      <c r="G71" s="239">
        <f t="shared" si="4"/>
        <v>0</v>
      </c>
      <c r="H71" s="240">
        <f t="shared" si="0"/>
        <v>0</v>
      </c>
      <c r="I71" s="273"/>
      <c r="J71" s="273"/>
    </row>
    <row r="72" spans="1:10" ht="12.75">
      <c r="A72" s="546"/>
      <c r="B72" s="97"/>
      <c r="C72" s="98" t="s">
        <v>37</v>
      </c>
      <c r="D72" s="107">
        <f>SUM(D73)</f>
        <v>0</v>
      </c>
      <c r="E72" s="245"/>
      <c r="F72" s="246"/>
      <c r="G72" s="275">
        <f>SUM(G73:G73)</f>
        <v>0</v>
      </c>
      <c r="H72" s="276">
        <f t="shared" si="0"/>
        <v>0</v>
      </c>
      <c r="I72" s="273"/>
      <c r="J72" s="273"/>
    </row>
    <row r="73" spans="1:10" ht="12.75">
      <c r="A73" s="546"/>
      <c r="B73" s="65"/>
      <c r="C73" s="66" t="s">
        <v>138</v>
      </c>
      <c r="D73" s="109"/>
      <c r="E73" s="237">
        <v>0</v>
      </c>
      <c r="F73" s="249">
        <v>0</v>
      </c>
      <c r="G73" s="239">
        <f>E73*F73</f>
        <v>0</v>
      </c>
      <c r="H73" s="278">
        <f t="shared" si="0"/>
        <v>0</v>
      </c>
      <c r="I73" s="273"/>
      <c r="J73" s="273"/>
    </row>
    <row r="74" spans="1:12" ht="16.5" thickBot="1">
      <c r="A74" s="546"/>
      <c r="B74" s="130"/>
      <c r="C74" s="131" t="s">
        <v>62</v>
      </c>
      <c r="D74" s="122">
        <f>+D38+D17+D12</f>
        <v>192094094.3641765</v>
      </c>
      <c r="E74" s="120"/>
      <c r="F74" s="121"/>
      <c r="G74" s="122">
        <f>+G38+G17+G12</f>
        <v>16918039</v>
      </c>
      <c r="H74" s="122">
        <f>+H38+H17+H12</f>
        <v>209012133.3641765</v>
      </c>
      <c r="I74" s="55"/>
      <c r="J74" s="89"/>
      <c r="K74" s="89"/>
      <c r="L74" s="89"/>
    </row>
    <row r="75" spans="1:9" ht="13.5" thickBot="1">
      <c r="A75" s="547"/>
      <c r="G75" s="43"/>
      <c r="H75" s="43"/>
      <c r="I75" s="43"/>
    </row>
    <row r="76" spans="4:13" ht="12.75">
      <c r="D76" s="199"/>
      <c r="H76" s="346"/>
      <c r="L76" s="89"/>
      <c r="M76" s="232"/>
    </row>
    <row r="77" spans="8:13" ht="12.75">
      <c r="H77" s="198"/>
      <c r="L77" s="89"/>
      <c r="M77" s="232"/>
    </row>
    <row r="78" ht="12.75">
      <c r="D78" s="34"/>
    </row>
    <row r="79" ht="12.75">
      <c r="D79" s="199"/>
    </row>
    <row r="80" spans="2:8" ht="12.75">
      <c r="B80" s="17"/>
      <c r="C80" s="38"/>
      <c r="D80" s="15"/>
      <c r="E80" s="39"/>
      <c r="F80" s="40"/>
      <c r="G80" s="39"/>
      <c r="H80" s="43"/>
    </row>
    <row r="81" spans="2:8" ht="12.75">
      <c r="B81" s="17"/>
      <c r="C81" s="38"/>
      <c r="D81" s="15"/>
      <c r="E81" s="39"/>
      <c r="F81" s="40"/>
      <c r="G81" s="39"/>
      <c r="H81" s="43"/>
    </row>
    <row r="82" spans="2:8" ht="12.75">
      <c r="B82" s="17"/>
      <c r="C82" s="38"/>
      <c r="E82" s="39"/>
      <c r="F82" s="40"/>
      <c r="G82" s="39"/>
      <c r="H82" s="43"/>
    </row>
    <row r="83" spans="2:12" ht="12.75">
      <c r="B83" s="17"/>
      <c r="C83" s="38"/>
      <c r="D83" s="15"/>
      <c r="E83" s="39"/>
      <c r="F83" s="40"/>
      <c r="G83" s="39"/>
      <c r="H83" s="43"/>
      <c r="L83" s="218"/>
    </row>
    <row r="84" spans="2:8" ht="12.75">
      <c r="B84" s="17"/>
      <c r="C84" s="38"/>
      <c r="E84" s="39"/>
      <c r="F84" s="40"/>
      <c r="G84" s="39"/>
      <c r="H84" s="43"/>
    </row>
    <row r="85" spans="2:8" ht="12.75">
      <c r="B85" s="17"/>
      <c r="C85" s="38"/>
      <c r="D85" s="15"/>
      <c r="E85" s="39"/>
      <c r="F85" s="40"/>
      <c r="G85" s="39"/>
      <c r="H85" s="43"/>
    </row>
    <row r="86" spans="2:8" ht="12.75">
      <c r="B86" s="17"/>
      <c r="E86" s="39"/>
      <c r="F86" s="40"/>
      <c r="G86" s="39"/>
      <c r="H86" s="43"/>
    </row>
    <row r="87" spans="2:8" ht="12.75">
      <c r="B87" s="17"/>
      <c r="E87" s="39"/>
      <c r="F87" s="40"/>
      <c r="G87" s="39"/>
      <c r="H87" s="43"/>
    </row>
    <row r="88" spans="2:8" ht="12.75">
      <c r="B88" s="17"/>
      <c r="E88" s="42"/>
      <c r="F88" s="42"/>
      <c r="G88" s="41"/>
      <c r="H88" s="44"/>
    </row>
  </sheetData>
  <sheetProtection/>
  <mergeCells count="9">
    <mergeCell ref="A12:A75"/>
    <mergeCell ref="D4:E4"/>
    <mergeCell ref="H10:H11"/>
    <mergeCell ref="C10:C11"/>
    <mergeCell ref="B10:B11"/>
    <mergeCell ref="A10:A11"/>
    <mergeCell ref="E10:G10"/>
    <mergeCell ref="D10:D11"/>
    <mergeCell ref="A8:C8"/>
  </mergeCells>
  <printOptions/>
  <pageMargins left="0.85" right="0.75" top="0.5701388888888889" bottom="0.9097222222222222" header="0" footer="0.5118055555555555"/>
  <pageSetup fitToHeight="12" fitToWidth="1" horizontalDpi="300" verticalDpi="300" orientation="landscape" r:id="rId1"/>
  <headerFooter alignWithMargins="0">
    <oddHeader>&amp;LSEPT - 2004&amp;CDIRECTIVA D.B.S.A.ORDINARIO&amp;R02-BS/0307/02pag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IP94"/>
  <sheetViews>
    <sheetView showGridLines="0" zoomScale="90" zoomScaleNormal="90" zoomScalePageLayoutView="0" workbookViewId="0" topLeftCell="A38">
      <selection activeCell="I71" sqref="I71"/>
    </sheetView>
  </sheetViews>
  <sheetFormatPr defaultColWidth="11.421875" defaultRowHeight="12.75"/>
  <cols>
    <col min="1" max="1" width="7.140625" style="23" customWidth="1"/>
    <col min="2" max="2" width="26.57421875" style="23" customWidth="1"/>
    <col min="3" max="3" width="44.8515625" style="23" bestFit="1" customWidth="1"/>
    <col min="4" max="4" width="29.57421875" style="23" customWidth="1"/>
    <col min="5" max="5" width="9.28125" style="76" customWidth="1"/>
    <col min="6" max="6" width="9.421875" style="76" customWidth="1"/>
    <col min="7" max="7" width="12.57421875" style="23" customWidth="1"/>
    <col min="8" max="8" width="15.00390625" style="23" customWidth="1"/>
    <col min="9" max="9" width="15.140625" style="23" customWidth="1"/>
    <col min="10" max="10" width="17.421875" style="23" customWidth="1"/>
    <col min="11" max="11" width="19.140625" style="23" customWidth="1"/>
    <col min="12" max="12" width="17.28125" style="23" customWidth="1"/>
    <col min="13" max="13" width="16.140625" style="85" customWidth="1"/>
    <col min="14" max="14" width="18.00390625" style="335" customWidth="1"/>
    <col min="15" max="15" width="40.7109375" style="23" customWidth="1"/>
    <col min="16" max="16" width="14.8515625" style="23" customWidth="1"/>
    <col min="17" max="17" width="10.7109375" style="23" customWidth="1"/>
    <col min="18" max="18" width="2.8515625" style="23" customWidth="1"/>
    <col min="19" max="19" width="10.7109375" style="32" customWidth="1"/>
    <col min="20" max="20" width="10.7109375" style="23" customWidth="1"/>
    <col min="21" max="21" width="20.7109375" style="23" customWidth="1"/>
    <col min="22" max="22" width="17.7109375" style="76" customWidth="1"/>
    <col min="23" max="23" width="14.140625" style="76" customWidth="1"/>
    <col min="24" max="25" width="14.140625" style="23" customWidth="1"/>
    <col min="26" max="26" width="12.00390625" style="23" customWidth="1"/>
    <col min="27" max="16384" width="11.421875" style="23" customWidth="1"/>
  </cols>
  <sheetData>
    <row r="1" spans="3:243" s="5" customFormat="1" ht="12.75">
      <c r="C1" s="6"/>
      <c r="D1" s="6"/>
      <c r="E1" s="34" t="s">
        <v>77</v>
      </c>
      <c r="F1" s="34"/>
      <c r="G1" s="34"/>
      <c r="H1" s="34"/>
      <c r="I1" s="34"/>
      <c r="J1" s="6"/>
      <c r="K1" s="6"/>
      <c r="M1" s="82"/>
      <c r="N1" s="82"/>
      <c r="V1" s="333"/>
      <c r="W1" s="333"/>
      <c r="IH1" s="3"/>
      <c r="II1" s="3"/>
    </row>
    <row r="2" spans="5:243" s="5" customFormat="1" ht="12.75">
      <c r="E2" s="34" t="s">
        <v>65</v>
      </c>
      <c r="F2" s="34"/>
      <c r="G2" s="34"/>
      <c r="H2" s="34"/>
      <c r="I2" s="34"/>
      <c r="M2" s="82"/>
      <c r="N2" s="82"/>
      <c r="V2" s="333"/>
      <c r="W2" s="333"/>
      <c r="IH2" s="3"/>
      <c r="II2" s="3"/>
    </row>
    <row r="3" spans="2:238" s="5" customFormat="1" ht="13.5" thickBot="1">
      <c r="B3" s="18"/>
      <c r="C3" s="6"/>
      <c r="D3" s="6"/>
      <c r="E3" s="34"/>
      <c r="F3" s="34"/>
      <c r="G3" s="6"/>
      <c r="H3" s="6"/>
      <c r="I3" s="6"/>
      <c r="J3" s="6"/>
      <c r="K3" s="6"/>
      <c r="L3" s="6"/>
      <c r="M3" s="83"/>
      <c r="N3" s="83"/>
      <c r="O3" s="6"/>
      <c r="P3" s="6"/>
      <c r="Q3" s="6"/>
      <c r="V3" s="333"/>
      <c r="W3" s="333"/>
      <c r="HY3" s="3"/>
      <c r="HZ3" s="3"/>
      <c r="IA3" s="3"/>
      <c r="IB3" s="3"/>
      <c r="IC3" s="3"/>
      <c r="ID3" s="3"/>
    </row>
    <row r="4" spans="2:238" s="5" customFormat="1" ht="18.75" customHeight="1" thickBot="1">
      <c r="B4" s="18"/>
      <c r="D4" s="52" t="s">
        <v>0</v>
      </c>
      <c r="E4" s="602" t="str">
        <f>+'[1]B) Tarifas y Ocupación'!D9</f>
        <v>BIENVALP</v>
      </c>
      <c r="F4" s="603"/>
      <c r="G4" s="47"/>
      <c r="H4" s="47"/>
      <c r="I4" s="47"/>
      <c r="J4" s="47"/>
      <c r="M4" s="82"/>
      <c r="N4" s="82"/>
      <c r="O4" s="2"/>
      <c r="V4" s="333"/>
      <c r="W4" s="333"/>
      <c r="HY4" s="3"/>
      <c r="HZ4" s="3"/>
      <c r="IA4" s="3"/>
      <c r="IB4" s="3"/>
      <c r="IC4" s="3"/>
      <c r="ID4" s="3"/>
    </row>
    <row r="5" spans="2:238" s="5" customFormat="1" ht="12.75">
      <c r="B5" s="18"/>
      <c r="D5" s="52"/>
      <c r="E5" s="50"/>
      <c r="F5" s="50"/>
      <c r="G5" s="50"/>
      <c r="H5" s="50"/>
      <c r="I5" s="50"/>
      <c r="J5" s="50"/>
      <c r="M5" s="82"/>
      <c r="N5" s="82"/>
      <c r="O5" s="2"/>
      <c r="V5" s="333"/>
      <c r="W5" s="333"/>
      <c r="HY5" s="3"/>
      <c r="HZ5" s="3"/>
      <c r="IA5" s="3"/>
      <c r="IB5" s="3"/>
      <c r="IC5" s="3"/>
      <c r="ID5" s="3"/>
    </row>
    <row r="6" spans="2:238" s="5" customFormat="1" ht="12.75">
      <c r="B6" s="18"/>
      <c r="D6" s="52"/>
      <c r="E6" s="50"/>
      <c r="F6" s="50"/>
      <c r="G6" s="50"/>
      <c r="H6" s="50"/>
      <c r="I6" s="50"/>
      <c r="J6" s="50"/>
      <c r="M6" s="82"/>
      <c r="N6" s="82"/>
      <c r="O6" s="2"/>
      <c r="V6" s="333"/>
      <c r="W6" s="333"/>
      <c r="HY6" s="3"/>
      <c r="HZ6" s="3"/>
      <c r="IA6" s="3"/>
      <c r="IB6" s="3"/>
      <c r="IC6" s="3"/>
      <c r="ID6" s="3"/>
    </row>
    <row r="7" spans="2:238" s="12" customFormat="1" ht="15.75" hidden="1">
      <c r="B7" s="563" t="s">
        <v>76</v>
      </c>
      <c r="C7" s="563"/>
      <c r="D7" s="563"/>
      <c r="E7" s="563"/>
      <c r="F7" s="75"/>
      <c r="G7" s="51"/>
      <c r="H7" s="51"/>
      <c r="I7" s="51"/>
      <c r="J7" s="50"/>
      <c r="K7" s="48" t="s">
        <v>3</v>
      </c>
      <c r="L7" s="49">
        <v>0.057</v>
      </c>
      <c r="M7" s="84"/>
      <c r="N7" s="84"/>
      <c r="O7" s="20"/>
      <c r="R7" s="16"/>
      <c r="V7" s="334"/>
      <c r="W7" s="334"/>
      <c r="HY7" s="9"/>
      <c r="HZ7" s="9"/>
      <c r="IA7" s="9"/>
      <c r="IB7" s="9"/>
      <c r="IC7" s="9"/>
      <c r="ID7" s="9"/>
    </row>
    <row r="8" ht="12.75" hidden="1"/>
    <row r="9" spans="2:20" ht="15" customHeight="1" hidden="1">
      <c r="B9" s="594" t="s">
        <v>4</v>
      </c>
      <c r="C9" s="596" t="s">
        <v>40</v>
      </c>
      <c r="D9" s="598" t="s">
        <v>2</v>
      </c>
      <c r="E9" s="598" t="s">
        <v>152</v>
      </c>
      <c r="F9" s="608" t="s">
        <v>150</v>
      </c>
      <c r="G9" s="605" t="s">
        <v>143</v>
      </c>
      <c r="H9" s="606"/>
      <c r="I9" s="606"/>
      <c r="J9" s="607"/>
      <c r="K9" s="600" t="s">
        <v>144</v>
      </c>
      <c r="L9" s="600" t="s">
        <v>133</v>
      </c>
      <c r="M9" s="23"/>
      <c r="N9" s="336"/>
      <c r="O9" s="22"/>
      <c r="P9" s="22"/>
      <c r="Q9" s="604"/>
      <c r="R9" s="604"/>
      <c r="S9" s="22"/>
      <c r="T9" s="22"/>
    </row>
    <row r="10" spans="2:25" ht="243" hidden="1" thickBot="1">
      <c r="B10" s="595"/>
      <c r="C10" s="597"/>
      <c r="D10" s="599"/>
      <c r="E10" s="599"/>
      <c r="F10" s="609"/>
      <c r="G10" s="204" t="s">
        <v>149</v>
      </c>
      <c r="H10" s="79" t="s">
        <v>67</v>
      </c>
      <c r="I10" s="79" t="s">
        <v>68</v>
      </c>
      <c r="J10" s="86" t="s">
        <v>145</v>
      </c>
      <c r="K10" s="601"/>
      <c r="L10" s="601"/>
      <c r="M10" s="46"/>
      <c r="N10" s="46"/>
      <c r="O10" s="226" t="s">
        <v>154</v>
      </c>
      <c r="P10" s="227" t="s">
        <v>158</v>
      </c>
      <c r="Q10" s="227" t="s">
        <v>160</v>
      </c>
      <c r="R10" s="227" t="s">
        <v>156</v>
      </c>
      <c r="T10" s="226" t="s">
        <v>157</v>
      </c>
      <c r="U10" s="227" t="s">
        <v>155</v>
      </c>
      <c r="V10" s="227" t="s">
        <v>161</v>
      </c>
      <c r="W10" s="227"/>
      <c r="X10" s="227" t="s">
        <v>159</v>
      </c>
      <c r="Y10" s="227" t="s">
        <v>159</v>
      </c>
    </row>
    <row r="11" spans="2:250" s="1" customFormat="1" ht="12.75" customHeight="1" hidden="1">
      <c r="B11" s="588" t="s">
        <v>153</v>
      </c>
      <c r="C11" s="80" t="s">
        <v>132</v>
      </c>
      <c r="D11" s="133" t="s">
        <v>125</v>
      </c>
      <c r="E11" s="134" t="s">
        <v>140</v>
      </c>
      <c r="F11" s="135">
        <v>25</v>
      </c>
      <c r="G11" s="136">
        <v>690000</v>
      </c>
      <c r="H11" s="137">
        <v>179386</v>
      </c>
      <c r="I11" s="137">
        <v>133673.91693876</v>
      </c>
      <c r="J11" s="138">
        <f>+(G11*12)+H11+I11</f>
        <v>8593059.91693876</v>
      </c>
      <c r="K11" s="139">
        <f>+J11*(1+$L$7)</f>
        <v>9082864.332204267</v>
      </c>
      <c r="L11" s="591">
        <f>SUM(K11:K21)</f>
        <v>95648563.32204267</v>
      </c>
      <c r="M11" s="27"/>
      <c r="N11" s="337"/>
      <c r="O11" s="228" t="s">
        <v>125</v>
      </c>
      <c r="P11" s="229">
        <f>+(K22/12)/(45*4)</f>
        <v>7199.863116761235</v>
      </c>
      <c r="Q11" s="610">
        <f>+'C) Estimación Costos'!L74</f>
        <v>0</v>
      </c>
      <c r="R11" s="229">
        <f>+P11+$Q$11</f>
        <v>7199.863116761235</v>
      </c>
      <c r="T11" s="231" t="s">
        <v>125</v>
      </c>
      <c r="U11" s="229">
        <f>+(K11/12)/(25*4)</f>
        <v>7569.053610170223</v>
      </c>
      <c r="V11" s="610">
        <f>+'C) Estimación Costos'!L74*0.5</f>
        <v>0</v>
      </c>
      <c r="W11" s="279"/>
      <c r="X11" s="229">
        <f aca="true" t="shared" si="0" ref="X11:Y15">+U11+$V$11</f>
        <v>7569.053610170223</v>
      </c>
      <c r="Y11" s="229">
        <f t="shared" si="0"/>
        <v>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2:250" s="1" customFormat="1" ht="12.75" customHeight="1" hidden="1">
      <c r="B12" s="589"/>
      <c r="C12" s="81" t="s">
        <v>132</v>
      </c>
      <c r="D12" s="140" t="s">
        <v>131</v>
      </c>
      <c r="E12" s="141" t="s">
        <v>140</v>
      </c>
      <c r="F12" s="142">
        <v>25</v>
      </c>
      <c r="G12" s="143">
        <v>950000</v>
      </c>
      <c r="H12" s="155">
        <v>179386</v>
      </c>
      <c r="I12" s="155">
        <v>133673.91693876</v>
      </c>
      <c r="J12" s="145">
        <f>+(G12*12)+H12+I12</f>
        <v>11713059.91693876</v>
      </c>
      <c r="K12" s="146">
        <f>+J12*(1+$L$7)</f>
        <v>12380704.332204267</v>
      </c>
      <c r="L12" s="592"/>
      <c r="M12" s="27"/>
      <c r="N12" s="337"/>
      <c r="O12" s="228" t="s">
        <v>131</v>
      </c>
      <c r="P12" s="229">
        <f>+(K23/12)/(45*4)</f>
        <v>5731.807561205679</v>
      </c>
      <c r="Q12" s="611"/>
      <c r="R12" s="229">
        <f>+P12+$Q$11</f>
        <v>5731.807561205679</v>
      </c>
      <c r="T12" s="230" t="s">
        <v>131</v>
      </c>
      <c r="U12" s="229">
        <f>+(K12/12)/(25*4)</f>
        <v>10317.253610170223</v>
      </c>
      <c r="V12" s="611"/>
      <c r="W12" s="280"/>
      <c r="X12" s="229">
        <f t="shared" si="0"/>
        <v>10317.253610170223</v>
      </c>
      <c r="Y12" s="229">
        <f t="shared" si="0"/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2:250" s="1" customFormat="1" ht="12.75" customHeight="1" hidden="1">
      <c r="B13" s="589"/>
      <c r="C13" s="81" t="s">
        <v>132</v>
      </c>
      <c r="D13" s="140" t="s">
        <v>129</v>
      </c>
      <c r="E13" s="141" t="s">
        <v>140</v>
      </c>
      <c r="F13" s="142">
        <v>25</v>
      </c>
      <c r="G13" s="143">
        <v>750000</v>
      </c>
      <c r="H13" s="155">
        <v>179386</v>
      </c>
      <c r="I13" s="155">
        <v>133673.91693876</v>
      </c>
      <c r="J13" s="145">
        <v>9313059.91693876</v>
      </c>
      <c r="K13" s="146">
        <v>9843904.332204267</v>
      </c>
      <c r="L13" s="592"/>
      <c r="M13" s="27"/>
      <c r="N13" s="337"/>
      <c r="O13" s="228" t="s">
        <v>130</v>
      </c>
      <c r="P13" s="229">
        <f>+(K24/12)/(45*4)</f>
        <v>7199.863116761235</v>
      </c>
      <c r="Q13" s="611"/>
      <c r="R13" s="229">
        <f>+P13+$Q$11</f>
        <v>7199.863116761235</v>
      </c>
      <c r="T13" s="230" t="s">
        <v>129</v>
      </c>
      <c r="U13" s="229">
        <f>+(K13/12)/(25*4)</f>
        <v>8203.253610170223</v>
      </c>
      <c r="V13" s="611"/>
      <c r="W13" s="280"/>
      <c r="X13" s="229">
        <f t="shared" si="0"/>
        <v>8203.253610170223</v>
      </c>
      <c r="Y13" s="229">
        <f t="shared" si="0"/>
        <v>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2:250" s="1" customFormat="1" ht="12.75" customHeight="1" hidden="1">
      <c r="B14" s="589"/>
      <c r="C14" s="81" t="s">
        <v>132</v>
      </c>
      <c r="D14" s="140" t="s">
        <v>128</v>
      </c>
      <c r="E14" s="141" t="s">
        <v>140</v>
      </c>
      <c r="F14" s="142">
        <v>25</v>
      </c>
      <c r="G14" s="143">
        <v>750000</v>
      </c>
      <c r="H14" s="144">
        <v>179386</v>
      </c>
      <c r="I14" s="144">
        <v>133673.91693876</v>
      </c>
      <c r="J14" s="145">
        <f aca="true" t="shared" si="1" ref="J14:J20">+(G14*12)+H14+I14</f>
        <v>9313059.91693876</v>
      </c>
      <c r="K14" s="146">
        <f aca="true" t="shared" si="2" ref="K14:K20">+J14*(1+$L$7)</f>
        <v>9843904.332204267</v>
      </c>
      <c r="L14" s="592"/>
      <c r="M14" s="27"/>
      <c r="N14" s="337"/>
      <c r="O14" s="228" t="s">
        <v>128</v>
      </c>
      <c r="P14" s="229">
        <f>+(K25/12)/(45*4)</f>
        <v>5731.807561205679</v>
      </c>
      <c r="Q14" s="611"/>
      <c r="R14" s="229">
        <f>+P14+$Q$11</f>
        <v>5731.807561205679</v>
      </c>
      <c r="T14" s="230" t="s">
        <v>128</v>
      </c>
      <c r="U14" s="229">
        <f>+(K14/12)/(25*4)</f>
        <v>8203.253610170223</v>
      </c>
      <c r="V14" s="611"/>
      <c r="W14" s="280"/>
      <c r="X14" s="229">
        <f t="shared" si="0"/>
        <v>8203.253610170223</v>
      </c>
      <c r="Y14" s="229">
        <f t="shared" si="0"/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2:250" s="1" customFormat="1" ht="12.75" customHeight="1" hidden="1">
      <c r="B15" s="589"/>
      <c r="C15" s="202" t="s">
        <v>132</v>
      </c>
      <c r="D15" s="208" t="s">
        <v>139</v>
      </c>
      <c r="E15" s="203" t="s">
        <v>142</v>
      </c>
      <c r="F15" s="142">
        <v>25</v>
      </c>
      <c r="G15" s="143">
        <v>690000</v>
      </c>
      <c r="H15" s="144">
        <v>179386</v>
      </c>
      <c r="I15" s="144">
        <v>133673.91693876</v>
      </c>
      <c r="J15" s="145">
        <f t="shared" si="1"/>
        <v>8593059.91693876</v>
      </c>
      <c r="K15" s="146">
        <f t="shared" si="2"/>
        <v>9082864.332204267</v>
      </c>
      <c r="L15" s="592"/>
      <c r="M15" s="27"/>
      <c r="N15" s="337"/>
      <c r="O15" s="228" t="s">
        <v>129</v>
      </c>
      <c r="P15" s="229">
        <f>+(K26/12)/(45*4)</f>
        <v>7199.863116761235</v>
      </c>
      <c r="Q15" s="612"/>
      <c r="R15" s="229">
        <f>+P15+$Q$11</f>
        <v>7199.863116761235</v>
      </c>
      <c r="T15" s="228" t="s">
        <v>139</v>
      </c>
      <c r="U15" s="229">
        <f>+(K15/12)/(25*4)</f>
        <v>7569.053610170223</v>
      </c>
      <c r="V15" s="612"/>
      <c r="W15" s="281"/>
      <c r="X15" s="229">
        <f t="shared" si="0"/>
        <v>7569.053610170223</v>
      </c>
      <c r="Y15" s="229">
        <f t="shared" si="0"/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2:250" s="1" customFormat="1" ht="12.75" customHeight="1" hidden="1">
      <c r="B16" s="589"/>
      <c r="C16" s="202" t="s">
        <v>132</v>
      </c>
      <c r="D16" s="208" t="s">
        <v>139</v>
      </c>
      <c r="E16" s="203" t="s">
        <v>142</v>
      </c>
      <c r="F16" s="142">
        <v>25</v>
      </c>
      <c r="G16" s="143">
        <v>690000</v>
      </c>
      <c r="H16" s="144">
        <v>179386</v>
      </c>
      <c r="I16" s="144">
        <v>133673.91693876</v>
      </c>
      <c r="J16" s="145">
        <f t="shared" si="1"/>
        <v>8593059.91693876</v>
      </c>
      <c r="K16" s="146">
        <f t="shared" si="2"/>
        <v>9082864.332204267</v>
      </c>
      <c r="L16" s="592"/>
      <c r="M16" s="27"/>
      <c r="N16" s="337"/>
      <c r="O16" s="27"/>
      <c r="P16" s="16"/>
      <c r="Q16" s="16"/>
      <c r="R16" s="16"/>
      <c r="S16" s="25"/>
      <c r="T16" s="24"/>
      <c r="U16" s="24"/>
      <c r="V16" s="24"/>
      <c r="W16" s="24"/>
      <c r="X16" s="24"/>
      <c r="Y16" s="24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2:250" s="1" customFormat="1" ht="12.75" customHeight="1" hidden="1">
      <c r="B17" s="589"/>
      <c r="C17" s="202" t="s">
        <v>132</v>
      </c>
      <c r="D17" s="208" t="s">
        <v>139</v>
      </c>
      <c r="E17" s="203" t="s">
        <v>142</v>
      </c>
      <c r="F17" s="142">
        <v>25</v>
      </c>
      <c r="G17" s="143">
        <v>690000</v>
      </c>
      <c r="H17" s="144">
        <v>179386</v>
      </c>
      <c r="I17" s="144">
        <v>133673.91693876</v>
      </c>
      <c r="J17" s="145">
        <f t="shared" si="1"/>
        <v>8593059.91693876</v>
      </c>
      <c r="K17" s="146">
        <f t="shared" si="2"/>
        <v>9082864.332204267</v>
      </c>
      <c r="L17" s="592"/>
      <c r="M17" s="27"/>
      <c r="N17" s="337"/>
      <c r="S17" s="25"/>
      <c r="T17" s="89"/>
      <c r="U17" s="613" t="s">
        <v>163</v>
      </c>
      <c r="V17" s="614"/>
      <c r="W17" s="282"/>
      <c r="X17" s="229">
        <f>+AVERAGE(X11:X15)</f>
        <v>8372.373610170222</v>
      </c>
      <c r="Y17" s="229">
        <f>+AVERAGE(Y11:Y15)</f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2:250" s="1" customFormat="1" ht="12.75" customHeight="1" hidden="1">
      <c r="B18" s="589"/>
      <c r="C18" s="202" t="s">
        <v>132</v>
      </c>
      <c r="D18" s="208" t="s">
        <v>139</v>
      </c>
      <c r="E18" s="203" t="s">
        <v>142</v>
      </c>
      <c r="F18" s="142">
        <v>25</v>
      </c>
      <c r="G18" s="143">
        <v>690000</v>
      </c>
      <c r="H18" s="144">
        <v>179386</v>
      </c>
      <c r="I18" s="144">
        <v>133673.91693876</v>
      </c>
      <c r="J18" s="145">
        <f t="shared" si="1"/>
        <v>8593059.91693876</v>
      </c>
      <c r="K18" s="146">
        <f t="shared" si="2"/>
        <v>9082864.332204267</v>
      </c>
      <c r="L18" s="592"/>
      <c r="M18" s="27"/>
      <c r="N18" s="337"/>
      <c r="P18" s="613" t="s">
        <v>163</v>
      </c>
      <c r="Q18" s="614"/>
      <c r="R18" s="229">
        <f>+AVERAGE(R11:R15)</f>
        <v>6612.640894539012</v>
      </c>
      <c r="S18" s="25"/>
      <c r="T18" s="89"/>
      <c r="U18" s="613" t="s">
        <v>164</v>
      </c>
      <c r="V18" s="614"/>
      <c r="W18" s="282"/>
      <c r="X18" s="229">
        <f>+X17*25</f>
        <v>209309.34025425554</v>
      </c>
      <c r="Y18" s="229">
        <f>+Y17*25</f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2:250" s="1" customFormat="1" ht="12.75" customHeight="1" hidden="1">
      <c r="B19" s="589"/>
      <c r="C19" s="202" t="s">
        <v>132</v>
      </c>
      <c r="D19" s="208" t="s">
        <v>139</v>
      </c>
      <c r="E19" s="203" t="s">
        <v>142</v>
      </c>
      <c r="F19" s="142">
        <v>25</v>
      </c>
      <c r="G19" s="143">
        <v>690000</v>
      </c>
      <c r="H19" s="144">
        <v>179386</v>
      </c>
      <c r="I19" s="144">
        <v>133673.91693876</v>
      </c>
      <c r="J19" s="145">
        <f t="shared" si="1"/>
        <v>8593059.91693876</v>
      </c>
      <c r="K19" s="146">
        <f t="shared" si="2"/>
        <v>9082864.332204267</v>
      </c>
      <c r="L19" s="592"/>
      <c r="M19" s="27"/>
      <c r="N19" s="337"/>
      <c r="P19" s="615" t="s">
        <v>166</v>
      </c>
      <c r="Q19" s="616"/>
      <c r="R19" s="229">
        <f>+R18*19</f>
        <v>125640.17699624124</v>
      </c>
      <c r="S19" s="25"/>
      <c r="T19" s="89"/>
      <c r="U19" s="89" t="s">
        <v>165</v>
      </c>
      <c r="V19" s="205"/>
      <c r="W19" s="205"/>
      <c r="X19" s="229">
        <f>+(X17*100)/4</f>
        <v>209309.34025425554</v>
      </c>
      <c r="Y19" s="229">
        <f>+(Y17*100)/4</f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2:250" s="1" customFormat="1" ht="12.75" customHeight="1" hidden="1">
      <c r="B20" s="589"/>
      <c r="C20" s="202" t="s">
        <v>132</v>
      </c>
      <c r="D20" s="208" t="s">
        <v>139</v>
      </c>
      <c r="E20" s="203" t="s">
        <v>142</v>
      </c>
      <c r="F20" s="142">
        <v>25</v>
      </c>
      <c r="G20" s="143">
        <v>690000</v>
      </c>
      <c r="H20" s="144">
        <v>179386</v>
      </c>
      <c r="I20" s="144">
        <v>133673.91693876</v>
      </c>
      <c r="J20" s="145">
        <f t="shared" si="1"/>
        <v>8593059.91693876</v>
      </c>
      <c r="K20" s="146">
        <f t="shared" si="2"/>
        <v>9082864.332204267</v>
      </c>
      <c r="L20" s="592"/>
      <c r="M20" s="27"/>
      <c r="N20" s="337"/>
      <c r="S20" s="25"/>
      <c r="T20" s="89"/>
      <c r="U20" s="89"/>
      <c r="V20" s="205"/>
      <c r="W20" s="205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2:250" ht="13.5" customHeight="1" hidden="1" thickBot="1">
      <c r="B21" s="590"/>
      <c r="C21" s="147"/>
      <c r="D21" s="148"/>
      <c r="E21" s="149"/>
      <c r="F21" s="150"/>
      <c r="G21" s="151"/>
      <c r="H21" s="152"/>
      <c r="I21" s="152"/>
      <c r="J21" s="153"/>
      <c r="K21" s="154"/>
      <c r="L21" s="593"/>
      <c r="M21" s="27"/>
      <c r="N21" s="337"/>
      <c r="P21" s="236" t="s">
        <v>167</v>
      </c>
      <c r="S21" s="28"/>
      <c r="T21" s="89"/>
      <c r="U21" s="89"/>
      <c r="V21" s="205"/>
      <c r="W21" s="205"/>
      <c r="X21" s="1"/>
      <c r="Y21" s="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</row>
    <row r="22" spans="2:25" ht="12.75" customHeight="1" hidden="1">
      <c r="B22" s="588" t="s">
        <v>162</v>
      </c>
      <c r="C22" s="80" t="s">
        <v>132</v>
      </c>
      <c r="D22" s="133" t="s">
        <v>125</v>
      </c>
      <c r="E22" s="134" t="s">
        <v>140</v>
      </c>
      <c r="F22" s="135">
        <v>45</v>
      </c>
      <c r="G22" s="136">
        <v>1200000</v>
      </c>
      <c r="H22" s="137">
        <v>179386</v>
      </c>
      <c r="I22" s="137">
        <v>133673.91693876</v>
      </c>
      <c r="J22" s="138">
        <f aca="true" t="shared" si="3" ref="J22:J27">+(G22*12)+H22+I22</f>
        <v>14713059.91693876</v>
      </c>
      <c r="K22" s="146">
        <f aca="true" t="shared" si="4" ref="K22:K27">+J22*(1+$L$7)</f>
        <v>15551704.332204267</v>
      </c>
      <c r="L22" s="591">
        <f>SUM(K22:K29)</f>
        <v>83797225.9932256</v>
      </c>
      <c r="M22" s="22"/>
      <c r="N22" s="29"/>
      <c r="P22" s="23" t="s">
        <v>168</v>
      </c>
      <c r="S22" s="29"/>
      <c r="T22" s="89"/>
      <c r="U22" s="89"/>
      <c r="V22" s="205"/>
      <c r="W22" s="205"/>
      <c r="X22" s="1"/>
      <c r="Y22" s="1"/>
    </row>
    <row r="23" spans="2:25" ht="12.75" customHeight="1" hidden="1">
      <c r="B23" s="589"/>
      <c r="C23" s="81" t="s">
        <v>132</v>
      </c>
      <c r="D23" s="140" t="s">
        <v>131</v>
      </c>
      <c r="E23" s="141" t="s">
        <v>140</v>
      </c>
      <c r="F23" s="142">
        <v>45</v>
      </c>
      <c r="G23" s="143">
        <v>950000</v>
      </c>
      <c r="H23" s="155">
        <v>179386</v>
      </c>
      <c r="I23" s="155">
        <v>133673.91693876</v>
      </c>
      <c r="J23" s="145">
        <f t="shared" si="3"/>
        <v>11713059.91693876</v>
      </c>
      <c r="K23" s="146">
        <f t="shared" si="4"/>
        <v>12380704.332204267</v>
      </c>
      <c r="L23" s="592"/>
      <c r="M23" s="22"/>
      <c r="N23" s="29"/>
      <c r="O23" s="22"/>
      <c r="P23" s="196">
        <f>6*180</f>
        <v>1080</v>
      </c>
      <c r="Q23" s="27"/>
      <c r="R23" s="27">
        <f>+R18*1080</f>
        <v>7141652.166102133</v>
      </c>
      <c r="S23" s="29"/>
      <c r="T23" s="89"/>
      <c r="U23" s="89"/>
      <c r="V23" s="205"/>
      <c r="W23" s="205"/>
      <c r="X23" s="1"/>
      <c r="Y23" s="1"/>
    </row>
    <row r="24" spans="2:25" ht="12.75" customHeight="1" hidden="1">
      <c r="B24" s="589"/>
      <c r="C24" s="81" t="s">
        <v>132</v>
      </c>
      <c r="D24" s="140" t="s">
        <v>130</v>
      </c>
      <c r="E24" s="141" t="s">
        <v>140</v>
      </c>
      <c r="F24" s="142">
        <v>45</v>
      </c>
      <c r="G24" s="143">
        <v>1200000</v>
      </c>
      <c r="H24" s="144">
        <v>179386</v>
      </c>
      <c r="I24" s="144">
        <v>133673.91693876</v>
      </c>
      <c r="J24" s="145">
        <f t="shared" si="3"/>
        <v>14713059.91693876</v>
      </c>
      <c r="K24" s="146">
        <f t="shared" si="4"/>
        <v>15551704.332204267</v>
      </c>
      <c r="L24" s="592"/>
      <c r="M24" s="29"/>
      <c r="N24" s="29"/>
      <c r="O24" s="29"/>
      <c r="P24" s="29"/>
      <c r="Q24" s="29"/>
      <c r="R24" s="29">
        <f>+R23*11</f>
        <v>78558173.82712346</v>
      </c>
      <c r="S24" s="29"/>
      <c r="T24" s="89"/>
      <c r="U24" s="89"/>
      <c r="V24" s="205"/>
      <c r="W24" s="205"/>
      <c r="X24" s="1"/>
      <c r="Y24" s="1"/>
    </row>
    <row r="25" spans="2:25" ht="12.75" customHeight="1" hidden="1">
      <c r="B25" s="589"/>
      <c r="C25" s="81" t="s">
        <v>132</v>
      </c>
      <c r="D25" s="207" t="s">
        <v>128</v>
      </c>
      <c r="E25" s="141" t="s">
        <v>141</v>
      </c>
      <c r="F25" s="142">
        <v>44</v>
      </c>
      <c r="G25" s="143">
        <v>950000</v>
      </c>
      <c r="H25" s="144">
        <v>179386</v>
      </c>
      <c r="I25" s="144">
        <v>133673.91693876</v>
      </c>
      <c r="J25" s="145">
        <f t="shared" si="3"/>
        <v>11713059.91693876</v>
      </c>
      <c r="K25" s="146">
        <f t="shared" si="4"/>
        <v>12380704.332204267</v>
      </c>
      <c r="L25" s="592"/>
      <c r="M25" s="29"/>
      <c r="N25" s="29"/>
      <c r="O25" s="29"/>
      <c r="P25" s="29"/>
      <c r="Q25" s="29"/>
      <c r="R25" s="29"/>
      <c r="S25" s="29"/>
      <c r="T25" s="89"/>
      <c r="U25" s="89"/>
      <c r="V25" s="205"/>
      <c r="W25" s="205"/>
      <c r="X25" s="30"/>
      <c r="Y25" s="30"/>
    </row>
    <row r="26" spans="2:25" ht="12.75" customHeight="1" hidden="1">
      <c r="B26" s="589"/>
      <c r="C26" s="81" t="s">
        <v>132</v>
      </c>
      <c r="D26" s="140" t="s">
        <v>129</v>
      </c>
      <c r="E26" s="141" t="s">
        <v>140</v>
      </c>
      <c r="F26" s="142">
        <v>45</v>
      </c>
      <c r="G26" s="143">
        <v>1200000</v>
      </c>
      <c r="H26" s="144">
        <v>179386</v>
      </c>
      <c r="I26" s="144">
        <v>133673.91693876</v>
      </c>
      <c r="J26" s="145">
        <f t="shared" si="3"/>
        <v>14713059.91693876</v>
      </c>
      <c r="K26" s="146">
        <f t="shared" si="4"/>
        <v>15551704.332204267</v>
      </c>
      <c r="L26" s="592"/>
      <c r="M26" s="29"/>
      <c r="N26" s="29"/>
      <c r="O26" s="29"/>
      <c r="P26" s="29"/>
      <c r="Q26" s="29"/>
      <c r="R26" s="29"/>
      <c r="S26" s="29"/>
      <c r="T26" s="89"/>
      <c r="U26" s="89"/>
      <c r="V26" s="205"/>
      <c r="W26" s="205"/>
      <c r="X26" s="30"/>
      <c r="Y26" s="30"/>
    </row>
    <row r="27" spans="2:25" ht="12.75" customHeight="1" hidden="1">
      <c r="B27" s="589"/>
      <c r="C27" s="81" t="s">
        <v>132</v>
      </c>
      <c r="D27" s="140" t="s">
        <v>128</v>
      </c>
      <c r="E27" s="141" t="s">
        <v>140</v>
      </c>
      <c r="F27" s="142">
        <v>45</v>
      </c>
      <c r="G27" s="143">
        <v>950000</v>
      </c>
      <c r="H27" s="144">
        <v>179386</v>
      </c>
      <c r="I27" s="144">
        <v>133673.91693876</v>
      </c>
      <c r="J27" s="145">
        <f t="shared" si="3"/>
        <v>11713059.91693876</v>
      </c>
      <c r="K27" s="146">
        <f t="shared" si="4"/>
        <v>12380704.332204267</v>
      </c>
      <c r="L27" s="592"/>
      <c r="M27" s="29"/>
      <c r="N27" s="29"/>
      <c r="O27" s="225"/>
      <c r="P27" s="29"/>
      <c r="Q27" s="29"/>
      <c r="R27" s="29"/>
      <c r="S27" s="29"/>
      <c r="T27" s="89"/>
      <c r="U27" s="89"/>
      <c r="V27" s="205"/>
      <c r="W27" s="205"/>
      <c r="X27" s="30"/>
      <c r="Y27" s="30"/>
    </row>
    <row r="28" spans="2:23" ht="12.75" customHeight="1" hidden="1">
      <c r="B28" s="589"/>
      <c r="C28" s="157"/>
      <c r="D28" s="140"/>
      <c r="E28" s="141"/>
      <c r="F28" s="142"/>
      <c r="G28" s="143"/>
      <c r="H28" s="155"/>
      <c r="I28" s="155"/>
      <c r="J28" s="158"/>
      <c r="K28" s="146"/>
      <c r="L28" s="592"/>
      <c r="M28" s="29"/>
      <c r="N28" s="29"/>
      <c r="O28" s="225"/>
      <c r="R28" s="32"/>
      <c r="S28" s="23"/>
      <c r="T28" s="89"/>
      <c r="U28" s="89"/>
      <c r="V28" s="205"/>
      <c r="W28" s="205"/>
    </row>
    <row r="29" spans="2:23" ht="13.5" customHeight="1" hidden="1" thickBot="1">
      <c r="B29" s="590"/>
      <c r="C29" s="159"/>
      <c r="D29" s="160"/>
      <c r="E29" s="161"/>
      <c r="F29" s="162"/>
      <c r="G29" s="151"/>
      <c r="H29" s="163"/>
      <c r="I29" s="163"/>
      <c r="J29" s="164"/>
      <c r="K29" s="154"/>
      <c r="L29" s="593"/>
      <c r="M29" s="23"/>
      <c r="N29" s="336"/>
      <c r="R29" s="32"/>
      <c r="S29" s="23"/>
      <c r="T29" s="89"/>
      <c r="U29" s="89"/>
      <c r="V29" s="205"/>
      <c r="W29" s="205"/>
    </row>
    <row r="30" spans="2:12" ht="12.75" hidden="1">
      <c r="B30" s="588" t="s">
        <v>134</v>
      </c>
      <c r="C30" s="80" t="s">
        <v>132</v>
      </c>
      <c r="D30" s="209" t="s">
        <v>126</v>
      </c>
      <c r="E30" s="165" t="s">
        <v>140</v>
      </c>
      <c r="F30" s="165">
        <v>45</v>
      </c>
      <c r="G30" s="166">
        <v>2300000</v>
      </c>
      <c r="H30" s="137">
        <v>179386</v>
      </c>
      <c r="I30" s="144">
        <v>133673.91693876</v>
      </c>
      <c r="J30" s="145">
        <f>+(G30*12)+H30+I30</f>
        <v>27913059.91693876</v>
      </c>
      <c r="K30" s="146">
        <f>+J30*(1+$L$7)</f>
        <v>29504104.332204267</v>
      </c>
      <c r="L30" s="591">
        <f>SUM(K30:K35)</f>
        <v>49966827.178612806</v>
      </c>
    </row>
    <row r="31" spans="2:12" ht="12.75" hidden="1">
      <c r="B31" s="589"/>
      <c r="C31" s="81" t="s">
        <v>132</v>
      </c>
      <c r="D31" s="140" t="s">
        <v>127</v>
      </c>
      <c r="E31" s="167" t="s">
        <v>140</v>
      </c>
      <c r="F31" s="167">
        <v>45</v>
      </c>
      <c r="G31" s="168">
        <v>450000</v>
      </c>
      <c r="H31" s="144">
        <v>312512</v>
      </c>
      <c r="I31" s="144">
        <v>133673.91693876</v>
      </c>
      <c r="J31" s="145">
        <f>+(G31*12)+H31+I31</f>
        <v>5846185.91693876</v>
      </c>
      <c r="K31" s="146">
        <f>+J31*(1+$L$7)</f>
        <v>6179418.514204269</v>
      </c>
      <c r="L31" s="592"/>
    </row>
    <row r="32" spans="2:12" ht="12.75" hidden="1">
      <c r="B32" s="589"/>
      <c r="C32" s="81" t="s">
        <v>132</v>
      </c>
      <c r="D32" s="207" t="s">
        <v>137</v>
      </c>
      <c r="E32" s="167" t="s">
        <v>142</v>
      </c>
      <c r="F32" s="167">
        <v>44</v>
      </c>
      <c r="G32" s="168">
        <v>1100000</v>
      </c>
      <c r="H32" s="144">
        <v>179386</v>
      </c>
      <c r="I32" s="144">
        <v>133673.91693876</v>
      </c>
      <c r="J32" s="145">
        <f>+(G32*12)+H32+I32</f>
        <v>13513059.91693876</v>
      </c>
      <c r="K32" s="146">
        <f>+J32*(1+$L$7)</f>
        <v>14283304.332204267</v>
      </c>
      <c r="L32" s="592"/>
    </row>
    <row r="33" spans="2:12" ht="12.75" hidden="1">
      <c r="B33" s="589"/>
      <c r="C33" s="74"/>
      <c r="D33" s="210"/>
      <c r="E33" s="211"/>
      <c r="F33" s="211"/>
      <c r="G33" s="212"/>
      <c r="H33" s="213"/>
      <c r="I33" s="213"/>
      <c r="J33" s="145"/>
      <c r="K33" s="146"/>
      <c r="L33" s="592"/>
    </row>
    <row r="34" spans="2:12" ht="12.75" hidden="1">
      <c r="B34" s="589"/>
      <c r="C34" s="74"/>
      <c r="D34" s="140"/>
      <c r="E34" s="167"/>
      <c r="F34" s="167"/>
      <c r="G34" s="168"/>
      <c r="H34" s="155"/>
      <c r="I34" s="155"/>
      <c r="J34" s="156"/>
      <c r="K34" s="146"/>
      <c r="L34" s="592"/>
    </row>
    <row r="35" spans="2:12" ht="13.5" hidden="1" thickBot="1">
      <c r="B35" s="590"/>
      <c r="C35" s="159"/>
      <c r="D35" s="160"/>
      <c r="E35" s="169"/>
      <c r="F35" s="169"/>
      <c r="G35" s="170"/>
      <c r="H35" s="163"/>
      <c r="I35" s="163"/>
      <c r="J35" s="164"/>
      <c r="K35" s="154"/>
      <c r="L35" s="593"/>
    </row>
    <row r="36" spans="2:12" ht="16.5" hidden="1" thickBot="1">
      <c r="B36" s="21"/>
      <c r="C36" s="57"/>
      <c r="D36" s="35"/>
      <c r="E36" s="77"/>
      <c r="F36" s="77"/>
      <c r="G36" s="36"/>
      <c r="H36" s="36"/>
      <c r="I36" s="36"/>
      <c r="J36" s="31"/>
      <c r="K36" s="88" t="s">
        <v>54</v>
      </c>
      <c r="L36" s="87">
        <f>SUM(L11:L35)</f>
        <v>229412616.49388108</v>
      </c>
    </row>
    <row r="37" spans="2:12" ht="12.75" hidden="1">
      <c r="B37" s="21"/>
      <c r="C37" s="35"/>
      <c r="D37" s="35"/>
      <c r="E37" s="77"/>
      <c r="F37" s="77"/>
      <c r="G37" s="36"/>
      <c r="H37" s="36"/>
      <c r="I37" s="36"/>
      <c r="J37" s="31"/>
      <c r="K37" s="31"/>
      <c r="L37" s="29"/>
    </row>
    <row r="38" spans="2:12" ht="12.75">
      <c r="B38" s="21"/>
      <c r="C38" s="21"/>
      <c r="D38" s="21"/>
      <c r="E38" s="89"/>
      <c r="F38" s="78"/>
      <c r="G38" s="21"/>
      <c r="H38" s="21"/>
      <c r="I38" s="21"/>
      <c r="J38" s="29"/>
      <c r="K38" s="29"/>
      <c r="L38" s="29"/>
    </row>
    <row r="39" spans="2:12" ht="12.75">
      <c r="B39" s="21"/>
      <c r="C39" s="21"/>
      <c r="D39" s="21"/>
      <c r="E39" s="78"/>
      <c r="F39" s="78"/>
      <c r="G39" s="21"/>
      <c r="H39" s="21"/>
      <c r="I39" s="21"/>
      <c r="J39" s="29"/>
      <c r="K39" s="29"/>
      <c r="L39" s="29"/>
    </row>
    <row r="40" spans="2:12" ht="15.75">
      <c r="B40" s="563" t="s">
        <v>76</v>
      </c>
      <c r="C40" s="563"/>
      <c r="D40" s="563"/>
      <c r="E40" s="563"/>
      <c r="F40" s="75"/>
      <c r="G40" s="51"/>
      <c r="H40" s="51"/>
      <c r="I40" s="51"/>
      <c r="J40" s="50"/>
      <c r="K40" s="48" t="s">
        <v>3</v>
      </c>
      <c r="L40" s="49">
        <v>0.072</v>
      </c>
    </row>
    <row r="41" spans="14:23" ht="13.5" thickBot="1">
      <c r="N41" s="23"/>
      <c r="S41" s="23"/>
      <c r="V41" s="23"/>
      <c r="W41" s="23"/>
    </row>
    <row r="42" spans="2:23" ht="15">
      <c r="B42" s="582" t="s">
        <v>4</v>
      </c>
      <c r="C42" s="584" t="s">
        <v>40</v>
      </c>
      <c r="D42" s="586" t="s">
        <v>2</v>
      </c>
      <c r="E42" s="586" t="s">
        <v>152</v>
      </c>
      <c r="F42" s="586" t="s">
        <v>150</v>
      </c>
      <c r="G42" s="570" t="s">
        <v>143</v>
      </c>
      <c r="H42" s="570"/>
      <c r="I42" s="570"/>
      <c r="J42" s="571"/>
      <c r="K42" s="572" t="s">
        <v>144</v>
      </c>
      <c r="L42" s="574" t="s">
        <v>133</v>
      </c>
      <c r="N42" s="23"/>
      <c r="S42" s="23"/>
      <c r="V42" s="23"/>
      <c r="W42" s="23"/>
    </row>
    <row r="43" spans="2:23" ht="39" thickBot="1">
      <c r="B43" s="583"/>
      <c r="C43" s="585"/>
      <c r="D43" s="587"/>
      <c r="E43" s="587"/>
      <c r="F43" s="587"/>
      <c r="G43" s="321" t="s">
        <v>149</v>
      </c>
      <c r="H43" s="321" t="s">
        <v>67</v>
      </c>
      <c r="I43" s="321" t="s">
        <v>68</v>
      </c>
      <c r="J43" s="322" t="s">
        <v>145</v>
      </c>
      <c r="K43" s="573"/>
      <c r="L43" s="575"/>
      <c r="N43" s="23"/>
      <c r="S43" s="23"/>
      <c r="V43" s="23"/>
      <c r="W43" s="23"/>
    </row>
    <row r="44" spans="2:23" ht="12.75" customHeight="1">
      <c r="B44" s="579" t="s">
        <v>221</v>
      </c>
      <c r="C44" s="302" t="s">
        <v>217</v>
      </c>
      <c r="D44" s="263" t="s">
        <v>125</v>
      </c>
      <c r="E44" s="264" t="s">
        <v>140</v>
      </c>
      <c r="F44" s="264">
        <v>19</v>
      </c>
      <c r="G44" s="303">
        <v>860108</v>
      </c>
      <c r="H44" s="303">
        <v>141118</v>
      </c>
      <c r="I44" s="303">
        <v>189611.00199999998</v>
      </c>
      <c r="J44" s="323">
        <f aca="true" t="shared" si="5" ref="J44:J52">+(G44*12)+H44+I44</f>
        <v>10652025.002</v>
      </c>
      <c r="K44" s="331">
        <f aca="true" t="shared" si="6" ref="K44:K52">+J44*(1+$L$40)</f>
        <v>11418970.802144</v>
      </c>
      <c r="L44" s="576">
        <f>SUM(K44:K62)</f>
        <v>130197205.95228161</v>
      </c>
      <c r="M44" s="89"/>
      <c r="N44" s="23"/>
      <c r="S44" s="23"/>
      <c r="V44" s="23"/>
      <c r="W44" s="23"/>
    </row>
    <row r="45" spans="2:23" ht="12.75" customHeight="1">
      <c r="B45" s="580"/>
      <c r="C45" s="294" t="s">
        <v>223</v>
      </c>
      <c r="D45" s="267" t="s">
        <v>125</v>
      </c>
      <c r="E45" s="266" t="s">
        <v>140</v>
      </c>
      <c r="F45" s="266">
        <v>18</v>
      </c>
      <c r="G45" s="262">
        <v>674294.9564</v>
      </c>
      <c r="H45" s="262">
        <v>141118</v>
      </c>
      <c r="I45" s="262">
        <v>312512</v>
      </c>
      <c r="J45" s="324">
        <f t="shared" si="5"/>
        <v>8545169.4768</v>
      </c>
      <c r="K45" s="328">
        <f t="shared" si="6"/>
        <v>9160421.6791296</v>
      </c>
      <c r="L45" s="577"/>
      <c r="M45" s="89"/>
      <c r="N45" s="23"/>
      <c r="S45" s="23"/>
      <c r="V45" s="23"/>
      <c r="W45" s="23"/>
    </row>
    <row r="46" spans="2:23" ht="12.75" customHeight="1">
      <c r="B46" s="580"/>
      <c r="C46" s="294" t="s">
        <v>224</v>
      </c>
      <c r="D46" s="267" t="s">
        <v>125</v>
      </c>
      <c r="E46" s="266" t="s">
        <v>140</v>
      </c>
      <c r="F46" s="266">
        <v>20</v>
      </c>
      <c r="G46" s="262">
        <v>725966</v>
      </c>
      <c r="H46" s="262">
        <v>141118</v>
      </c>
      <c r="I46" s="262">
        <v>312512</v>
      </c>
      <c r="J46" s="324">
        <f t="shared" si="5"/>
        <v>9165222</v>
      </c>
      <c r="K46" s="328">
        <f t="shared" si="6"/>
        <v>9825117.984000001</v>
      </c>
      <c r="L46" s="577"/>
      <c r="M46" s="89"/>
      <c r="N46" s="23"/>
      <c r="S46" s="23"/>
      <c r="V46" s="23"/>
      <c r="W46" s="23"/>
    </row>
    <row r="47" spans="2:23" ht="12.75" customHeight="1">
      <c r="B47" s="580"/>
      <c r="C47" s="294" t="s">
        <v>218</v>
      </c>
      <c r="D47" s="265" t="s">
        <v>131</v>
      </c>
      <c r="E47" s="266" t="s">
        <v>140</v>
      </c>
      <c r="F47" s="266">
        <v>26</v>
      </c>
      <c r="G47" s="262">
        <v>1001037</v>
      </c>
      <c r="H47" s="262">
        <v>141118</v>
      </c>
      <c r="I47" s="262">
        <v>189611.00199999998</v>
      </c>
      <c r="J47" s="324">
        <f t="shared" si="5"/>
        <v>12343173.002</v>
      </c>
      <c r="K47" s="328">
        <f t="shared" si="6"/>
        <v>13231881.458144002</v>
      </c>
      <c r="L47" s="577"/>
      <c r="M47" s="89"/>
      <c r="N47" s="23"/>
      <c r="S47" s="23"/>
      <c r="V47" s="23"/>
      <c r="W47" s="23"/>
    </row>
    <row r="48" spans="2:23" ht="12.75" customHeight="1">
      <c r="B48" s="580"/>
      <c r="C48" s="294" t="s">
        <v>225</v>
      </c>
      <c r="D48" s="267" t="s">
        <v>131</v>
      </c>
      <c r="E48" s="266" t="s">
        <v>140</v>
      </c>
      <c r="F48" s="266">
        <v>22</v>
      </c>
      <c r="G48" s="262">
        <v>860108</v>
      </c>
      <c r="H48" s="262">
        <v>141118</v>
      </c>
      <c r="I48" s="262">
        <v>189611.00199999998</v>
      </c>
      <c r="J48" s="324">
        <f t="shared" si="5"/>
        <v>10652025.002</v>
      </c>
      <c r="K48" s="328">
        <f t="shared" si="6"/>
        <v>11418970.802144</v>
      </c>
      <c r="L48" s="577"/>
      <c r="M48" s="89"/>
      <c r="N48" s="23"/>
      <c r="S48" s="23"/>
      <c r="V48" s="23"/>
      <c r="W48" s="23"/>
    </row>
    <row r="49" spans="2:23" ht="12.75" customHeight="1">
      <c r="B49" s="580"/>
      <c r="C49" s="294" t="s">
        <v>226</v>
      </c>
      <c r="D49" s="267" t="s">
        <v>131</v>
      </c>
      <c r="E49" s="266" t="s">
        <v>140</v>
      </c>
      <c r="F49" s="266">
        <v>22</v>
      </c>
      <c r="G49" s="262">
        <v>860108</v>
      </c>
      <c r="H49" s="262">
        <v>141118</v>
      </c>
      <c r="I49" s="262">
        <v>189611.00199999998</v>
      </c>
      <c r="J49" s="324">
        <f t="shared" si="5"/>
        <v>10652025.002</v>
      </c>
      <c r="K49" s="328">
        <f t="shared" si="6"/>
        <v>11418970.802144</v>
      </c>
      <c r="L49" s="577"/>
      <c r="M49" s="89"/>
      <c r="N49" s="23"/>
      <c r="S49" s="23"/>
      <c r="V49" s="23"/>
      <c r="W49" s="23"/>
    </row>
    <row r="50" spans="2:23" ht="12.75" customHeight="1">
      <c r="B50" s="580"/>
      <c r="C50" s="294" t="s">
        <v>220</v>
      </c>
      <c r="D50" s="265" t="s">
        <v>129</v>
      </c>
      <c r="E50" s="266" t="s">
        <v>140</v>
      </c>
      <c r="F50" s="266">
        <v>20</v>
      </c>
      <c r="G50" s="262">
        <v>1125447</v>
      </c>
      <c r="H50" s="262">
        <v>141118</v>
      </c>
      <c r="I50" s="262">
        <v>189611.00199999998</v>
      </c>
      <c r="J50" s="324">
        <f t="shared" si="5"/>
        <v>13836093.002</v>
      </c>
      <c r="K50" s="328">
        <f t="shared" si="6"/>
        <v>14832291.698144002</v>
      </c>
      <c r="L50" s="577"/>
      <c r="M50" s="89"/>
      <c r="N50" s="23"/>
      <c r="S50" s="23"/>
      <c r="V50" s="23"/>
      <c r="W50" s="23"/>
    </row>
    <row r="51" spans="2:23" ht="12.75" customHeight="1">
      <c r="B51" s="580"/>
      <c r="C51" s="294" t="s">
        <v>219</v>
      </c>
      <c r="D51" s="265" t="s">
        <v>129</v>
      </c>
      <c r="E51" s="266" t="s">
        <v>140</v>
      </c>
      <c r="F51" s="266">
        <v>20</v>
      </c>
      <c r="G51" s="262">
        <v>828989</v>
      </c>
      <c r="H51" s="262">
        <v>141118</v>
      </c>
      <c r="I51" s="262">
        <v>312512</v>
      </c>
      <c r="J51" s="324">
        <f t="shared" si="5"/>
        <v>10401498</v>
      </c>
      <c r="K51" s="328">
        <f t="shared" si="6"/>
        <v>11150405.856</v>
      </c>
      <c r="L51" s="577"/>
      <c r="M51" s="89"/>
      <c r="N51" s="23"/>
      <c r="S51" s="23"/>
      <c r="V51" s="23"/>
      <c r="W51" s="23"/>
    </row>
    <row r="52" spans="2:23" ht="12.75" customHeight="1">
      <c r="B52" s="580"/>
      <c r="C52" s="294" t="s">
        <v>215</v>
      </c>
      <c r="D52" s="267" t="s">
        <v>128</v>
      </c>
      <c r="E52" s="266" t="s">
        <v>140</v>
      </c>
      <c r="F52" s="266">
        <v>30</v>
      </c>
      <c r="G52" s="262">
        <v>955084</v>
      </c>
      <c r="H52" s="262">
        <v>141118</v>
      </c>
      <c r="I52" s="262">
        <v>189611.00199999998</v>
      </c>
      <c r="J52" s="324">
        <f t="shared" si="5"/>
        <v>11791737.002</v>
      </c>
      <c r="K52" s="328">
        <f t="shared" si="6"/>
        <v>12640742.066144</v>
      </c>
      <c r="L52" s="577"/>
      <c r="M52" s="89"/>
      <c r="N52" s="23"/>
      <c r="S52" s="23"/>
      <c r="V52" s="23"/>
      <c r="W52" s="23"/>
    </row>
    <row r="53" spans="2:23" ht="12.75" customHeight="1">
      <c r="B53" s="580"/>
      <c r="C53" s="442" t="s">
        <v>216</v>
      </c>
      <c r="D53" s="267" t="s">
        <v>128</v>
      </c>
      <c r="E53" s="266" t="s">
        <v>140</v>
      </c>
      <c r="F53" s="266">
        <v>30</v>
      </c>
      <c r="G53" s="262">
        <v>708149</v>
      </c>
      <c r="H53" s="262">
        <v>141118</v>
      </c>
      <c r="I53" s="262">
        <v>189611.00199999998</v>
      </c>
      <c r="J53" s="324">
        <f>+(G53*12)+H53+I53</f>
        <v>8828517.002</v>
      </c>
      <c r="K53" s="328">
        <f>+J53*(1+$L$40)</f>
        <v>9464170.226144</v>
      </c>
      <c r="L53" s="577"/>
      <c r="M53" s="89"/>
      <c r="N53" s="23"/>
      <c r="S53" s="23"/>
      <c r="V53" s="23"/>
      <c r="W53" s="23"/>
    </row>
    <row r="54" spans="2:23" ht="12.75" customHeight="1">
      <c r="B54" s="580"/>
      <c r="C54" s="424" t="s">
        <v>222</v>
      </c>
      <c r="D54" s="424" t="s">
        <v>128</v>
      </c>
      <c r="E54" s="425" t="s">
        <v>141</v>
      </c>
      <c r="F54" s="425">
        <v>44</v>
      </c>
      <c r="G54" s="426">
        <v>950000</v>
      </c>
      <c r="H54" s="426">
        <v>141118</v>
      </c>
      <c r="I54" s="426">
        <v>189611.00199999998</v>
      </c>
      <c r="J54" s="324"/>
      <c r="K54" s="328"/>
      <c r="L54" s="577"/>
      <c r="M54" s="89"/>
      <c r="N54" s="23"/>
      <c r="S54" s="23"/>
      <c r="V54" s="23"/>
      <c r="W54" s="23"/>
    </row>
    <row r="55" spans="2:23" ht="12.75" customHeight="1">
      <c r="B55" s="580"/>
      <c r="C55" s="294" t="s">
        <v>227</v>
      </c>
      <c r="D55" s="267" t="s">
        <v>130</v>
      </c>
      <c r="E55" s="266" t="s">
        <v>140</v>
      </c>
      <c r="F55" s="266">
        <v>40</v>
      </c>
      <c r="G55" s="262">
        <v>1187867</v>
      </c>
      <c r="H55" s="262">
        <v>141118</v>
      </c>
      <c r="I55" s="262">
        <v>189611.00199999998</v>
      </c>
      <c r="J55" s="324">
        <f>+(G55*12)+H55+I55</f>
        <v>14585133.002</v>
      </c>
      <c r="K55" s="328">
        <f>+J55*(1+$L$40)</f>
        <v>15635262.578144</v>
      </c>
      <c r="L55" s="577"/>
      <c r="M55" s="89"/>
      <c r="N55" s="23"/>
      <c r="S55" s="23"/>
      <c r="V55" s="23"/>
      <c r="W55" s="23"/>
    </row>
    <row r="56" spans="2:23" ht="12.75" customHeight="1">
      <c r="B56" s="580"/>
      <c r="C56" s="427" t="s">
        <v>235</v>
      </c>
      <c r="D56" s="424" t="s">
        <v>228</v>
      </c>
      <c r="E56" s="425" t="s">
        <v>142</v>
      </c>
      <c r="F56" s="425">
        <v>44</v>
      </c>
      <c r="G56" s="426">
        <v>690000</v>
      </c>
      <c r="H56" s="426">
        <v>141118</v>
      </c>
      <c r="I56" s="426">
        <v>312512</v>
      </c>
      <c r="J56" s="324"/>
      <c r="K56" s="328"/>
      <c r="L56" s="577"/>
      <c r="M56" s="89"/>
      <c r="N56" s="23"/>
      <c r="S56" s="23"/>
      <c r="V56" s="23"/>
      <c r="W56" s="23"/>
    </row>
    <row r="57" spans="2:23" ht="12.75" customHeight="1">
      <c r="B57" s="580"/>
      <c r="C57" s="427" t="s">
        <v>234</v>
      </c>
      <c r="D57" s="424" t="s">
        <v>228</v>
      </c>
      <c r="E57" s="425" t="s">
        <v>142</v>
      </c>
      <c r="F57" s="425">
        <v>44</v>
      </c>
      <c r="G57" s="426">
        <v>690000</v>
      </c>
      <c r="H57" s="426">
        <v>141118</v>
      </c>
      <c r="I57" s="426">
        <v>312512</v>
      </c>
      <c r="J57" s="324"/>
      <c r="K57" s="328"/>
      <c r="L57" s="577"/>
      <c r="M57" s="89"/>
      <c r="N57" s="23"/>
      <c r="S57" s="23"/>
      <c r="V57" s="23"/>
      <c r="W57" s="23"/>
    </row>
    <row r="58" spans="2:23" ht="12.75" customHeight="1">
      <c r="B58" s="580"/>
      <c r="C58" s="427" t="s">
        <v>236</v>
      </c>
      <c r="D58" s="424" t="s">
        <v>228</v>
      </c>
      <c r="E58" s="425" t="s">
        <v>142</v>
      </c>
      <c r="F58" s="425">
        <v>44</v>
      </c>
      <c r="G58" s="426">
        <v>690000</v>
      </c>
      <c r="H58" s="426">
        <v>141118</v>
      </c>
      <c r="I58" s="426">
        <v>312512</v>
      </c>
      <c r="J58" s="324"/>
      <c r="K58" s="328"/>
      <c r="L58" s="577"/>
      <c r="M58" s="89"/>
      <c r="N58" s="23"/>
      <c r="S58" s="23"/>
      <c r="V58" s="23"/>
      <c r="W58" s="23"/>
    </row>
    <row r="59" spans="2:23" ht="12.75" customHeight="1">
      <c r="B59" s="580"/>
      <c r="C59" s="427" t="s">
        <v>237</v>
      </c>
      <c r="D59" s="424" t="s">
        <v>228</v>
      </c>
      <c r="E59" s="425" t="s">
        <v>142</v>
      </c>
      <c r="F59" s="425">
        <v>44</v>
      </c>
      <c r="G59" s="426">
        <v>690000</v>
      </c>
      <c r="H59" s="426">
        <v>141118</v>
      </c>
      <c r="I59" s="426">
        <v>312512</v>
      </c>
      <c r="J59" s="324"/>
      <c r="K59" s="328"/>
      <c r="L59" s="577"/>
      <c r="M59" s="89"/>
      <c r="N59" s="23"/>
      <c r="S59" s="23"/>
      <c r="V59" s="23"/>
      <c r="W59" s="23"/>
    </row>
    <row r="60" spans="2:23" ht="12.75" customHeight="1">
      <c r="B60" s="580"/>
      <c r="C60" s="427" t="s">
        <v>238</v>
      </c>
      <c r="D60" s="424" t="s">
        <v>228</v>
      </c>
      <c r="E60" s="425" t="s">
        <v>142</v>
      </c>
      <c r="F60" s="425">
        <v>44</v>
      </c>
      <c r="G60" s="426">
        <v>690000</v>
      </c>
      <c r="H60" s="426">
        <v>141118</v>
      </c>
      <c r="I60" s="426">
        <v>312512</v>
      </c>
      <c r="J60" s="324"/>
      <c r="K60" s="328"/>
      <c r="L60" s="577"/>
      <c r="M60" s="89"/>
      <c r="N60" s="23"/>
      <c r="S60" s="23"/>
      <c r="V60" s="23"/>
      <c r="W60" s="23"/>
    </row>
    <row r="61" spans="2:23" ht="12.75" customHeight="1">
      <c r="B61" s="580"/>
      <c r="C61" s="427" t="s">
        <v>239</v>
      </c>
      <c r="D61" s="424" t="s">
        <v>229</v>
      </c>
      <c r="E61" s="425" t="s">
        <v>230</v>
      </c>
      <c r="F61" s="266"/>
      <c r="G61" s="262"/>
      <c r="H61" s="262"/>
      <c r="I61" s="262"/>
      <c r="J61" s="324"/>
      <c r="K61" s="328"/>
      <c r="L61" s="577"/>
      <c r="M61" s="89"/>
      <c r="N61" s="23"/>
      <c r="S61" s="23"/>
      <c r="V61" s="23"/>
      <c r="W61" s="23"/>
    </row>
    <row r="62" spans="2:23" ht="13.5" customHeight="1" thickBot="1">
      <c r="B62" s="581"/>
      <c r="C62" s="268"/>
      <c r="D62" s="268"/>
      <c r="E62" s="269"/>
      <c r="F62" s="269"/>
      <c r="G62" s="304"/>
      <c r="H62" s="304"/>
      <c r="I62" s="304"/>
      <c r="J62" s="325"/>
      <c r="K62" s="329"/>
      <c r="L62" s="578"/>
      <c r="M62" s="89"/>
      <c r="N62" s="23"/>
      <c r="S62" s="23"/>
      <c r="V62" s="23"/>
      <c r="W62" s="23"/>
    </row>
    <row r="63" spans="2:23" ht="12.75" customHeight="1">
      <c r="B63" s="564" t="s">
        <v>134</v>
      </c>
      <c r="C63" s="301" t="s">
        <v>231</v>
      </c>
      <c r="D63" s="270" t="s">
        <v>126</v>
      </c>
      <c r="E63" s="299" t="s">
        <v>140</v>
      </c>
      <c r="F63" s="299"/>
      <c r="G63" s="300">
        <v>2258528</v>
      </c>
      <c r="H63" s="300">
        <v>141118.30185040002</v>
      </c>
      <c r="I63" s="300">
        <v>189611.00199999998</v>
      </c>
      <c r="J63" s="326">
        <f>+(G63*12)+H63+I63</f>
        <v>27433065.3038504</v>
      </c>
      <c r="K63" s="327">
        <f>+J63*(1+$L$40)</f>
        <v>29408246.00572763</v>
      </c>
      <c r="L63" s="567">
        <f>SUM(K63:K68)</f>
        <v>39038451.88169489</v>
      </c>
      <c r="M63" s="89"/>
      <c r="N63" s="23"/>
      <c r="S63" s="23"/>
      <c r="V63" s="23"/>
      <c r="W63" s="23"/>
    </row>
    <row r="64" spans="2:23" ht="12.75" customHeight="1">
      <c r="B64" s="565"/>
      <c r="C64" s="295" t="s">
        <v>232</v>
      </c>
      <c r="D64" s="265" t="s">
        <v>127</v>
      </c>
      <c r="E64" s="266" t="s">
        <v>140</v>
      </c>
      <c r="F64" s="266">
        <v>45</v>
      </c>
      <c r="G64" s="262">
        <v>394375</v>
      </c>
      <c r="H64" s="262">
        <v>141118.30185040002</v>
      </c>
      <c r="I64" s="262">
        <v>312512</v>
      </c>
      <c r="J64" s="324">
        <f>+(G64*12)+H64+I64</f>
        <v>5186130.3018504</v>
      </c>
      <c r="K64" s="327">
        <f>+J64*(1+$L$40)</f>
        <v>5559531.683583629</v>
      </c>
      <c r="L64" s="568"/>
      <c r="M64" s="89"/>
      <c r="N64" s="23"/>
      <c r="S64" s="23"/>
      <c r="V64" s="23"/>
      <c r="W64" s="23"/>
    </row>
    <row r="65" spans="2:23" ht="13.5" customHeight="1">
      <c r="B65" s="565"/>
      <c r="C65" s="443" t="s">
        <v>233</v>
      </c>
      <c r="D65" s="444" t="s">
        <v>137</v>
      </c>
      <c r="E65" s="425" t="s">
        <v>142</v>
      </c>
      <c r="F65" s="425">
        <v>44</v>
      </c>
      <c r="G65" s="426">
        <v>1100000</v>
      </c>
      <c r="H65" s="426">
        <v>141118.30185040002</v>
      </c>
      <c r="I65" s="426">
        <v>312512</v>
      </c>
      <c r="J65" s="324"/>
      <c r="K65" s="327"/>
      <c r="L65" s="568"/>
      <c r="M65" s="89"/>
      <c r="N65" s="23"/>
      <c r="S65" s="23"/>
      <c r="V65" s="23"/>
      <c r="W65" s="23"/>
    </row>
    <row r="66" spans="2:23" ht="12.75" customHeight="1">
      <c r="B66" s="565"/>
      <c r="C66" s="295" t="s">
        <v>294</v>
      </c>
      <c r="D66" s="271" t="s">
        <v>214</v>
      </c>
      <c r="E66" s="296" t="s">
        <v>140</v>
      </c>
      <c r="F66" s="296">
        <v>37</v>
      </c>
      <c r="G66" s="262">
        <v>371515.6</v>
      </c>
      <c r="H66" s="262">
        <v>141118.30185040002</v>
      </c>
      <c r="I66" s="262">
        <v>312512</v>
      </c>
      <c r="J66" s="324">
        <f>+(G66*9)+H66+I66</f>
        <v>3797270.7018504</v>
      </c>
      <c r="K66" s="327">
        <f>+J66*(1+$L$40)</f>
        <v>4070674.192383629</v>
      </c>
      <c r="L66" s="568"/>
      <c r="M66" s="89"/>
      <c r="N66" s="23"/>
      <c r="S66" s="23"/>
      <c r="V66" s="23"/>
      <c r="W66" s="23"/>
    </row>
    <row r="67" spans="2:23" ht="12.75" customHeight="1">
      <c r="B67" s="565"/>
      <c r="C67" s="295"/>
      <c r="D67" s="265"/>
      <c r="E67" s="266"/>
      <c r="F67" s="266"/>
      <c r="G67" s="297"/>
      <c r="H67" s="297"/>
      <c r="I67" s="297"/>
      <c r="J67" s="324"/>
      <c r="K67" s="327"/>
      <c r="L67" s="568"/>
      <c r="M67" s="89"/>
      <c r="N67" s="23"/>
      <c r="S67" s="23"/>
      <c r="V67" s="23"/>
      <c r="W67" s="23"/>
    </row>
    <row r="68" spans="2:23" ht="12.75" customHeight="1" thickBot="1">
      <c r="B68" s="566"/>
      <c r="C68" s="268"/>
      <c r="D68" s="268"/>
      <c r="E68" s="269"/>
      <c r="F68" s="269"/>
      <c r="G68" s="298"/>
      <c r="H68" s="298"/>
      <c r="I68" s="298"/>
      <c r="J68" s="325"/>
      <c r="K68" s="330"/>
      <c r="L68" s="569"/>
      <c r="M68" s="89"/>
      <c r="N68" s="23"/>
      <c r="S68" s="23"/>
      <c r="V68" s="23"/>
      <c r="W68" s="23"/>
    </row>
    <row r="69" spans="3:23" ht="13.5" customHeight="1" thickBot="1">
      <c r="C69" s="38"/>
      <c r="D69" s="35"/>
      <c r="E69" s="77"/>
      <c r="F69" s="77"/>
      <c r="G69" s="36"/>
      <c r="H69" s="36"/>
      <c r="I69" s="36"/>
      <c r="J69" s="31"/>
      <c r="K69" s="332" t="s">
        <v>54</v>
      </c>
      <c r="L69" s="272">
        <f>SUM(L44:L68)</f>
        <v>169235657.8339765</v>
      </c>
      <c r="N69" s="23"/>
      <c r="S69" s="23"/>
      <c r="V69" s="23"/>
      <c r="W69" s="23"/>
    </row>
    <row r="70" spans="14:23" ht="12.75">
      <c r="N70" s="23"/>
      <c r="S70" s="23"/>
      <c r="V70" s="23"/>
      <c r="W70" s="23"/>
    </row>
    <row r="71" spans="14:23" ht="12.75">
      <c r="N71" s="23"/>
      <c r="S71" s="23"/>
      <c r="V71" s="23"/>
      <c r="W71" s="23"/>
    </row>
    <row r="72" spans="14:23" ht="12.75">
      <c r="N72" s="23"/>
      <c r="S72" s="23"/>
      <c r="V72" s="23"/>
      <c r="W72" s="23"/>
    </row>
    <row r="73" spans="14:23" ht="12.75">
      <c r="N73" s="23"/>
      <c r="S73" s="23"/>
      <c r="V73" s="23"/>
      <c r="W73" s="23"/>
    </row>
    <row r="74" spans="14:23" ht="12.75">
      <c r="N74" s="23"/>
      <c r="S74" s="23"/>
      <c r="V74" s="23"/>
      <c r="W74" s="23"/>
    </row>
    <row r="75" spans="14:23" ht="12.75">
      <c r="N75" s="23"/>
      <c r="S75" s="23"/>
      <c r="V75" s="23"/>
      <c r="W75" s="23"/>
    </row>
    <row r="76" spans="2:23" ht="12.75">
      <c r="B76" s="21"/>
      <c r="N76" s="23"/>
      <c r="S76" s="23"/>
      <c r="V76" s="23"/>
      <c r="W76" s="23"/>
    </row>
    <row r="77" spans="14:23" ht="12.75">
      <c r="N77" s="23"/>
      <c r="S77" s="23"/>
      <c r="V77" s="23"/>
      <c r="W77" s="23"/>
    </row>
    <row r="78" spans="14:23" ht="12.75">
      <c r="N78" s="23"/>
      <c r="S78" s="23"/>
      <c r="V78" s="23"/>
      <c r="W78" s="23"/>
    </row>
    <row r="79" spans="14:23" ht="12.75">
      <c r="N79" s="23"/>
      <c r="S79" s="23"/>
      <c r="V79" s="23"/>
      <c r="W79" s="23"/>
    </row>
    <row r="80" spans="14:23" ht="12.75" customHeight="1">
      <c r="N80" s="23"/>
      <c r="S80" s="23"/>
      <c r="V80" s="23"/>
      <c r="W80" s="23"/>
    </row>
    <row r="81" spans="14:23" ht="12.75">
      <c r="N81" s="23"/>
      <c r="S81" s="23"/>
      <c r="V81" s="23"/>
      <c r="W81" s="23"/>
    </row>
    <row r="82" spans="14:23" ht="12.75">
      <c r="N82" s="23"/>
      <c r="S82" s="23"/>
      <c r="V82" s="23"/>
      <c r="W82" s="23"/>
    </row>
    <row r="83" spans="14:23" ht="12.75">
      <c r="N83" s="23"/>
      <c r="S83" s="23"/>
      <c r="V83" s="23"/>
      <c r="W83" s="23"/>
    </row>
    <row r="84" spans="14:23" ht="12.75">
      <c r="N84" s="23"/>
      <c r="S84" s="23"/>
      <c r="V84" s="23"/>
      <c r="W84" s="23"/>
    </row>
    <row r="85" spans="14:23" ht="12.75">
      <c r="N85" s="23"/>
      <c r="S85" s="23"/>
      <c r="V85" s="23"/>
      <c r="W85" s="23"/>
    </row>
    <row r="86" spans="14:23" ht="12.75">
      <c r="N86" s="23"/>
      <c r="S86" s="23"/>
      <c r="V86" s="23"/>
      <c r="W86" s="23"/>
    </row>
    <row r="87" spans="14:23" ht="12.75">
      <c r="N87" s="23"/>
      <c r="S87" s="23"/>
      <c r="V87" s="23"/>
      <c r="W87" s="23"/>
    </row>
    <row r="88" spans="14:23" ht="12.75">
      <c r="N88" s="23"/>
      <c r="S88" s="23"/>
      <c r="V88" s="23"/>
      <c r="W88" s="23"/>
    </row>
    <row r="89" spans="14:23" ht="12.75">
      <c r="N89" s="23"/>
      <c r="S89" s="23"/>
      <c r="V89" s="23"/>
      <c r="W89" s="23"/>
    </row>
    <row r="90" spans="14:23" ht="12.75">
      <c r="N90" s="23"/>
      <c r="S90" s="23"/>
      <c r="V90" s="23"/>
      <c r="W90" s="23"/>
    </row>
    <row r="91" spans="14:23" ht="12.75">
      <c r="N91" s="23"/>
      <c r="S91" s="23"/>
      <c r="V91" s="23"/>
      <c r="W91" s="23"/>
    </row>
    <row r="92" spans="14:23" ht="12.75">
      <c r="N92" s="23"/>
      <c r="S92" s="23"/>
      <c r="V92" s="23"/>
      <c r="W92" s="23"/>
    </row>
    <row r="93" spans="14:23" ht="12.75">
      <c r="N93" s="23"/>
      <c r="S93" s="23"/>
      <c r="V93" s="23"/>
      <c r="W93" s="23"/>
    </row>
    <row r="94" spans="14:23" ht="12.75">
      <c r="N94" s="23"/>
      <c r="S94" s="23"/>
      <c r="V94" s="23"/>
      <c r="W94" s="23"/>
    </row>
  </sheetData>
  <sheetProtection/>
  <mergeCells count="36">
    <mergeCell ref="L11:L21"/>
    <mergeCell ref="Q11:Q15"/>
    <mergeCell ref="V11:V15"/>
    <mergeCell ref="U17:V17"/>
    <mergeCell ref="U18:V18"/>
    <mergeCell ref="P18:Q18"/>
    <mergeCell ref="P19:Q19"/>
    <mergeCell ref="E4:F4"/>
    <mergeCell ref="Q9:R9"/>
    <mergeCell ref="K9:K10"/>
    <mergeCell ref="G9:J9"/>
    <mergeCell ref="F9:F10"/>
    <mergeCell ref="E9:E10"/>
    <mergeCell ref="B22:B29"/>
    <mergeCell ref="L22:L29"/>
    <mergeCell ref="B30:B35"/>
    <mergeCell ref="L30:L35"/>
    <mergeCell ref="B7:E7"/>
    <mergeCell ref="B9:B10"/>
    <mergeCell ref="C9:C10"/>
    <mergeCell ref="D9:D10"/>
    <mergeCell ref="L9:L10"/>
    <mergeCell ref="B11:B21"/>
    <mergeCell ref="B40:E40"/>
    <mergeCell ref="B42:B43"/>
    <mergeCell ref="C42:C43"/>
    <mergeCell ref="D42:D43"/>
    <mergeCell ref="E42:E43"/>
    <mergeCell ref="F42:F43"/>
    <mergeCell ref="B63:B68"/>
    <mergeCell ref="L63:L68"/>
    <mergeCell ref="G42:J42"/>
    <mergeCell ref="K42:K43"/>
    <mergeCell ref="L42:L43"/>
    <mergeCell ref="L44:L62"/>
    <mergeCell ref="B44:B6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K43"/>
  <sheetViews>
    <sheetView showGridLines="0" zoomScale="80" zoomScaleNormal="80" zoomScalePageLayoutView="0" workbookViewId="0" topLeftCell="A1">
      <selection activeCell="G46" sqref="G46"/>
    </sheetView>
  </sheetViews>
  <sheetFormatPr defaultColWidth="11.421875" defaultRowHeight="12.75"/>
  <cols>
    <col min="1" max="1" width="17.7109375" style="3" customWidth="1"/>
    <col min="2" max="2" width="58.7109375" style="3" bestFit="1" customWidth="1"/>
    <col min="3" max="3" width="16.7109375" style="17" customWidth="1"/>
    <col min="4" max="6" width="16.00390625" style="17" customWidth="1"/>
    <col min="7" max="7" width="14.140625" style="17" customWidth="1"/>
    <col min="8" max="8" width="17.28125" style="17" customWidth="1"/>
    <col min="9" max="10" width="17.57421875" style="17" customWidth="1"/>
    <col min="11" max="11" width="16.28125" style="17" customWidth="1"/>
    <col min="12" max="12" width="14.8515625" style="17" customWidth="1"/>
    <col min="13" max="13" width="17.28125" style="17" customWidth="1"/>
    <col min="14" max="14" width="14.140625" style="17" customWidth="1"/>
    <col min="15" max="16" width="16.140625" style="17" customWidth="1"/>
    <col min="17" max="17" width="14.140625" style="17" customWidth="1"/>
    <col min="18" max="18" width="16.57421875" style="3" customWidth="1"/>
    <col min="19" max="19" width="15.00390625" style="3" customWidth="1"/>
    <col min="20" max="21" width="15.421875" style="3" customWidth="1"/>
    <col min="22" max="22" width="14.421875" style="3" customWidth="1"/>
    <col min="23" max="16384" width="11.421875" style="3" customWidth="1"/>
  </cols>
  <sheetData>
    <row r="1" spans="2:245" s="5" customFormat="1" ht="12.75">
      <c r="B1" s="4"/>
      <c r="C1" s="6"/>
      <c r="D1" s="6"/>
      <c r="E1" s="34"/>
      <c r="F1" s="34"/>
      <c r="G1" s="34"/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2:245" s="5" customFormat="1" ht="12.75">
      <c r="B2" s="7"/>
      <c r="C2" s="6"/>
      <c r="D2" s="6"/>
      <c r="E2" s="34"/>
      <c r="F2" s="34"/>
      <c r="G2" s="34"/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2:245" s="5" customFormat="1" ht="13.5" thickBot="1">
      <c r="B3" s="3"/>
      <c r="IJ3" s="3"/>
      <c r="IK3" s="3"/>
    </row>
    <row r="4" spans="2:240" s="5" customFormat="1" ht="17.25" customHeight="1" thickBot="1">
      <c r="B4" s="17"/>
      <c r="C4" s="52"/>
      <c r="D4" s="52" t="s">
        <v>0</v>
      </c>
      <c r="E4" s="56" t="str">
        <f>+'[1]B) Tarifas y Ocupación'!D9</f>
        <v>BIENVALP</v>
      </c>
      <c r="F4" s="47"/>
      <c r="G4" s="47"/>
      <c r="H4" s="47"/>
      <c r="I4" s="52"/>
      <c r="J4" s="52"/>
      <c r="K4" s="52"/>
      <c r="L4" s="52"/>
      <c r="M4" s="52"/>
      <c r="N4" s="52"/>
      <c r="O4" s="52"/>
      <c r="P4" s="52"/>
      <c r="Q4" s="52"/>
      <c r="IA4" s="3"/>
      <c r="IB4" s="3"/>
      <c r="IC4" s="3"/>
      <c r="ID4" s="3"/>
      <c r="IE4" s="3"/>
      <c r="IF4" s="3"/>
    </row>
    <row r="5" spans="2:240" s="5" customFormat="1" ht="12.75">
      <c r="B5" s="17"/>
      <c r="C5" s="52"/>
      <c r="D5" s="52"/>
      <c r="E5" s="50"/>
      <c r="F5" s="50"/>
      <c r="G5" s="50"/>
      <c r="H5" s="50"/>
      <c r="I5" s="52"/>
      <c r="J5" s="52"/>
      <c r="K5" s="52"/>
      <c r="L5" s="52"/>
      <c r="M5" s="52"/>
      <c r="N5" s="52"/>
      <c r="O5" s="52"/>
      <c r="P5" s="52"/>
      <c r="Q5" s="52"/>
      <c r="IA5" s="3"/>
      <c r="IB5" s="3"/>
      <c r="IC5" s="3"/>
      <c r="ID5" s="3"/>
      <c r="IE5" s="3"/>
      <c r="IF5" s="3"/>
    </row>
    <row r="6" spans="1:240" s="5" customFormat="1" ht="15.75">
      <c r="A6" s="625" t="s">
        <v>81</v>
      </c>
      <c r="B6" s="625"/>
      <c r="C6" s="625"/>
      <c r="D6" s="52"/>
      <c r="E6" s="50"/>
      <c r="F6" s="50"/>
      <c r="G6" s="50"/>
      <c r="H6" s="50"/>
      <c r="I6" s="339"/>
      <c r="J6" s="52"/>
      <c r="K6" s="52"/>
      <c r="L6" s="52"/>
      <c r="M6" s="52"/>
      <c r="N6" s="52"/>
      <c r="O6" s="52"/>
      <c r="P6" s="52"/>
      <c r="Q6" s="52"/>
      <c r="IA6" s="3"/>
      <c r="IB6" s="3"/>
      <c r="IC6" s="3"/>
      <c r="ID6" s="3"/>
      <c r="IE6" s="3"/>
      <c r="IF6" s="3"/>
    </row>
    <row r="7" spans="2:240" s="5" customFormat="1" ht="13.5" thickBo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HX7" s="3"/>
      <c r="HY7" s="3"/>
      <c r="HZ7" s="3"/>
      <c r="IA7" s="3"/>
      <c r="IB7" s="3"/>
      <c r="IC7" s="3"/>
      <c r="ID7" s="3"/>
      <c r="IE7" s="3"/>
      <c r="IF7" s="3"/>
    </row>
    <row r="8" spans="1:17" ht="16.5" customHeight="1" thickBot="1">
      <c r="A8" s="515" t="s">
        <v>66</v>
      </c>
      <c r="B8" s="629" t="s">
        <v>4</v>
      </c>
      <c r="C8" s="626" t="s">
        <v>254</v>
      </c>
      <c r="D8" s="627"/>
      <c r="E8" s="627"/>
      <c r="F8" s="627"/>
      <c r="G8" s="628"/>
      <c r="H8" s="3"/>
      <c r="I8" s="617" t="s">
        <v>259</v>
      </c>
      <c r="J8" s="618"/>
      <c r="K8" s="618"/>
      <c r="L8" s="618"/>
      <c r="M8" s="619"/>
      <c r="N8" s="3"/>
      <c r="O8" s="3"/>
      <c r="P8" s="3"/>
      <c r="Q8" s="3"/>
    </row>
    <row r="9" spans="1:17" ht="46.5" customHeight="1" thickBot="1">
      <c r="A9" s="516"/>
      <c r="B9" s="630"/>
      <c r="C9" s="219" t="s">
        <v>115</v>
      </c>
      <c r="D9" s="220" t="s">
        <v>118</v>
      </c>
      <c r="E9" s="221" t="s">
        <v>119</v>
      </c>
      <c r="F9" s="221" t="s">
        <v>120</v>
      </c>
      <c r="G9" s="222" t="s">
        <v>117</v>
      </c>
      <c r="H9" s="3"/>
      <c r="I9" s="352" t="s">
        <v>115</v>
      </c>
      <c r="J9" s="353" t="s">
        <v>118</v>
      </c>
      <c r="K9" s="354" t="s">
        <v>119</v>
      </c>
      <c r="L9" s="354" t="s">
        <v>120</v>
      </c>
      <c r="M9" s="355" t="s">
        <v>117</v>
      </c>
      <c r="N9" s="3"/>
      <c r="O9" s="3"/>
      <c r="P9" s="3"/>
      <c r="Q9" s="3"/>
    </row>
    <row r="10" spans="1:13" s="9" customFormat="1" ht="12.75" customHeight="1">
      <c r="A10" s="631" t="str">
        <f>+'[1]B) Tarifas y Ocupación'!A16</f>
        <v>DALEGRÍA</v>
      </c>
      <c r="B10" s="446" t="str">
        <f>+'B) Tarifas y Ocupación'!B16</f>
        <v>PERMANENCIA MEDIA JORNADA (sin almuerzo)</v>
      </c>
      <c r="C10" s="223">
        <f>+'B) Tarifas y Ocupación'!C16</f>
        <v>79600</v>
      </c>
      <c r="D10" s="223">
        <f>+'B) Tarifas y Ocupación'!D16</f>
        <v>106400</v>
      </c>
      <c r="E10" s="223">
        <f>+'B) Tarifas y Ocupación'!E16</f>
        <v>106700</v>
      </c>
      <c r="F10" s="223">
        <f>+'B) Tarifas y Ocupación'!F16</f>
        <v>106700</v>
      </c>
      <c r="G10" s="224">
        <f>+'B) Tarifas y Ocupación'!G16</f>
        <v>146300</v>
      </c>
      <c r="I10" s="351">
        <f>+C10-C29</f>
        <v>13300</v>
      </c>
      <c r="J10" s="351">
        <f>+D10-D29</f>
        <v>17800</v>
      </c>
      <c r="K10" s="351">
        <f>+E10-E29</f>
        <v>17800</v>
      </c>
      <c r="L10" s="351">
        <f>+F10-F29</f>
        <v>17800</v>
      </c>
      <c r="M10" s="351">
        <f>+G10-G29</f>
        <v>24400</v>
      </c>
    </row>
    <row r="11" spans="1:13" s="9" customFormat="1" ht="12.75" customHeight="1">
      <c r="A11" s="632"/>
      <c r="B11" s="445" t="str">
        <f>+'B) Tarifas y Ocupación'!B17</f>
        <v>PERMANENCIA J. COMPLETA (con almuerzo)</v>
      </c>
      <c r="C11" s="70">
        <f>+'B) Tarifas y Ocupación'!C17</f>
        <v>111500</v>
      </c>
      <c r="D11" s="70">
        <f>+'B) Tarifas y Ocupación'!D17</f>
        <v>156300</v>
      </c>
      <c r="E11" s="70">
        <f>+'B) Tarifas y Ocupación'!E17</f>
        <v>156500</v>
      </c>
      <c r="F11" s="70">
        <f>+'B) Tarifas y Ocupación'!F17</f>
        <v>156500</v>
      </c>
      <c r="G11" s="72">
        <f>+'B) Tarifas y Ocupación'!G17</f>
        <v>194200</v>
      </c>
      <c r="I11" s="350">
        <f>+C11-C31</f>
        <v>18600</v>
      </c>
      <c r="J11" s="350">
        <f>+D11-D31</f>
        <v>26100</v>
      </c>
      <c r="K11" s="350">
        <f>+E11-E31</f>
        <v>26100</v>
      </c>
      <c r="L11" s="350">
        <f>+F11-F31</f>
        <v>26100</v>
      </c>
      <c r="M11" s="350">
        <f>+G11-G31</f>
        <v>32400</v>
      </c>
    </row>
    <row r="12" spans="1:7" s="9" customFormat="1" ht="12.75" customHeight="1">
      <c r="A12" s="632"/>
      <c r="B12" s="445" t="str">
        <f>+'B) Tarifas y Ocupación'!B18</f>
        <v>AMBULATORIO OTROS DIAGNOSTICOS (8 Sesiones Mensuales)</v>
      </c>
      <c r="C12" s="70">
        <f>+'B) Tarifas y Ocupación'!C18</f>
        <v>65600</v>
      </c>
      <c r="D12" s="70">
        <f>+'B) Tarifas y Ocupación'!D18</f>
        <v>78720</v>
      </c>
      <c r="E12" s="70">
        <f>+'B) Tarifas y Ocupación'!E18</f>
        <v>85280</v>
      </c>
      <c r="F12" s="70">
        <f>+'B) Tarifas y Ocupación'!F18</f>
        <v>85280</v>
      </c>
      <c r="G12" s="72">
        <f>+'B) Tarifas y Ocupación'!G18</f>
        <v>98400</v>
      </c>
    </row>
    <row r="13" spans="1:7" s="9" customFormat="1" ht="12.75" customHeight="1">
      <c r="A13" s="632"/>
      <c r="B13" s="445" t="str">
        <f>+'B) Tarifas y Ocupación'!B19</f>
        <v>AMBULATORIO OTROS DIAGOSTICOS (12 Sesiones Mensuales)</v>
      </c>
      <c r="C13" s="70">
        <f>+'B) Tarifas y Ocupación'!C19</f>
        <v>98400</v>
      </c>
      <c r="D13" s="70">
        <f>+'B) Tarifas y Ocupación'!D19</f>
        <v>118080</v>
      </c>
      <c r="E13" s="70">
        <f>+'B) Tarifas y Ocupación'!E19</f>
        <v>127920</v>
      </c>
      <c r="F13" s="70">
        <f>+'B) Tarifas y Ocupación'!F19</f>
        <v>127920</v>
      </c>
      <c r="G13" s="72">
        <f>+'B) Tarifas y Ocupación'!G19</f>
        <v>147600</v>
      </c>
    </row>
    <row r="14" spans="1:7" s="9" customFormat="1" ht="12.75" customHeight="1">
      <c r="A14" s="632"/>
      <c r="B14" s="445" t="str">
        <f>+'B) Tarifas y Ocupación'!B20</f>
        <v>AMBULATORIO TEA (8 Sesiones Mensuales)</v>
      </c>
      <c r="C14" s="70">
        <f>+'B) Tarifas y Ocupación'!C20</f>
        <v>88000</v>
      </c>
      <c r="D14" s="70">
        <f>+'B) Tarifas y Ocupación'!D20</f>
        <v>105600</v>
      </c>
      <c r="E14" s="70">
        <f>+'B) Tarifas y Ocupación'!E20</f>
        <v>114400</v>
      </c>
      <c r="F14" s="70">
        <f>+'B) Tarifas y Ocupación'!F20</f>
        <v>114400</v>
      </c>
      <c r="G14" s="72">
        <f>+'B) Tarifas y Ocupación'!G20</f>
        <v>132000</v>
      </c>
    </row>
    <row r="15" spans="1:7" s="9" customFormat="1" ht="13.5" customHeight="1">
      <c r="A15" s="632"/>
      <c r="B15" s="445" t="str">
        <f>+'B) Tarifas y Ocupación'!B21</f>
        <v>AMBULATORIO TEA (12 Sesiones Mensuales)</v>
      </c>
      <c r="C15" s="70">
        <f>+'B) Tarifas y Ocupación'!C21</f>
        <v>132000</v>
      </c>
      <c r="D15" s="70">
        <f>+'B) Tarifas y Ocupación'!D21</f>
        <v>158400</v>
      </c>
      <c r="E15" s="70">
        <f>+'B) Tarifas y Ocupación'!E21</f>
        <v>171600</v>
      </c>
      <c r="F15" s="70">
        <f>+'B) Tarifas y Ocupación'!F21</f>
        <v>171600</v>
      </c>
      <c r="G15" s="72">
        <f>+'B) Tarifas y Ocupación'!G21</f>
        <v>198000</v>
      </c>
    </row>
    <row r="16" spans="1:7" s="9" customFormat="1" ht="13.5" customHeight="1">
      <c r="A16" s="632"/>
      <c r="B16" s="445" t="str">
        <f>+'B) Tarifas y Ocupación'!B22</f>
        <v>PLAN DE ARTICULACION OTROS DIAGNÓSTICOS</v>
      </c>
      <c r="C16" s="70">
        <f>+'B) Tarifas y Ocupación'!C22</f>
        <v>16400</v>
      </c>
      <c r="D16" s="70">
        <f>+'B) Tarifas y Ocupación'!D22</f>
        <v>19680</v>
      </c>
      <c r="E16" s="70">
        <f>+'B) Tarifas y Ocupación'!E22</f>
        <v>21320</v>
      </c>
      <c r="F16" s="70">
        <f>+'B) Tarifas y Ocupación'!F22</f>
        <v>21320</v>
      </c>
      <c r="G16" s="72">
        <f>+'B) Tarifas y Ocupación'!G22</f>
        <v>24600</v>
      </c>
    </row>
    <row r="17" spans="1:7" s="9" customFormat="1" ht="13.5" customHeight="1">
      <c r="A17" s="632"/>
      <c r="B17" s="445" t="str">
        <f>+'B) Tarifas y Ocupación'!B23</f>
        <v>PLAN DE ARTICULACION TEA</v>
      </c>
      <c r="C17" s="70">
        <f>+'B) Tarifas y Ocupación'!C23</f>
        <v>22000</v>
      </c>
      <c r="D17" s="70">
        <f>+'B) Tarifas y Ocupación'!D23</f>
        <v>26400</v>
      </c>
      <c r="E17" s="70">
        <f>+'B) Tarifas y Ocupación'!E23</f>
        <v>28600</v>
      </c>
      <c r="F17" s="70">
        <f>+'B) Tarifas y Ocupación'!F23</f>
        <v>28600</v>
      </c>
      <c r="G17" s="72">
        <f>+'B) Tarifas y Ocupación'!G23</f>
        <v>33000</v>
      </c>
    </row>
    <row r="18" spans="1:7" s="9" customFormat="1" ht="13.5" customHeight="1">
      <c r="A18" s="632"/>
      <c r="B18" s="445" t="str">
        <f>+'B) Tarifas y Ocupación'!B24</f>
        <v>EVALUACIÓN OTROS DIAGNOSTICOS 8 SESIONES</v>
      </c>
      <c r="C18" s="70">
        <f>+'B) Tarifas y Ocupación'!C24</f>
        <v>65600</v>
      </c>
      <c r="D18" s="70">
        <f>+'B) Tarifas y Ocupación'!D24</f>
        <v>78720</v>
      </c>
      <c r="E18" s="70">
        <f>+'B) Tarifas y Ocupación'!E24</f>
        <v>85280</v>
      </c>
      <c r="F18" s="70">
        <f>+'B) Tarifas y Ocupación'!F24</f>
        <v>85280</v>
      </c>
      <c r="G18" s="72">
        <f>+'B) Tarifas y Ocupación'!G24</f>
        <v>98400</v>
      </c>
    </row>
    <row r="19" spans="1:7" s="9" customFormat="1" ht="13.5" customHeight="1">
      <c r="A19" s="632"/>
      <c r="B19" s="445" t="str">
        <f>+'B) Tarifas y Ocupación'!B25</f>
        <v>EVALUACIÓN TEA 8 SESIONES</v>
      </c>
      <c r="C19" s="70">
        <f>+'B) Tarifas y Ocupación'!C25</f>
        <v>88000</v>
      </c>
      <c r="D19" s="70">
        <f>+'B) Tarifas y Ocupación'!D25</f>
        <v>105600</v>
      </c>
      <c r="E19" s="70">
        <f>+'B) Tarifas y Ocupación'!E25</f>
        <v>114400</v>
      </c>
      <c r="F19" s="70">
        <f>+'B) Tarifas y Ocupación'!F25</f>
        <v>114400</v>
      </c>
      <c r="G19" s="72">
        <f>+'B) Tarifas y Ocupación'!G25</f>
        <v>132000</v>
      </c>
    </row>
    <row r="20" spans="1:7" s="9" customFormat="1" ht="13.5" customHeight="1">
      <c r="A20" s="632"/>
      <c r="B20" s="445" t="str">
        <f>+'B) Tarifas y Ocupación'!B26</f>
        <v>EVALUACIÓN OTROS DIAGNOSTICOS 9 A 12 SESIONES</v>
      </c>
      <c r="C20" s="70">
        <f>+'B) Tarifas y Ocupación'!C26</f>
        <v>98400</v>
      </c>
      <c r="D20" s="70">
        <f>+'B) Tarifas y Ocupación'!D26</f>
        <v>118080</v>
      </c>
      <c r="E20" s="70">
        <f>+'B) Tarifas y Ocupación'!E26</f>
        <v>127920</v>
      </c>
      <c r="F20" s="70">
        <f>+'B) Tarifas y Ocupación'!F26</f>
        <v>127920</v>
      </c>
      <c r="G20" s="72">
        <f>+'B) Tarifas y Ocupación'!G26</f>
        <v>147600</v>
      </c>
    </row>
    <row r="21" spans="1:7" s="9" customFormat="1" ht="13.5" customHeight="1">
      <c r="A21" s="632"/>
      <c r="B21" s="445" t="str">
        <f>+'B) Tarifas y Ocupación'!B27</f>
        <v>EVALUACIÓN TEA DE 9 A 12 SESIONES</v>
      </c>
      <c r="C21" s="70">
        <f>+'B) Tarifas y Ocupación'!C27</f>
        <v>132000</v>
      </c>
      <c r="D21" s="70">
        <f>+'B) Tarifas y Ocupación'!D27</f>
        <v>158400</v>
      </c>
      <c r="E21" s="70">
        <f>+'B) Tarifas y Ocupación'!E27</f>
        <v>171600</v>
      </c>
      <c r="F21" s="70">
        <f>+'B) Tarifas y Ocupación'!F27</f>
        <v>171600</v>
      </c>
      <c r="G21" s="72">
        <f>+'B) Tarifas y Ocupación'!G27</f>
        <v>198000</v>
      </c>
    </row>
    <row r="22" spans="1:7" s="9" customFormat="1" ht="13.5" customHeight="1" thickBot="1">
      <c r="A22" s="633"/>
      <c r="B22" s="447" t="str">
        <f>+'B) Tarifas y Ocupación'!B28</f>
        <v>CONVENIO DIRECSAN</v>
      </c>
      <c r="C22" s="71">
        <f>+'B) Tarifas y Ocupación'!C28</f>
        <v>132000</v>
      </c>
      <c r="D22" s="71">
        <f>+'B) Tarifas y Ocupación'!D28</f>
        <v>0</v>
      </c>
      <c r="E22" s="71">
        <f>+'B) Tarifas y Ocupación'!E28</f>
        <v>0</v>
      </c>
      <c r="F22" s="71">
        <f>+'B) Tarifas y Ocupación'!F28</f>
        <v>0</v>
      </c>
      <c r="G22" s="73">
        <f>+'B) Tarifas y Ocupación'!G28</f>
        <v>0</v>
      </c>
    </row>
    <row r="23" spans="3:7" ht="12.75">
      <c r="C23" s="348"/>
      <c r="D23" s="348"/>
      <c r="E23" s="348"/>
      <c r="F23" s="348"/>
      <c r="G23" s="348"/>
    </row>
    <row r="26" ht="13.5" thickBot="1"/>
    <row r="27" spans="2:7" ht="15.75">
      <c r="B27" s="620" t="s">
        <v>4</v>
      </c>
      <c r="C27" s="622" t="s">
        <v>253</v>
      </c>
      <c r="D27" s="623"/>
      <c r="E27" s="623"/>
      <c r="F27" s="623"/>
      <c r="G27" s="624"/>
    </row>
    <row r="28" spans="2:7" ht="39" thickBot="1">
      <c r="B28" s="621"/>
      <c r="C28" s="305" t="s">
        <v>115</v>
      </c>
      <c r="D28" s="306" t="s">
        <v>116</v>
      </c>
      <c r="E28" s="306" t="s">
        <v>112</v>
      </c>
      <c r="F28" s="306" t="s">
        <v>121</v>
      </c>
      <c r="G28" s="307" t="s">
        <v>117</v>
      </c>
    </row>
    <row r="29" spans="2:7" ht="12.75">
      <c r="B29" s="313" t="s">
        <v>249</v>
      </c>
      <c r="C29" s="319">
        <v>66300</v>
      </c>
      <c r="D29" s="310">
        <v>88600</v>
      </c>
      <c r="E29" s="308">
        <v>88900</v>
      </c>
      <c r="F29" s="308">
        <v>88900</v>
      </c>
      <c r="G29" s="311">
        <v>121900</v>
      </c>
    </row>
    <row r="30" spans="2:7" ht="12.75">
      <c r="B30" s="312" t="s">
        <v>248</v>
      </c>
      <c r="C30" s="318">
        <v>83600</v>
      </c>
      <c r="D30" s="308">
        <v>119800</v>
      </c>
      <c r="E30" s="308">
        <v>119100</v>
      </c>
      <c r="F30" s="308">
        <v>119100</v>
      </c>
      <c r="G30" s="309">
        <v>158900</v>
      </c>
    </row>
    <row r="31" spans="2:7" ht="12.75">
      <c r="B31" s="313" t="s">
        <v>250</v>
      </c>
      <c r="C31" s="319">
        <v>92900</v>
      </c>
      <c r="D31" s="310">
        <v>130200</v>
      </c>
      <c r="E31" s="308">
        <v>130400</v>
      </c>
      <c r="F31" s="308">
        <v>130400</v>
      </c>
      <c r="G31" s="311">
        <v>161800</v>
      </c>
    </row>
    <row r="32" spans="2:7" ht="12.75">
      <c r="B32" s="313" t="s">
        <v>247</v>
      </c>
      <c r="C32" s="319">
        <v>58400</v>
      </c>
      <c r="D32" s="310">
        <v>88600</v>
      </c>
      <c r="E32" s="308">
        <v>88900</v>
      </c>
      <c r="F32" s="308">
        <v>88900</v>
      </c>
      <c r="G32" s="311">
        <v>115200</v>
      </c>
    </row>
    <row r="33" spans="2:7" ht="12.75">
      <c r="B33" s="313" t="s">
        <v>251</v>
      </c>
      <c r="C33" s="319">
        <v>39200</v>
      </c>
      <c r="D33" s="310">
        <v>39200</v>
      </c>
      <c r="E33" s="308">
        <v>39900</v>
      </c>
      <c r="F33" s="308">
        <v>39900</v>
      </c>
      <c r="G33" s="311">
        <v>42100</v>
      </c>
    </row>
    <row r="34" spans="2:7" ht="13.5" thickBot="1">
      <c r="B34" s="314" t="s">
        <v>252</v>
      </c>
      <c r="C34" s="320">
        <v>61900</v>
      </c>
      <c r="D34" s="315">
        <v>61900</v>
      </c>
      <c r="E34" s="316">
        <v>61900</v>
      </c>
      <c r="F34" s="316">
        <v>61900</v>
      </c>
      <c r="G34" s="317">
        <v>66400</v>
      </c>
    </row>
    <row r="36" ht="12.75">
      <c r="G36" s="339"/>
    </row>
    <row r="37" spans="4:7" ht="12.75">
      <c r="D37" s="339"/>
      <c r="G37" s="339"/>
    </row>
    <row r="38" ht="12.75">
      <c r="G38" s="339"/>
    </row>
    <row r="39" ht="12.75">
      <c r="G39" s="339"/>
    </row>
    <row r="40" ht="12.75">
      <c r="G40" s="339"/>
    </row>
    <row r="41" ht="12.75">
      <c r="G41" s="339"/>
    </row>
    <row r="42" ht="12.75">
      <c r="G42" s="339"/>
    </row>
    <row r="43" ht="12.75">
      <c r="G43" s="339"/>
    </row>
  </sheetData>
  <sheetProtection/>
  <mergeCells count="8">
    <mergeCell ref="I8:M8"/>
    <mergeCell ref="B27:B28"/>
    <mergeCell ref="C27:G27"/>
    <mergeCell ref="A6:C6"/>
    <mergeCell ref="C8:G8"/>
    <mergeCell ref="A8:A9"/>
    <mergeCell ref="B8:B9"/>
    <mergeCell ref="A10:A22"/>
  </mergeCells>
  <printOptions/>
  <pageMargins left="0.75" right="0.75" top="1" bottom="0.6458333333333334" header="0" footer="0.5118055555555555"/>
  <pageSetup fitToHeight="14" fitToWidth="1" horizontalDpi="300" verticalDpi="300" orientation="landscape" r:id="rId1"/>
  <headerFooter alignWithMargins="0">
    <oddHeader>&amp;LSEPT - 2004&amp;CDIRECTIVA D.B.S.A.ORDINARIA&amp;R02-BS0307/02Pag &amp;P de &amp;N/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3:J35"/>
  <sheetViews>
    <sheetView zoomScalePageLayoutView="0" workbookViewId="0" topLeftCell="A4">
      <selection activeCell="M13" sqref="M13"/>
    </sheetView>
  </sheetViews>
  <sheetFormatPr defaultColWidth="11.421875" defaultRowHeight="12.75"/>
  <cols>
    <col min="1" max="1" width="11.421875" style="175" customWidth="1"/>
    <col min="2" max="2" width="27.7109375" style="175" customWidth="1"/>
    <col min="3" max="3" width="18.421875" style="175" customWidth="1"/>
    <col min="4" max="4" width="11.57421875" style="175" customWidth="1"/>
    <col min="5" max="5" width="14.140625" style="175" bestFit="1" customWidth="1"/>
    <col min="6" max="6" width="11.421875" style="175" customWidth="1"/>
    <col min="7" max="7" width="23.140625" style="175" customWidth="1"/>
    <col min="8" max="8" width="17.00390625" style="175" customWidth="1"/>
    <col min="9" max="9" width="11.421875" style="175" customWidth="1"/>
    <col min="10" max="10" width="14.140625" style="175" bestFit="1" customWidth="1"/>
    <col min="11" max="16384" width="11.421875" style="175" customWidth="1"/>
  </cols>
  <sheetData>
    <row r="3" spans="2:7" ht="21" customHeight="1">
      <c r="B3" s="634" t="s">
        <v>176</v>
      </c>
      <c r="C3" s="634"/>
      <c r="D3" s="634"/>
      <c r="G3" s="233" t="s">
        <v>185</v>
      </c>
    </row>
    <row r="5" spans="2:10" s="214" customFormat="1" ht="21" customHeight="1">
      <c r="B5" s="216" t="s">
        <v>174</v>
      </c>
      <c r="C5" s="216" t="s">
        <v>175</v>
      </c>
      <c r="D5" s="216" t="s">
        <v>39</v>
      </c>
      <c r="E5" s="216" t="s">
        <v>5</v>
      </c>
      <c r="G5" s="216" t="s">
        <v>174</v>
      </c>
      <c r="H5" s="216" t="s">
        <v>175</v>
      </c>
      <c r="I5" s="216" t="s">
        <v>39</v>
      </c>
      <c r="J5" s="216" t="s">
        <v>5</v>
      </c>
    </row>
    <row r="6" spans="2:10" s="180" customFormat="1" ht="31.5" customHeight="1">
      <c r="B6" s="289" t="s">
        <v>177</v>
      </c>
      <c r="C6" s="287">
        <v>63990</v>
      </c>
      <c r="D6" s="288">
        <v>2</v>
      </c>
      <c r="E6" s="287">
        <f aca="true" t="shared" si="0" ref="E6:E15">C6*D6</f>
        <v>127980</v>
      </c>
      <c r="G6" s="286" t="s">
        <v>187</v>
      </c>
      <c r="H6" s="287">
        <v>550000</v>
      </c>
      <c r="I6" s="288">
        <v>1</v>
      </c>
      <c r="J6" s="287">
        <f aca="true" t="shared" si="1" ref="J6:J14">H6*I6</f>
        <v>550000</v>
      </c>
    </row>
    <row r="7" spans="2:10" s="180" customFormat="1" ht="31.5" customHeight="1">
      <c r="B7" s="289" t="s">
        <v>178</v>
      </c>
      <c r="C7" s="287">
        <v>52990</v>
      </c>
      <c r="D7" s="288">
        <v>2</v>
      </c>
      <c r="E7" s="287">
        <f t="shared" si="0"/>
        <v>105980</v>
      </c>
      <c r="G7" s="286" t="s">
        <v>188</v>
      </c>
      <c r="H7" s="287">
        <v>650000</v>
      </c>
      <c r="I7" s="289">
        <v>1</v>
      </c>
      <c r="J7" s="287">
        <f t="shared" si="1"/>
        <v>650000</v>
      </c>
    </row>
    <row r="8" spans="2:10" s="180" customFormat="1" ht="31.5" customHeight="1">
      <c r="B8" s="286" t="s">
        <v>183</v>
      </c>
      <c r="C8" s="287">
        <v>39990</v>
      </c>
      <c r="D8" s="288">
        <v>4</v>
      </c>
      <c r="E8" s="287">
        <f t="shared" si="0"/>
        <v>159960</v>
      </c>
      <c r="G8" s="217" t="s">
        <v>186</v>
      </c>
      <c r="H8" s="251">
        <v>580000</v>
      </c>
      <c r="I8" s="215">
        <v>0</v>
      </c>
      <c r="J8" s="252">
        <f t="shared" si="1"/>
        <v>0</v>
      </c>
    </row>
    <row r="9" spans="2:10" s="180" customFormat="1" ht="31.5" customHeight="1">
      <c r="B9" s="289" t="s">
        <v>184</v>
      </c>
      <c r="C9" s="287">
        <v>180490</v>
      </c>
      <c r="D9" s="288">
        <v>2</v>
      </c>
      <c r="E9" s="287">
        <f t="shared" si="0"/>
        <v>360980</v>
      </c>
      <c r="G9" s="286" t="s">
        <v>189</v>
      </c>
      <c r="H9" s="287">
        <v>200000</v>
      </c>
      <c r="I9" s="289">
        <v>1</v>
      </c>
      <c r="J9" s="287">
        <f t="shared" si="1"/>
        <v>200000</v>
      </c>
    </row>
    <row r="10" spans="2:10" s="180" customFormat="1" ht="31.5" customHeight="1">
      <c r="B10" s="289" t="s">
        <v>179</v>
      </c>
      <c r="C10" s="287">
        <v>30000</v>
      </c>
      <c r="D10" s="288">
        <v>2</v>
      </c>
      <c r="E10" s="287">
        <f t="shared" si="0"/>
        <v>60000</v>
      </c>
      <c r="G10" s="286" t="s">
        <v>190</v>
      </c>
      <c r="H10" s="287">
        <v>89990</v>
      </c>
      <c r="I10" s="289">
        <v>11</v>
      </c>
      <c r="J10" s="287">
        <f t="shared" si="1"/>
        <v>989890</v>
      </c>
    </row>
    <row r="11" spans="2:10" s="180" customFormat="1" ht="31.5" customHeight="1">
      <c r="B11" s="289" t="s">
        <v>180</v>
      </c>
      <c r="C11" s="287">
        <v>24900</v>
      </c>
      <c r="D11" s="288">
        <v>2</v>
      </c>
      <c r="E11" s="287">
        <f t="shared" si="0"/>
        <v>49800</v>
      </c>
      <c r="G11" s="217" t="s">
        <v>191</v>
      </c>
      <c r="H11" s="251">
        <v>7990</v>
      </c>
      <c r="I11" s="215">
        <v>1</v>
      </c>
      <c r="J11" s="252">
        <f t="shared" si="1"/>
        <v>7990</v>
      </c>
    </row>
    <row r="12" spans="2:10" s="180" customFormat="1" ht="31.5" customHeight="1">
      <c r="B12" s="289" t="s">
        <v>181</v>
      </c>
      <c r="C12" s="287">
        <v>47500</v>
      </c>
      <c r="D12" s="288">
        <v>2</v>
      </c>
      <c r="E12" s="287">
        <f t="shared" si="0"/>
        <v>95000</v>
      </c>
      <c r="G12" s="217" t="s">
        <v>192</v>
      </c>
      <c r="H12" s="251">
        <v>7990</v>
      </c>
      <c r="I12" s="215">
        <v>1</v>
      </c>
      <c r="J12" s="252">
        <f t="shared" si="1"/>
        <v>7990</v>
      </c>
    </row>
    <row r="13" spans="2:10" s="180" customFormat="1" ht="31.5" customHeight="1">
      <c r="B13" s="289" t="s">
        <v>182</v>
      </c>
      <c r="C13" s="287">
        <v>11990</v>
      </c>
      <c r="D13" s="288">
        <v>4</v>
      </c>
      <c r="E13" s="287">
        <f t="shared" si="0"/>
        <v>47960</v>
      </c>
      <c r="G13" s="217" t="s">
        <v>193</v>
      </c>
      <c r="H13" s="251">
        <v>3990</v>
      </c>
      <c r="I13" s="215">
        <v>2</v>
      </c>
      <c r="J13" s="252">
        <f t="shared" si="1"/>
        <v>7980</v>
      </c>
    </row>
    <row r="14" spans="2:10" s="180" customFormat="1" ht="31.5" customHeight="1">
      <c r="B14" s="286" t="s">
        <v>198</v>
      </c>
      <c r="C14" s="287">
        <v>419990</v>
      </c>
      <c r="D14" s="288">
        <v>5</v>
      </c>
      <c r="E14" s="287">
        <f t="shared" si="0"/>
        <v>2099950</v>
      </c>
      <c r="G14" s="215" t="s">
        <v>194</v>
      </c>
      <c r="H14" s="250">
        <v>18990</v>
      </c>
      <c r="I14" s="215">
        <v>1</v>
      </c>
      <c r="J14" s="252">
        <f t="shared" si="1"/>
        <v>18990</v>
      </c>
    </row>
    <row r="15" spans="2:10" s="180" customFormat="1" ht="31.5" customHeight="1">
      <c r="B15" s="386" t="s">
        <v>199</v>
      </c>
      <c r="C15" s="388">
        <v>220000</v>
      </c>
      <c r="D15" s="389">
        <v>0</v>
      </c>
      <c r="E15" s="387">
        <f t="shared" si="0"/>
        <v>0</v>
      </c>
      <c r="G15" s="215" t="s">
        <v>195</v>
      </c>
      <c r="H15" s="250">
        <v>18990</v>
      </c>
      <c r="I15" s="215">
        <v>2</v>
      </c>
      <c r="J15" s="252">
        <f aca="true" t="shared" si="2" ref="J15:J25">H15*I15</f>
        <v>37980</v>
      </c>
    </row>
    <row r="16" spans="2:10" s="180" customFormat="1" ht="31.5" customHeight="1">
      <c r="B16" s="255" t="s">
        <v>207</v>
      </c>
      <c r="C16" s="259"/>
      <c r="D16" s="260"/>
      <c r="E16" s="261"/>
      <c r="G16" s="217" t="s">
        <v>196</v>
      </c>
      <c r="H16" s="250">
        <v>94500</v>
      </c>
      <c r="I16" s="215">
        <v>2</v>
      </c>
      <c r="J16" s="252">
        <f t="shared" si="2"/>
        <v>189000</v>
      </c>
    </row>
    <row r="17" spans="2:10" ht="12.75">
      <c r="B17" s="234" t="s">
        <v>208</v>
      </c>
      <c r="C17" s="256">
        <v>180000</v>
      </c>
      <c r="D17" s="257">
        <v>0</v>
      </c>
      <c r="E17" s="258">
        <f aca="true" t="shared" si="3" ref="E17:E23">C17*D17</f>
        <v>0</v>
      </c>
      <c r="G17" s="234" t="s">
        <v>197</v>
      </c>
      <c r="H17" s="250">
        <v>9990</v>
      </c>
      <c r="I17" s="234">
        <v>1</v>
      </c>
      <c r="J17" s="252">
        <f t="shared" si="2"/>
        <v>9990</v>
      </c>
    </row>
    <row r="18" spans="2:10" ht="12.75">
      <c r="B18" s="234" t="s">
        <v>209</v>
      </c>
      <c r="C18" s="253">
        <v>449990</v>
      </c>
      <c r="D18" s="234">
        <v>0</v>
      </c>
      <c r="E18" s="250">
        <f t="shared" si="3"/>
        <v>0</v>
      </c>
      <c r="G18" s="234" t="s">
        <v>202</v>
      </c>
      <c r="H18" s="250">
        <v>654500</v>
      </c>
      <c r="I18" s="234">
        <v>1</v>
      </c>
      <c r="J18" s="252">
        <f t="shared" si="2"/>
        <v>654500</v>
      </c>
    </row>
    <row r="19" spans="2:10" ht="25.5">
      <c r="B19" s="234" t="s">
        <v>210</v>
      </c>
      <c r="C19" s="253">
        <v>359990</v>
      </c>
      <c r="D19" s="234">
        <v>0</v>
      </c>
      <c r="E19" s="250">
        <f t="shared" si="3"/>
        <v>0</v>
      </c>
      <c r="G19" s="217" t="s">
        <v>200</v>
      </c>
      <c r="H19" s="251">
        <v>115000</v>
      </c>
      <c r="I19" s="215">
        <v>1</v>
      </c>
      <c r="J19" s="252">
        <f t="shared" si="2"/>
        <v>115000</v>
      </c>
    </row>
    <row r="20" spans="2:10" ht="25.5">
      <c r="B20" s="234" t="s">
        <v>212</v>
      </c>
      <c r="C20" s="254">
        <v>114000</v>
      </c>
      <c r="D20" s="234">
        <v>0</v>
      </c>
      <c r="E20" s="250">
        <f t="shared" si="3"/>
        <v>0</v>
      </c>
      <c r="G20" s="217" t="s">
        <v>201</v>
      </c>
      <c r="H20" s="251">
        <v>50000</v>
      </c>
      <c r="I20" s="215">
        <v>1</v>
      </c>
      <c r="J20" s="252">
        <f t="shared" si="2"/>
        <v>50000</v>
      </c>
    </row>
    <row r="21" spans="2:10" ht="12.75">
      <c r="B21" s="234" t="s">
        <v>213</v>
      </c>
      <c r="C21" s="253">
        <v>119000</v>
      </c>
      <c r="D21" s="234">
        <v>0</v>
      </c>
      <c r="E21" s="250">
        <f t="shared" si="3"/>
        <v>0</v>
      </c>
      <c r="G21" s="217" t="s">
        <v>242</v>
      </c>
      <c r="H21" s="251">
        <v>350000</v>
      </c>
      <c r="I21" s="215">
        <v>1</v>
      </c>
      <c r="J21" s="252">
        <f t="shared" si="2"/>
        <v>350000</v>
      </c>
    </row>
    <row r="22" spans="2:10" ht="12.75">
      <c r="B22" s="234" t="s">
        <v>211</v>
      </c>
      <c r="C22" s="253">
        <v>56990</v>
      </c>
      <c r="D22" s="234">
        <v>0</v>
      </c>
      <c r="E22" s="250">
        <f t="shared" si="3"/>
        <v>0</v>
      </c>
      <c r="G22" s="217" t="s">
        <v>243</v>
      </c>
      <c r="H22" s="251">
        <v>70000</v>
      </c>
      <c r="I22" s="215">
        <v>1</v>
      </c>
      <c r="J22" s="252">
        <f t="shared" si="2"/>
        <v>70000</v>
      </c>
    </row>
    <row r="23" spans="2:10" ht="38.25">
      <c r="B23" s="289" t="s">
        <v>240</v>
      </c>
      <c r="C23" s="287">
        <v>100990</v>
      </c>
      <c r="D23" s="289">
        <v>14</v>
      </c>
      <c r="E23" s="287">
        <f t="shared" si="3"/>
        <v>1413860</v>
      </c>
      <c r="G23" s="285" t="s">
        <v>244</v>
      </c>
      <c r="H23" s="251">
        <v>90000</v>
      </c>
      <c r="I23" s="215">
        <v>1</v>
      </c>
      <c r="J23" s="252">
        <f t="shared" si="2"/>
        <v>90000</v>
      </c>
    </row>
    <row r="24" spans="4:10" ht="15.75">
      <c r="D24" s="283" t="s">
        <v>151</v>
      </c>
      <c r="E24" s="284">
        <f>SUM(E6:E23)</f>
        <v>4521470</v>
      </c>
      <c r="G24" s="234" t="s">
        <v>245</v>
      </c>
      <c r="H24" s="251">
        <v>300000</v>
      </c>
      <c r="I24" s="215">
        <v>1</v>
      </c>
      <c r="J24" s="252">
        <f t="shared" si="2"/>
        <v>300000</v>
      </c>
    </row>
    <row r="25" spans="7:10" ht="12.75">
      <c r="G25" s="234"/>
      <c r="H25" s="251"/>
      <c r="I25" s="234"/>
      <c r="J25" s="252">
        <f t="shared" si="2"/>
        <v>0</v>
      </c>
    </row>
    <row r="27" spans="2:3" ht="15.75">
      <c r="B27" s="290">
        <f>SUM(E6:E15)+E23</f>
        <v>4521470</v>
      </c>
      <c r="C27" s="291" t="s">
        <v>241</v>
      </c>
    </row>
    <row r="29" spans="9:10" ht="15.75">
      <c r="I29" s="283" t="s">
        <v>151</v>
      </c>
      <c r="J29" s="284">
        <f>SUM(J6:J25)</f>
        <v>4299310</v>
      </c>
    </row>
    <row r="31" spans="2:8" ht="31.5">
      <c r="B31" s="293" t="s">
        <v>257</v>
      </c>
      <c r="C31" s="363"/>
      <c r="D31" s="363"/>
      <c r="E31" s="293">
        <v>3038768</v>
      </c>
      <c r="G31" s="292" t="s">
        <v>246</v>
      </c>
      <c r="H31" s="293">
        <f>SUM(J6:J10)</f>
        <v>2389890</v>
      </c>
    </row>
    <row r="35" spans="2:3" ht="31.5">
      <c r="B35" s="374" t="s">
        <v>266</v>
      </c>
      <c r="C35" s="375">
        <f>+B27+E31+H31</f>
        <v>9950128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340 Loreto Mondaca</cp:lastModifiedBy>
  <cp:lastPrinted>2017-09-14T16:34:08Z</cp:lastPrinted>
  <dcterms:created xsi:type="dcterms:W3CDTF">2017-05-11T00:45:10Z</dcterms:created>
  <dcterms:modified xsi:type="dcterms:W3CDTF">2022-06-06T19:52:52Z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