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mondaca.DIREBIEN\Desktop\EDUCACIONAL TARIFAS AJUSTADAS 2018 (FINAL)\"/>
    </mc:Choice>
  </mc:AlternateContent>
  <bookViews>
    <workbookView xWindow="0" yWindow="0" windowWidth="19200" windowHeight="8820" tabRatio="910" activeTab="1"/>
  </bookViews>
  <sheets>
    <sheet name="Ap. 1 Est. Precios " sheetId="5" r:id="rId1"/>
    <sheet name="Ap. 2 Ingresos C. Benef." sheetId="1" r:id="rId2"/>
    <sheet name="Ap. 3 Costos Directos" sheetId="2" r:id="rId3"/>
    <sheet name="Ap. 4 Costos Indirectos" sheetId="3" r:id="rId4"/>
    <sheet name="Ap. 5 Tarifado " sheetId="4" r:id="rId5"/>
    <sheet name="Ap. 6 Remuneraciones" sheetId="9" r:id="rId6"/>
    <sheet name="SUELDOS" sheetId="7" r:id="rId7"/>
  </sheets>
  <definedNames>
    <definedName name="__xlnm_Print_Titles_2">NA()</definedName>
    <definedName name="_xlnm.Print_Area" localSheetId="0">'Ap. 1 Est. Precios '!$A$1:$E$29</definedName>
    <definedName name="_xlnm.Print_Area" localSheetId="1">'Ap. 2 Ingresos C. Benef.'!$A$1:$O$26</definedName>
    <definedName name="_xlnm.Print_Area" localSheetId="2">'Ap. 3 Costos Directos'!$B$7:$H$93</definedName>
    <definedName name="_xlnm.Print_Area" localSheetId="3">'Ap. 4 Costos Indirectos'!$A$1:$B$9</definedName>
    <definedName name="_xlnm.Print_Area" localSheetId="4">'Ap. 5 Tarifado '!$A$1:$J$12</definedName>
    <definedName name="Excel_BuiltIn_Print_Area_1_1">NA()</definedName>
    <definedName name="Excel_BuiltIn_Print_Area_2_1">'Ap. 3 Costos Directos'!$A$1:$H$66</definedName>
    <definedName name="Excel_BuiltIn_Print_Area_4_1">NA()</definedName>
    <definedName name="Excel_BuiltIn_Print_Area_5_1">NA()</definedName>
    <definedName name="Excel_BuiltIn_Print_Titles_4" localSheetId="5">NA()</definedName>
    <definedName name="Excel_BuiltIn_Print_Titles_4">'Ap. 5 Tarifado '!#REF!</definedName>
    <definedName name="Excel_BuiltIn_Print_Titles_5" localSheetId="5">NA()</definedName>
    <definedName name="Excel_BuiltIn_Print_Titles_5">'Ap. 1 Est. Precios '!#REF!</definedName>
    <definedName name="_xlnm.Print_Titles" localSheetId="1">'Ap. 2 Ingresos C. Benef.'!$1:$16</definedName>
    <definedName name="_xlnm.Print_Titles" localSheetId="2">'Ap. 3 Costos Directos'!$1:$8</definedName>
    <definedName name="_xlnm.Print_Titles" localSheetId="3">'Ap. 4 Costos Indirectos'!$7:$8</definedName>
  </definedNames>
  <calcPr calcId="162913"/>
</workbook>
</file>

<file path=xl/calcChain.xml><?xml version="1.0" encoding="utf-8"?>
<calcChain xmlns="http://schemas.openxmlformats.org/spreadsheetml/2006/main">
  <c r="E28" i="1" l="1"/>
  <c r="Q13" i="7" l="1"/>
  <c r="Q12" i="7"/>
  <c r="Q11" i="7"/>
  <c r="Q10" i="7"/>
  <c r="Q9" i="7"/>
  <c r="Q8" i="7"/>
  <c r="Q7" i="7"/>
  <c r="Q5" i="7"/>
  <c r="Q4" i="7"/>
  <c r="Q3" i="7"/>
  <c r="L13" i="7"/>
  <c r="L12" i="7"/>
  <c r="L11" i="7"/>
  <c r="L10" i="7"/>
  <c r="L9" i="7"/>
  <c r="L8" i="7"/>
  <c r="L7" i="7"/>
  <c r="L5" i="7"/>
  <c r="L4" i="7"/>
  <c r="L3" i="7"/>
  <c r="D56" i="2" l="1"/>
  <c r="E23" i="2" l="1"/>
  <c r="AH174" i="7" l="1"/>
  <c r="AH176" i="7"/>
  <c r="AH177" i="7"/>
  <c r="AH179" i="7"/>
  <c r="AH180" i="7"/>
  <c r="AH181" i="7"/>
  <c r="AH182" i="7"/>
  <c r="AH184" i="7"/>
  <c r="AH185" i="7"/>
  <c r="AH187" i="7"/>
  <c r="H36" i="2" l="1"/>
  <c r="D36" i="2"/>
  <c r="H88" i="2"/>
  <c r="D88" i="2"/>
  <c r="G20" i="2"/>
  <c r="L56" i="2"/>
  <c r="H52" i="2"/>
  <c r="D52" i="2"/>
  <c r="D43" i="2"/>
  <c r="F24" i="2"/>
  <c r="G83" i="2"/>
  <c r="H83" i="2"/>
  <c r="K74" i="2"/>
  <c r="K73" i="2"/>
  <c r="D47" i="2"/>
  <c r="D46" i="2"/>
  <c r="F23" i="2"/>
  <c r="AD189" i="7"/>
  <c r="N8" i="2"/>
  <c r="W147" i="7" l="1"/>
  <c r="AC147" i="7" s="1"/>
  <c r="W150" i="7"/>
  <c r="W168" i="7"/>
  <c r="AC168" i="7"/>
  <c r="W165" i="7"/>
  <c r="AC165" i="7" s="1"/>
  <c r="W186" i="7"/>
  <c r="W183" i="7"/>
  <c r="AD135" i="7"/>
  <c r="P3" i="7" l="1"/>
  <c r="L18" i="7"/>
  <c r="P18" i="7" s="1"/>
  <c r="Q18" i="7"/>
  <c r="L33" i="7"/>
  <c r="P33" i="7" s="1"/>
  <c r="Q33" i="7"/>
  <c r="L48" i="7"/>
  <c r="P48" i="7" s="1"/>
  <c r="Q48" i="7"/>
  <c r="L63" i="7"/>
  <c r="P63" i="7" s="1"/>
  <c r="Q63" i="7"/>
  <c r="L108" i="7"/>
  <c r="P108" i="7" s="1"/>
  <c r="Q108" i="7"/>
  <c r="L123" i="7"/>
  <c r="P123" i="7" s="1"/>
  <c r="Q123" i="7"/>
  <c r="AE123" i="7"/>
  <c r="AF123" i="7"/>
  <c r="AG123" i="7"/>
  <c r="L138" i="7"/>
  <c r="P138" i="7" s="1"/>
  <c r="Q138" i="7"/>
  <c r="U3" i="7" l="1"/>
  <c r="Z3" i="7"/>
  <c r="V3" i="7"/>
  <c r="R3" i="7"/>
  <c r="S3" i="7"/>
  <c r="X3" i="7"/>
  <c r="U18" i="7"/>
  <c r="Z18" i="7"/>
  <c r="V18" i="7"/>
  <c r="R18" i="7"/>
  <c r="S18" i="7"/>
  <c r="X18" i="7"/>
  <c r="AB18" i="7" s="1"/>
  <c r="U33" i="7"/>
  <c r="Z33" i="7"/>
  <c r="V33" i="7"/>
  <c r="R33" i="7"/>
  <c r="S33" i="7"/>
  <c r="X33" i="7"/>
  <c r="U48" i="7"/>
  <c r="Z48" i="7"/>
  <c r="V48" i="7"/>
  <c r="R48" i="7"/>
  <c r="S48" i="7"/>
  <c r="X48" i="7"/>
  <c r="AB48" i="7" s="1"/>
  <c r="S63" i="7"/>
  <c r="X63" i="7"/>
  <c r="U63" i="7"/>
  <c r="Z63" i="7"/>
  <c r="V63" i="7"/>
  <c r="R63" i="7"/>
  <c r="U108" i="7"/>
  <c r="Z108" i="7"/>
  <c r="V108" i="7"/>
  <c r="R108" i="7"/>
  <c r="S108" i="7"/>
  <c r="X108" i="7"/>
  <c r="AB108" i="7" s="1"/>
  <c r="U123" i="7"/>
  <c r="Z123" i="7"/>
  <c r="V123" i="7"/>
  <c r="R123" i="7"/>
  <c r="S123" i="7"/>
  <c r="X123" i="7"/>
  <c r="U138" i="7"/>
  <c r="Z138" i="7"/>
  <c r="V138" i="7"/>
  <c r="R138" i="7"/>
  <c r="S138" i="7"/>
  <c r="X138" i="7"/>
  <c r="AB138" i="7" s="1"/>
  <c r="J33" i="1"/>
  <c r="AB33" i="7" l="1"/>
  <c r="W138" i="7"/>
  <c r="AC138" i="7" s="1"/>
  <c r="AB3" i="7"/>
  <c r="AD3" i="7" s="1"/>
  <c r="Q13" i="2" s="1"/>
  <c r="AB123" i="7"/>
  <c r="AB63" i="7"/>
  <c r="W108" i="7"/>
  <c r="AC108" i="7" s="1"/>
  <c r="W3" i="7"/>
  <c r="W18" i="7"/>
  <c r="AC18" i="7" s="1"/>
  <c r="W33" i="7"/>
  <c r="AC33" i="7" s="1"/>
  <c r="W48" i="7"/>
  <c r="AC48" i="7" s="1"/>
  <c r="W63" i="7"/>
  <c r="AC63" i="7" s="1"/>
  <c r="W123" i="7"/>
  <c r="AH123" i="7" s="1"/>
  <c r="AE3" i="7" l="1"/>
  <c r="N10" i="2"/>
  <c r="AD188" i="7"/>
  <c r="AD191" i="7" s="1"/>
  <c r="AA188" i="7"/>
  <c r="O188" i="7"/>
  <c r="N188" i="7"/>
  <c r="M188" i="7"/>
  <c r="AG187" i="7"/>
  <c r="AF187" i="7"/>
  <c r="AE187" i="7"/>
  <c r="X187" i="7"/>
  <c r="Q187" i="7"/>
  <c r="L187" i="7"/>
  <c r="P187" i="7" s="1"/>
  <c r="AG185" i="7"/>
  <c r="AF185" i="7"/>
  <c r="AE185" i="7"/>
  <c r="Q185" i="7"/>
  <c r="L185" i="7"/>
  <c r="P185" i="7" s="1"/>
  <c r="AG184" i="7"/>
  <c r="AF184" i="7"/>
  <c r="AE184" i="7"/>
  <c r="Q184" i="7"/>
  <c r="L184" i="7"/>
  <c r="P184" i="7" s="1"/>
  <c r="AG182" i="7"/>
  <c r="AF182" i="7"/>
  <c r="AE182" i="7"/>
  <c r="Q182" i="7"/>
  <c r="P182" i="7"/>
  <c r="L182" i="7"/>
  <c r="AG181" i="7"/>
  <c r="AF181" i="7"/>
  <c r="AE181" i="7"/>
  <c r="Q181" i="7"/>
  <c r="L181" i="7"/>
  <c r="P181" i="7" s="1"/>
  <c r="AG180" i="7"/>
  <c r="AF180" i="7"/>
  <c r="AE180" i="7"/>
  <c r="Q180" i="7"/>
  <c r="L180" i="7"/>
  <c r="P180" i="7" s="1"/>
  <c r="AG179" i="7"/>
  <c r="AF179" i="7"/>
  <c r="AE179" i="7"/>
  <c r="V179" i="7"/>
  <c r="U179" i="7"/>
  <c r="Q179" i="7"/>
  <c r="L179" i="7"/>
  <c r="P179" i="7" s="1"/>
  <c r="AG178" i="7"/>
  <c r="AF178" i="7"/>
  <c r="AE178" i="7"/>
  <c r="P178" i="7"/>
  <c r="Z178" i="7" s="1"/>
  <c r="AG177" i="7"/>
  <c r="AF177" i="7"/>
  <c r="AE177" i="7"/>
  <c r="Q177" i="7"/>
  <c r="L177" i="7"/>
  <c r="P177" i="7" s="1"/>
  <c r="V177" i="7" s="1"/>
  <c r="AG176" i="7"/>
  <c r="AF176" i="7"/>
  <c r="AE176" i="7"/>
  <c r="Q176" i="7"/>
  <c r="L176" i="7"/>
  <c r="P176" i="7" s="1"/>
  <c r="AG174" i="7"/>
  <c r="AF174" i="7"/>
  <c r="AE174" i="7"/>
  <c r="Q174" i="7"/>
  <c r="P174" i="7"/>
  <c r="L174" i="7"/>
  <c r="AA170" i="7"/>
  <c r="O170" i="7"/>
  <c r="N170" i="7"/>
  <c r="M170" i="7"/>
  <c r="Q169" i="7"/>
  <c r="L169" i="7"/>
  <c r="P169" i="7" s="1"/>
  <c r="V169" i="7" s="1"/>
  <c r="Q167" i="7"/>
  <c r="P167" i="7"/>
  <c r="V167" i="7" s="1"/>
  <c r="L167" i="7"/>
  <c r="Q166" i="7"/>
  <c r="L166" i="7"/>
  <c r="P166" i="7" s="1"/>
  <c r="Q164" i="7"/>
  <c r="P164" i="7"/>
  <c r="S164" i="7" s="1"/>
  <c r="L164" i="7"/>
  <c r="Q163" i="7"/>
  <c r="L163" i="7"/>
  <c r="P163" i="7" s="1"/>
  <c r="V163" i="7" s="1"/>
  <c r="Q162" i="7"/>
  <c r="L162" i="7"/>
  <c r="P162" i="7" s="1"/>
  <c r="Z162" i="7" s="1"/>
  <c r="Q161" i="7"/>
  <c r="P161" i="7"/>
  <c r="L161" i="7"/>
  <c r="AC160" i="7"/>
  <c r="Q159" i="7"/>
  <c r="P159" i="7"/>
  <c r="R159" i="7" s="1"/>
  <c r="L159" i="7"/>
  <c r="Q158" i="7"/>
  <c r="P158" i="7"/>
  <c r="R158" i="7" s="1"/>
  <c r="L158" i="7"/>
  <c r="Q156" i="7"/>
  <c r="P156" i="7"/>
  <c r="V156" i="7" s="1"/>
  <c r="L156" i="7"/>
  <c r="AA152" i="7"/>
  <c r="O152" i="7"/>
  <c r="N152" i="7"/>
  <c r="M152" i="7"/>
  <c r="Q151" i="7"/>
  <c r="P151" i="7"/>
  <c r="L151" i="7"/>
  <c r="Q149" i="7"/>
  <c r="P149" i="7"/>
  <c r="U149" i="7" s="1"/>
  <c r="L149" i="7"/>
  <c r="Q148" i="7"/>
  <c r="P148" i="7"/>
  <c r="V148" i="7" s="1"/>
  <c r="L148" i="7"/>
  <c r="Q146" i="7"/>
  <c r="P146" i="7"/>
  <c r="L146" i="7"/>
  <c r="Q145" i="7"/>
  <c r="P145" i="7"/>
  <c r="V145" i="7" s="1"/>
  <c r="L145" i="7"/>
  <c r="Q144" i="7"/>
  <c r="P144" i="7"/>
  <c r="R144" i="7" s="1"/>
  <c r="L144" i="7"/>
  <c r="Q143" i="7"/>
  <c r="P143" i="7"/>
  <c r="L143" i="7"/>
  <c r="Q142" i="7"/>
  <c r="P142" i="7"/>
  <c r="X142" i="7" s="1"/>
  <c r="Q141" i="7"/>
  <c r="P141" i="7"/>
  <c r="U141" i="7" s="1"/>
  <c r="L141" i="7"/>
  <c r="Q140" i="7"/>
  <c r="P140" i="7"/>
  <c r="V140" i="7" s="1"/>
  <c r="L140" i="7"/>
  <c r="L152" i="7"/>
  <c r="AD134" i="7"/>
  <c r="AA134" i="7"/>
  <c r="O134" i="7"/>
  <c r="N134" i="7"/>
  <c r="M134" i="7"/>
  <c r="AG133" i="7"/>
  <c r="AF133" i="7"/>
  <c r="AE133" i="7"/>
  <c r="Q133" i="7"/>
  <c r="L133" i="7"/>
  <c r="P133" i="7" s="1"/>
  <c r="AG132" i="7"/>
  <c r="AF132" i="7"/>
  <c r="AE132" i="7"/>
  <c r="Q132" i="7"/>
  <c r="L132" i="7"/>
  <c r="P132" i="7" s="1"/>
  <c r="X132" i="7" s="1"/>
  <c r="AG131" i="7"/>
  <c r="AF131" i="7"/>
  <c r="AE131" i="7"/>
  <c r="Q131" i="7"/>
  <c r="L131" i="7"/>
  <c r="P131" i="7" s="1"/>
  <c r="AG130" i="7"/>
  <c r="AF130" i="7"/>
  <c r="AE130" i="7"/>
  <c r="Q130" i="7"/>
  <c r="P130" i="7"/>
  <c r="U130" i="7" s="1"/>
  <c r="L130" i="7"/>
  <c r="AG129" i="7"/>
  <c r="AF129" i="7"/>
  <c r="AE129" i="7"/>
  <c r="Q129" i="7"/>
  <c r="L129" i="7"/>
  <c r="P129" i="7" s="1"/>
  <c r="AG128" i="7"/>
  <c r="AF128" i="7"/>
  <c r="AE128" i="7"/>
  <c r="Q128" i="7"/>
  <c r="P128" i="7"/>
  <c r="L128" i="7"/>
  <c r="AG127" i="7"/>
  <c r="AF127" i="7"/>
  <c r="AE127" i="7"/>
  <c r="Q127" i="7"/>
  <c r="L127" i="7"/>
  <c r="P127" i="7" s="1"/>
  <c r="R127" i="7" s="1"/>
  <c r="AG126" i="7"/>
  <c r="AF126" i="7"/>
  <c r="AE126" i="7"/>
  <c r="P126" i="7"/>
  <c r="Z126" i="7" s="1"/>
  <c r="AG125" i="7"/>
  <c r="AF125" i="7"/>
  <c r="AE125" i="7"/>
  <c r="Q125" i="7"/>
  <c r="P125" i="7"/>
  <c r="L125" i="7"/>
  <c r="AG124" i="7"/>
  <c r="AF124" i="7"/>
  <c r="AE124" i="7"/>
  <c r="Q124" i="7"/>
  <c r="L124" i="7"/>
  <c r="P124" i="7" s="1"/>
  <c r="AA119" i="7"/>
  <c r="O119" i="7"/>
  <c r="N119" i="7"/>
  <c r="M119" i="7"/>
  <c r="Q118" i="7"/>
  <c r="L118" i="7"/>
  <c r="P118" i="7" s="1"/>
  <c r="Q117" i="7"/>
  <c r="P117" i="7"/>
  <c r="U117" i="7" s="1"/>
  <c r="L117" i="7"/>
  <c r="Q116" i="7"/>
  <c r="P116" i="7"/>
  <c r="L116" i="7"/>
  <c r="Q115" i="7"/>
  <c r="P115" i="7"/>
  <c r="L115" i="7"/>
  <c r="Q114" i="7"/>
  <c r="L114" i="7"/>
  <c r="P114" i="7" s="1"/>
  <c r="Q113" i="7"/>
  <c r="P113" i="7"/>
  <c r="R113" i="7" s="1"/>
  <c r="L113" i="7"/>
  <c r="Q112" i="7"/>
  <c r="L112" i="7"/>
  <c r="P112" i="7" s="1"/>
  <c r="P111" i="7"/>
  <c r="Q110" i="7"/>
  <c r="L110" i="7"/>
  <c r="P110" i="7" s="1"/>
  <c r="Q109" i="7"/>
  <c r="L109" i="7"/>
  <c r="P109" i="7" s="1"/>
  <c r="AA104" i="7"/>
  <c r="O104" i="7"/>
  <c r="N104" i="7"/>
  <c r="M104" i="7"/>
  <c r="Q103" i="7"/>
  <c r="P103" i="7"/>
  <c r="X103" i="7" s="1"/>
  <c r="L103" i="7"/>
  <c r="Q102" i="7"/>
  <c r="L102" i="7"/>
  <c r="P102" i="7" s="1"/>
  <c r="Q101" i="7"/>
  <c r="P101" i="7"/>
  <c r="L101" i="7"/>
  <c r="Q100" i="7"/>
  <c r="L100" i="7"/>
  <c r="P100" i="7" s="1"/>
  <c r="V100" i="7" s="1"/>
  <c r="Q99" i="7"/>
  <c r="L99" i="7"/>
  <c r="P99" i="7" s="1"/>
  <c r="Q98" i="7"/>
  <c r="P98" i="7"/>
  <c r="L98" i="7"/>
  <c r="Q97" i="7"/>
  <c r="P97" i="7"/>
  <c r="V97" i="7" s="1"/>
  <c r="L97" i="7"/>
  <c r="Q96" i="7"/>
  <c r="P96" i="7"/>
  <c r="Q95" i="7"/>
  <c r="L95" i="7"/>
  <c r="P95" i="7" s="1"/>
  <c r="S95" i="7" s="1"/>
  <c r="Q94" i="7"/>
  <c r="L94" i="7"/>
  <c r="P94" i="7" s="1"/>
  <c r="S94" i="7" s="1"/>
  <c r="Q93" i="7"/>
  <c r="Q104" i="7" s="1"/>
  <c r="L93" i="7"/>
  <c r="P93" i="7" s="1"/>
  <c r="V93" i="7" s="1"/>
  <c r="AA89" i="7"/>
  <c r="O89" i="7"/>
  <c r="N89" i="7"/>
  <c r="M89" i="7"/>
  <c r="Q88" i="7"/>
  <c r="L88" i="7"/>
  <c r="P88" i="7" s="1"/>
  <c r="V88" i="7" s="1"/>
  <c r="Q87" i="7"/>
  <c r="P87" i="7"/>
  <c r="V87" i="7" s="1"/>
  <c r="L87" i="7"/>
  <c r="Q86" i="7"/>
  <c r="P86" i="7"/>
  <c r="L86" i="7"/>
  <c r="Q85" i="7"/>
  <c r="P85" i="7"/>
  <c r="R85" i="7" s="1"/>
  <c r="L85" i="7"/>
  <c r="Q84" i="7"/>
  <c r="P84" i="7"/>
  <c r="L84" i="7"/>
  <c r="Q83" i="7"/>
  <c r="P83" i="7"/>
  <c r="L83" i="7"/>
  <c r="Q82" i="7"/>
  <c r="P82" i="7"/>
  <c r="L82" i="7"/>
  <c r="AC81" i="7"/>
  <c r="Q80" i="7"/>
  <c r="L80" i="7"/>
  <c r="P80" i="7" s="1"/>
  <c r="S80" i="7" s="1"/>
  <c r="Q79" i="7"/>
  <c r="L79" i="7"/>
  <c r="P79" i="7" s="1"/>
  <c r="Q78" i="7"/>
  <c r="Q89" i="7" s="1"/>
  <c r="L78" i="7"/>
  <c r="P78" i="7" s="1"/>
  <c r="X78" i="7" s="1"/>
  <c r="AA74" i="7"/>
  <c r="O74" i="7"/>
  <c r="N74" i="7"/>
  <c r="M74" i="7"/>
  <c r="Q73" i="7"/>
  <c r="L73" i="7"/>
  <c r="P73" i="7" s="1"/>
  <c r="Q72" i="7"/>
  <c r="L72" i="7"/>
  <c r="P72" i="7" s="1"/>
  <c r="Q71" i="7"/>
  <c r="L71" i="7"/>
  <c r="P71" i="7" s="1"/>
  <c r="X71" i="7" s="1"/>
  <c r="Q70" i="7"/>
  <c r="L70" i="7"/>
  <c r="P70" i="7" s="1"/>
  <c r="S70" i="7" s="1"/>
  <c r="Q69" i="7"/>
  <c r="L69" i="7"/>
  <c r="P69" i="7" s="1"/>
  <c r="Q68" i="7"/>
  <c r="L68" i="7"/>
  <c r="P68" i="7" s="1"/>
  <c r="X68" i="7" s="1"/>
  <c r="Q67" i="7"/>
  <c r="L67" i="7"/>
  <c r="P67" i="7" s="1"/>
  <c r="R67" i="7" s="1"/>
  <c r="P66" i="7"/>
  <c r="S66" i="7" s="1"/>
  <c r="Q65" i="7"/>
  <c r="L65" i="7"/>
  <c r="P65" i="7" s="1"/>
  <c r="Q64" i="7"/>
  <c r="L64" i="7"/>
  <c r="L74" i="7" s="1"/>
  <c r="AA59" i="7"/>
  <c r="O59" i="7"/>
  <c r="N59" i="7"/>
  <c r="M59" i="7"/>
  <c r="Q58" i="7"/>
  <c r="L58" i="7"/>
  <c r="P58" i="7" s="1"/>
  <c r="Q57" i="7"/>
  <c r="L57" i="7"/>
  <c r="P57" i="7" s="1"/>
  <c r="Q56" i="7"/>
  <c r="P56" i="7"/>
  <c r="V56" i="7" s="1"/>
  <c r="L56" i="7"/>
  <c r="Q55" i="7"/>
  <c r="L55" i="7"/>
  <c r="P55" i="7" s="1"/>
  <c r="X55" i="7" s="1"/>
  <c r="Q54" i="7"/>
  <c r="L54" i="7"/>
  <c r="P54" i="7" s="1"/>
  <c r="Z54" i="7" s="1"/>
  <c r="Q53" i="7"/>
  <c r="L53" i="7"/>
  <c r="Q52" i="7"/>
  <c r="P52" i="7"/>
  <c r="L52" i="7"/>
  <c r="AC51" i="7"/>
  <c r="Q50" i="7"/>
  <c r="P50" i="7"/>
  <c r="U50" i="7" s="1"/>
  <c r="L50" i="7"/>
  <c r="Q49" i="7"/>
  <c r="P49" i="7"/>
  <c r="U49" i="7" s="1"/>
  <c r="L49" i="7"/>
  <c r="Q59" i="7"/>
  <c r="AA44" i="7"/>
  <c r="O44" i="7"/>
  <c r="N44" i="7"/>
  <c r="M44" i="7"/>
  <c r="Q43" i="7"/>
  <c r="P43" i="7"/>
  <c r="Z43" i="7" s="1"/>
  <c r="L43" i="7"/>
  <c r="Q42" i="7"/>
  <c r="P42" i="7"/>
  <c r="U42" i="7" s="1"/>
  <c r="L42" i="7"/>
  <c r="Q41" i="7"/>
  <c r="P41" i="7"/>
  <c r="U41" i="7" s="1"/>
  <c r="L41" i="7"/>
  <c r="Q40" i="7"/>
  <c r="P40" i="7"/>
  <c r="U40" i="7" s="1"/>
  <c r="L40" i="7"/>
  <c r="Q39" i="7"/>
  <c r="P39" i="7"/>
  <c r="U39" i="7" s="1"/>
  <c r="L39" i="7"/>
  <c r="Q38" i="7"/>
  <c r="P38" i="7"/>
  <c r="U38" i="7" s="1"/>
  <c r="L38" i="7"/>
  <c r="Q37" i="7"/>
  <c r="P37" i="7"/>
  <c r="L37" i="7"/>
  <c r="P36" i="7"/>
  <c r="V36" i="7" s="1"/>
  <c r="Q35" i="7"/>
  <c r="L35" i="7"/>
  <c r="P35" i="7" s="1"/>
  <c r="X35" i="7" s="1"/>
  <c r="Q34" i="7"/>
  <c r="L34" i="7"/>
  <c r="P34" i="7" s="1"/>
  <c r="S34" i="7" s="1"/>
  <c r="AA29" i="7"/>
  <c r="O29" i="7"/>
  <c r="N29" i="7"/>
  <c r="M29" i="7"/>
  <c r="Q28" i="7"/>
  <c r="L28" i="7"/>
  <c r="P28" i="7" s="1"/>
  <c r="S28" i="7" s="1"/>
  <c r="Q27" i="7"/>
  <c r="L27" i="7"/>
  <c r="P27" i="7" s="1"/>
  <c r="V27" i="7" s="1"/>
  <c r="Q26" i="7"/>
  <c r="L26" i="7"/>
  <c r="P26" i="7" s="1"/>
  <c r="X26" i="7" s="1"/>
  <c r="Q25" i="7"/>
  <c r="L25" i="7"/>
  <c r="P25" i="7" s="1"/>
  <c r="R25" i="7" s="1"/>
  <c r="Q24" i="7"/>
  <c r="L24" i="7"/>
  <c r="P24" i="7" s="1"/>
  <c r="S24" i="7" s="1"/>
  <c r="Q23" i="7"/>
  <c r="L23" i="7"/>
  <c r="P23" i="7" s="1"/>
  <c r="Q22" i="7"/>
  <c r="L22" i="7"/>
  <c r="P22" i="7" s="1"/>
  <c r="AC21" i="7"/>
  <c r="Q20" i="7"/>
  <c r="L20" i="7"/>
  <c r="P20" i="7" s="1"/>
  <c r="S20" i="7" s="1"/>
  <c r="Q19" i="7"/>
  <c r="L19" i="7"/>
  <c r="P19" i="7" s="1"/>
  <c r="AA14" i="7"/>
  <c r="O14" i="7"/>
  <c r="N14" i="7"/>
  <c r="M14" i="7"/>
  <c r="P13" i="7"/>
  <c r="U13" i="7" s="1"/>
  <c r="P12" i="7"/>
  <c r="P11" i="7"/>
  <c r="U11" i="7" s="1"/>
  <c r="P10" i="7"/>
  <c r="P9" i="7"/>
  <c r="V9" i="7" s="1"/>
  <c r="P8" i="7"/>
  <c r="S8" i="7" s="1"/>
  <c r="P7" i="7"/>
  <c r="P6" i="7"/>
  <c r="S6" i="7" s="1"/>
  <c r="P5" i="7"/>
  <c r="Z5" i="7" s="1"/>
  <c r="P4" i="7"/>
  <c r="S4" i="7" s="1"/>
  <c r="V127" i="7" l="1"/>
  <c r="R132" i="7"/>
  <c r="S132" i="7"/>
  <c r="Z20" i="7"/>
  <c r="S35" i="7"/>
  <c r="U159" i="7"/>
  <c r="U5" i="7"/>
  <c r="V158" i="7"/>
  <c r="S25" i="7"/>
  <c r="S26" i="7"/>
  <c r="Z41" i="7"/>
  <c r="U43" i="7"/>
  <c r="V144" i="7"/>
  <c r="V164" i="7"/>
  <c r="X25" i="7"/>
  <c r="R22" i="7"/>
  <c r="R34" i="7"/>
  <c r="V66" i="7"/>
  <c r="U6" i="7"/>
  <c r="R86" i="7"/>
  <c r="R87" i="7"/>
  <c r="R148" i="7"/>
  <c r="R5" i="7"/>
  <c r="Z6" i="7"/>
  <c r="U85" i="7"/>
  <c r="U163" i="7"/>
  <c r="R55" i="7"/>
  <c r="R72" i="7"/>
  <c r="V126" i="7"/>
  <c r="R143" i="7"/>
  <c r="S178" i="7"/>
  <c r="S54" i="7"/>
  <c r="S68" i="7"/>
  <c r="R71" i="7"/>
  <c r="S78" i="7"/>
  <c r="V94" i="7"/>
  <c r="S100" i="7"/>
  <c r="U113" i="7"/>
  <c r="Z132" i="7"/>
  <c r="AB132" i="7" s="1"/>
  <c r="V142" i="7"/>
  <c r="R149" i="7"/>
  <c r="U169" i="7"/>
  <c r="S177" i="7"/>
  <c r="U178" i="7"/>
  <c r="R35" i="7"/>
  <c r="Z39" i="7"/>
  <c r="R42" i="7"/>
  <c r="R43" i="7"/>
  <c r="S67" i="7"/>
  <c r="S71" i="7"/>
  <c r="X93" i="7"/>
  <c r="U100" i="7"/>
  <c r="Z141" i="7"/>
  <c r="Z167" i="7"/>
  <c r="AH188" i="7"/>
  <c r="U177" i="7"/>
  <c r="Z10" i="7"/>
  <c r="S10" i="7"/>
  <c r="S12" i="7"/>
  <c r="R12" i="7"/>
  <c r="R37" i="7"/>
  <c r="V96" i="7"/>
  <c r="U96" i="7"/>
  <c r="S96" i="7"/>
  <c r="Z96" i="7"/>
  <c r="X4" i="7"/>
  <c r="X12" i="7"/>
  <c r="X22" i="7"/>
  <c r="S22" i="7"/>
  <c r="Z49" i="7"/>
  <c r="X72" i="7"/>
  <c r="S72" i="7"/>
  <c r="X96" i="7"/>
  <c r="AB96" i="7" s="1"/>
  <c r="V133" i="7"/>
  <c r="U133" i="7"/>
  <c r="Z37" i="7"/>
  <c r="U37" i="7"/>
  <c r="U83" i="7"/>
  <c r="R83" i="7"/>
  <c r="U36" i="7"/>
  <c r="X67" i="7"/>
  <c r="R70" i="7"/>
  <c r="Z83" i="7"/>
  <c r="V101" i="7"/>
  <c r="S101" i="7"/>
  <c r="Z151" i="7"/>
  <c r="V151" i="7"/>
  <c r="Z181" i="7"/>
  <c r="X181" i="7"/>
  <c r="R73" i="7"/>
  <c r="R80" i="7"/>
  <c r="Z85" i="7"/>
  <c r="X113" i="7"/>
  <c r="Z142" i="7"/>
  <c r="AB142" i="7" s="1"/>
  <c r="R151" i="7"/>
  <c r="Z169" i="7"/>
  <c r="R181" i="7"/>
  <c r="R8" i="7"/>
  <c r="R28" i="7"/>
  <c r="R38" i="7"/>
  <c r="R39" i="7"/>
  <c r="R49" i="7"/>
  <c r="R82" i="7"/>
  <c r="AG134" i="7"/>
  <c r="R141" i="7"/>
  <c r="R169" i="7"/>
  <c r="R13" i="7"/>
  <c r="R24" i="7"/>
  <c r="R26" i="7"/>
  <c r="R40" i="7"/>
  <c r="R41" i="7"/>
  <c r="R50" i="7"/>
  <c r="R68" i="7"/>
  <c r="R69" i="7"/>
  <c r="R79" i="7"/>
  <c r="R84" i="7"/>
  <c r="U142" i="7"/>
  <c r="S163" i="7"/>
  <c r="S169" i="7"/>
  <c r="X174" i="7"/>
  <c r="P188" i="7"/>
  <c r="AE188" i="7"/>
  <c r="Z23" i="7"/>
  <c r="U23" i="7"/>
  <c r="S23" i="7"/>
  <c r="X23" i="7"/>
  <c r="L44" i="7"/>
  <c r="U52" i="7"/>
  <c r="Z52" i="7"/>
  <c r="S52" i="7"/>
  <c r="X52" i="7"/>
  <c r="X58" i="7"/>
  <c r="V58" i="7"/>
  <c r="U58" i="7"/>
  <c r="Z58" i="7"/>
  <c r="S58" i="7"/>
  <c r="X99" i="7"/>
  <c r="V99" i="7"/>
  <c r="U99" i="7"/>
  <c r="S99" i="7"/>
  <c r="Z99" i="7"/>
  <c r="X110" i="7"/>
  <c r="S110" i="7"/>
  <c r="Z110" i="7"/>
  <c r="V110" i="7"/>
  <c r="U110" i="7"/>
  <c r="Z129" i="7"/>
  <c r="S129" i="7"/>
  <c r="X129" i="7"/>
  <c r="V129" i="7"/>
  <c r="U129" i="7"/>
  <c r="Z166" i="7"/>
  <c r="S166" i="7"/>
  <c r="U166" i="7"/>
  <c r="V166" i="7"/>
  <c r="X166" i="7"/>
  <c r="AB166" i="7" s="1"/>
  <c r="X180" i="7"/>
  <c r="S180" i="7"/>
  <c r="Z180" i="7"/>
  <c r="V180" i="7"/>
  <c r="U180" i="7"/>
  <c r="L14" i="7"/>
  <c r="V7" i="7"/>
  <c r="U7" i="7"/>
  <c r="Z7" i="7"/>
  <c r="S7" i="7"/>
  <c r="X7" i="7"/>
  <c r="R7" i="7"/>
  <c r="R23" i="7"/>
  <c r="Q44" i="7"/>
  <c r="Q14" i="7"/>
  <c r="R4" i="7"/>
  <c r="X9" i="7"/>
  <c r="S9" i="7"/>
  <c r="U9" i="7"/>
  <c r="Z9" i="7"/>
  <c r="X10" i="7"/>
  <c r="AB10" i="7" s="1"/>
  <c r="AD10" i="7" s="1"/>
  <c r="V10" i="7"/>
  <c r="U10" i="7"/>
  <c r="V20" i="7"/>
  <c r="X20" i="7"/>
  <c r="R20" i="7"/>
  <c r="U20" i="7"/>
  <c r="V23" i="7"/>
  <c r="Z27" i="7"/>
  <c r="U27" i="7"/>
  <c r="S27" i="7"/>
  <c r="X27" i="7"/>
  <c r="V52" i="7"/>
  <c r="Z57" i="7"/>
  <c r="S57" i="7"/>
  <c r="X57" i="7"/>
  <c r="AB57" i="7" s="1"/>
  <c r="V57" i="7"/>
  <c r="U57" i="7"/>
  <c r="Z109" i="7"/>
  <c r="S109" i="7"/>
  <c r="X109" i="7"/>
  <c r="V109" i="7"/>
  <c r="U109" i="7"/>
  <c r="Z124" i="7"/>
  <c r="S124" i="7"/>
  <c r="U124" i="7"/>
  <c r="X124" i="7"/>
  <c r="V124" i="7"/>
  <c r="R9" i="7"/>
  <c r="V11" i="7"/>
  <c r="Z11" i="7"/>
  <c r="S11" i="7"/>
  <c r="X11" i="7"/>
  <c r="R11" i="7"/>
  <c r="L29" i="7"/>
  <c r="V19" i="7"/>
  <c r="U19" i="7"/>
  <c r="Z19" i="7"/>
  <c r="S19" i="7"/>
  <c r="X19" i="7"/>
  <c r="AB19" i="7" s="1"/>
  <c r="R19" i="7"/>
  <c r="R27" i="7"/>
  <c r="L59" i="7"/>
  <c r="P53" i="7"/>
  <c r="R53" i="7" s="1"/>
  <c r="X54" i="7"/>
  <c r="AB54" i="7" s="1"/>
  <c r="V54" i="7"/>
  <c r="U54" i="7"/>
  <c r="V55" i="7"/>
  <c r="U55" i="7"/>
  <c r="Z55" i="7"/>
  <c r="AB55" i="7" s="1"/>
  <c r="S55" i="7"/>
  <c r="U56" i="7"/>
  <c r="Z56" i="7"/>
  <c r="S56" i="7"/>
  <c r="X56" i="7"/>
  <c r="X65" i="7"/>
  <c r="V65" i="7"/>
  <c r="U65" i="7"/>
  <c r="Z65" i="7"/>
  <c r="S65" i="7"/>
  <c r="Z102" i="7"/>
  <c r="S102" i="7"/>
  <c r="U102" i="7"/>
  <c r="X102" i="7"/>
  <c r="V102" i="7"/>
  <c r="V112" i="7"/>
  <c r="X112" i="7"/>
  <c r="U112" i="7"/>
  <c r="S112" i="7"/>
  <c r="Z112" i="7"/>
  <c r="R112" i="7"/>
  <c r="V114" i="7"/>
  <c r="U114" i="7"/>
  <c r="S114" i="7"/>
  <c r="Z114" i="7"/>
  <c r="R114" i="7"/>
  <c r="X114" i="7"/>
  <c r="V118" i="7"/>
  <c r="Z118" i="7"/>
  <c r="R118" i="7"/>
  <c r="X118" i="7"/>
  <c r="U118" i="7"/>
  <c r="S118" i="7"/>
  <c r="Z69" i="7"/>
  <c r="U69" i="7"/>
  <c r="V69" i="7"/>
  <c r="Z73" i="7"/>
  <c r="U73" i="7"/>
  <c r="V73" i="7"/>
  <c r="Z79" i="7"/>
  <c r="U79" i="7"/>
  <c r="V79" i="7"/>
  <c r="X82" i="7"/>
  <c r="S82" i="7"/>
  <c r="V82" i="7"/>
  <c r="X84" i="7"/>
  <c r="S84" i="7"/>
  <c r="V84" i="7"/>
  <c r="X86" i="7"/>
  <c r="S86" i="7"/>
  <c r="V86" i="7"/>
  <c r="L89" i="7"/>
  <c r="P89" i="7"/>
  <c r="Z98" i="7"/>
  <c r="S98" i="7"/>
  <c r="X98" i="7"/>
  <c r="V103" i="7"/>
  <c r="V111" i="7"/>
  <c r="Z111" i="7"/>
  <c r="S111" i="7"/>
  <c r="V115" i="7"/>
  <c r="Z115" i="7"/>
  <c r="S115" i="7"/>
  <c r="V116" i="7"/>
  <c r="U116" i="7"/>
  <c r="Q119" i="7"/>
  <c r="X125" i="7"/>
  <c r="S125" i="7"/>
  <c r="V125" i="7"/>
  <c r="V128" i="7"/>
  <c r="X128" i="7"/>
  <c r="R128" i="7"/>
  <c r="Z131" i="7"/>
  <c r="U131" i="7"/>
  <c r="V131" i="7"/>
  <c r="X143" i="7"/>
  <c r="S143" i="7"/>
  <c r="U143" i="7"/>
  <c r="V143" i="7"/>
  <c r="Z143" i="7"/>
  <c r="X146" i="7"/>
  <c r="S146" i="7"/>
  <c r="R146" i="7"/>
  <c r="Z146" i="7"/>
  <c r="Q152" i="7"/>
  <c r="Z174" i="7"/>
  <c r="S174" i="7"/>
  <c r="V174" i="7"/>
  <c r="U174" i="7"/>
  <c r="X176" i="7"/>
  <c r="V176" i="7"/>
  <c r="U176" i="7"/>
  <c r="U182" i="7"/>
  <c r="V182" i="7"/>
  <c r="S182" i="7"/>
  <c r="Z184" i="7"/>
  <c r="S184" i="7"/>
  <c r="X184" i="7"/>
  <c r="V184" i="7"/>
  <c r="X185" i="7"/>
  <c r="Z185" i="7"/>
  <c r="V185" i="7"/>
  <c r="Z8" i="7"/>
  <c r="U8" i="7"/>
  <c r="V8" i="7"/>
  <c r="X13" i="7"/>
  <c r="S13" i="7"/>
  <c r="V13" i="7"/>
  <c r="Z24" i="7"/>
  <c r="U24" i="7"/>
  <c r="V24" i="7"/>
  <c r="Z28" i="7"/>
  <c r="U28" i="7"/>
  <c r="V28" i="7"/>
  <c r="Z34" i="7"/>
  <c r="U34" i="7"/>
  <c r="V34" i="7"/>
  <c r="X38" i="7"/>
  <c r="S38" i="7"/>
  <c r="V38" i="7"/>
  <c r="X40" i="7"/>
  <c r="S40" i="7"/>
  <c r="V40" i="7"/>
  <c r="X42" i="7"/>
  <c r="S42" i="7"/>
  <c r="V42" i="7"/>
  <c r="X50" i="7"/>
  <c r="S50" i="7"/>
  <c r="V50" i="7"/>
  <c r="R52" i="7"/>
  <c r="R56" i="7"/>
  <c r="Q74" i="7"/>
  <c r="P64" i="7"/>
  <c r="R64" i="7" s="1"/>
  <c r="Z70" i="7"/>
  <c r="U70" i="7"/>
  <c r="V70" i="7"/>
  <c r="P74" i="7"/>
  <c r="R78" i="7"/>
  <c r="Z80" i="7"/>
  <c r="U80" i="7"/>
  <c r="V80" i="7"/>
  <c r="Z88" i="7"/>
  <c r="U88" i="7"/>
  <c r="X88" i="7"/>
  <c r="R93" i="7"/>
  <c r="Z95" i="7"/>
  <c r="U95" i="7"/>
  <c r="V95" i="7"/>
  <c r="U97" i="7"/>
  <c r="X97" i="7"/>
  <c r="R98" i="7"/>
  <c r="Z103" i="7"/>
  <c r="AB103" i="7" s="1"/>
  <c r="U111" i="7"/>
  <c r="X115" i="7"/>
  <c r="AB115" i="7" s="1"/>
  <c r="X116" i="7"/>
  <c r="V117" i="7"/>
  <c r="Z117" i="7"/>
  <c r="S117" i="7"/>
  <c r="AE134" i="7"/>
  <c r="Z125" i="7"/>
  <c r="Z128" i="7"/>
  <c r="X130" i="7"/>
  <c r="S130" i="7"/>
  <c r="V130" i="7"/>
  <c r="X131" i="7"/>
  <c r="X133" i="7"/>
  <c r="AB133" i="7" s="1"/>
  <c r="X140" i="7"/>
  <c r="S140" i="7"/>
  <c r="Z140" i="7"/>
  <c r="X156" i="7"/>
  <c r="S156" i="7"/>
  <c r="P170" i="7"/>
  <c r="R156" i="7"/>
  <c r="Z156" i="7"/>
  <c r="Z161" i="7"/>
  <c r="S161" i="7"/>
  <c r="V161" i="7"/>
  <c r="U161" i="7"/>
  <c r="X162" i="7"/>
  <c r="AB162" i="7" s="1"/>
  <c r="V162" i="7"/>
  <c r="U162" i="7"/>
  <c r="R174" i="7"/>
  <c r="Q188" i="7"/>
  <c r="AF188" i="7"/>
  <c r="R182" i="7"/>
  <c r="R184" i="7"/>
  <c r="V187" i="7"/>
  <c r="S187" i="7"/>
  <c r="Z187" i="7"/>
  <c r="AB187" i="7" s="1"/>
  <c r="X5" i="7"/>
  <c r="AB5" i="7" s="1"/>
  <c r="AD5" i="7" s="1"/>
  <c r="S5" i="7"/>
  <c r="V5" i="7"/>
  <c r="Z12" i="7"/>
  <c r="U12" i="7"/>
  <c r="V12" i="7"/>
  <c r="Q29" i="7"/>
  <c r="Z25" i="7"/>
  <c r="AB25" i="7" s="1"/>
  <c r="U25" i="7"/>
  <c r="V25" i="7"/>
  <c r="Z35" i="7"/>
  <c r="AB35" i="7" s="1"/>
  <c r="U35" i="7"/>
  <c r="V35" i="7"/>
  <c r="R57" i="7"/>
  <c r="Z66" i="7"/>
  <c r="U66" i="7"/>
  <c r="Z67" i="7"/>
  <c r="U67" i="7"/>
  <c r="V67" i="7"/>
  <c r="X69" i="7"/>
  <c r="Z71" i="7"/>
  <c r="AB71" i="7" s="1"/>
  <c r="U71" i="7"/>
  <c r="V71" i="7"/>
  <c r="X73" i="7"/>
  <c r="X79" i="7"/>
  <c r="Z82" i="7"/>
  <c r="X83" i="7"/>
  <c r="S83" i="7"/>
  <c r="V83" i="7"/>
  <c r="Z84" i="7"/>
  <c r="X85" i="7"/>
  <c r="S85" i="7"/>
  <c r="V85" i="7"/>
  <c r="Z86" i="7"/>
  <c r="Z87" i="7"/>
  <c r="U87" i="7"/>
  <c r="S87" i="7"/>
  <c r="R88" i="7"/>
  <c r="Z94" i="7"/>
  <c r="U94" i="7"/>
  <c r="X94" i="7"/>
  <c r="X95" i="7"/>
  <c r="R97" i="7"/>
  <c r="Z97" i="7"/>
  <c r="U98" i="7"/>
  <c r="X100" i="7"/>
  <c r="U101" i="7"/>
  <c r="X101" i="7"/>
  <c r="R102" i="7"/>
  <c r="S103" i="7"/>
  <c r="L119" i="7"/>
  <c r="R115" i="7"/>
  <c r="R116" i="7"/>
  <c r="Z116" i="7"/>
  <c r="X117" i="7"/>
  <c r="L134" i="7"/>
  <c r="AF134" i="7"/>
  <c r="R124" i="7"/>
  <c r="R125" i="7"/>
  <c r="Z127" i="7"/>
  <c r="U127" i="7"/>
  <c r="S127" i="7"/>
  <c r="S128" i="7"/>
  <c r="Z130" i="7"/>
  <c r="R131" i="7"/>
  <c r="R133" i="7"/>
  <c r="Z133" i="7"/>
  <c r="R140" i="7"/>
  <c r="X145" i="7"/>
  <c r="S145" i="7"/>
  <c r="U145" i="7"/>
  <c r="Z145" i="7"/>
  <c r="U146" i="7"/>
  <c r="R161" i="7"/>
  <c r="X167" i="7"/>
  <c r="U167" i="7"/>
  <c r="S167" i="7"/>
  <c r="AG188" i="7"/>
  <c r="S176" i="7"/>
  <c r="Z179" i="7"/>
  <c r="S179" i="7"/>
  <c r="X179" i="7"/>
  <c r="AB179" i="7" s="1"/>
  <c r="X182" i="7"/>
  <c r="U184" i="7"/>
  <c r="S185" i="7"/>
  <c r="Z4" i="7"/>
  <c r="U4" i="7"/>
  <c r="V4" i="7"/>
  <c r="V6" i="7"/>
  <c r="X6" i="7"/>
  <c r="X8" i="7"/>
  <c r="R10" i="7"/>
  <c r="Z13" i="7"/>
  <c r="Z22" i="7"/>
  <c r="U22" i="7"/>
  <c r="V22" i="7"/>
  <c r="X24" i="7"/>
  <c r="Z26" i="7"/>
  <c r="AB26" i="7" s="1"/>
  <c r="U26" i="7"/>
  <c r="V26" i="7"/>
  <c r="X28" i="7"/>
  <c r="X34" i="7"/>
  <c r="AB34" i="7" s="1"/>
  <c r="X36" i="7"/>
  <c r="S36" i="7"/>
  <c r="Z36" i="7"/>
  <c r="X37" i="7"/>
  <c r="S37" i="7"/>
  <c r="V37" i="7"/>
  <c r="Z38" i="7"/>
  <c r="X39" i="7"/>
  <c r="S39" i="7"/>
  <c r="V39" i="7"/>
  <c r="Z40" i="7"/>
  <c r="X41" i="7"/>
  <c r="S41" i="7"/>
  <c r="V41" i="7"/>
  <c r="Z42" i="7"/>
  <c r="X43" i="7"/>
  <c r="AB43" i="7" s="1"/>
  <c r="S43" i="7"/>
  <c r="V43" i="7"/>
  <c r="X49" i="7"/>
  <c r="S49" i="7"/>
  <c r="V49" i="7"/>
  <c r="Z50" i="7"/>
  <c r="R54" i="7"/>
  <c r="R58" i="7"/>
  <c r="R65" i="7"/>
  <c r="R66" i="7"/>
  <c r="X66" i="7"/>
  <c r="Z68" i="7"/>
  <c r="AB68" i="7" s="1"/>
  <c r="U68" i="7"/>
  <c r="V68" i="7"/>
  <c r="S69" i="7"/>
  <c r="X70" i="7"/>
  <c r="Z72" i="7"/>
  <c r="U72" i="7"/>
  <c r="V72" i="7"/>
  <c r="S73" i="7"/>
  <c r="Z78" i="7"/>
  <c r="U78" i="7"/>
  <c r="V78" i="7"/>
  <c r="S79" i="7"/>
  <c r="X80" i="7"/>
  <c r="U82" i="7"/>
  <c r="U84" i="7"/>
  <c r="U86" i="7"/>
  <c r="X87" i="7"/>
  <c r="S88" i="7"/>
  <c r="Z93" i="7"/>
  <c r="U93" i="7"/>
  <c r="S93" i="7"/>
  <c r="R94" i="7"/>
  <c r="R95" i="7"/>
  <c r="S97" i="7"/>
  <c r="V98" i="7"/>
  <c r="R100" i="7"/>
  <c r="Z100" i="7"/>
  <c r="R101" i="7"/>
  <c r="Z101" i="7"/>
  <c r="U103" i="7"/>
  <c r="L104" i="7"/>
  <c r="P104" i="7"/>
  <c r="P119" i="7"/>
  <c r="R109" i="7"/>
  <c r="X111" i="7"/>
  <c r="AB111" i="7" s="1"/>
  <c r="V113" i="7"/>
  <c r="Z113" i="7"/>
  <c r="S113" i="7"/>
  <c r="U115" i="7"/>
  <c r="S116" i="7"/>
  <c r="R117" i="7"/>
  <c r="U125" i="7"/>
  <c r="X126" i="7"/>
  <c r="AB126" i="7" s="1"/>
  <c r="S126" i="7"/>
  <c r="U126" i="7"/>
  <c r="X127" i="7"/>
  <c r="U128" i="7"/>
  <c r="R129" i="7"/>
  <c r="R130" i="7"/>
  <c r="S131" i="7"/>
  <c r="V132" i="7"/>
  <c r="U132" i="7"/>
  <c r="S133" i="7"/>
  <c r="Q134" i="7"/>
  <c r="U140" i="7"/>
  <c r="X144" i="7"/>
  <c r="S144" i="7"/>
  <c r="U144" i="7"/>
  <c r="Z144" i="7"/>
  <c r="R145" i="7"/>
  <c r="V146" i="7"/>
  <c r="U156" i="7"/>
  <c r="X161" i="7"/>
  <c r="S162" i="7"/>
  <c r="Q170" i="7"/>
  <c r="Z176" i="7"/>
  <c r="AB176" i="7" s="1"/>
  <c r="V181" i="7"/>
  <c r="U181" i="7"/>
  <c r="S181" i="7"/>
  <c r="Z182" i="7"/>
  <c r="U185" i="7"/>
  <c r="U187" i="7"/>
  <c r="X148" i="7"/>
  <c r="S148" i="7"/>
  <c r="U148" i="7"/>
  <c r="X149" i="7"/>
  <c r="S149" i="7"/>
  <c r="V149" i="7"/>
  <c r="X158" i="7"/>
  <c r="S158" i="7"/>
  <c r="U158" i="7"/>
  <c r="X159" i="7"/>
  <c r="S159" i="7"/>
  <c r="V159" i="7"/>
  <c r="X163" i="7"/>
  <c r="U164" i="7"/>
  <c r="X164" i="7"/>
  <c r="R166" i="7"/>
  <c r="X177" i="7"/>
  <c r="R187" i="7"/>
  <c r="R99" i="7"/>
  <c r="R103" i="7"/>
  <c r="R110" i="7"/>
  <c r="P152" i="7"/>
  <c r="X141" i="7"/>
  <c r="S141" i="7"/>
  <c r="V141" i="7"/>
  <c r="Z148" i="7"/>
  <c r="Z149" i="7"/>
  <c r="X151" i="7"/>
  <c r="S151" i="7"/>
  <c r="U151" i="7"/>
  <c r="Z158" i="7"/>
  <c r="Z159" i="7"/>
  <c r="L170" i="7"/>
  <c r="R163" i="7"/>
  <c r="Z163" i="7"/>
  <c r="R164" i="7"/>
  <c r="Z164" i="7"/>
  <c r="X169" i="7"/>
  <c r="L188" i="7"/>
  <c r="R177" i="7"/>
  <c r="Z177" i="7"/>
  <c r="R179" i="7"/>
  <c r="R162" i="7"/>
  <c r="R167" i="7"/>
  <c r="R176" i="7"/>
  <c r="V178" i="7"/>
  <c r="X178" i="7"/>
  <c r="AB178" i="7" s="1"/>
  <c r="R180" i="7"/>
  <c r="R185" i="7"/>
  <c r="Q12" i="2" l="1"/>
  <c r="Q9" i="2"/>
  <c r="D13" i="2" s="1"/>
  <c r="AB39" i="7"/>
  <c r="AB4" i="7"/>
  <c r="AD4" i="7" s="1"/>
  <c r="AB93" i="7"/>
  <c r="AB20" i="7"/>
  <c r="W35" i="7"/>
  <c r="AC35" i="7" s="1"/>
  <c r="W158" i="7"/>
  <c r="AC158" i="7" s="1"/>
  <c r="AB117" i="7"/>
  <c r="AB94" i="7"/>
  <c r="AB83" i="7"/>
  <c r="W70" i="7"/>
  <c r="AC70" i="7" s="1"/>
  <c r="AB41" i="7"/>
  <c r="AB37" i="7"/>
  <c r="AB22" i="7"/>
  <c r="AB6" i="7"/>
  <c r="W13" i="7"/>
  <c r="W6" i="7"/>
  <c r="AE6" i="7" s="1"/>
  <c r="AB151" i="7"/>
  <c r="AB85" i="7"/>
  <c r="W169" i="7"/>
  <c r="AC169" i="7" s="1"/>
  <c r="W164" i="7"/>
  <c r="AC164" i="7" s="1"/>
  <c r="AB49" i="7"/>
  <c r="AB145" i="7"/>
  <c r="AB79" i="7"/>
  <c r="AB9" i="7"/>
  <c r="AD9" i="7" s="1"/>
  <c r="W101" i="7"/>
  <c r="AC101" i="7" s="1"/>
  <c r="AB156" i="7"/>
  <c r="AB70" i="7"/>
  <c r="AB95" i="7"/>
  <c r="AB86" i="7"/>
  <c r="AB27" i="7"/>
  <c r="R44" i="7"/>
  <c r="AB181" i="7"/>
  <c r="W142" i="7"/>
  <c r="AC142" i="7" s="1"/>
  <c r="AB67" i="7"/>
  <c r="AB88" i="7"/>
  <c r="AB42" i="7"/>
  <c r="W38" i="7"/>
  <c r="AC38" i="7" s="1"/>
  <c r="AB185" i="7"/>
  <c r="AB143" i="7"/>
  <c r="W9" i="7"/>
  <c r="AE9" i="7" s="1"/>
  <c r="AB52" i="7"/>
  <c r="AB141" i="7"/>
  <c r="W148" i="7"/>
  <c r="AC148" i="7" s="1"/>
  <c r="AB113" i="7"/>
  <c r="W68" i="7"/>
  <c r="AC68" i="7" s="1"/>
  <c r="W39" i="7"/>
  <c r="AC39" i="7" s="1"/>
  <c r="W37" i="7"/>
  <c r="AC37" i="7" s="1"/>
  <c r="W26" i="7"/>
  <c r="AC26" i="7" s="1"/>
  <c r="W22" i="7"/>
  <c r="AC22" i="7" s="1"/>
  <c r="AB69" i="7"/>
  <c r="W25" i="7"/>
  <c r="AC25" i="7" s="1"/>
  <c r="W12" i="7"/>
  <c r="AB50" i="7"/>
  <c r="AB125" i="7"/>
  <c r="AB23" i="7"/>
  <c r="W178" i="7"/>
  <c r="AI178" i="7" s="1"/>
  <c r="AB169" i="7"/>
  <c r="W126" i="7"/>
  <c r="AH126" i="7" s="1"/>
  <c r="AB87" i="7"/>
  <c r="AB66" i="7"/>
  <c r="W88" i="7"/>
  <c r="AC88" i="7" s="1"/>
  <c r="AB148" i="7"/>
  <c r="AB158" i="7"/>
  <c r="W146" i="7"/>
  <c r="AC146" i="7" s="1"/>
  <c r="W43" i="7"/>
  <c r="AC43" i="7" s="1"/>
  <c r="W36" i="7"/>
  <c r="AC36" i="7" s="1"/>
  <c r="W42" i="7"/>
  <c r="AC42" i="7" s="1"/>
  <c r="AB174" i="7"/>
  <c r="AB118" i="7"/>
  <c r="AB114" i="7"/>
  <c r="AB99" i="7"/>
  <c r="W96" i="7"/>
  <c r="AC96" i="7" s="1"/>
  <c r="W177" i="7"/>
  <c r="AI177" i="7" s="1"/>
  <c r="W149" i="7"/>
  <c r="AC149" i="7" s="1"/>
  <c r="R152" i="7"/>
  <c r="AB144" i="7"/>
  <c r="AB127" i="7"/>
  <c r="W100" i="7"/>
  <c r="AC100" i="7" s="1"/>
  <c r="AB182" i="7"/>
  <c r="AB167" i="7"/>
  <c r="AB101" i="7"/>
  <c r="W94" i="7"/>
  <c r="AC94" i="7" s="1"/>
  <c r="W87" i="7"/>
  <c r="AC87" i="7" s="1"/>
  <c r="AB73" i="7"/>
  <c r="W66" i="7"/>
  <c r="AC66" i="7" s="1"/>
  <c r="W5" i="7"/>
  <c r="AE5" i="7" s="1"/>
  <c r="W162" i="7"/>
  <c r="AC162" i="7" s="1"/>
  <c r="AB131" i="7"/>
  <c r="AB146" i="7"/>
  <c r="W111" i="7"/>
  <c r="AC111" i="7" s="1"/>
  <c r="AB84" i="7"/>
  <c r="AB65" i="7"/>
  <c r="AB109" i="7"/>
  <c r="AB110" i="7"/>
  <c r="AB58" i="7"/>
  <c r="AB164" i="7"/>
  <c r="W167" i="7"/>
  <c r="AC167" i="7" s="1"/>
  <c r="Z152" i="7"/>
  <c r="AB129" i="7"/>
  <c r="S119" i="7"/>
  <c r="AB159" i="7"/>
  <c r="W133" i="7"/>
  <c r="AH133" i="7" s="1"/>
  <c r="W145" i="7"/>
  <c r="AC145" i="7" s="1"/>
  <c r="AB140" i="7"/>
  <c r="W97" i="7"/>
  <c r="AC97" i="7" s="1"/>
  <c r="AB97" i="7"/>
  <c r="W125" i="7"/>
  <c r="AH125" i="7" s="1"/>
  <c r="AB102" i="7"/>
  <c r="AB163" i="7"/>
  <c r="R119" i="7"/>
  <c r="Z89" i="7"/>
  <c r="W41" i="7"/>
  <c r="AC41" i="7" s="1"/>
  <c r="W140" i="7"/>
  <c r="AC140" i="7" s="1"/>
  <c r="W127" i="7"/>
  <c r="AH127" i="7" s="1"/>
  <c r="AB100" i="7"/>
  <c r="R188" i="7"/>
  <c r="AB38" i="7"/>
  <c r="W28" i="7"/>
  <c r="AC28" i="7" s="1"/>
  <c r="AB13" i="7"/>
  <c r="AD13" i="7" s="1"/>
  <c r="AB98" i="7"/>
  <c r="W56" i="7"/>
  <c r="AC56" i="7" s="1"/>
  <c r="AB124" i="7"/>
  <c r="Z119" i="7"/>
  <c r="AB7" i="7"/>
  <c r="AD7" i="7" s="1"/>
  <c r="AB180" i="7"/>
  <c r="W163" i="7"/>
  <c r="AC163" i="7" s="1"/>
  <c r="W151" i="7"/>
  <c r="AC151" i="7" s="1"/>
  <c r="W159" i="7"/>
  <c r="AC159" i="7" s="1"/>
  <c r="W144" i="7"/>
  <c r="AC144" i="7" s="1"/>
  <c r="W98" i="7"/>
  <c r="AC98" i="7" s="1"/>
  <c r="AB72" i="7"/>
  <c r="AB36" i="7"/>
  <c r="AB8" i="7"/>
  <c r="AD8" i="7" s="1"/>
  <c r="W4" i="7"/>
  <c r="W179" i="7"/>
  <c r="AI179" i="7" s="1"/>
  <c r="W85" i="7"/>
  <c r="AC85" i="7" s="1"/>
  <c r="W83" i="7"/>
  <c r="AC83" i="7" s="1"/>
  <c r="X89" i="7"/>
  <c r="AB12" i="7"/>
  <c r="AD12" i="7" s="1"/>
  <c r="AB130" i="7"/>
  <c r="AB116" i="7"/>
  <c r="W50" i="7"/>
  <c r="AC50" i="7" s="1"/>
  <c r="AB40" i="7"/>
  <c r="W34" i="7"/>
  <c r="AC34" i="7" s="1"/>
  <c r="W8" i="7"/>
  <c r="AE8" i="7" s="1"/>
  <c r="AB184" i="7"/>
  <c r="U152" i="7"/>
  <c r="AB128" i="7"/>
  <c r="W86" i="7"/>
  <c r="AC86" i="7" s="1"/>
  <c r="AB82" i="7"/>
  <c r="W73" i="7"/>
  <c r="AC73" i="7" s="1"/>
  <c r="AB112" i="7"/>
  <c r="W112" i="7"/>
  <c r="AC112" i="7" s="1"/>
  <c r="AB56" i="7"/>
  <c r="AB11" i="7"/>
  <c r="AD11" i="7" s="1"/>
  <c r="W109" i="7"/>
  <c r="AC109" i="7" s="1"/>
  <c r="W27" i="7"/>
  <c r="AC27" i="7" s="1"/>
  <c r="W23" i="7"/>
  <c r="AC23" i="7" s="1"/>
  <c r="W20" i="7"/>
  <c r="AC20" i="7" s="1"/>
  <c r="X152" i="7"/>
  <c r="P134" i="7"/>
  <c r="X134" i="7"/>
  <c r="R134" i="7"/>
  <c r="U134" i="7"/>
  <c r="S134" i="7"/>
  <c r="Z134" i="7"/>
  <c r="W95" i="7"/>
  <c r="AC95" i="7" s="1"/>
  <c r="Z64" i="7"/>
  <c r="Z74" i="7" s="1"/>
  <c r="S64" i="7"/>
  <c r="S74" i="7" s="1"/>
  <c r="X64" i="7"/>
  <c r="V64" i="7"/>
  <c r="V74" i="7" s="1"/>
  <c r="U64" i="7"/>
  <c r="U74" i="7" s="1"/>
  <c r="W184" i="7"/>
  <c r="AI184" i="7" s="1"/>
  <c r="U188" i="7"/>
  <c r="W103" i="7"/>
  <c r="AC103" i="7" s="1"/>
  <c r="W65" i="7"/>
  <c r="AC65" i="7" s="1"/>
  <c r="W55" i="7"/>
  <c r="AC55" i="7" s="1"/>
  <c r="W11" i="7"/>
  <c r="N12" i="2" s="1"/>
  <c r="W10" i="7"/>
  <c r="AE10" i="7" s="1"/>
  <c r="X14" i="7"/>
  <c r="R14" i="7"/>
  <c r="P14" i="7"/>
  <c r="U14" i="7"/>
  <c r="S14" i="7"/>
  <c r="Z14" i="7"/>
  <c r="U104" i="7"/>
  <c r="S89" i="7"/>
  <c r="X188" i="7"/>
  <c r="V104" i="7"/>
  <c r="AB78" i="7"/>
  <c r="W185" i="7"/>
  <c r="AI185" i="7" s="1"/>
  <c r="W182" i="7"/>
  <c r="AI182" i="7" s="1"/>
  <c r="W174" i="7"/>
  <c r="V188" i="7"/>
  <c r="W131" i="7"/>
  <c r="AH131" i="7" s="1"/>
  <c r="W116" i="7"/>
  <c r="AC116" i="7" s="1"/>
  <c r="W115" i="7"/>
  <c r="AC115" i="7" s="1"/>
  <c r="X104" i="7"/>
  <c r="W79" i="7"/>
  <c r="AC79" i="7" s="1"/>
  <c r="W114" i="7"/>
  <c r="AC114" i="7" s="1"/>
  <c r="Z53" i="7"/>
  <c r="Z59" i="7" s="1"/>
  <c r="S53" i="7"/>
  <c r="S59" i="7" s="1"/>
  <c r="X53" i="7"/>
  <c r="X59" i="7" s="1"/>
  <c r="V53" i="7"/>
  <c r="U53" i="7"/>
  <c r="U59" i="7" s="1"/>
  <c r="X29" i="7"/>
  <c r="R29" i="7"/>
  <c r="P29" i="7"/>
  <c r="U29" i="7"/>
  <c r="Z29" i="7"/>
  <c r="S29" i="7"/>
  <c r="W124" i="7"/>
  <c r="AH124" i="7" s="1"/>
  <c r="W93" i="7"/>
  <c r="W7" i="7"/>
  <c r="W166" i="7"/>
  <c r="AC166" i="7" s="1"/>
  <c r="W110" i="7"/>
  <c r="AC110" i="7" s="1"/>
  <c r="V152" i="7"/>
  <c r="AB177" i="7"/>
  <c r="AB161" i="7"/>
  <c r="W113" i="7"/>
  <c r="AC113" i="7" s="1"/>
  <c r="X119" i="7"/>
  <c r="Z104" i="7"/>
  <c r="V89" i="7"/>
  <c r="W78" i="7"/>
  <c r="AC78" i="7" s="1"/>
  <c r="V119" i="7"/>
  <c r="Z170" i="7"/>
  <c r="S170" i="7"/>
  <c r="R74" i="7"/>
  <c r="W176" i="7"/>
  <c r="AI176" i="7" s="1"/>
  <c r="S188" i="7"/>
  <c r="W156" i="7"/>
  <c r="W128" i="7"/>
  <c r="AH128" i="7" s="1"/>
  <c r="W82" i="7"/>
  <c r="AC82" i="7" s="1"/>
  <c r="W118" i="7"/>
  <c r="AC118" i="7" s="1"/>
  <c r="W57" i="7"/>
  <c r="AC57" i="7" s="1"/>
  <c r="W52" i="7"/>
  <c r="AC52" i="7" s="1"/>
  <c r="W99" i="7"/>
  <c r="AC99" i="7" s="1"/>
  <c r="W141" i="7"/>
  <c r="AC141" i="7" s="1"/>
  <c r="S152" i="7"/>
  <c r="AB149" i="7"/>
  <c r="W181" i="7"/>
  <c r="AI181" i="7" s="1"/>
  <c r="U170" i="7"/>
  <c r="W132" i="7"/>
  <c r="AH132" i="7" s="1"/>
  <c r="U119" i="7"/>
  <c r="S104" i="7"/>
  <c r="AB80" i="7"/>
  <c r="U89" i="7"/>
  <c r="W72" i="7"/>
  <c r="AC72" i="7" s="1"/>
  <c r="W49" i="7"/>
  <c r="AC49" i="7" s="1"/>
  <c r="R59" i="7"/>
  <c r="AB28" i="7"/>
  <c r="AB24" i="7"/>
  <c r="W71" i="7"/>
  <c r="AC71" i="7" s="1"/>
  <c r="W67" i="7"/>
  <c r="AC67" i="7" s="1"/>
  <c r="P59" i="7"/>
  <c r="W187" i="7"/>
  <c r="W161" i="7"/>
  <c r="AC161" i="7" s="1"/>
  <c r="R170" i="7"/>
  <c r="X170" i="7"/>
  <c r="W130" i="7"/>
  <c r="AH130" i="7" s="1"/>
  <c r="W117" i="7"/>
  <c r="AC117" i="7" s="1"/>
  <c r="R104" i="7"/>
  <c r="W80" i="7"/>
  <c r="AC80" i="7" s="1"/>
  <c r="R89" i="7"/>
  <c r="W40" i="7"/>
  <c r="AC40" i="7" s="1"/>
  <c r="W24" i="7"/>
  <c r="AC24" i="7" s="1"/>
  <c r="Z188" i="7"/>
  <c r="V170" i="7"/>
  <c r="W143" i="7"/>
  <c r="AC143" i="7" s="1"/>
  <c r="W84" i="7"/>
  <c r="AC84" i="7" s="1"/>
  <c r="W69" i="7"/>
  <c r="AC69" i="7" s="1"/>
  <c r="W102" i="7"/>
  <c r="AC102" i="7" s="1"/>
  <c r="W54" i="7"/>
  <c r="AC54" i="7" s="1"/>
  <c r="W19" i="7"/>
  <c r="AC19" i="7" s="1"/>
  <c r="W180" i="7"/>
  <c r="AI180" i="7" s="1"/>
  <c r="W129" i="7"/>
  <c r="AH129" i="7" s="1"/>
  <c r="W58" i="7"/>
  <c r="AC58" i="7" s="1"/>
  <c r="P44" i="7"/>
  <c r="Z44" i="7"/>
  <c r="U44" i="7"/>
  <c r="S44" i="7"/>
  <c r="X44" i="7"/>
  <c r="K23" i="1"/>
  <c r="K20" i="1"/>
  <c r="K17" i="1"/>
  <c r="J23" i="1"/>
  <c r="I23" i="1"/>
  <c r="J20" i="1"/>
  <c r="I20" i="1"/>
  <c r="J17" i="1"/>
  <c r="I17" i="1"/>
  <c r="K24" i="1"/>
  <c r="J24" i="1"/>
  <c r="I24" i="1"/>
  <c r="H24" i="1"/>
  <c r="H23" i="1"/>
  <c r="K21" i="1"/>
  <c r="J21" i="1"/>
  <c r="I21" i="1"/>
  <c r="H21" i="1"/>
  <c r="H20" i="1"/>
  <c r="K18" i="1"/>
  <c r="J18" i="1"/>
  <c r="I18" i="1"/>
  <c r="H18" i="1"/>
  <c r="H17" i="1"/>
  <c r="H7" i="9"/>
  <c r="N13" i="2" l="1"/>
  <c r="AE13" i="7"/>
  <c r="AE4" i="7"/>
  <c r="N11" i="2"/>
  <c r="N14" i="2" s="1"/>
  <c r="N15" i="2" s="1"/>
  <c r="N17" i="2" s="1"/>
  <c r="D11" i="2" s="1"/>
  <c r="D17" i="2" s="1"/>
  <c r="AE12" i="7"/>
  <c r="AE11" i="7"/>
  <c r="AB64" i="7"/>
  <c r="AB74" i="7" s="1"/>
  <c r="AB188" i="7"/>
  <c r="AE7" i="7"/>
  <c r="X74" i="7"/>
  <c r="AB119" i="7"/>
  <c r="AB134" i="7"/>
  <c r="AB29" i="7"/>
  <c r="AB44" i="7"/>
  <c r="AB104" i="7"/>
  <c r="AB152" i="7"/>
  <c r="AB170" i="7"/>
  <c r="W191" i="7"/>
  <c r="AI174" i="7"/>
  <c r="AI187" i="7"/>
  <c r="W194" i="7"/>
  <c r="W119" i="7"/>
  <c r="AC119" i="7"/>
  <c r="V14" i="7"/>
  <c r="V134" i="7"/>
  <c r="AB14" i="7"/>
  <c r="AD14" i="7"/>
  <c r="V44" i="7"/>
  <c r="AC156" i="7"/>
  <c r="AC170" i="7" s="1"/>
  <c r="W170" i="7"/>
  <c r="W89" i="7"/>
  <c r="AC89" i="7"/>
  <c r="AC152" i="7"/>
  <c r="W152" i="7"/>
  <c r="AB53" i="7"/>
  <c r="AB59" i="7" s="1"/>
  <c r="W188" i="7"/>
  <c r="W104" i="7"/>
  <c r="AC93" i="7"/>
  <c r="AC104" i="7" s="1"/>
  <c r="V29" i="7"/>
  <c r="W53" i="7"/>
  <c r="AC53" i="7" s="1"/>
  <c r="AC59" i="7" s="1"/>
  <c r="V59" i="7"/>
  <c r="AB89" i="7"/>
  <c r="W64" i="7"/>
  <c r="AC64" i="7" s="1"/>
  <c r="K17" i="9"/>
  <c r="J17" i="9"/>
  <c r="U16" i="9"/>
  <c r="H16" i="9"/>
  <c r="I16" i="9" s="1"/>
  <c r="L16" i="9" s="1"/>
  <c r="U15" i="9"/>
  <c r="H15" i="9"/>
  <c r="I15" i="9" s="1"/>
  <c r="L15" i="9" s="1"/>
  <c r="U14" i="9"/>
  <c r="H14" i="9"/>
  <c r="I14" i="9" s="1"/>
  <c r="L14" i="9" s="1"/>
  <c r="U13" i="9"/>
  <c r="H13" i="9"/>
  <c r="I13" i="9" s="1"/>
  <c r="L13" i="9" s="1"/>
  <c r="U12" i="9"/>
  <c r="H12" i="9"/>
  <c r="I12" i="9" s="1"/>
  <c r="L12" i="9" s="1"/>
  <c r="U11" i="9"/>
  <c r="H11" i="9"/>
  <c r="I11" i="9" s="1"/>
  <c r="L11" i="9" s="1"/>
  <c r="U10" i="9"/>
  <c r="H10" i="9"/>
  <c r="I10" i="9" s="1"/>
  <c r="L10" i="9" s="1"/>
  <c r="U9" i="9"/>
  <c r="H9" i="9"/>
  <c r="I9" i="9" s="1"/>
  <c r="L9" i="9" s="1"/>
  <c r="U8" i="9"/>
  <c r="H8" i="9"/>
  <c r="I8" i="9" s="1"/>
  <c r="L8" i="9" s="1"/>
  <c r="U7" i="9"/>
  <c r="I7" i="9"/>
  <c r="E19" i="1"/>
  <c r="AE14" i="7" l="1"/>
  <c r="AI188" i="7"/>
  <c r="W59" i="7"/>
  <c r="W29" i="7"/>
  <c r="AC29" i="7"/>
  <c r="AC74" i="7"/>
  <c r="W14" i="7"/>
  <c r="W44" i="7"/>
  <c r="AC44" i="7"/>
  <c r="W74" i="7"/>
  <c r="AH134" i="7"/>
  <c r="W134" i="7"/>
  <c r="I17" i="9"/>
  <c r="R8" i="9"/>
  <c r="P8" i="9"/>
  <c r="T8" i="9"/>
  <c r="N8" i="9"/>
  <c r="R9" i="9"/>
  <c r="N9" i="9"/>
  <c r="T9" i="9"/>
  <c r="P9" i="9"/>
  <c r="R10" i="9"/>
  <c r="N10" i="9"/>
  <c r="T10" i="9"/>
  <c r="P10" i="9"/>
  <c r="R11" i="9"/>
  <c r="N11" i="9"/>
  <c r="T11" i="9"/>
  <c r="P11" i="9"/>
  <c r="R12" i="9"/>
  <c r="N12" i="9"/>
  <c r="T12" i="9"/>
  <c r="P12" i="9"/>
  <c r="R13" i="9"/>
  <c r="N13" i="9"/>
  <c r="T13" i="9"/>
  <c r="P13" i="9"/>
  <c r="R14" i="9"/>
  <c r="N14" i="9"/>
  <c r="T14" i="9"/>
  <c r="P14" i="9"/>
  <c r="R15" i="9"/>
  <c r="N15" i="9"/>
  <c r="T15" i="9"/>
  <c r="P15" i="9"/>
  <c r="R16" i="9"/>
  <c r="N16" i="9"/>
  <c r="T16" i="9"/>
  <c r="P16" i="9"/>
  <c r="L7" i="9"/>
  <c r="E68" i="2"/>
  <c r="L34" i="1"/>
  <c r="R34" i="1" s="1"/>
  <c r="M35" i="1"/>
  <c r="S35" i="1" s="1"/>
  <c r="M34" i="1"/>
  <c r="S34" i="1" s="1"/>
  <c r="M33" i="1"/>
  <c r="S33" i="1" s="1"/>
  <c r="L35" i="1"/>
  <c r="R35" i="1" s="1"/>
  <c r="L33" i="1"/>
  <c r="R33" i="1" s="1"/>
  <c r="K35" i="1"/>
  <c r="Q35" i="1" s="1"/>
  <c r="K34" i="1"/>
  <c r="Q34" i="1" s="1"/>
  <c r="K33" i="1"/>
  <c r="Q33" i="1" s="1"/>
  <c r="P33" i="1"/>
  <c r="E25" i="5"/>
  <c r="E26" i="5"/>
  <c r="E27" i="5"/>
  <c r="E29" i="5"/>
  <c r="C22" i="5"/>
  <c r="D22" i="5" s="1"/>
  <c r="C21" i="5"/>
  <c r="D21" i="5" s="1"/>
  <c r="C20" i="5"/>
  <c r="D20" i="5" s="1"/>
  <c r="D87" i="2"/>
  <c r="G73" i="2"/>
  <c r="H73" i="2" s="1"/>
  <c r="I25" i="1"/>
  <c r="J12" i="4"/>
  <c r="R12" i="4" s="1"/>
  <c r="I22" i="1"/>
  <c r="J22" i="1"/>
  <c r="H10" i="4"/>
  <c r="P10" i="4" s="1"/>
  <c r="I10" i="4"/>
  <c r="Q10" i="4" s="1"/>
  <c r="K19" i="1"/>
  <c r="G10" i="4"/>
  <c r="O10" i="4" s="1"/>
  <c r="G11" i="4"/>
  <c r="O11" i="4" s="1"/>
  <c r="G12" i="4"/>
  <c r="O12" i="4" s="1"/>
  <c r="D10" i="4"/>
  <c r="E10" i="4"/>
  <c r="F10" i="4"/>
  <c r="D11" i="4"/>
  <c r="E11" i="4"/>
  <c r="F11" i="4"/>
  <c r="D12" i="4"/>
  <c r="E12" i="4"/>
  <c r="F12" i="4"/>
  <c r="J10" i="4"/>
  <c r="R10" i="4" s="1"/>
  <c r="J11" i="4"/>
  <c r="R11" i="4" s="1"/>
  <c r="I12" i="4"/>
  <c r="Q12" i="4" s="1"/>
  <c r="C12" i="4"/>
  <c r="C11" i="4"/>
  <c r="C10" i="4"/>
  <c r="Q14" i="2"/>
  <c r="D14" i="2" s="1"/>
  <c r="D9" i="2" s="1"/>
  <c r="D28" i="1"/>
  <c r="J34" i="1"/>
  <c r="P34" i="1" s="1"/>
  <c r="D19" i="1"/>
  <c r="J25" i="1"/>
  <c r="J19" i="1"/>
  <c r="H19" i="2"/>
  <c r="H17" i="2"/>
  <c r="K22" i="1"/>
  <c r="B10" i="4"/>
  <c r="B20" i="5" s="1"/>
  <c r="J35" i="1"/>
  <c r="P35" i="1" s="1"/>
  <c r="L22" i="1"/>
  <c r="O22" i="1" s="1"/>
  <c r="L25" i="1"/>
  <c r="L26" i="1" s="1"/>
  <c r="L19" i="1"/>
  <c r="O19" i="1"/>
  <c r="H74" i="2"/>
  <c r="E21" i="2"/>
  <c r="C5" i="5"/>
  <c r="E23" i="5"/>
  <c r="A8" i="1"/>
  <c r="A9" i="1"/>
  <c r="G19" i="1"/>
  <c r="G22" i="1"/>
  <c r="D25" i="1"/>
  <c r="F25" i="1"/>
  <c r="D5" i="2"/>
  <c r="A9" i="2"/>
  <c r="E9" i="2"/>
  <c r="G11" i="2"/>
  <c r="G12" i="2"/>
  <c r="H12" i="2" s="1"/>
  <c r="G13" i="2"/>
  <c r="G14" i="2"/>
  <c r="G15" i="2"/>
  <c r="H15" i="2" s="1"/>
  <c r="G17" i="2"/>
  <c r="G19" i="2"/>
  <c r="G9" i="2"/>
  <c r="H20" i="2"/>
  <c r="D21" i="2"/>
  <c r="G24" i="2"/>
  <c r="H24" i="2" s="1"/>
  <c r="G26" i="2"/>
  <c r="H26" i="2" s="1"/>
  <c r="G27" i="2"/>
  <c r="H27" i="2" s="1"/>
  <c r="G28" i="2"/>
  <c r="H28" i="2"/>
  <c r="G30" i="2"/>
  <c r="H30" i="2" s="1"/>
  <c r="G31" i="2"/>
  <c r="H31" i="2"/>
  <c r="G33" i="2"/>
  <c r="H33" i="2" s="1"/>
  <c r="G34" i="2"/>
  <c r="H34" i="2"/>
  <c r="G35" i="2"/>
  <c r="H35" i="2" s="1"/>
  <c r="G36" i="2"/>
  <c r="G37" i="2"/>
  <c r="H37" i="2" s="1"/>
  <c r="G38" i="2"/>
  <c r="H38" i="2"/>
  <c r="G39" i="2"/>
  <c r="H39" i="2" s="1"/>
  <c r="G40" i="2"/>
  <c r="H40" i="2"/>
  <c r="G41" i="2"/>
  <c r="H41" i="2" s="1"/>
  <c r="G42" i="2"/>
  <c r="H42" i="2"/>
  <c r="G43" i="2"/>
  <c r="H43" i="2" s="1"/>
  <c r="G44" i="2"/>
  <c r="H44" i="2"/>
  <c r="G46" i="2"/>
  <c r="H46" i="2" s="1"/>
  <c r="G47" i="2"/>
  <c r="H47" i="2"/>
  <c r="G48" i="2"/>
  <c r="H48" i="2" s="1"/>
  <c r="G49" i="2"/>
  <c r="H49" i="2"/>
  <c r="G50" i="2"/>
  <c r="H50" i="2" s="1"/>
  <c r="G51" i="2"/>
  <c r="H51" i="2"/>
  <c r="G52" i="2"/>
  <c r="G53" i="2"/>
  <c r="H53" i="2"/>
  <c r="G54" i="2"/>
  <c r="H54" i="2" s="1"/>
  <c r="G56" i="2"/>
  <c r="H56" i="2"/>
  <c r="G57" i="2"/>
  <c r="H57" i="2" s="1"/>
  <c r="G58" i="2"/>
  <c r="H58" i="2"/>
  <c r="G59" i="2"/>
  <c r="H59" i="2" s="1"/>
  <c r="G60" i="2"/>
  <c r="H60" i="2"/>
  <c r="G61" i="2"/>
  <c r="H61" i="2" s="1"/>
  <c r="G62" i="2"/>
  <c r="H62" i="2"/>
  <c r="G64" i="2"/>
  <c r="H64" i="2" s="1"/>
  <c r="G65" i="2"/>
  <c r="H65" i="2"/>
  <c r="G66" i="2"/>
  <c r="H66" i="2" s="1"/>
  <c r="G68" i="2"/>
  <c r="H68" i="2"/>
  <c r="G69" i="2"/>
  <c r="H69" i="2" s="1"/>
  <c r="G70" i="2"/>
  <c r="H70" i="2"/>
  <c r="G71" i="2"/>
  <c r="H71" i="2" s="1"/>
  <c r="G72" i="2"/>
  <c r="H72" i="2"/>
  <c r="G75" i="2"/>
  <c r="H75" i="2" s="1"/>
  <c r="G77" i="2"/>
  <c r="H77" i="2"/>
  <c r="G78" i="2"/>
  <c r="H78" i="2" s="1"/>
  <c r="G80" i="2"/>
  <c r="H80" i="2"/>
  <c r="G81" i="2"/>
  <c r="H81" i="2" s="1"/>
  <c r="G82" i="2"/>
  <c r="H82" i="2"/>
  <c r="G85" i="2"/>
  <c r="H85" i="2" s="1"/>
  <c r="G86" i="2"/>
  <c r="H86" i="2" s="1"/>
  <c r="E87" i="2"/>
  <c r="G88" i="2"/>
  <c r="G89" i="2"/>
  <c r="H89" i="2" s="1"/>
  <c r="G90" i="2"/>
  <c r="H90" i="2"/>
  <c r="G91" i="2"/>
  <c r="H91" i="2" s="1"/>
  <c r="G92" i="2"/>
  <c r="H92" i="2"/>
  <c r="B5" i="3"/>
  <c r="B20" i="3"/>
  <c r="C5" i="4"/>
  <c r="A8" i="4"/>
  <c r="A18" i="5"/>
  <c r="B8" i="4"/>
  <c r="B18" i="5" s="1"/>
  <c r="C8" i="4"/>
  <c r="C18" i="5"/>
  <c r="D18" i="5"/>
  <c r="A9" i="4"/>
  <c r="A19" i="5" s="1"/>
  <c r="B9" i="4"/>
  <c r="B19" i="5" s="1"/>
  <c r="C9" i="4"/>
  <c r="C19" i="5"/>
  <c r="D9" i="4"/>
  <c r="E9" i="4"/>
  <c r="F9" i="4"/>
  <c r="G9" i="4"/>
  <c r="D19" i="5" s="1"/>
  <c r="H9" i="4"/>
  <c r="I9" i="4"/>
  <c r="J9" i="4"/>
  <c r="A10" i="4"/>
  <c r="A20" i="5" s="1"/>
  <c r="A11" i="4"/>
  <c r="A21" i="5"/>
  <c r="B11" i="4"/>
  <c r="B21" i="5" s="1"/>
  <c r="A12" i="4"/>
  <c r="A22" i="5" s="1"/>
  <c r="B12" i="4"/>
  <c r="B22" i="5" s="1"/>
  <c r="G25" i="1"/>
  <c r="F22" i="1"/>
  <c r="E25" i="1"/>
  <c r="E22" i="1"/>
  <c r="F19" i="1"/>
  <c r="G23" i="2"/>
  <c r="H23" i="2" s="1"/>
  <c r="H11" i="2"/>
  <c r="D22" i="1"/>
  <c r="H13" i="2"/>
  <c r="K25" i="1"/>
  <c r="I19" i="1"/>
  <c r="I11" i="4"/>
  <c r="Q11" i="4" s="1"/>
  <c r="H22" i="1"/>
  <c r="H12" i="4"/>
  <c r="P12" i="4" s="1"/>
  <c r="H14" i="2" l="1"/>
  <c r="Q18" i="2"/>
  <c r="W190" i="7"/>
  <c r="O25" i="1"/>
  <c r="H9" i="2"/>
  <c r="H87" i="2"/>
  <c r="E93" i="2"/>
  <c r="O26" i="1"/>
  <c r="F9" i="1" s="1"/>
  <c r="G87" i="2"/>
  <c r="G26" i="1"/>
  <c r="D93" i="2"/>
  <c r="F26" i="1"/>
  <c r="K26" i="1"/>
  <c r="M22" i="1"/>
  <c r="G21" i="2"/>
  <c r="G93" i="2" s="1"/>
  <c r="H21" i="2"/>
  <c r="L17" i="9"/>
  <c r="T7" i="9"/>
  <c r="T17" i="9" s="1"/>
  <c r="P7" i="9"/>
  <c r="P17" i="9" s="1"/>
  <c r="B10" i="3" s="1"/>
  <c r="B9" i="3" s="1"/>
  <c r="I9" i="1" s="1"/>
  <c r="I11" i="1" s="1"/>
  <c r="R7" i="9"/>
  <c r="R17" i="9" s="1"/>
  <c r="N7" i="9"/>
  <c r="N17" i="9" s="1"/>
  <c r="M19" i="1"/>
  <c r="J26" i="1"/>
  <c r="M25" i="1"/>
  <c r="E26" i="1"/>
  <c r="H11" i="4"/>
  <c r="P11" i="4" s="1"/>
  <c r="H19" i="1"/>
  <c r="N19" i="1" s="1"/>
  <c r="D26" i="1"/>
  <c r="E22" i="5"/>
  <c r="H25" i="1"/>
  <c r="N25" i="1" s="1"/>
  <c r="E20" i="5"/>
  <c r="I26" i="1"/>
  <c r="N22" i="1"/>
  <c r="E21" i="5"/>
  <c r="P25" i="1" l="1"/>
  <c r="H93" i="2"/>
  <c r="H9" i="1" s="1"/>
  <c r="H11" i="1" s="1"/>
  <c r="J11" i="1" s="1"/>
  <c r="P19" i="1"/>
  <c r="M26" i="1"/>
  <c r="D9" i="1" s="1"/>
  <c r="D11" i="1" s="1"/>
  <c r="H26" i="1"/>
  <c r="N26" i="1"/>
  <c r="E9" i="1" s="1"/>
  <c r="E11" i="1" s="1"/>
  <c r="P22" i="1"/>
  <c r="P26" i="1" l="1"/>
  <c r="G9" i="1" s="1"/>
  <c r="G11" i="1" s="1"/>
  <c r="J9" i="1"/>
  <c r="K9" i="1" l="1"/>
  <c r="K11" i="1" s="1"/>
</calcChain>
</file>

<file path=xl/comments1.xml><?xml version="1.0" encoding="utf-8"?>
<comments xmlns="http://schemas.openxmlformats.org/spreadsheetml/2006/main">
  <authors>
    <author>usuario</author>
  </authors>
  <commentList>
    <comment ref="D25" authorId="0" shapeId="0">
      <text>
        <r>
          <rPr>
            <b/>
            <sz val="9"/>
            <color indexed="81"/>
            <rFont val="Tahoma"/>
            <family val="2"/>
          </rPr>
          <t xml:space="preserve">Valor cobrado a Gendarmeria
</t>
        </r>
      </text>
    </comment>
  </commentList>
</comments>
</file>

<file path=xl/comments2.xml><?xml version="1.0" encoding="utf-8"?>
<comments xmlns="http://schemas.openxmlformats.org/spreadsheetml/2006/main">
  <authors>
    <author>321 Marcelo Hernandez</author>
  </authors>
  <commentList>
    <comment ref="C6" authorId="0" shapeId="0">
      <text>
        <r>
          <rPr>
            <b/>
            <sz val="9"/>
            <color indexed="81"/>
            <rFont val="Tahoma"/>
            <family val="2"/>
          </rPr>
          <t>Corresponde al personal Fondos Propios de:
- Administración Central
- A. Jurídica
- A. Social</t>
        </r>
        <r>
          <rPr>
            <sz val="9"/>
            <color indexed="81"/>
            <rFont val="Tahoma"/>
            <family val="2"/>
          </rPr>
          <t xml:space="preserve">
- </t>
        </r>
        <r>
          <rPr>
            <b/>
            <sz val="9"/>
            <color indexed="81"/>
            <rFont val="Tahoma"/>
            <family val="2"/>
          </rPr>
          <t>A. Habitacional</t>
        </r>
      </text>
    </comment>
    <comment ref="S6" authorId="0" shapeId="0">
      <text>
        <r>
          <rPr>
            <b/>
            <sz val="9"/>
            <color indexed="81"/>
            <rFont val="Tahoma"/>
            <family val="2"/>
          </rPr>
          <t>AREA INSTITUCIONAL:
- ADMINISTRACIÓN CENTRAL
- A. JURÍDICA
- A. SOCIAL
- A. HABITACIONAL</t>
        </r>
        <r>
          <rPr>
            <sz val="9"/>
            <color indexed="81"/>
            <rFont val="Tahoma"/>
            <family val="2"/>
          </rPr>
          <t xml:space="preserve">
</t>
        </r>
      </text>
    </comment>
    <comment ref="U6" authorId="0" shapeId="0">
      <text>
        <r>
          <rPr>
            <b/>
            <sz val="9"/>
            <color indexed="81"/>
            <rFont val="Tahoma"/>
            <family val="2"/>
          </rPr>
          <t>Debe sumar 100% por persona.</t>
        </r>
        <r>
          <rPr>
            <sz val="9"/>
            <color indexed="81"/>
            <rFont val="Tahoma"/>
            <family val="2"/>
          </rPr>
          <t xml:space="preserve">
</t>
        </r>
      </text>
    </comment>
    <comment ref="N17" authorId="0" shapeId="0">
      <text>
        <r>
          <rPr>
            <b/>
            <sz val="9"/>
            <color indexed="81"/>
            <rFont val="Tahoma"/>
            <family val="2"/>
          </rPr>
          <t>COSTO INDIRECTO en remuneraciones en la estructura de costos de la tarifa de la A. Recreativa.</t>
        </r>
        <r>
          <rPr>
            <sz val="9"/>
            <color indexed="81"/>
            <rFont val="Tahoma"/>
            <family val="2"/>
          </rPr>
          <t xml:space="preserve">
</t>
        </r>
      </text>
    </comment>
    <comment ref="P17" authorId="0" shapeId="0">
      <text>
        <r>
          <rPr>
            <b/>
            <sz val="9"/>
            <color indexed="81"/>
            <rFont val="Tahoma"/>
            <family val="2"/>
          </rPr>
          <t>COSTO INDIRECTO en remuneraciones en la estructura de costos de la tarifa de la A. Educacional.</t>
        </r>
        <r>
          <rPr>
            <sz val="9"/>
            <color indexed="81"/>
            <rFont val="Tahoma"/>
            <family val="2"/>
          </rPr>
          <t xml:space="preserve">
</t>
        </r>
      </text>
    </comment>
  </commentList>
</comments>
</file>

<file path=xl/sharedStrings.xml><?xml version="1.0" encoding="utf-8"?>
<sst xmlns="http://schemas.openxmlformats.org/spreadsheetml/2006/main" count="1925" uniqueCount="396">
  <si>
    <t>ANEXO A</t>
  </si>
  <si>
    <t>APENDICE 2 AL ANEXO A</t>
  </si>
  <si>
    <t>ESTIMACION DE INGRESOS DE CENTRO DE BENEFICIO EDUCACIONAL</t>
  </si>
  <si>
    <t>REPARTICION:</t>
  </si>
  <si>
    <t>BIENIQUE</t>
  </si>
  <si>
    <t>RESUMEN DE INGRESOS Y COSTOS DE LOS CENTROS DE BENEFICIO EDUCACIONALES</t>
  </si>
  <si>
    <t>ING. MATR.</t>
  </si>
  <si>
    <t>ING. MENS.</t>
  </si>
  <si>
    <t>ING.TOTAL</t>
  </si>
  <si>
    <t>COSTOS DIR</t>
  </si>
  <si>
    <t>C.IND. Dp.</t>
  </si>
  <si>
    <t>C. TOTAL</t>
  </si>
  <si>
    <t>EXCEDENTE</t>
  </si>
  <si>
    <t>APOYOS DE VIDA</t>
  </si>
  <si>
    <t>TOTAL  BIENIQUE</t>
  </si>
  <si>
    <t>DETALLE DE INGRESOS Y COSTOS DE LOS CENTROS DE BENEFICIO EDUCACIONALES</t>
  </si>
  <si>
    <t>Centro Beneficio</t>
  </si>
  <si>
    <t>Prestación [Unidad]</t>
  </si>
  <si>
    <t>Cálculo Ingreso</t>
  </si>
  <si>
    <t>Matrícula</t>
  </si>
  <si>
    <t>Mensualidad</t>
  </si>
  <si>
    <t>Casos Especiales</t>
  </si>
  <si>
    <t>Ingresos
Matrícula</t>
  </si>
  <si>
    <t>Ingresos
Mensualidad</t>
  </si>
  <si>
    <t xml:space="preserve">Total Anual </t>
  </si>
  <si>
    <t>JARDIN INFANTIL "PEQUEÑOS HEROES"</t>
  </si>
  <si>
    <t>Jardín [Media Jornada]</t>
  </si>
  <si>
    <t>Tarifa [$/U]</t>
  </si>
  <si>
    <t>Unid. Anuales [Nr]</t>
  </si>
  <si>
    <t>Ingreso Anual [$]</t>
  </si>
  <si>
    <t>Jardín [Jornada Completa]</t>
  </si>
  <si>
    <t>Jardín [Media Jornada con Colación y Almuerzo]</t>
  </si>
  <si>
    <t>Todos las Prestaciones</t>
  </si>
  <si>
    <t>Ing. Tot. Anual[$]</t>
  </si>
  <si>
    <t>APENDICE 3 AL ANEXO A</t>
  </si>
  <si>
    <t>DEPARTAMENTO /DELEGACION:</t>
  </si>
  <si>
    <t>COSTOS FIJOS</t>
  </si>
  <si>
    <t xml:space="preserve">COSTOS VARIABLES </t>
  </si>
  <si>
    <t>TOTAL VARIABLES</t>
  </si>
  <si>
    <t>COSTOS DIRECTOS</t>
  </si>
  <si>
    <t>CENTRO BENEFICIO</t>
  </si>
  <si>
    <t>Item Gasto</t>
  </si>
  <si>
    <t>Costo [$]</t>
  </si>
  <si>
    <t>Costo Unit[$] Promedio</t>
  </si>
  <si>
    <t>Cant Unid [Nr]</t>
  </si>
  <si>
    <t>Total [$]</t>
  </si>
  <si>
    <t>PERSONAL</t>
  </si>
  <si>
    <t>Personal</t>
  </si>
  <si>
    <t>Sueldos y Sobresueldos (Personal Estable)</t>
  </si>
  <si>
    <t>Aportes Patronales</t>
  </si>
  <si>
    <t>Personal por reemplazo (reemplazos EAC o EC no FF.PP. puesto que estos reemplazos se pagan con el sueldo del reemplazado)</t>
  </si>
  <si>
    <t>Prestaciones de Seguridad Social</t>
  </si>
  <si>
    <t>Finiquitos e Indemnizaciones</t>
  </si>
  <si>
    <t>Otros gastos en Personal</t>
  </si>
  <si>
    <t>Viáticos (Ej. comisiones de servicio; reuniones, revistas a centros, etc.)</t>
  </si>
  <si>
    <t>Sala Cuna Personal Ley 18.712 (obligaciòn legal funcionarias contratadas con hijos menores de 2 años)</t>
  </si>
  <si>
    <t>BIENES Y SERVICIOS DE CONSUMO</t>
  </si>
  <si>
    <t>Alimentos y Bebidas</t>
  </si>
  <si>
    <t>Alimentación funcionarios - Alumnos en Práctica.</t>
  </si>
  <si>
    <t>Alimentación párvulos</t>
  </si>
  <si>
    <t>Textiles , Vestuario y Calzado</t>
  </si>
  <si>
    <t>Textiles  y Acabados Textiles (Ej.Cortinaje, alfombras, sábanas, frazadas, cobertores)</t>
  </si>
  <si>
    <t>Vestuario , Accesorios y Prendas Diversas (Ej.Uniformes personal)</t>
  </si>
  <si>
    <t>Calzado (del personal)</t>
  </si>
  <si>
    <t>Combustibles y Lubricantes</t>
  </si>
  <si>
    <t>Para maquinarias, Equipos de Producción (Ej. cortadoras de pasto, orilladoras,etc.)</t>
  </si>
  <si>
    <t>Para Calefacción (Ej.Estufas a Parafina)</t>
  </si>
  <si>
    <t>Materiales de Uso o Consumo</t>
  </si>
  <si>
    <t>Materiales de Apoyo Educativo</t>
  </si>
  <si>
    <t>Muebles para implementación de sala</t>
  </si>
  <si>
    <t>Productos Químicos (Ej.Productos para limpieza y mantención de piscinas y pozos, recarga de extintores)</t>
  </si>
  <si>
    <t>Productos Farmaceúticos (Ej. Remedios botiquín: vitáminas, penicilina, aspirina, anti inflamatorios, dipirona,etc.)</t>
  </si>
  <si>
    <t>Materiales y útiles quirúrgicos (Ej. Jeringas, agujas, vendajes, alcohol, yodo, gasa, aldodón, suturas, guantes, etc.)</t>
  </si>
  <si>
    <t>Fertilizantes, insecticidas, Fungicidas y otros  (Ej. Productos para fumigación y desratización, etc)</t>
  </si>
  <si>
    <t>Menaje para oficina,  cocina y otros (Reposición vajilla, ollas, platos, etc.)</t>
  </si>
  <si>
    <t>Materiales y Utiles de Aseo (Todo producto destinado a ser consumido o usado en el aseo de los centros)</t>
  </si>
  <si>
    <t>Insumos, Repuestos y Accesorios Computacionales (Ej.Papel impresora, catridge, etc.)</t>
  </si>
  <si>
    <t xml:space="preserve">Materiales para Mantención y Reparación de Inmuebles (pinturas, maderas, pegamentos, cañerías, fitting, cerrajería, art. Eléctricos, aislantes, etc) </t>
  </si>
  <si>
    <t>Otros materiales, Repuestos y Utiles Diversos</t>
  </si>
  <si>
    <t>Servicios Básicos</t>
  </si>
  <si>
    <t xml:space="preserve">Electricidad </t>
  </si>
  <si>
    <t>Agua</t>
  </si>
  <si>
    <t>Gas</t>
  </si>
  <si>
    <t>Correo</t>
  </si>
  <si>
    <t>Telefónía Fija</t>
  </si>
  <si>
    <t>Telefonía Celular</t>
  </si>
  <si>
    <t>Acceso a Internet</t>
  </si>
  <si>
    <t>Enlaces de Telecomunicaciones (Ej.Tv Cable, Televisión satelital)</t>
  </si>
  <si>
    <t>Otros servicios básicos (Leña)</t>
  </si>
  <si>
    <t>Mantenimiento y Reparaciones</t>
  </si>
  <si>
    <t>Mantenimiento y Reparaciones de Edificaciones (Exteriores e interiores)</t>
  </si>
  <si>
    <t>Mantenimiento y Reparaciones de Mobiliarios y Otros (Mantenimiento y reparación mobiliario habitaciones y/o cabañas)</t>
  </si>
  <si>
    <t>Mantenimiento y Reparaciones de Máquinas y Equipos de Oficina (Ej.Calderas, Aire acondicionado, termos, TV,etc)</t>
  </si>
  <si>
    <t>Mantenimiento y Reparaciones de Maquinaria y Equipos de Producción (Ej.Equipos de cocina, refrigeradores, mantenedores, etc.)</t>
  </si>
  <si>
    <t>Mantenimiento y Reparaciones de Otras Maquinarias y Equipos (Ej. Mantenciòbn de ascensor)</t>
  </si>
  <si>
    <t>Mantenimiento y Reparaciones de de Equipos Informáticos</t>
  </si>
  <si>
    <t>Otros mantenciones y reparaciones</t>
  </si>
  <si>
    <t>Publicidad y Difusión</t>
  </si>
  <si>
    <t>Servicios de Publicidad (Ej. Avisos periòdicos, radio, TV  etc)</t>
  </si>
  <si>
    <t>Servicios de Impresión (Ej.Boletines, folletos, dipticos promocionales, etc)</t>
  </si>
  <si>
    <t>Otros servicios de publicidad</t>
  </si>
  <si>
    <t>Servicios Generales</t>
  </si>
  <si>
    <t>Servicios de Aseo (Ej.Servicio externo de lavandería, extracción de basura municipal,etc)</t>
  </si>
  <si>
    <t>Servicios de Vigilancia (Ej.Servicios de seguridad y alarma contratados)</t>
  </si>
  <si>
    <t>Servicios de Mantención de jardines</t>
  </si>
  <si>
    <t>Pasajes, Fletes y Bodegajes (Ej. Movilizaciòn, locomoción, peajes,etc)</t>
  </si>
  <si>
    <t>Suscripciones Técnicas (Periódicos y Revistas)</t>
  </si>
  <si>
    <t>Servicios Financieros y de Seguros</t>
  </si>
  <si>
    <t>Seguro Inmueble</t>
  </si>
  <si>
    <t>Seguro Escolar</t>
  </si>
  <si>
    <t>Servicios Técnicos y Profesionales</t>
  </si>
  <si>
    <t>Cursos de capacitación (para el personal)</t>
  </si>
  <si>
    <t>Servicios Informáticos</t>
  </si>
  <si>
    <t>Certificaciones (calefont, higiene y seguridad, etc.)</t>
  </si>
  <si>
    <t>Otros servicios técnicos y profesionales</t>
  </si>
  <si>
    <t>Otros Gastos en Bienes y Servicios de Consumo</t>
  </si>
  <si>
    <t>Gastos Menores FO.FI. (Directiva D.G.F.A. Nº 02-DC/0201/22 Fecha Enero 2009)</t>
  </si>
  <si>
    <t>Derechos y tasas (gastos notariales, legalización de doctos. y similares, etc)</t>
  </si>
  <si>
    <t>ADQUISICIÓN DE ACTIVOS NO FINANCIEROS</t>
  </si>
  <si>
    <t xml:space="preserve"> Mobiliario y Otros</t>
  </si>
  <si>
    <t xml:space="preserve"> Máquinas y Equipos</t>
  </si>
  <si>
    <t xml:space="preserve"> Equipos Informaticos</t>
  </si>
  <si>
    <t xml:space="preserve"> Programas Informaticos</t>
  </si>
  <si>
    <t xml:space="preserve"> Otros Activos no Financieros</t>
  </si>
  <si>
    <t>COSTOS TOTALES</t>
  </si>
  <si>
    <t xml:space="preserve">ESTIMACION DE COSTOS APOYO AREA EDUCACIONAL DEPARTAMENTO / DELEGACION </t>
  </si>
  <si>
    <t>REPARTICION</t>
  </si>
  <si>
    <t>COSTOS</t>
  </si>
  <si>
    <t>COSTOS INDIRECTOS (APOYO AREA EDUCACIONAL)</t>
  </si>
  <si>
    <t xml:space="preserve"> Sueldos y Sobresueldos (Personal Estable)</t>
  </si>
  <si>
    <t xml:space="preserve"> Aportes Patronales</t>
  </si>
  <si>
    <t xml:space="preserve"> Alumnos en Práctica</t>
  </si>
  <si>
    <t xml:space="preserve"> Aguinaldos y Bonos (septiembre, diciembre, otros bonos)</t>
  </si>
  <si>
    <r>
      <t xml:space="preserve">Personal por reemplazo </t>
    </r>
    <r>
      <rPr>
        <sz val="8"/>
        <color indexed="8"/>
        <rFont val="Arial Narrow"/>
        <family val="2"/>
      </rPr>
      <t>(reemplazos EAC o EC no FF.PP., estos reemplazos se pagan con el sueldo del reemplazado)</t>
    </r>
  </si>
  <si>
    <t xml:space="preserve"> Gasto de Alimentación del Personal</t>
  </si>
  <si>
    <t xml:space="preserve"> Finiquitos e indemnizaciones</t>
  </si>
  <si>
    <t xml:space="preserve"> Viáticos (Ej. Comisiones de servicio, reuniones, revistas a centros, etc.)</t>
  </si>
  <si>
    <t xml:space="preserve"> Sala Cuna Personal Ley 18.712 (obligación legal funcionarios contratados con hijos menores de 2 años)</t>
  </si>
  <si>
    <t xml:space="preserve"> Alimentación funcionarios, alumnos en practica.</t>
  </si>
  <si>
    <t xml:space="preserve"> Textiles,  vestuarios y calzado (uniforme del personal)</t>
  </si>
  <si>
    <t xml:space="preserve"> Para Calefacción (Estufas a Parafina)</t>
  </si>
  <si>
    <t xml:space="preserve"> Cursos de capacitación (para el personal)</t>
  </si>
  <si>
    <t xml:space="preserve"> Servicios Informáticos</t>
  </si>
  <si>
    <t xml:space="preserve"> Certificaciones (calefont, higiene y seguridad, etc.)</t>
  </si>
  <si>
    <t xml:space="preserve"> Otros servicios técnicos y profesionales</t>
  </si>
  <si>
    <t xml:space="preserve"> Gastos Menores (Directiva D.G.F.A. Nº 02-DC/0201/22 Fecha Enero 2009)</t>
  </si>
  <si>
    <t xml:space="preserve"> Materiales de Oficina (Utiles de Escritorio, impresos de talonarios, boletas,comandas, formularios)</t>
  </si>
  <si>
    <t xml:space="preserve"> Productos Farmaceúticos (Botiquines)</t>
  </si>
  <si>
    <t xml:space="preserve"> Materiales y Utiles de Aseo </t>
  </si>
  <si>
    <t xml:space="preserve"> Insumos, Repuestos y Accesorios Computacionales (Papel impresora, catridge)</t>
  </si>
  <si>
    <t xml:space="preserve"> Agua</t>
  </si>
  <si>
    <t xml:space="preserve"> Energía Eléctrica</t>
  </si>
  <si>
    <t xml:space="preserve"> Gas</t>
  </si>
  <si>
    <t xml:space="preserve"> Correo</t>
  </si>
  <si>
    <t xml:space="preserve"> Telefónía Fija</t>
  </si>
  <si>
    <t xml:space="preserve"> Telefonía Celular</t>
  </si>
  <si>
    <t xml:space="preserve"> Acceso a Internet</t>
  </si>
  <si>
    <t xml:space="preserve"> Enlaces de Telecomunicaciones (Tv Cable, Televisión satelital)</t>
  </si>
  <si>
    <t xml:space="preserve"> Otros Servicios Básicos (Leña)</t>
  </si>
  <si>
    <t xml:space="preserve"> Servicios de Publicidad (avisos, periódicos, radio, TV, etc.)</t>
  </si>
  <si>
    <t xml:space="preserve"> Servicios de Impresión (Boletines, folletos, dipticos promocionales)</t>
  </si>
  <si>
    <t xml:space="preserve"> Otros servicios de publicidad</t>
  </si>
  <si>
    <t>APENDICE 5 AL ANEXO A</t>
  </si>
  <si>
    <t>TARIFAS PROPUESTAS PARA LOS CENTROS DE BENEFICIO DEL AREA EDUCACIONAL</t>
  </si>
  <si>
    <t>APENDICE 1 AL ANEXO A</t>
  </si>
  <si>
    <t>ESTUDIO DE PRECIOS DE MERCADO</t>
  </si>
  <si>
    <t>Meses/Año Salas Cuna</t>
  </si>
  <si>
    <t>Meses/Año Jardines Infantiles</t>
  </si>
  <si>
    <t>Total Año</t>
  </si>
  <si>
    <t>Mat + Mens* M/A</t>
  </si>
  <si>
    <t>JARDIN INFANTIL "SOLDADITO"</t>
  </si>
  <si>
    <t>JARDIN INFANTIL "PILLANCITO"</t>
  </si>
  <si>
    <t>Gendarmeria y PDI</t>
  </si>
  <si>
    <t>Jardín [Jornada Completa] OFICIALES</t>
  </si>
  <si>
    <t>Arriendos maquinas y equipos</t>
  </si>
  <si>
    <t>Personal Servicio Activo Armada y otras FFAA</t>
  </si>
  <si>
    <t>En retiro</t>
  </si>
  <si>
    <t>ESCUELA DE VERANO</t>
  </si>
  <si>
    <t>TOTAL</t>
  </si>
  <si>
    <t>BONO VACACIONES</t>
  </si>
  <si>
    <t>Servicio de fumigación</t>
  </si>
  <si>
    <t>Ed. De Párvulos</t>
  </si>
  <si>
    <t>Bono Término de Conflicto</t>
  </si>
  <si>
    <t>Técnicos</t>
  </si>
  <si>
    <t>Man. De Alimentos</t>
  </si>
  <si>
    <t>Aguinaldos y Bonos de Vac.</t>
  </si>
  <si>
    <t>Aux.  De Aseo</t>
  </si>
  <si>
    <t>Remuneración Mensual</t>
  </si>
  <si>
    <t>Remuneración Anual</t>
  </si>
  <si>
    <t>Reajuste</t>
  </si>
  <si>
    <t>Gasto año 2016</t>
  </si>
  <si>
    <t>PAGO DE CURSOS DE CAPACITACION PARA EL PERSONAL</t>
  </si>
  <si>
    <t>PROYECCIÓN IPC</t>
  </si>
  <si>
    <t>BONO FIN DE AÑO</t>
  </si>
  <si>
    <t>Aguinaldos y VACACIONES (septiembre, diciembre, otros bonos)</t>
  </si>
  <si>
    <t>Personal Servicio Activo Armada</t>
  </si>
  <si>
    <t>Personal en Retiro</t>
  </si>
  <si>
    <t>Servicio de entretención para niños (ACTIVIDADES EXTRAPROGRAMATICAS)</t>
  </si>
  <si>
    <t>ESTIMACION DE COSTOS POR CADA CENTRO DIRECTO DE BENEFICIO (JARDIN )</t>
  </si>
  <si>
    <t>Considera  insumos de oficina</t>
  </si>
  <si>
    <t>Fumigacion trimestral general</t>
  </si>
  <si>
    <t>Fotocopiadora anual</t>
  </si>
  <si>
    <t>BIENQUE</t>
  </si>
  <si>
    <t>Media Jornada con Colación y Almuerzo</t>
  </si>
  <si>
    <t>Jardín 
Jornada Completa</t>
  </si>
  <si>
    <t>Jardín
Media Jornada</t>
  </si>
  <si>
    <t xml:space="preserve">Jardín [Jornada Completa]     </t>
  </si>
  <si>
    <t xml:space="preserve">Jardín [Media Jornada con Colación y Almuerzo] </t>
  </si>
  <si>
    <r>
      <t xml:space="preserve">TARIFAS </t>
    </r>
    <r>
      <rPr>
        <b/>
        <sz val="10"/>
        <color indexed="10"/>
        <rFont val="Arial Narrow"/>
        <family val="2"/>
      </rPr>
      <t>2017</t>
    </r>
  </si>
  <si>
    <t xml:space="preserve">EXAMENES PSICOLABORALES </t>
  </si>
  <si>
    <t>Materiales de Oficina (Ej.Utiles de Escritorio, impresos de talonarios, boletas, comandas, formularios, etc.)</t>
  </si>
  <si>
    <t>Compra y renovacion material didactico</t>
  </si>
  <si>
    <t>Considera la compra de 20 delantales</t>
  </si>
  <si>
    <t>Considera la compra de zapatos de seguridad para las 2 Manipuladoras de alimentos + 1 encargada de aseo.</t>
  </si>
  <si>
    <t>Reunion directoras mas comisiones</t>
  </si>
  <si>
    <t>Compra y reposicion de ollas y vajilla</t>
  </si>
  <si>
    <t>DOTACION (14)</t>
  </si>
  <si>
    <t>Gasto año 2016 $2.068.200.-</t>
  </si>
  <si>
    <t xml:space="preserve">Gasto año 2016 $836.500.- </t>
  </si>
  <si>
    <t>Doble pack VTR año 2017</t>
  </si>
  <si>
    <t xml:space="preserve">Celular jardin </t>
  </si>
  <si>
    <t>3.7</t>
  </si>
  <si>
    <t>Remuneración anual 2018</t>
  </si>
  <si>
    <t>AGUINALDO (2) + BONO ESP</t>
  </si>
  <si>
    <r>
      <t xml:space="preserve">TARIFAS </t>
    </r>
    <r>
      <rPr>
        <b/>
        <sz val="10"/>
        <color indexed="10"/>
        <rFont val="Arial Narrow"/>
        <family val="2"/>
      </rPr>
      <t>2018</t>
    </r>
  </si>
  <si>
    <t>CUOTA DE PADRES $2.000 MENSUALES  PARA 95 NIÑOS PROYECTADOS</t>
  </si>
  <si>
    <r>
      <t xml:space="preserve">EN CASO QUE SE QUIERA COLOCAR EL PORCENTAJE DE TRABAJO DE LA ADM. CENTRAL DEDICADO A ESTE C/COSTO SON EL 8% CORRESPONDEN A 5.700.000 Y LAS MENSUALIDADES DEBERAN SUBIR EN </t>
    </r>
    <r>
      <rPr>
        <u/>
        <sz val="8"/>
        <rFont val="Arial"/>
        <family val="2"/>
      </rPr>
      <t>8.000.-</t>
    </r>
  </si>
  <si>
    <t>N°</t>
  </si>
  <si>
    <t>DEPTO./DELEG.</t>
  </si>
  <si>
    <t>Aguinaldos anual reajustado</t>
  </si>
  <si>
    <t>Bonos anual reajustado</t>
  </si>
  <si>
    <t>Remuneración Total Anual</t>
  </si>
  <si>
    <t>LOS VALORES % DEBEN REFLEJAR LA PROPORCIÓN DEL TIEMPO QUE EL TRABAJADOR DEDICA A CADA UNA DE LAS ÁREAS</t>
  </si>
  <si>
    <r>
      <t xml:space="preserve">TABLA 2: PERSONAL CON REMUNERACIÓN </t>
    </r>
    <r>
      <rPr>
        <b/>
        <u/>
        <sz val="8"/>
        <color indexed="60"/>
        <rFont val="Arial"/>
        <family val="2"/>
      </rPr>
      <t xml:space="preserve">FONDOS PROPIOS DE LA AREA INSTITUCIONAL </t>
    </r>
    <r>
      <rPr>
        <b/>
        <sz val="8"/>
        <rFont val="Arial"/>
        <family val="2"/>
      </rPr>
      <t>DEL DEPTO./DELEG.</t>
    </r>
  </si>
  <si>
    <t>Nombre del Trabajador (AREA INSTITUCIONAL)</t>
  </si>
  <si>
    <t>Ocupación  / Cargo</t>
  </si>
  <si>
    <t>División / Unidad</t>
  </si>
  <si>
    <t>Total haberes mensual</t>
  </si>
  <si>
    <t>Total haberes mensual reajustado</t>
  </si>
  <si>
    <t>Total Haberes Anual reajustado</t>
  </si>
  <si>
    <t>% tiempo dedicado al AREA RECREATIVA</t>
  </si>
  <si>
    <t>$ dedicado al
A. RECREATIVA</t>
  </si>
  <si>
    <t>% tiempo dedicado al AREA EDUCACIONAL</t>
  </si>
  <si>
    <t>$ dedicado al AREA EDUCACIONAL</t>
  </si>
  <si>
    <t>% tiempo dedicado al AREA COMERCIAL</t>
  </si>
  <si>
    <t>$ dedicado al AREA COMERCIAL</t>
  </si>
  <si>
    <t>% tiempo dedicado al AREA INSTITUCIONAL</t>
  </si>
  <si>
    <t>$ dedicado al AREA INSTITUCIONAL</t>
  </si>
  <si>
    <t>% TOTAL</t>
  </si>
  <si>
    <t xml:space="preserve">FERNANDO ENRIQUE ACEVEDO  ULLOA </t>
  </si>
  <si>
    <t>TESORERO</t>
  </si>
  <si>
    <t>AD. CENTRAL</t>
  </si>
  <si>
    <t>XXXX XXXX XXXX</t>
  </si>
  <si>
    <t>ANALISTA DE CUENTAS</t>
  </si>
  <si>
    <t>MARCELA LIDIA PALAPE  SALAZAR</t>
  </si>
  <si>
    <t>CONTADORA</t>
  </si>
  <si>
    <t xml:space="preserve">NICOLAS GERARDO VASQUEZ   CHANEZ </t>
  </si>
  <si>
    <t>ENC. DE INFORMATICA</t>
  </si>
  <si>
    <t>CLAUDIA ESTELA COVARRUBIAS MAZUELA</t>
  </si>
  <si>
    <t>ENCARGADO DE RR.HH.</t>
  </si>
  <si>
    <t>CARLOS RUBÉN GARCÍA CONTRERAS</t>
  </si>
  <si>
    <t>ENC. DE ACT. FIJO / CONVENIOS</t>
  </si>
  <si>
    <t>Pago sala cuna para 3 hijos de tecnicos</t>
  </si>
  <si>
    <t>OLIVER ANDRES ELOY GONZALEZ</t>
  </si>
  <si>
    <t>OGADO</t>
  </si>
  <si>
    <t>ABOGADO</t>
  </si>
  <si>
    <t>JURIDICO</t>
  </si>
  <si>
    <t>MES DE ENERO 2018</t>
  </si>
  <si>
    <t>seguro invalez y sobrevivencia</t>
  </si>
  <si>
    <t>seguros cesantia</t>
  </si>
  <si>
    <t xml:space="preserve">RUT </t>
  </si>
  <si>
    <t>A. PATERNO</t>
  </si>
  <si>
    <t>A.MATERNO</t>
  </si>
  <si>
    <t>NOMBRES</t>
  </si>
  <si>
    <t>FAENA</t>
  </si>
  <si>
    <t>C. COSTO</t>
  </si>
  <si>
    <t>CARGO</t>
  </si>
  <si>
    <t>F. INGRESO</t>
  </si>
  <si>
    <t>F. VENC.</t>
  </si>
  <si>
    <t>D.TRAB.</t>
  </si>
  <si>
    <t>S. BASE</t>
  </si>
  <si>
    <t>A.PERM.</t>
  </si>
  <si>
    <t>A.TITULO</t>
  </si>
  <si>
    <t>A.JEFAT.</t>
  </si>
  <si>
    <t>T. IMP.</t>
  </si>
  <si>
    <t>MOVIL.</t>
  </si>
  <si>
    <t>T. HABERES</t>
  </si>
  <si>
    <t>SIS (1,15%)</t>
  </si>
  <si>
    <t>AFC</t>
  </si>
  <si>
    <t>MUTUAL (1,29%)</t>
  </si>
  <si>
    <t>C. TOT. EMP.</t>
  </si>
  <si>
    <t>MONTO AFP</t>
  </si>
  <si>
    <t>AFP</t>
  </si>
  <si>
    <t>SALUD</t>
  </si>
  <si>
    <t>IMPTO. ÚNICO</t>
  </si>
  <si>
    <t>T. LÍQUIDO</t>
  </si>
  <si>
    <t>CATEGORÍA</t>
  </si>
  <si>
    <t>B. VACACIONES</t>
  </si>
  <si>
    <t>T. POR SERVIDOR</t>
  </si>
  <si>
    <t>17.906.662-9</t>
  </si>
  <si>
    <t>RAMIREZ</t>
  </si>
  <si>
    <t>NUR</t>
  </si>
  <si>
    <t>BERNARDA DE LOURDES</t>
  </si>
  <si>
    <t>J. INFANTIL</t>
  </si>
  <si>
    <t>EDUCACIONAL</t>
  </si>
  <si>
    <t>ED. DE PÁRVULOS</t>
  </si>
  <si>
    <t>INDEFINIDO</t>
  </si>
  <si>
    <t>PLANVITAL</t>
  </si>
  <si>
    <t>PROF</t>
  </si>
  <si>
    <t>13.188.289-0</t>
  </si>
  <si>
    <t xml:space="preserve">CÁCERES </t>
  </si>
  <si>
    <t>KLENNER</t>
  </si>
  <si>
    <t>EVELYN MARLENE</t>
  </si>
  <si>
    <t>TEC.EN PARVULOS</t>
  </si>
  <si>
    <t>PROVIDA</t>
  </si>
  <si>
    <t>ADM</t>
  </si>
  <si>
    <t>19.179.964-K</t>
  </si>
  <si>
    <t xml:space="preserve">CASTILLO </t>
  </si>
  <si>
    <t>SAAVEDRA</t>
  </si>
  <si>
    <t>NICOLE EYLEEN</t>
  </si>
  <si>
    <t>18.262.969-3</t>
  </si>
  <si>
    <t>MOLINA</t>
  </si>
  <si>
    <t>ANGULO</t>
  </si>
  <si>
    <t>KARINA TERESA DE JESÚS</t>
  </si>
  <si>
    <t>MODELO</t>
  </si>
  <si>
    <t>19.222.988-K</t>
  </si>
  <si>
    <t>CONTRERAS</t>
  </si>
  <si>
    <t>MACARENA ELIZABETH</t>
  </si>
  <si>
    <t>19.177.152-4</t>
  </si>
  <si>
    <t>QUENAYA</t>
  </si>
  <si>
    <t>CASTRO</t>
  </si>
  <si>
    <t>SILVIA DEL ROCIO</t>
  </si>
  <si>
    <t>19.663.512-2</t>
  </si>
  <si>
    <t>SALAS</t>
  </si>
  <si>
    <t>VALENCIA</t>
  </si>
  <si>
    <t>FRANCISCA BELÉN</t>
  </si>
  <si>
    <t>18.539.980-K</t>
  </si>
  <si>
    <t>SEREY</t>
  </si>
  <si>
    <t>GONZÁLEZ</t>
  </si>
  <si>
    <t>MARÍA JOSÉ</t>
  </si>
  <si>
    <t>12.653.313-6</t>
  </si>
  <si>
    <t>GARCES</t>
  </si>
  <si>
    <t xml:space="preserve">RIVERA </t>
  </si>
  <si>
    <t>EMA</t>
  </si>
  <si>
    <t>MAN. DE ALIMENTOS</t>
  </si>
  <si>
    <t>HABITAT</t>
  </si>
  <si>
    <t>17.475.043-2</t>
  </si>
  <si>
    <t>SOLÍS</t>
  </si>
  <si>
    <t>ESPINACE</t>
  </si>
  <si>
    <t>RUBÍ IVONNE NICOLE</t>
  </si>
  <si>
    <t>12.436.833-2</t>
  </si>
  <si>
    <t>DIAZ</t>
  </si>
  <si>
    <t>TRABUCCO</t>
  </si>
  <si>
    <t>MIRIAM</t>
  </si>
  <si>
    <t>AUXILIAR DE ASEO</t>
  </si>
  <si>
    <t>SER</t>
  </si>
  <si>
    <t>TOTAL POR CENTRO DE COSTO</t>
  </si>
  <si>
    <t>MES DE FEBRERO 2018</t>
  </si>
  <si>
    <t>ENERO</t>
  </si>
  <si>
    <t>M</t>
  </si>
  <si>
    <t>DIC</t>
  </si>
  <si>
    <t>MES DE MARZO 2018</t>
  </si>
  <si>
    <t>MES DE ABRIL 2018</t>
  </si>
  <si>
    <t>MES DE MAYO 2018</t>
  </si>
  <si>
    <t>MES DE JUNIO 2018</t>
  </si>
  <si>
    <t>MES DE JULIO 2018</t>
  </si>
  <si>
    <t>MES DE AGOSTO 2018</t>
  </si>
  <si>
    <t>MES DE SEPTIEMBRE 2018</t>
  </si>
  <si>
    <t>AG. SEPTBRE.</t>
  </si>
  <si>
    <t>MES DE OCTBRE. 2018</t>
  </si>
  <si>
    <t>MES DE NOVBRE. 2018</t>
  </si>
  <si>
    <t>MES DE DICBRE. 2018</t>
  </si>
  <si>
    <t>AG. DICBRE.</t>
  </si>
  <si>
    <t xml:space="preserve"> B. ESPECIAL</t>
  </si>
  <si>
    <t>reajuste</t>
  </si>
  <si>
    <t>ocupacion</t>
  </si>
  <si>
    <t xml:space="preserve">                                                                              </t>
  </si>
  <si>
    <t xml:space="preserve">              </t>
  </si>
  <si>
    <t xml:space="preserve">                    </t>
  </si>
  <si>
    <t>educ parv</t>
  </si>
  <si>
    <t>tec parv</t>
  </si>
  <si>
    <t>manip</t>
  </si>
  <si>
    <t>aseo</t>
  </si>
  <si>
    <t>Se considera la alimentación de 10 personas por 11 meses por 20 dias mensuales personal EP ley 18712</t>
  </si>
  <si>
    <t xml:space="preserve"> Considera alimentación para 90 niños proyectados en Jornada Completa y Media Jornada con alimentación y 20 en escuela de verano</t>
  </si>
  <si>
    <t xml:space="preserve">Recarga de 6 extintores </t>
  </si>
  <si>
    <t>6 Tintas de impresora</t>
  </si>
  <si>
    <t xml:space="preserve">  6 Luminarias </t>
  </si>
  <si>
    <t>$ 47000 cada una</t>
  </si>
  <si>
    <t xml:space="preserve">Provisión de fondos a tres años para pintado jardin </t>
  </si>
  <si>
    <t xml:space="preserve">Pasajes aereos reunion directoras 2018 </t>
  </si>
  <si>
    <t>gas</t>
  </si>
  <si>
    <t>Considera FOFI de $200.000 mensuales</t>
  </si>
  <si>
    <t xml:space="preserve">COMPRA DE 20 SILLAS PARA PARVULOS </t>
  </si>
  <si>
    <t>DIFERENCIA</t>
  </si>
  <si>
    <t>MENSUALIDAD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</si>
</sst>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_-;&quot;-$&quot;* #,##0.00_-;_-\$* \-??_-;_-@_-"/>
    <numFmt numFmtId="165" formatCode="_-\$* #,##0_-;&quot;-$&quot;* #,##0_-;_-\$* \-_-;_-@_-"/>
    <numFmt numFmtId="166" formatCode="\$#,##0;[Red]&quot;-$&quot;#,##0"/>
    <numFmt numFmtId="167" formatCode="\$#,##0_);[Red]&quot;($&quot;#,##0\)"/>
    <numFmt numFmtId="168" formatCode="_-* #,##0.00_-;\-* #,##0.00_-;_-* \-??_-;_-@_-"/>
    <numFmt numFmtId="169" formatCode="_-* #,##0.0_-;\-* #,##0.0_-;_-* \-??_-;_-@_-"/>
    <numFmt numFmtId="170" formatCode="_(* #,##0_);_(* \(#,##0\);_(* \-_);_(@_)"/>
    <numFmt numFmtId="171" formatCode="_-* #,##0_-;\-* #,##0_-;_-* \-??_-;_-@_-"/>
    <numFmt numFmtId="172" formatCode="_-\$* #,##0_-;&quot;-$&quot;* #,##0_-;_-\$* \-??_-;_-@_-"/>
    <numFmt numFmtId="173" formatCode="_-* #,##0.000_-;\-* #,##0.000_-;_-* \-??_-;_-@_-"/>
    <numFmt numFmtId="174" formatCode="0.000"/>
    <numFmt numFmtId="175" formatCode="_-\$* #,##0.0_-;&quot;-$&quot;* #,##0.0_-;_-\$* \-_-;_-@_-"/>
    <numFmt numFmtId="176" formatCode="&quot;$&quot;\ #,##0"/>
    <numFmt numFmtId="177" formatCode="0\ %"/>
    <numFmt numFmtId="178" formatCode="0.0%"/>
    <numFmt numFmtId="179" formatCode="_-* #,##0_-;\-* #,##0_-;_-* &quot;-&quot;??_-;_-@_-"/>
    <numFmt numFmtId="180" formatCode="[$$-340A]\ #,##0"/>
  </numFmts>
  <fonts count="47" x14ac:knownFonts="1">
    <font>
      <sz val="10"/>
      <name val="Arial"/>
      <family val="2"/>
    </font>
    <font>
      <sz val="10"/>
      <name val="Arial Narrow"/>
      <family val="2"/>
    </font>
    <font>
      <b/>
      <sz val="10"/>
      <name val="Arial Narrow"/>
      <family val="2"/>
    </font>
    <font>
      <b/>
      <sz val="12"/>
      <name val="Arial Narrow"/>
      <family val="2"/>
    </font>
    <font>
      <b/>
      <sz val="14"/>
      <name val="Arial Narrow"/>
      <family val="2"/>
    </font>
    <font>
      <b/>
      <u/>
      <sz val="10"/>
      <name val="Arial Narrow"/>
      <family val="2"/>
    </font>
    <font>
      <sz val="12"/>
      <name val="Arial Narrow"/>
      <family val="2"/>
    </font>
    <font>
      <sz val="12"/>
      <name val="Arial"/>
      <family val="2"/>
    </font>
    <font>
      <b/>
      <sz val="10"/>
      <color indexed="8"/>
      <name val="Arial Narrow"/>
      <family val="2"/>
    </font>
    <font>
      <b/>
      <sz val="10"/>
      <color indexed="9"/>
      <name val="Arial Narrow"/>
      <family val="2"/>
    </font>
    <font>
      <sz val="10"/>
      <color indexed="8"/>
      <name val="Arial Narrow"/>
      <family val="2"/>
    </font>
    <font>
      <sz val="8"/>
      <color indexed="8"/>
      <name val="Arial Narrow"/>
      <family val="2"/>
    </font>
    <font>
      <sz val="10"/>
      <name val="Arial"/>
      <family val="2"/>
    </font>
    <font>
      <b/>
      <sz val="10"/>
      <name val="Arial"/>
      <family val="2"/>
    </font>
    <font>
      <b/>
      <sz val="20"/>
      <name val="Arial Narrow"/>
      <family val="2"/>
    </font>
    <font>
      <b/>
      <sz val="10"/>
      <color indexed="10"/>
      <name val="Arial Narrow"/>
      <family val="2"/>
    </font>
    <font>
      <sz val="8"/>
      <name val="Arial"/>
      <family val="2"/>
    </font>
    <font>
      <u/>
      <sz val="8"/>
      <name val="Arial"/>
      <family val="2"/>
    </font>
    <font>
      <sz val="9"/>
      <color indexed="81"/>
      <name val="Tahoma"/>
      <family val="2"/>
    </font>
    <font>
      <b/>
      <sz val="9"/>
      <color indexed="81"/>
      <name val="Tahoma"/>
      <family val="2"/>
    </font>
    <font>
      <b/>
      <sz val="16"/>
      <color rgb="FF00B050"/>
      <name val="Arial Narrow"/>
      <family val="2"/>
    </font>
    <font>
      <sz val="10"/>
      <color rgb="FFFF0000"/>
      <name val="Arial Narrow"/>
      <family val="2"/>
    </font>
    <font>
      <b/>
      <sz val="10"/>
      <color theme="1"/>
      <name val="Arial Narrow"/>
      <family val="2"/>
    </font>
    <font>
      <b/>
      <sz val="8"/>
      <name val="Arial"/>
      <family val="2"/>
    </font>
    <font>
      <b/>
      <u/>
      <sz val="8"/>
      <color indexed="60"/>
      <name val="Arial"/>
      <family val="2"/>
    </font>
    <font>
      <b/>
      <sz val="8"/>
      <color theme="0"/>
      <name val="Arial"/>
      <family val="2"/>
    </font>
    <font>
      <b/>
      <sz val="8"/>
      <color indexed="9"/>
      <name val="Arial"/>
      <family val="2"/>
    </font>
    <font>
      <b/>
      <sz val="10"/>
      <color indexed="8"/>
      <name val="Arial"/>
      <family val="2"/>
    </font>
    <font>
      <sz val="10"/>
      <color indexed="9"/>
      <name val="Arial"/>
      <family val="2"/>
    </font>
    <font>
      <sz val="10"/>
      <color indexed="16"/>
      <name val="Arial"/>
      <family val="2"/>
    </font>
    <font>
      <b/>
      <sz val="10"/>
      <color indexed="9"/>
      <name val="Arial"/>
      <family val="2"/>
    </font>
    <font>
      <i/>
      <sz val="10"/>
      <color indexed="23"/>
      <name val="Arial"/>
      <family val="2"/>
    </font>
    <font>
      <sz val="10"/>
      <color indexed="17"/>
      <name val="Arial"/>
      <family val="2"/>
    </font>
    <font>
      <b/>
      <sz val="24"/>
      <color indexed="8"/>
      <name val="Arial"/>
      <family val="2"/>
    </font>
    <font>
      <sz val="18"/>
      <color indexed="8"/>
      <name val="Arial"/>
      <family val="2"/>
    </font>
    <font>
      <sz val="12"/>
      <color indexed="8"/>
      <name val="Arial"/>
      <family val="2"/>
    </font>
    <font>
      <sz val="10"/>
      <color indexed="63"/>
      <name val="Arial"/>
      <family val="2"/>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1"/>
      <color theme="3" tint="0.59999389629810485"/>
      <name val="Calibri"/>
      <family val="2"/>
      <scheme val="minor"/>
    </font>
    <font>
      <b/>
      <sz val="20"/>
      <name val="Arial"/>
      <family val="2"/>
    </font>
    <font>
      <b/>
      <sz val="20"/>
      <name val="Calibri"/>
      <family val="2"/>
      <scheme val="minor"/>
    </font>
    <font>
      <b/>
      <sz val="10"/>
      <color rgb="FFFF0000"/>
      <name val="Arial Narrow"/>
      <family val="2"/>
    </font>
    <font>
      <b/>
      <sz val="10"/>
      <color rgb="FFFF0000"/>
      <name val="Arial"/>
      <family val="2"/>
    </font>
  </fonts>
  <fills count="38">
    <fill>
      <patternFill patternType="none"/>
    </fill>
    <fill>
      <patternFill patternType="gray125"/>
    </fill>
    <fill>
      <patternFill patternType="solid">
        <fgColor indexed="22"/>
        <bgColor indexed="31"/>
      </patternFill>
    </fill>
    <fill>
      <patternFill patternType="solid">
        <fgColor indexed="13"/>
        <bgColor indexed="34"/>
      </patternFill>
    </fill>
    <fill>
      <patternFill patternType="solid">
        <fgColor indexed="9"/>
        <bgColor indexed="26"/>
      </patternFill>
    </fill>
    <fill>
      <patternFill patternType="solid">
        <fgColor indexed="42"/>
        <bgColor indexed="27"/>
      </patternFill>
    </fill>
    <fill>
      <patternFill patternType="solid">
        <fgColor indexed="27"/>
        <bgColor indexed="41"/>
      </patternFill>
    </fill>
    <fill>
      <patternFill patternType="solid">
        <fgColor indexed="43"/>
        <bgColor indexed="26"/>
      </patternFill>
    </fill>
    <fill>
      <patternFill patternType="solid">
        <fgColor indexed="31"/>
        <bgColor indexed="22"/>
      </patternFill>
    </fill>
    <fill>
      <patternFill patternType="solid">
        <fgColor indexed="51"/>
        <bgColor indexed="13"/>
      </patternFill>
    </fill>
    <fill>
      <patternFill patternType="solid">
        <fgColor indexed="58"/>
        <bgColor indexed="59"/>
      </patternFill>
    </fill>
    <fill>
      <patternFill patternType="solid">
        <fgColor indexed="55"/>
        <bgColor indexed="23"/>
      </patternFill>
    </fill>
    <fill>
      <patternFill patternType="solid">
        <fgColor indexed="45"/>
        <bgColor indexed="29"/>
      </patternFill>
    </fill>
    <fill>
      <patternFill patternType="solid">
        <fgColor indexed="23"/>
        <bgColor indexed="55"/>
      </patternFill>
    </fill>
    <fill>
      <patternFill patternType="solid">
        <fgColor indexed="47"/>
        <bgColor indexed="22"/>
      </patternFill>
    </fill>
    <fill>
      <patternFill patternType="solid">
        <fgColor theme="3" tint="0.59999389629810485"/>
        <bgColor indexed="64"/>
      </patternFill>
    </fill>
    <fill>
      <patternFill patternType="solid">
        <fgColor theme="0"/>
        <bgColor indexed="64"/>
      </patternFill>
    </fill>
    <fill>
      <patternFill patternType="solid">
        <fgColor theme="0"/>
        <bgColor indexed="26"/>
      </patternFill>
    </fill>
    <fill>
      <patternFill patternType="solid">
        <fgColor rgb="FFFFFF00"/>
        <bgColor indexed="64"/>
      </patternFill>
    </fill>
    <fill>
      <patternFill patternType="solid">
        <fgColor rgb="FFFFC000"/>
        <bgColor indexed="13"/>
      </patternFill>
    </fill>
    <fill>
      <patternFill patternType="solid">
        <fgColor theme="0" tint="-0.249977111117893"/>
        <bgColor indexed="64"/>
      </patternFill>
    </fill>
    <fill>
      <patternFill patternType="solid">
        <fgColor rgb="FFFFFFFF"/>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rgb="FF00206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indexed="8"/>
        <bgColor indexed="58"/>
      </patternFill>
    </fill>
    <fill>
      <patternFill patternType="solid">
        <fgColor indexed="22"/>
        <bgColor indexed="47"/>
      </patternFill>
    </fill>
    <fill>
      <patternFill patternType="solid">
        <fgColor indexed="16"/>
        <bgColor indexed="10"/>
      </patternFill>
    </fill>
    <fill>
      <patternFill patternType="solid">
        <fgColor indexed="26"/>
        <bgColor indexed="9"/>
      </patternFill>
    </fill>
    <fill>
      <patternFill patternType="solid">
        <fgColor rgb="FF92D050"/>
        <bgColor indexed="64"/>
      </patternFill>
    </fill>
    <fill>
      <patternFill patternType="solid">
        <fgColor theme="5" tint="0.59999389629810485"/>
        <bgColor indexed="64"/>
      </patternFill>
    </fill>
    <fill>
      <patternFill patternType="solid">
        <fgColor rgb="FF92D050"/>
        <bgColor indexed="26"/>
      </patternFill>
    </fill>
    <fill>
      <patternFill patternType="solid">
        <fgColor rgb="FF92D050"/>
        <bgColor indexed="27"/>
      </patternFill>
    </fill>
    <fill>
      <patternFill patternType="solid">
        <fgColor rgb="FFFFFF00"/>
        <bgColor indexed="34"/>
      </patternFill>
    </fill>
  </fills>
  <borders count="105">
    <border>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medium">
        <color indexed="8"/>
      </top>
      <bottom style="thin">
        <color indexed="8"/>
      </bottom>
      <diagonal/>
    </border>
    <border>
      <left style="thin">
        <color indexed="8"/>
      </left>
      <right/>
      <top style="thin">
        <color indexed="8"/>
      </top>
      <bottom style="medium">
        <color indexed="8"/>
      </bottom>
      <diagonal/>
    </border>
    <border>
      <left style="thin">
        <color indexed="8"/>
      </left>
      <right/>
      <top style="medium">
        <color indexed="8"/>
      </top>
      <bottom style="medium">
        <color indexed="8"/>
      </bottom>
      <diagonal/>
    </border>
    <border>
      <left/>
      <right style="thin">
        <color indexed="8"/>
      </right>
      <top style="thin">
        <color indexed="8"/>
      </top>
      <bottom/>
      <diagonal/>
    </border>
    <border>
      <left/>
      <right style="thin">
        <color indexed="8"/>
      </right>
      <top style="medium">
        <color indexed="8"/>
      </top>
      <bottom style="medium">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thin">
        <color indexed="8"/>
      </left>
      <right/>
      <top style="thin">
        <color indexed="8"/>
      </top>
      <bottom/>
      <diagonal/>
    </border>
    <border>
      <left/>
      <right style="thin">
        <color indexed="8"/>
      </right>
      <top style="thin">
        <color indexed="8"/>
      </top>
      <bottom style="medium">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thin">
        <color indexed="8"/>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style="thin">
        <color indexed="8"/>
      </right>
      <top/>
      <bottom/>
      <diagonal/>
    </border>
    <border>
      <left style="thin">
        <color indexed="8"/>
      </left>
      <right style="medium">
        <color indexed="8"/>
      </right>
      <top/>
      <bottom/>
      <diagonal/>
    </border>
    <border>
      <left style="thin">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bottom style="medium">
        <color indexed="8"/>
      </bottom>
      <diagonal/>
    </border>
    <border>
      <left style="medium">
        <color indexed="64"/>
      </left>
      <right style="thin">
        <color indexed="64"/>
      </right>
      <top style="medium">
        <color indexed="8"/>
      </top>
      <bottom style="thin">
        <color indexed="8"/>
      </bottom>
      <diagonal/>
    </border>
    <border>
      <left style="thin">
        <color indexed="64"/>
      </left>
      <right style="thin">
        <color indexed="64"/>
      </right>
      <top/>
      <bottom style="thin">
        <color indexed="64"/>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thin">
        <color indexed="8"/>
      </left>
      <right/>
      <top/>
      <bottom style="thin">
        <color indexed="8"/>
      </bottom>
      <diagonal/>
    </border>
    <border>
      <left/>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medium">
        <color indexed="64"/>
      </right>
      <top style="medium">
        <color indexed="64"/>
      </top>
      <bottom style="thin">
        <color indexed="8"/>
      </bottom>
      <diagonal/>
    </border>
    <border>
      <left style="thin">
        <color indexed="64"/>
      </left>
      <right/>
      <top/>
      <bottom style="thin">
        <color indexed="64"/>
      </bottom>
      <diagonal/>
    </border>
    <border>
      <left/>
      <right/>
      <top/>
      <bottom style="thin">
        <color indexed="64"/>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top style="medium">
        <color indexed="64"/>
      </top>
      <bottom style="thin">
        <color indexed="8"/>
      </bottom>
      <diagonal/>
    </border>
    <border>
      <left style="medium">
        <color indexed="64"/>
      </left>
      <right style="medium">
        <color indexed="64"/>
      </right>
      <top style="medium">
        <color indexed="64"/>
      </top>
      <bottom style="thin">
        <color indexed="8"/>
      </bottom>
      <diagonal/>
    </border>
    <border>
      <left style="medium">
        <color rgb="FFFF0000"/>
      </left>
      <right style="medium">
        <color rgb="FFFF0000"/>
      </right>
      <top style="medium">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indexed="64"/>
      </bottom>
      <diagonal/>
    </border>
    <border>
      <left style="medium">
        <color rgb="FFFF0000"/>
      </left>
      <right style="medium">
        <color rgb="FFFF0000"/>
      </right>
      <top style="thin">
        <color indexed="64"/>
      </top>
      <bottom/>
      <diagonal/>
    </border>
    <border>
      <left style="medium">
        <color rgb="FFFF0000"/>
      </left>
      <right style="medium">
        <color rgb="FFFF0000"/>
      </right>
      <top style="medium">
        <color indexed="64"/>
      </top>
      <bottom style="medium">
        <color rgb="FFFF0000"/>
      </bottom>
      <diagonal/>
    </border>
    <border>
      <left style="medium">
        <color rgb="FFFF0000"/>
      </left>
      <right style="medium">
        <color rgb="FFFF0000"/>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indexed="64"/>
      </right>
      <top style="medium">
        <color indexed="64"/>
      </top>
      <bottom style="medium">
        <color rgb="FFFF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ck">
        <color rgb="FFFF0000"/>
      </left>
      <right style="thick">
        <color rgb="FFFF0000"/>
      </right>
      <top style="thick">
        <color rgb="FFFF0000"/>
      </top>
      <bottom style="thick">
        <color rgb="FFFF0000"/>
      </bottom>
      <diagonal/>
    </border>
    <border>
      <left style="thin">
        <color indexed="23"/>
      </left>
      <right style="thin">
        <color indexed="23"/>
      </right>
      <top style="thin">
        <color indexed="23"/>
      </top>
      <bottom style="thin">
        <color indexed="23"/>
      </bottom>
      <diagonal/>
    </border>
  </borders>
  <cellStyleXfs count="22">
    <xf numFmtId="0" fontId="0" fillId="0" borderId="0"/>
    <xf numFmtId="168" fontId="12" fillId="0" borderId="0" applyFill="0" applyBorder="0" applyAlignment="0" applyProtection="0"/>
    <xf numFmtId="164" fontId="12" fillId="0" borderId="0" applyFill="0" applyBorder="0" applyAlignment="0" applyProtection="0"/>
    <xf numFmtId="177" fontId="12" fillId="0" borderId="0"/>
    <xf numFmtId="164" fontId="12" fillId="0" borderId="0"/>
    <xf numFmtId="168" fontId="12" fillId="0" borderId="0"/>
    <xf numFmtId="0" fontId="27" fillId="0" borderId="0" applyNumberFormat="0" applyFill="0" applyBorder="0" applyAlignment="0" applyProtection="0"/>
    <xf numFmtId="0" fontId="28" fillId="29" borderId="0" applyNumberFormat="0" applyBorder="0" applyAlignment="0" applyProtection="0"/>
    <xf numFmtId="0" fontId="28" fillId="13" borderId="0" applyNumberFormat="0" applyBorder="0" applyAlignment="0" applyProtection="0"/>
    <xf numFmtId="0" fontId="27" fillId="8"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2" borderId="104"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9" fillId="0" borderId="0" applyNumberFormat="0" applyFill="0" applyBorder="0" applyAlignment="0" applyProtection="0"/>
    <xf numFmtId="9" fontId="12" fillId="0" borderId="0" applyFont="0" applyFill="0" applyBorder="0" applyAlignment="0" applyProtection="0"/>
  </cellStyleXfs>
  <cellXfs count="450">
    <xf numFmtId="0" fontId="0" fillId="0" borderId="0" xfId="0"/>
    <xf numFmtId="0" fontId="1"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Alignment="1" applyProtection="1">
      <alignment horizontal="right" vertical="center"/>
    </xf>
    <xf numFmtId="0" fontId="3" fillId="0" borderId="1" xfId="0" applyFont="1" applyBorder="1" applyAlignment="1" applyProtection="1">
      <alignment horizontal="right" vertical="center"/>
    </xf>
    <xf numFmtId="0" fontId="2" fillId="0" borderId="0" xfId="0" applyFont="1" applyAlignment="1" applyProtection="1">
      <alignment horizontal="right" vertical="center"/>
    </xf>
    <xf numFmtId="0" fontId="2" fillId="0" borderId="0" xfId="0" applyFont="1" applyBorder="1" applyAlignment="1" applyProtection="1">
      <alignment horizontal="right" vertical="center"/>
    </xf>
    <xf numFmtId="0" fontId="2" fillId="0" borderId="0" xfId="0" applyFont="1" applyBorder="1" applyAlignment="1" applyProtection="1">
      <alignment vertical="center"/>
    </xf>
    <xf numFmtId="0" fontId="5" fillId="0" borderId="0" xfId="0" applyFont="1" applyAlignment="1" applyProtection="1">
      <alignment vertical="center"/>
    </xf>
    <xf numFmtId="0" fontId="2" fillId="2" borderId="2" xfId="0" applyFont="1" applyFill="1" applyBorder="1" applyAlignment="1" applyProtection="1">
      <alignment horizontal="center" vertical="center"/>
    </xf>
    <xf numFmtId="0" fontId="0" fillId="0" borderId="0" xfId="0" applyProtection="1"/>
    <xf numFmtId="165" fontId="1" fillId="3" borderId="2" xfId="2" applyNumberFormat="1" applyFont="1" applyFill="1" applyBorder="1" applyAlignment="1" applyProtection="1">
      <alignment vertical="center"/>
    </xf>
    <xf numFmtId="165" fontId="2" fillId="2" borderId="3" xfId="2" applyNumberFormat="1" applyFont="1" applyFill="1" applyBorder="1" applyAlignment="1" applyProtection="1">
      <alignment vertical="center"/>
    </xf>
    <xf numFmtId="165" fontId="2" fillId="2" borderId="2" xfId="2" applyNumberFormat="1" applyFont="1" applyFill="1" applyBorder="1" applyAlignment="1" applyProtection="1">
      <alignment vertical="center"/>
    </xf>
    <xf numFmtId="0" fontId="2" fillId="4" borderId="0" xfId="0" applyFont="1" applyFill="1" applyBorder="1" applyAlignment="1" applyProtection="1">
      <alignment vertical="center"/>
    </xf>
    <xf numFmtId="165" fontId="2" fillId="4" borderId="0" xfId="2" applyNumberFormat="1" applyFont="1" applyFill="1" applyBorder="1" applyAlignment="1" applyProtection="1">
      <alignment vertical="center"/>
    </xf>
    <xf numFmtId="0" fontId="0" fillId="4" borderId="0" xfId="0" applyFill="1" applyProtection="1"/>
    <xf numFmtId="0" fontId="2" fillId="4" borderId="0" xfId="0" applyFont="1" applyFill="1" applyAlignment="1" applyProtection="1">
      <alignment vertical="center"/>
    </xf>
    <xf numFmtId="0" fontId="1" fillId="4" borderId="0" xfId="0" applyFont="1" applyFill="1" applyAlignment="1" applyProtection="1">
      <alignment vertical="center"/>
    </xf>
    <xf numFmtId="0" fontId="2" fillId="0" borderId="0" xfId="0" applyFont="1" applyFill="1" applyBorder="1" applyAlignment="1" applyProtection="1">
      <alignment vertical="center"/>
    </xf>
    <xf numFmtId="164" fontId="2" fillId="0" borderId="0" xfId="2" applyFont="1" applyFill="1" applyBorder="1" applyAlignment="1" applyProtection="1">
      <alignment vertical="center"/>
    </xf>
    <xf numFmtId="0" fontId="2" fillId="0" borderId="0" xfId="0" applyFont="1" applyFill="1" applyAlignment="1" applyProtection="1">
      <alignment vertical="center"/>
    </xf>
    <xf numFmtId="0" fontId="5" fillId="0" borderId="4" xfId="0" applyFont="1" applyBorder="1" applyAlignment="1" applyProtection="1">
      <alignment vertical="center"/>
    </xf>
    <xf numFmtId="0" fontId="1" fillId="0" borderId="0" xfId="0" applyFont="1" applyFill="1" applyBorder="1" applyAlignment="1" applyProtection="1">
      <alignment horizontal="center" vertical="center" wrapText="1"/>
    </xf>
    <xf numFmtId="0" fontId="1" fillId="0" borderId="0" xfId="0" applyFont="1" applyBorder="1" applyAlignment="1" applyProtection="1">
      <alignment vertical="center"/>
    </xf>
    <xf numFmtId="0" fontId="1" fillId="2" borderId="5"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3" fontId="1" fillId="8" borderId="8" xfId="2" applyNumberFormat="1" applyFont="1" applyFill="1" applyBorder="1" applyAlignment="1" applyProtection="1">
      <alignment vertical="center"/>
    </xf>
    <xf numFmtId="3" fontId="1" fillId="8" borderId="9" xfId="2" applyNumberFormat="1" applyFont="1" applyFill="1" applyBorder="1" applyAlignment="1" applyProtection="1">
      <alignment vertical="center"/>
    </xf>
    <xf numFmtId="0" fontId="1" fillId="6" borderId="10" xfId="0" applyFont="1" applyFill="1" applyBorder="1" applyAlignment="1" applyProtection="1">
      <alignment vertical="center" wrapText="1"/>
    </xf>
    <xf numFmtId="3" fontId="1" fillId="8" borderId="11" xfId="2" applyNumberFormat="1" applyFont="1" applyFill="1" applyBorder="1" applyAlignment="1" applyProtection="1">
      <alignment vertical="center"/>
    </xf>
    <xf numFmtId="167" fontId="1" fillId="6" borderId="12" xfId="2" applyNumberFormat="1" applyFont="1" applyFill="1" applyBorder="1" applyAlignment="1" applyProtection="1">
      <alignment vertical="center"/>
    </xf>
    <xf numFmtId="167" fontId="1" fillId="6" borderId="13" xfId="2" applyNumberFormat="1" applyFont="1" applyFill="1" applyBorder="1" applyAlignment="1" applyProtection="1">
      <alignment vertical="center"/>
    </xf>
    <xf numFmtId="167" fontId="1" fillId="6" borderId="14" xfId="2" applyNumberFormat="1" applyFont="1" applyFill="1" applyBorder="1" applyAlignment="1" applyProtection="1">
      <alignment vertical="center"/>
    </xf>
    <xf numFmtId="167" fontId="1" fillId="8" borderId="8" xfId="2" applyNumberFormat="1" applyFont="1" applyFill="1" applyBorder="1" applyAlignment="1" applyProtection="1">
      <alignment vertical="center"/>
    </xf>
    <xf numFmtId="167" fontId="1" fillId="8" borderId="9" xfId="2" applyNumberFormat="1" applyFont="1" applyFill="1" applyBorder="1" applyAlignment="1" applyProtection="1">
      <alignment vertical="center"/>
    </xf>
    <xf numFmtId="167" fontId="1" fillId="7" borderId="15" xfId="2" applyNumberFormat="1" applyFont="1" applyFill="1" applyBorder="1" applyAlignment="1" applyProtection="1">
      <alignment vertical="center" wrapText="1"/>
    </xf>
    <xf numFmtId="0" fontId="1" fillId="0" borderId="0" xfId="0" applyFont="1" applyFill="1" applyAlignment="1" applyProtection="1">
      <alignment vertical="center"/>
    </xf>
    <xf numFmtId="169" fontId="1" fillId="0" borderId="0" xfId="1" applyNumberFormat="1" applyFont="1" applyFill="1" applyBorder="1" applyAlignment="1" applyProtection="1">
      <alignment vertical="center"/>
    </xf>
    <xf numFmtId="0" fontId="6" fillId="0" borderId="0" xfId="0" applyFont="1" applyAlignment="1" applyProtection="1">
      <alignment vertical="center"/>
    </xf>
    <xf numFmtId="0" fontId="3" fillId="0" borderId="0" xfId="0" applyFont="1" applyAlignment="1" applyProtection="1">
      <alignment horizontal="left" vertical="center"/>
    </xf>
    <xf numFmtId="0" fontId="7" fillId="0" borderId="0" xfId="0" applyFont="1" applyProtection="1"/>
    <xf numFmtId="0" fontId="8" fillId="7" borderId="2"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9" fillId="10" borderId="5" xfId="0" applyFont="1" applyFill="1" applyBorder="1" applyAlignment="1" applyProtection="1">
      <alignment vertical="center"/>
    </xf>
    <xf numFmtId="0" fontId="2" fillId="7" borderId="16" xfId="0" applyFont="1" applyFill="1" applyBorder="1" applyAlignment="1" applyProtection="1">
      <alignment horizontal="center" vertical="center"/>
    </xf>
    <xf numFmtId="0" fontId="2" fillId="9" borderId="5"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165" fontId="8" fillId="9" borderId="17" xfId="2" applyNumberFormat="1" applyFont="1" applyFill="1" applyBorder="1" applyAlignment="1" applyProtection="1">
      <alignment vertical="center"/>
    </xf>
    <xf numFmtId="165" fontId="8" fillId="5" borderId="2" xfId="2" applyNumberFormat="1" applyFont="1" applyFill="1" applyBorder="1" applyAlignment="1" applyProtection="1">
      <alignment vertical="center"/>
    </xf>
    <xf numFmtId="165" fontId="8" fillId="9" borderId="2" xfId="2" applyNumberFormat="1" applyFont="1" applyFill="1" applyBorder="1" applyAlignment="1" applyProtection="1">
      <alignment vertical="center"/>
    </xf>
    <xf numFmtId="165" fontId="8" fillId="5" borderId="18" xfId="2" applyNumberFormat="1" applyFont="1" applyFill="1" applyBorder="1" applyAlignment="1" applyProtection="1">
      <alignment vertical="center"/>
    </xf>
    <xf numFmtId="168" fontId="10" fillId="0" borderId="2" xfId="1" applyFont="1" applyFill="1" applyBorder="1" applyAlignment="1" applyProtection="1">
      <alignment vertical="center"/>
    </xf>
    <xf numFmtId="168" fontId="8" fillId="0" borderId="2" xfId="1" applyFont="1" applyFill="1" applyBorder="1" applyAlignment="1" applyProtection="1">
      <alignment vertical="center"/>
    </xf>
    <xf numFmtId="165" fontId="8" fillId="9" borderId="21" xfId="2" applyNumberFormat="1" applyFont="1" applyFill="1" applyBorder="1" applyAlignment="1" applyProtection="1">
      <alignment vertical="center"/>
    </xf>
    <xf numFmtId="165" fontId="8" fillId="5" borderId="5" xfId="2" applyNumberFormat="1" applyFont="1" applyFill="1" applyBorder="1" applyAlignment="1" applyProtection="1">
      <alignment vertical="center"/>
    </xf>
    <xf numFmtId="168" fontId="10" fillId="0" borderId="5" xfId="1" applyFont="1" applyFill="1" applyBorder="1" applyAlignment="1" applyProtection="1">
      <alignment vertical="center"/>
    </xf>
    <xf numFmtId="165" fontId="8" fillId="5" borderId="22" xfId="2" applyNumberFormat="1" applyFont="1" applyFill="1" applyBorder="1" applyAlignment="1" applyProtection="1">
      <alignment vertical="center"/>
    </xf>
    <xf numFmtId="165" fontId="8" fillId="9" borderId="5" xfId="2" applyNumberFormat="1" applyFont="1" applyFill="1" applyBorder="1" applyAlignment="1" applyProtection="1">
      <alignment vertical="center"/>
    </xf>
    <xf numFmtId="165" fontId="1" fillId="8" borderId="23" xfId="0" applyNumberFormat="1" applyFont="1" applyFill="1" applyBorder="1" applyAlignment="1" applyProtection="1">
      <alignment vertical="center"/>
    </xf>
    <xf numFmtId="165" fontId="1" fillId="8" borderId="13" xfId="0" applyNumberFormat="1" applyFont="1" applyFill="1" applyBorder="1" applyAlignment="1" applyProtection="1">
      <alignment vertical="center"/>
    </xf>
    <xf numFmtId="169" fontId="1" fillId="11" borderId="13" xfId="1" applyNumberFormat="1" applyFont="1" applyFill="1" applyBorder="1" applyAlignment="1" applyProtection="1">
      <alignment vertical="center"/>
    </xf>
    <xf numFmtId="165" fontId="2" fillId="8" borderId="13" xfId="0" applyNumberFormat="1" applyFont="1" applyFill="1" applyBorder="1" applyAlignment="1" applyProtection="1">
      <alignment vertical="center"/>
    </xf>
    <xf numFmtId="165" fontId="2" fillId="8" borderId="14" xfId="0" applyNumberFormat="1" applyFont="1" applyFill="1" applyBorder="1" applyAlignment="1" applyProtection="1">
      <alignment vertical="center"/>
    </xf>
    <xf numFmtId="164" fontId="1" fillId="0" borderId="0" xfId="2" applyFont="1" applyFill="1" applyBorder="1" applyAlignment="1" applyProtection="1">
      <alignment vertical="center"/>
    </xf>
    <xf numFmtId="0" fontId="2" fillId="7" borderId="2"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8" fillId="7" borderId="2" xfId="0" applyFont="1" applyFill="1" applyBorder="1" applyAlignment="1" applyProtection="1">
      <alignment vertical="center"/>
    </xf>
    <xf numFmtId="0" fontId="9" fillId="10" borderId="2" xfId="0" applyFont="1" applyFill="1" applyBorder="1" applyAlignment="1" applyProtection="1">
      <alignment vertical="center" wrapText="1"/>
    </xf>
    <xf numFmtId="0" fontId="2" fillId="7" borderId="2" xfId="0" applyFont="1" applyFill="1" applyBorder="1" applyAlignment="1" applyProtection="1">
      <alignment vertical="center"/>
    </xf>
    <xf numFmtId="165" fontId="10" fillId="2" borderId="5" xfId="2" applyNumberFormat="1" applyFont="1" applyFill="1" applyBorder="1" applyAlignment="1" applyProtection="1">
      <alignment vertical="center"/>
    </xf>
    <xf numFmtId="0" fontId="2" fillId="12" borderId="2" xfId="0" applyFont="1" applyFill="1" applyBorder="1" applyAlignment="1" applyProtection="1">
      <alignment vertical="center"/>
    </xf>
    <xf numFmtId="167" fontId="8" fillId="12" borderId="2" xfId="2" applyNumberFormat="1" applyFont="1" applyFill="1" applyBorder="1" applyAlignment="1" applyProtection="1">
      <alignment vertical="center"/>
    </xf>
    <xf numFmtId="0" fontId="10" fillId="7" borderId="2" xfId="0" applyFont="1" applyFill="1" applyBorder="1" applyAlignment="1" applyProtection="1">
      <alignment vertical="center"/>
    </xf>
    <xf numFmtId="0" fontId="8" fillId="12" borderId="10" xfId="0" applyFont="1" applyFill="1" applyBorder="1" applyAlignment="1" applyProtection="1">
      <alignment horizontal="left" vertical="center"/>
    </xf>
    <xf numFmtId="0" fontId="1" fillId="7" borderId="2" xfId="0" applyFont="1" applyFill="1" applyBorder="1" applyAlignment="1" applyProtection="1">
      <alignment vertical="center"/>
    </xf>
    <xf numFmtId="0" fontId="10" fillId="4" borderId="0" xfId="0" applyFont="1" applyFill="1" applyBorder="1" applyAlignment="1" applyProtection="1">
      <alignment vertical="center"/>
    </xf>
    <xf numFmtId="0" fontId="1" fillId="4" borderId="0" xfId="0" applyFont="1" applyFill="1" applyBorder="1" applyAlignment="1" applyProtection="1">
      <alignment vertical="center"/>
    </xf>
    <xf numFmtId="0" fontId="1" fillId="2" borderId="2" xfId="0" applyFont="1" applyFill="1" applyBorder="1" applyAlignment="1" applyProtection="1">
      <alignment horizontal="center" vertical="center" wrapText="1"/>
    </xf>
    <xf numFmtId="0" fontId="1" fillId="7" borderId="2" xfId="0" applyFont="1" applyFill="1" applyBorder="1" applyAlignment="1" applyProtection="1">
      <alignment vertical="center" wrapText="1"/>
    </xf>
    <xf numFmtId="165" fontId="1" fillId="7" borderId="2" xfId="2" applyNumberFormat="1" applyFont="1" applyFill="1" applyBorder="1" applyAlignment="1" applyProtection="1">
      <alignment vertical="center"/>
    </xf>
    <xf numFmtId="0" fontId="2" fillId="7"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6" borderId="0" xfId="0" applyFont="1" applyFill="1" applyAlignment="1" applyProtection="1">
      <alignment horizontal="left" vertical="center"/>
    </xf>
    <xf numFmtId="0" fontId="2" fillId="0" borderId="0" xfId="0" applyFont="1" applyAlignment="1" applyProtection="1">
      <alignment horizontal="left" vertical="center"/>
    </xf>
    <xf numFmtId="0" fontId="1" fillId="6" borderId="0" xfId="0" applyFont="1" applyFill="1" applyAlignment="1" applyProtection="1">
      <alignment vertical="center"/>
    </xf>
    <xf numFmtId="0" fontId="2" fillId="6" borderId="10" xfId="0" applyFont="1" applyFill="1" applyBorder="1" applyAlignment="1" applyProtection="1">
      <alignment vertical="center"/>
    </xf>
    <xf numFmtId="0" fontId="2" fillId="6" borderId="24" xfId="0" applyFont="1" applyFill="1" applyBorder="1" applyAlignment="1" applyProtection="1">
      <alignment vertical="center"/>
    </xf>
    <xf numFmtId="0" fontId="2" fillId="6" borderId="0" xfId="0" applyFont="1" applyFill="1" applyBorder="1" applyAlignment="1" applyProtection="1">
      <alignment vertical="center"/>
    </xf>
    <xf numFmtId="171" fontId="2" fillId="6" borderId="0" xfId="1" applyNumberFormat="1" applyFont="1" applyFill="1" applyBorder="1" applyAlignment="1" applyProtection="1">
      <alignment horizontal="center" vertical="center"/>
    </xf>
    <xf numFmtId="0" fontId="1" fillId="7" borderId="10"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0" fillId="5" borderId="2" xfId="0" applyFont="1" applyFill="1" applyBorder="1" applyProtection="1"/>
    <xf numFmtId="0" fontId="1" fillId="2" borderId="2" xfId="0" applyFont="1" applyFill="1" applyBorder="1" applyAlignment="1" applyProtection="1">
      <alignment vertical="center" wrapText="1"/>
    </xf>
    <xf numFmtId="165" fontId="1" fillId="4" borderId="2" xfId="2" applyNumberFormat="1" applyFont="1" applyFill="1" applyBorder="1" applyAlignment="1" applyProtection="1">
      <alignment vertical="center"/>
    </xf>
    <xf numFmtId="0" fontId="1" fillId="0" borderId="25" xfId="0" applyFont="1" applyBorder="1" applyAlignment="1" applyProtection="1">
      <alignment vertical="center"/>
    </xf>
    <xf numFmtId="3" fontId="1" fillId="0" borderId="0" xfId="0" applyNumberFormat="1" applyFont="1" applyAlignment="1" applyProtection="1">
      <alignment vertical="center"/>
    </xf>
    <xf numFmtId="0" fontId="2" fillId="15" borderId="25" xfId="0" applyFont="1" applyFill="1" applyBorder="1" applyAlignment="1" applyProtection="1">
      <alignment vertical="center"/>
    </xf>
    <xf numFmtId="3" fontId="2" fillId="0" borderId="25" xfId="0" applyNumberFormat="1" applyFont="1" applyBorder="1" applyAlignment="1" applyProtection="1">
      <alignment vertical="center"/>
    </xf>
    <xf numFmtId="3" fontId="1" fillId="0" borderId="25" xfId="0" applyNumberFormat="1" applyFont="1" applyBorder="1" applyAlignment="1" applyProtection="1">
      <alignment vertical="center"/>
    </xf>
    <xf numFmtId="0" fontId="1" fillId="16" borderId="26" xfId="0" applyFont="1" applyFill="1" applyBorder="1" applyAlignment="1" applyProtection="1">
      <alignment horizontal="right" vertical="center"/>
    </xf>
    <xf numFmtId="0" fontId="1" fillId="16" borderId="27" xfId="0" applyFont="1" applyFill="1" applyBorder="1" applyAlignment="1" applyProtection="1">
      <alignment horizontal="right" vertical="center"/>
    </xf>
    <xf numFmtId="0" fontId="2" fillId="16" borderId="26" xfId="0" applyFont="1" applyFill="1" applyBorder="1" applyAlignment="1" applyProtection="1">
      <alignment horizontal="center" vertical="center"/>
    </xf>
    <xf numFmtId="0" fontId="2" fillId="16" borderId="27" xfId="0" applyFont="1" applyFill="1" applyBorder="1" applyAlignment="1" applyProtection="1">
      <alignment horizontal="center" vertical="center"/>
    </xf>
    <xf numFmtId="172" fontId="13" fillId="16" borderId="25" xfId="2" applyNumberFormat="1" applyFont="1" applyFill="1" applyBorder="1" applyAlignment="1" applyProtection="1">
      <alignment vertical="center"/>
    </xf>
    <xf numFmtId="172" fontId="12" fillId="0" borderId="0" xfId="2" applyNumberFormat="1" applyAlignment="1" applyProtection="1">
      <alignment vertical="center"/>
    </xf>
    <xf numFmtId="172" fontId="12" fillId="0" borderId="25" xfId="2" applyNumberFormat="1" applyFont="1" applyBorder="1" applyAlignment="1" applyProtection="1">
      <alignment vertical="center"/>
    </xf>
    <xf numFmtId="0" fontId="1" fillId="6" borderId="28" xfId="0" applyFont="1" applyFill="1" applyBorder="1" applyAlignment="1" applyProtection="1">
      <alignment vertical="center" wrapText="1"/>
    </xf>
    <xf numFmtId="0" fontId="1" fillId="6" borderId="29" xfId="0" applyFont="1" applyFill="1" applyBorder="1" applyAlignment="1" applyProtection="1">
      <alignment vertical="center" wrapText="1"/>
    </xf>
    <xf numFmtId="0" fontId="2" fillId="7" borderId="30" xfId="0" applyFont="1" applyFill="1" applyBorder="1" applyAlignment="1" applyProtection="1">
      <alignment vertical="center" wrapText="1"/>
    </xf>
    <xf numFmtId="0" fontId="1" fillId="2" borderId="31" xfId="0" applyFont="1" applyFill="1" applyBorder="1" applyAlignment="1" applyProtection="1">
      <alignment vertical="center" wrapText="1"/>
    </xf>
    <xf numFmtId="167" fontId="1" fillId="7" borderId="32" xfId="2" applyNumberFormat="1" applyFont="1" applyFill="1" applyBorder="1" applyAlignment="1" applyProtection="1">
      <alignment vertical="center" wrapText="1"/>
    </xf>
    <xf numFmtId="0" fontId="5" fillId="0" borderId="0" xfId="0" applyFont="1" applyBorder="1" applyAlignment="1" applyProtection="1">
      <alignment vertical="center"/>
    </xf>
    <xf numFmtId="0" fontId="1" fillId="2" borderId="33" xfId="0" applyFont="1" applyFill="1" applyBorder="1" applyAlignment="1" applyProtection="1">
      <alignment vertical="center" wrapText="1"/>
    </xf>
    <xf numFmtId="0" fontId="1" fillId="2" borderId="34" xfId="0" applyFont="1" applyFill="1" applyBorder="1" applyAlignment="1" applyProtection="1">
      <alignment horizontal="center" vertical="center" wrapText="1"/>
    </xf>
    <xf numFmtId="167" fontId="1" fillId="6" borderId="39" xfId="2" applyNumberFormat="1" applyFont="1" applyFill="1" applyBorder="1" applyAlignment="1" applyProtection="1">
      <alignment vertical="center"/>
    </xf>
    <xf numFmtId="167" fontId="1" fillId="6" borderId="40" xfId="0" applyNumberFormat="1" applyFont="1" applyFill="1" applyBorder="1" applyAlignment="1" applyProtection="1">
      <alignment vertical="center"/>
    </xf>
    <xf numFmtId="167" fontId="1" fillId="7" borderId="41" xfId="2" applyNumberFormat="1" applyFont="1" applyFill="1" applyBorder="1" applyAlignment="1" applyProtection="1">
      <alignment vertical="center" wrapText="1"/>
    </xf>
    <xf numFmtId="167" fontId="1" fillId="7" borderId="42" xfId="2" applyNumberFormat="1" applyFont="1" applyFill="1" applyBorder="1" applyAlignment="1" applyProtection="1">
      <alignment vertical="center" wrapText="1"/>
    </xf>
    <xf numFmtId="167" fontId="1" fillId="7" borderId="43" xfId="2" applyNumberFormat="1" applyFont="1" applyFill="1" applyBorder="1" applyAlignment="1" applyProtection="1">
      <alignment vertical="center" wrapText="1"/>
    </xf>
    <xf numFmtId="0" fontId="1" fillId="2" borderId="44" xfId="0" applyFont="1" applyFill="1" applyBorder="1" applyAlignment="1" applyProtection="1">
      <alignment horizontal="center" vertical="center" wrapText="1"/>
    </xf>
    <xf numFmtId="167" fontId="1" fillId="7" borderId="30" xfId="2" applyNumberFormat="1" applyFont="1" applyFill="1" applyBorder="1" applyAlignment="1" applyProtection="1">
      <alignment vertical="center" wrapText="1"/>
    </xf>
    <xf numFmtId="0" fontId="1" fillId="7" borderId="31" xfId="0" applyFont="1" applyFill="1" applyBorder="1" applyAlignment="1" applyProtection="1">
      <alignment horizontal="center" vertical="center" wrapText="1"/>
    </xf>
    <xf numFmtId="167" fontId="1" fillId="6" borderId="45" xfId="2" applyNumberFormat="1" applyFont="1" applyFill="1" applyBorder="1" applyAlignment="1" applyProtection="1">
      <alignment vertical="center"/>
    </xf>
    <xf numFmtId="167" fontId="1" fillId="8" borderId="11" xfId="2" applyNumberFormat="1" applyFont="1" applyFill="1" applyBorder="1" applyAlignment="1" applyProtection="1">
      <alignment vertical="center"/>
    </xf>
    <xf numFmtId="167" fontId="1" fillId="6" borderId="92" xfId="0" applyNumberFormat="1" applyFont="1" applyFill="1" applyBorder="1" applyAlignment="1" applyProtection="1">
      <alignment vertical="center"/>
    </xf>
    <xf numFmtId="167" fontId="1" fillId="6" borderId="93" xfId="0" applyNumberFormat="1" applyFont="1" applyFill="1" applyBorder="1" applyAlignment="1" applyProtection="1">
      <alignment vertical="center"/>
    </xf>
    <xf numFmtId="167" fontId="1" fillId="7" borderId="94" xfId="2" applyNumberFormat="1" applyFont="1" applyFill="1" applyBorder="1" applyAlignment="1" applyProtection="1">
      <alignment vertical="center" wrapText="1"/>
    </xf>
    <xf numFmtId="3" fontId="1" fillId="8" borderId="28" xfId="2" applyNumberFormat="1" applyFont="1" applyFill="1" applyBorder="1" applyAlignment="1" applyProtection="1">
      <alignment vertical="center"/>
    </xf>
    <xf numFmtId="167" fontId="1" fillId="6" borderId="29" xfId="2" applyNumberFormat="1" applyFont="1" applyFill="1" applyBorder="1" applyAlignment="1" applyProtection="1">
      <alignment vertical="center"/>
    </xf>
    <xf numFmtId="167" fontId="1" fillId="8" borderId="28" xfId="2" applyNumberFormat="1" applyFont="1" applyFill="1" applyBorder="1" applyAlignment="1" applyProtection="1">
      <alignment vertical="center"/>
    </xf>
    <xf numFmtId="0" fontId="2" fillId="2" borderId="2" xfId="0" applyFont="1" applyFill="1" applyBorder="1" applyAlignment="1" applyProtection="1">
      <alignment horizontal="center" vertical="center" wrapText="1"/>
    </xf>
    <xf numFmtId="0" fontId="1" fillId="16" borderId="46" xfId="0" applyFont="1" applyFill="1" applyBorder="1" applyAlignment="1" applyProtection="1">
      <alignment horizontal="right" vertical="center"/>
    </xf>
    <xf numFmtId="172" fontId="12" fillId="16" borderId="47" xfId="2" applyNumberFormat="1" applyFont="1" applyFill="1" applyBorder="1" applyAlignment="1" applyProtection="1">
      <alignment vertical="center"/>
    </xf>
    <xf numFmtId="174" fontId="14" fillId="0" borderId="25" xfId="0" applyNumberFormat="1" applyFont="1" applyBorder="1" applyAlignment="1" applyProtection="1">
      <alignment vertical="center"/>
    </xf>
    <xf numFmtId="1" fontId="14" fillId="0" borderId="25" xfId="0" applyNumberFormat="1" applyFont="1" applyBorder="1" applyAlignment="1" applyProtection="1">
      <alignment vertical="center"/>
    </xf>
    <xf numFmtId="0" fontId="20" fillId="0" borderId="48" xfId="0" applyFont="1" applyBorder="1" applyAlignment="1" applyProtection="1">
      <alignment vertical="center"/>
    </xf>
    <xf numFmtId="0" fontId="1" fillId="0" borderId="49" xfId="0" applyFont="1" applyBorder="1" applyAlignment="1" applyProtection="1">
      <alignment vertical="center"/>
    </xf>
    <xf numFmtId="0" fontId="20" fillId="0" borderId="50" xfId="0" applyFont="1" applyBorder="1" applyAlignment="1" applyProtection="1">
      <alignment horizontal="center" vertical="center"/>
    </xf>
    <xf numFmtId="0" fontId="1" fillId="0" borderId="51" xfId="0" applyFont="1" applyBorder="1" applyAlignment="1" applyProtection="1">
      <alignment horizontal="center" vertical="center" wrapText="1"/>
    </xf>
    <xf numFmtId="0" fontId="1" fillId="0" borderId="0" xfId="0" applyFont="1" applyAlignment="1" applyProtection="1">
      <alignment horizontal="center" vertical="center"/>
    </xf>
    <xf numFmtId="0" fontId="1" fillId="2" borderId="1" xfId="0" applyFont="1" applyFill="1" applyBorder="1" applyAlignment="1" applyProtection="1">
      <alignment vertical="center" wrapText="1"/>
    </xf>
    <xf numFmtId="0" fontId="1" fillId="2" borderId="16" xfId="0" applyFont="1" applyFill="1" applyBorder="1" applyAlignment="1" applyProtection="1">
      <alignment horizontal="center" vertical="center" wrapText="1"/>
    </xf>
    <xf numFmtId="0" fontId="1" fillId="2" borderId="52" xfId="0" applyFont="1" applyFill="1" applyBorder="1" applyAlignment="1" applyProtection="1">
      <alignment horizontal="center" vertical="center" wrapText="1"/>
    </xf>
    <xf numFmtId="172" fontId="12" fillId="0" borderId="25" xfId="2" applyNumberFormat="1" applyBorder="1" applyAlignment="1" applyProtection="1">
      <alignment horizontal="center" vertical="center"/>
    </xf>
    <xf numFmtId="172" fontId="12" fillId="0" borderId="53" xfId="2" applyNumberFormat="1" applyBorder="1" applyAlignment="1" applyProtection="1">
      <alignment horizontal="center" vertical="center"/>
    </xf>
    <xf numFmtId="172" fontId="12" fillId="0" borderId="54" xfId="2" applyNumberFormat="1" applyBorder="1" applyAlignment="1" applyProtection="1">
      <alignment horizontal="center" vertical="center"/>
    </xf>
    <xf numFmtId="172" fontId="12" fillId="0" borderId="55" xfId="2" applyNumberFormat="1" applyBorder="1" applyAlignment="1" applyProtection="1">
      <alignment horizontal="center" vertical="center"/>
    </xf>
    <xf numFmtId="0" fontId="2" fillId="2" borderId="56" xfId="0" applyFont="1" applyFill="1" applyBorder="1" applyAlignment="1" applyProtection="1">
      <alignment horizontal="center" vertical="center" wrapText="1"/>
    </xf>
    <xf numFmtId="0" fontId="1" fillId="17" borderId="57"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165" fontId="1" fillId="7" borderId="37" xfId="2" applyNumberFormat="1" applyFont="1" applyFill="1" applyBorder="1" applyAlignment="1" applyProtection="1">
      <alignment vertical="center"/>
    </xf>
    <xf numFmtId="165" fontId="1" fillId="7" borderId="58" xfId="2" applyNumberFormat="1" applyFont="1" applyFill="1" applyBorder="1" applyAlignment="1" applyProtection="1">
      <alignment vertical="center"/>
    </xf>
    <xf numFmtId="0" fontId="1" fillId="7" borderId="59" xfId="0" applyFont="1" applyFill="1" applyBorder="1" applyAlignment="1" applyProtection="1">
      <alignment vertical="center" wrapText="1"/>
    </xf>
    <xf numFmtId="0" fontId="1" fillId="7" borderId="60" xfId="0" applyFont="1" applyFill="1" applyBorder="1" applyAlignment="1" applyProtection="1">
      <alignment vertical="center" wrapText="1"/>
    </xf>
    <xf numFmtId="3" fontId="21" fillId="0" borderId="25" xfId="0" applyNumberFormat="1" applyFont="1" applyBorder="1" applyAlignment="1" applyProtection="1">
      <alignment horizontal="center" vertical="center"/>
    </xf>
    <xf numFmtId="165" fontId="2" fillId="0" borderId="0" xfId="0" applyNumberFormat="1" applyFont="1" applyAlignment="1" applyProtection="1">
      <alignment vertical="center"/>
    </xf>
    <xf numFmtId="0" fontId="1" fillId="0" borderId="0" xfId="0" applyFont="1" applyAlignment="1" applyProtection="1">
      <alignment horizontal="left" vertical="center"/>
    </xf>
    <xf numFmtId="0" fontId="6" fillId="0" borderId="0" xfId="0" applyFont="1" applyAlignment="1" applyProtection="1">
      <alignment horizontal="left" vertical="center"/>
    </xf>
    <xf numFmtId="0" fontId="1" fillId="0" borderId="0" xfId="0" applyFont="1" applyFill="1" applyAlignment="1" applyProtection="1">
      <alignment horizontal="left" vertical="center"/>
    </xf>
    <xf numFmtId="165" fontId="8" fillId="9" borderId="63" xfId="2" applyNumberFormat="1" applyFont="1" applyFill="1" applyBorder="1" applyAlignment="1" applyProtection="1">
      <alignment vertical="center"/>
    </xf>
    <xf numFmtId="165" fontId="8" fillId="5" borderId="16" xfId="2" applyNumberFormat="1" applyFont="1" applyFill="1" applyBorder="1" applyAlignment="1" applyProtection="1">
      <alignment vertical="center"/>
    </xf>
    <xf numFmtId="168" fontId="10" fillId="0" borderId="16" xfId="1" applyFont="1" applyFill="1" applyBorder="1" applyAlignment="1" applyProtection="1">
      <alignment vertical="center"/>
    </xf>
    <xf numFmtId="165" fontId="8" fillId="9" borderId="16" xfId="2" applyNumberFormat="1" applyFont="1" applyFill="1" applyBorder="1" applyAlignment="1" applyProtection="1">
      <alignment vertical="center"/>
    </xf>
    <xf numFmtId="165" fontId="8" fillId="5" borderId="64" xfId="2" applyNumberFormat="1" applyFont="1" applyFill="1" applyBorder="1" applyAlignment="1" applyProtection="1">
      <alignment vertical="center"/>
    </xf>
    <xf numFmtId="165" fontId="8" fillId="12" borderId="15" xfId="2" applyNumberFormat="1" applyFont="1" applyFill="1" applyBorder="1" applyAlignment="1" applyProtection="1">
      <alignment vertical="center"/>
    </xf>
    <xf numFmtId="169" fontId="8" fillId="13" borderId="15" xfId="1" applyNumberFormat="1" applyFont="1" applyFill="1" applyBorder="1" applyAlignment="1" applyProtection="1">
      <alignment vertical="center"/>
    </xf>
    <xf numFmtId="165" fontId="8" fillId="12" borderId="65" xfId="2" applyNumberFormat="1" applyFont="1" applyFill="1" applyBorder="1" applyAlignment="1" applyProtection="1">
      <alignment vertical="center"/>
    </xf>
    <xf numFmtId="165" fontId="8" fillId="12" borderId="6" xfId="2" applyNumberFormat="1" applyFont="1" applyFill="1" applyBorder="1" applyAlignment="1" applyProtection="1">
      <alignment vertical="center"/>
    </xf>
    <xf numFmtId="165" fontId="8" fillId="12" borderId="66" xfId="2" applyNumberFormat="1" applyFont="1" applyFill="1" applyBorder="1" applyAlignment="1" applyProtection="1">
      <alignment vertical="center"/>
    </xf>
    <xf numFmtId="167" fontId="1" fillId="6" borderId="67" xfId="0" applyNumberFormat="1" applyFont="1" applyFill="1" applyBorder="1" applyAlignment="1" applyProtection="1">
      <alignment vertical="center"/>
    </xf>
    <xf numFmtId="0" fontId="1" fillId="5" borderId="96" xfId="0" applyFont="1" applyFill="1" applyBorder="1" applyAlignment="1" applyProtection="1">
      <alignment horizontal="center" vertical="center" wrapText="1"/>
    </xf>
    <xf numFmtId="0" fontId="1" fillId="5" borderId="97" xfId="0" applyFont="1" applyFill="1" applyBorder="1" applyAlignment="1" applyProtection="1">
      <alignment horizontal="center" vertical="center" wrapText="1"/>
    </xf>
    <xf numFmtId="172" fontId="0" fillId="0" borderId="25" xfId="2" applyNumberFormat="1" applyFont="1" applyBorder="1" applyAlignment="1" applyProtection="1">
      <alignment vertical="center"/>
    </xf>
    <xf numFmtId="173" fontId="12" fillId="16" borderId="69" xfId="1" applyNumberFormat="1" applyFill="1" applyBorder="1" applyAlignment="1" applyProtection="1">
      <alignment horizontal="center" vertical="center"/>
    </xf>
    <xf numFmtId="165" fontId="22" fillId="9" borderId="17" xfId="2" applyNumberFormat="1" applyFont="1" applyFill="1" applyBorder="1" applyAlignment="1" applyProtection="1">
      <alignment vertical="center"/>
    </xf>
    <xf numFmtId="165" fontId="22" fillId="19" borderId="17" xfId="2" applyNumberFormat="1" applyFont="1" applyFill="1" applyBorder="1" applyAlignment="1" applyProtection="1">
      <alignment vertical="center"/>
    </xf>
    <xf numFmtId="0" fontId="1" fillId="16" borderId="0" xfId="0" applyFont="1" applyFill="1" applyAlignment="1" applyProtection="1">
      <alignment vertical="center"/>
    </xf>
    <xf numFmtId="0" fontId="16" fillId="18" borderId="0" xfId="0" applyFont="1" applyFill="1" applyAlignment="1" applyProtection="1">
      <alignment vertical="center" wrapText="1"/>
    </xf>
    <xf numFmtId="0" fontId="23" fillId="21" borderId="0" xfId="0" applyFont="1" applyFill="1" applyAlignment="1" applyProtection="1">
      <alignment horizontal="left" vertical="center"/>
    </xf>
    <xf numFmtId="17" fontId="23" fillId="22" borderId="98" xfId="0" applyNumberFormat="1" applyFont="1" applyFill="1" applyBorder="1" applyAlignment="1" applyProtection="1">
      <alignment horizontal="center" vertical="center" wrapText="1"/>
    </xf>
    <xf numFmtId="17" fontId="25" fillId="23" borderId="98" xfId="0" applyNumberFormat="1" applyFont="1" applyFill="1" applyBorder="1" applyAlignment="1" applyProtection="1">
      <alignment horizontal="center" vertical="center" wrapText="1"/>
    </xf>
    <xf numFmtId="0" fontId="25" fillId="24" borderId="98" xfId="0" applyFont="1" applyFill="1" applyBorder="1" applyAlignment="1" applyProtection="1">
      <alignment horizontal="center" vertical="center"/>
    </xf>
    <xf numFmtId="0" fontId="25" fillId="24" borderId="98" xfId="0" applyFont="1" applyFill="1" applyBorder="1" applyAlignment="1" applyProtection="1">
      <alignment horizontal="center" vertical="center" wrapText="1"/>
    </xf>
    <xf numFmtId="17" fontId="23" fillId="22" borderId="101" xfId="0" applyNumberFormat="1" applyFont="1" applyFill="1" applyBorder="1" applyAlignment="1" applyProtection="1">
      <alignment horizontal="center" vertical="center" wrapText="1"/>
    </xf>
    <xf numFmtId="0" fontId="26" fillId="25" borderId="98" xfId="0" applyFont="1" applyFill="1" applyBorder="1" applyAlignment="1" applyProtection="1">
      <alignment horizontal="center" vertical="center" wrapText="1"/>
    </xf>
    <xf numFmtId="0" fontId="26" fillId="26" borderId="98" xfId="0" applyFont="1" applyFill="1" applyBorder="1" applyAlignment="1" applyProtection="1">
      <alignment horizontal="center" vertical="center" wrapText="1"/>
    </xf>
    <xf numFmtId="0" fontId="26" fillId="27" borderId="98" xfId="0" applyFont="1" applyFill="1" applyBorder="1" applyAlignment="1" applyProtection="1">
      <alignment horizontal="center" vertical="center" wrapText="1"/>
    </xf>
    <xf numFmtId="0" fontId="26" fillId="28" borderId="98" xfId="0" applyFont="1" applyFill="1" applyBorder="1" applyAlignment="1" applyProtection="1">
      <alignment horizontal="center" vertical="center" wrapText="1"/>
    </xf>
    <xf numFmtId="0" fontId="23" fillId="0" borderId="98" xfId="0" applyFont="1" applyFill="1" applyBorder="1" applyAlignment="1" applyProtection="1">
      <alignment horizontal="center" vertical="center" wrapText="1"/>
    </xf>
    <xf numFmtId="9" fontId="16" fillId="21" borderId="98" xfId="0" applyNumberFormat="1" applyFont="1" applyFill="1" applyBorder="1" applyAlignment="1" applyProtection="1">
      <alignment horizontal="center" vertical="center"/>
    </xf>
    <xf numFmtId="176" fontId="23" fillId="21" borderId="25" xfId="0" applyNumberFormat="1" applyFont="1" applyFill="1" applyBorder="1" applyAlignment="1" applyProtection="1">
      <alignment horizontal="right"/>
    </xf>
    <xf numFmtId="0" fontId="23" fillId="0" borderId="0" xfId="0" applyFont="1" applyFill="1" applyBorder="1" applyAlignment="1" applyProtection="1">
      <alignment horizontal="left" vertical="center" wrapText="1"/>
    </xf>
    <xf numFmtId="9" fontId="1" fillId="0" borderId="0" xfId="21" applyFont="1" applyAlignment="1" applyProtection="1">
      <alignment horizontal="center" vertical="center"/>
    </xf>
    <xf numFmtId="0" fontId="37" fillId="0" borderId="0" xfId="0" applyFont="1"/>
    <xf numFmtId="0" fontId="39" fillId="0" borderId="0" xfId="0" applyFont="1"/>
    <xf numFmtId="0" fontId="40" fillId="0" borderId="69" xfId="0" applyFont="1" applyBorder="1" applyAlignment="1">
      <alignment horizontal="center"/>
    </xf>
    <xf numFmtId="0" fontId="40" fillId="0" borderId="25" xfId="0" applyFont="1" applyBorder="1" applyAlignment="1">
      <alignment horizontal="center"/>
    </xf>
    <xf numFmtId="0" fontId="40" fillId="0" borderId="25" xfId="0" applyFont="1" applyFill="1" applyBorder="1" applyAlignment="1">
      <alignment horizontal="center"/>
    </xf>
    <xf numFmtId="0" fontId="40" fillId="18" borderId="25" xfId="0" applyFont="1" applyFill="1" applyBorder="1" applyAlignment="1">
      <alignment horizontal="center"/>
    </xf>
    <xf numFmtId="0" fontId="41" fillId="33" borderId="25" xfId="0" applyFont="1" applyFill="1" applyBorder="1" applyAlignment="1">
      <alignment horizontal="center"/>
    </xf>
    <xf numFmtId="0" fontId="41" fillId="0" borderId="25" xfId="0" applyFont="1" applyBorder="1" applyAlignment="1">
      <alignment horizontal="center"/>
    </xf>
    <xf numFmtId="0" fontId="38" fillId="0" borderId="25" xfId="0" applyFont="1" applyBorder="1" applyAlignment="1">
      <alignment horizontal="center"/>
    </xf>
    <xf numFmtId="0" fontId="38" fillId="15" borderId="25" xfId="0" applyFont="1" applyFill="1" applyBorder="1" applyAlignment="1">
      <alignment horizontal="center"/>
    </xf>
    <xf numFmtId="0" fontId="38" fillId="0" borderId="25" xfId="0" applyFont="1" applyBorder="1" applyAlignment="1">
      <alignment horizontal="left" indent="1"/>
    </xf>
    <xf numFmtId="0" fontId="40" fillId="34" borderId="25" xfId="0" applyFont="1" applyFill="1" applyBorder="1" applyAlignment="1">
      <alignment horizontal="center"/>
    </xf>
    <xf numFmtId="0" fontId="39" fillId="0" borderId="25" xfId="0" applyFont="1" applyBorder="1"/>
    <xf numFmtId="49" fontId="0" fillId="0" borderId="25" xfId="0" applyNumberFormat="1" applyFill="1" applyBorder="1"/>
    <xf numFmtId="49" fontId="0" fillId="0" borderId="25" xfId="0" applyNumberFormat="1" applyBorder="1"/>
    <xf numFmtId="14" fontId="0" fillId="0" borderId="25" xfId="0" applyNumberFormat="1" applyBorder="1"/>
    <xf numFmtId="14" fontId="39" fillId="0" borderId="25" xfId="0" applyNumberFormat="1" applyFont="1" applyBorder="1" applyAlignment="1">
      <alignment horizontal="center"/>
    </xf>
    <xf numFmtId="0" fontId="39" fillId="0" borderId="25" xfId="0" applyNumberFormat="1" applyFont="1" applyBorder="1" applyAlignment="1">
      <alignment horizontal="center"/>
    </xf>
    <xf numFmtId="176" fontId="39" fillId="0" borderId="25" xfId="0" applyNumberFormat="1" applyFont="1" applyFill="1" applyBorder="1"/>
    <xf numFmtId="176" fontId="39" fillId="18" borderId="25" xfId="0" applyNumberFormat="1" applyFont="1" applyFill="1" applyBorder="1"/>
    <xf numFmtId="176" fontId="39" fillId="0" borderId="25" xfId="0" applyNumberFormat="1" applyFont="1" applyBorder="1"/>
    <xf numFmtId="176" fontId="39" fillId="33" borderId="25" xfId="0" applyNumberFormat="1" applyFont="1" applyFill="1" applyBorder="1"/>
    <xf numFmtId="176" fontId="39" fillId="15" borderId="25" xfId="0" applyNumberFormat="1" applyFont="1" applyFill="1" applyBorder="1"/>
    <xf numFmtId="180" fontId="0" fillId="0" borderId="25" xfId="0" applyNumberFormat="1" applyFill="1" applyBorder="1" applyAlignment="1"/>
    <xf numFmtId="180" fontId="0" fillId="0" borderId="25" xfId="0" applyNumberFormat="1" applyBorder="1" applyAlignment="1">
      <alignment horizontal="left" indent="1"/>
    </xf>
    <xf numFmtId="180" fontId="39" fillId="0" borderId="25" xfId="0" applyNumberFormat="1" applyFont="1" applyFill="1" applyBorder="1" applyAlignment="1"/>
    <xf numFmtId="180" fontId="39" fillId="0" borderId="25" xfId="0" applyNumberFormat="1" applyFont="1" applyBorder="1" applyAlignment="1"/>
    <xf numFmtId="176" fontId="39" fillId="34" borderId="25" xfId="0" applyNumberFormat="1" applyFont="1" applyFill="1" applyBorder="1"/>
    <xf numFmtId="49" fontId="39" fillId="0" borderId="25" xfId="0" applyNumberFormat="1" applyFont="1" applyBorder="1"/>
    <xf numFmtId="14" fontId="39" fillId="0" borderId="25" xfId="0" applyNumberFormat="1" applyFont="1" applyBorder="1"/>
    <xf numFmtId="49" fontId="37" fillId="0" borderId="25" xfId="0" applyNumberFormat="1" applyFont="1" applyBorder="1"/>
    <xf numFmtId="49" fontId="37" fillId="0" borderId="25" xfId="0" applyNumberFormat="1" applyFont="1" applyFill="1" applyBorder="1"/>
    <xf numFmtId="0" fontId="37" fillId="0" borderId="25" xfId="0" applyFont="1" applyBorder="1"/>
    <xf numFmtId="14" fontId="37" fillId="0" borderId="25" xfId="0" applyNumberFormat="1" applyFont="1" applyBorder="1"/>
    <xf numFmtId="14" fontId="37" fillId="0" borderId="25" xfId="0" applyNumberFormat="1" applyFont="1" applyBorder="1" applyAlignment="1">
      <alignment horizontal="center"/>
    </xf>
    <xf numFmtId="0" fontId="37" fillId="0" borderId="25" xfId="0" applyNumberFormat="1" applyFont="1" applyBorder="1" applyAlignment="1">
      <alignment horizontal="center"/>
    </xf>
    <xf numFmtId="176" fontId="37" fillId="0" borderId="25" xfId="0" applyNumberFormat="1" applyFont="1" applyFill="1" applyBorder="1"/>
    <xf numFmtId="176" fontId="37" fillId="18" borderId="25" xfId="0" applyNumberFormat="1" applyFont="1" applyFill="1" applyBorder="1"/>
    <xf numFmtId="176" fontId="37" fillId="0" borderId="25" xfId="0" applyNumberFormat="1" applyFont="1" applyBorder="1"/>
    <xf numFmtId="176" fontId="37" fillId="33" borderId="25" xfId="0" applyNumberFormat="1" applyFont="1" applyFill="1" applyBorder="1"/>
    <xf numFmtId="176" fontId="37" fillId="15" borderId="25" xfId="0" applyNumberFormat="1" applyFont="1" applyFill="1" applyBorder="1"/>
    <xf numFmtId="180" fontId="37" fillId="0" borderId="25" xfId="0" applyNumberFormat="1" applyFont="1" applyFill="1" applyBorder="1" applyAlignment="1"/>
    <xf numFmtId="180" fontId="37" fillId="0" borderId="25" xfId="0" applyNumberFormat="1" applyFont="1" applyBorder="1" applyAlignment="1">
      <alignment horizontal="left" indent="1"/>
    </xf>
    <xf numFmtId="180" fontId="37" fillId="0" borderId="25" xfId="0" applyNumberFormat="1" applyFont="1" applyBorder="1" applyAlignment="1"/>
    <xf numFmtId="176" fontId="37" fillId="34" borderId="25" xfId="0" applyNumberFormat="1" applyFont="1" applyFill="1" applyBorder="1"/>
    <xf numFmtId="14" fontId="40" fillId="33" borderId="25" xfId="0" applyNumberFormat="1" applyFont="1" applyFill="1" applyBorder="1" applyAlignment="1">
      <alignment horizontal="center"/>
    </xf>
    <xf numFmtId="49" fontId="39" fillId="0" borderId="25" xfId="0" applyNumberFormat="1" applyFont="1" applyFill="1" applyBorder="1"/>
    <xf numFmtId="0" fontId="39" fillId="0" borderId="25" xfId="0" applyFont="1" applyFill="1" applyBorder="1"/>
    <xf numFmtId="0" fontId="39" fillId="0" borderId="25" xfId="0" applyFont="1" applyBorder="1" applyAlignment="1">
      <alignment horizontal="center"/>
    </xf>
    <xf numFmtId="176" fontId="39" fillId="0" borderId="25" xfId="0" applyNumberFormat="1" applyFont="1" applyFill="1" applyBorder="1" applyAlignment="1"/>
    <xf numFmtId="49" fontId="39" fillId="0" borderId="0" xfId="0" applyNumberFormat="1" applyFont="1" applyBorder="1" applyAlignment="1">
      <alignment horizontal="center"/>
    </xf>
    <xf numFmtId="0" fontId="39" fillId="0" borderId="0" xfId="0" applyNumberFormat="1" applyFont="1" applyBorder="1" applyAlignment="1">
      <alignment horizontal="center"/>
    </xf>
    <xf numFmtId="176" fontId="39" fillId="0" borderId="0" xfId="0" applyNumberFormat="1" applyFont="1" applyFill="1" applyBorder="1"/>
    <xf numFmtId="176" fontId="39" fillId="0" borderId="0" xfId="0" applyNumberFormat="1" applyFont="1" applyFill="1" applyBorder="1" applyAlignment="1"/>
    <xf numFmtId="180" fontId="39" fillId="0" borderId="0" xfId="0" applyNumberFormat="1" applyFont="1" applyFill="1" applyBorder="1" applyAlignment="1"/>
    <xf numFmtId="0" fontId="40" fillId="33" borderId="25" xfId="0" applyFont="1" applyFill="1" applyBorder="1" applyAlignment="1">
      <alignment horizontal="center"/>
    </xf>
    <xf numFmtId="0" fontId="42" fillId="0" borderId="0" xfId="0" applyFont="1"/>
    <xf numFmtId="49" fontId="42" fillId="0" borderId="25" xfId="0" applyNumberFormat="1" applyFont="1" applyBorder="1"/>
    <xf numFmtId="49" fontId="42" fillId="0" borderId="25" xfId="0" applyNumberFormat="1" applyFont="1" applyFill="1" applyBorder="1"/>
    <xf numFmtId="0" fontId="42" fillId="0" borderId="25" xfId="0" applyFont="1" applyBorder="1"/>
    <xf numFmtId="14" fontId="42" fillId="0" borderId="25" xfId="0" applyNumberFormat="1" applyFont="1" applyBorder="1"/>
    <xf numFmtId="14" fontId="42" fillId="0" borderId="25" xfId="0" applyNumberFormat="1" applyFont="1" applyBorder="1" applyAlignment="1">
      <alignment horizontal="center"/>
    </xf>
    <xf numFmtId="0" fontId="42" fillId="0" borderId="25" xfId="0" applyNumberFormat="1" applyFont="1" applyBorder="1" applyAlignment="1">
      <alignment horizontal="center"/>
    </xf>
    <xf numFmtId="176" fontId="42" fillId="0" borderId="25" xfId="0" applyNumberFormat="1" applyFont="1" applyFill="1" applyBorder="1"/>
    <xf numFmtId="176" fontId="42" fillId="18" borderId="25" xfId="0" applyNumberFormat="1" applyFont="1" applyFill="1" applyBorder="1"/>
    <xf numFmtId="176" fontId="42" fillId="0" borderId="25" xfId="0" applyNumberFormat="1" applyFont="1" applyBorder="1"/>
    <xf numFmtId="176" fontId="42" fillId="33" borderId="25" xfId="0" applyNumberFormat="1" applyFont="1" applyFill="1" applyBorder="1"/>
    <xf numFmtId="176" fontId="42" fillId="15" borderId="25" xfId="0" applyNumberFormat="1" applyFont="1" applyFill="1" applyBorder="1"/>
    <xf numFmtId="180" fontId="42" fillId="0" borderId="25" xfId="0" applyNumberFormat="1" applyFont="1" applyFill="1" applyBorder="1" applyAlignment="1"/>
    <xf numFmtId="180" fontId="42" fillId="0" borderId="25" xfId="0" applyNumberFormat="1" applyFont="1" applyBorder="1" applyAlignment="1">
      <alignment horizontal="left" indent="1"/>
    </xf>
    <xf numFmtId="180" fontId="42" fillId="0" borderId="25" xfId="0" applyNumberFormat="1" applyFont="1" applyBorder="1" applyAlignment="1"/>
    <xf numFmtId="176" fontId="42" fillId="34" borderId="25" xfId="0" applyNumberFormat="1" applyFont="1" applyFill="1" applyBorder="1"/>
    <xf numFmtId="0" fontId="2" fillId="0" borderId="25" xfId="0" applyFont="1" applyBorder="1" applyAlignment="1" applyProtection="1">
      <alignment vertical="center"/>
    </xf>
    <xf numFmtId="1" fontId="2" fillId="0" borderId="25" xfId="0" applyNumberFormat="1" applyFont="1" applyBorder="1" applyAlignment="1" applyProtection="1">
      <alignment vertical="center"/>
    </xf>
    <xf numFmtId="9" fontId="2" fillId="0" borderId="25" xfId="21" applyFont="1" applyBorder="1" applyAlignment="1" applyProtection="1">
      <alignment vertical="center"/>
    </xf>
    <xf numFmtId="176" fontId="0" fillId="0" borderId="0" xfId="0" applyNumberFormat="1"/>
    <xf numFmtId="176" fontId="13" fillId="0" borderId="0" xfId="0" applyNumberFormat="1" applyFont="1"/>
    <xf numFmtId="176" fontId="40" fillId="18" borderId="25" xfId="0" applyNumberFormat="1" applyFont="1" applyFill="1" applyBorder="1"/>
    <xf numFmtId="176" fontId="44" fillId="18" borderId="25" xfId="0" applyNumberFormat="1" applyFont="1" applyFill="1" applyBorder="1"/>
    <xf numFmtId="180" fontId="13" fillId="18" borderId="25" xfId="0" applyNumberFormat="1" applyFont="1" applyFill="1" applyBorder="1"/>
    <xf numFmtId="180" fontId="43" fillId="18" borderId="25" xfId="0" applyNumberFormat="1" applyFont="1" applyFill="1" applyBorder="1"/>
    <xf numFmtId="172" fontId="12" fillId="0" borderId="25" xfId="2" applyNumberFormat="1" applyBorder="1" applyAlignment="1" applyProtection="1">
      <alignment vertical="center"/>
    </xf>
    <xf numFmtId="0" fontId="21" fillId="0" borderId="0" xfId="0" applyFont="1" applyFill="1" applyAlignment="1" applyProtection="1">
      <alignment horizontal="left" vertical="center"/>
    </xf>
    <xf numFmtId="3" fontId="21" fillId="0" borderId="25" xfId="0" applyNumberFormat="1" applyFont="1" applyBorder="1" applyAlignment="1" applyProtection="1">
      <alignment vertical="center"/>
    </xf>
    <xf numFmtId="165" fontId="45" fillId="5" borderId="2" xfId="2" applyNumberFormat="1" applyFont="1" applyFill="1" applyBorder="1" applyAlignment="1" applyProtection="1">
      <alignment vertical="center"/>
    </xf>
    <xf numFmtId="165" fontId="45" fillId="9" borderId="2" xfId="2" applyNumberFormat="1" applyFont="1" applyFill="1" applyBorder="1" applyAlignment="1" applyProtection="1">
      <alignment vertical="center"/>
    </xf>
    <xf numFmtId="165" fontId="45" fillId="5" borderId="18" xfId="2" applyNumberFormat="1" applyFont="1" applyFill="1" applyBorder="1" applyAlignment="1" applyProtection="1">
      <alignment vertical="center"/>
    </xf>
    <xf numFmtId="165" fontId="45" fillId="9" borderId="17" xfId="2" applyNumberFormat="1" applyFont="1" applyFill="1" applyBorder="1" applyAlignment="1" applyProtection="1">
      <alignment vertical="center"/>
    </xf>
    <xf numFmtId="165" fontId="1" fillId="0" borderId="0" xfId="0" applyNumberFormat="1" applyFont="1" applyAlignment="1" applyProtection="1">
      <alignment vertical="center"/>
    </xf>
    <xf numFmtId="168" fontId="21" fillId="0" borderId="2" xfId="1" applyFont="1" applyFill="1" applyBorder="1" applyAlignment="1" applyProtection="1">
      <alignment vertical="center"/>
    </xf>
    <xf numFmtId="165" fontId="45" fillId="9" borderId="70" xfId="2" applyNumberFormat="1" applyFont="1" applyFill="1" applyBorder="1" applyAlignment="1" applyProtection="1">
      <alignment vertical="center"/>
    </xf>
    <xf numFmtId="165" fontId="45" fillId="5" borderId="3" xfId="2" applyNumberFormat="1" applyFont="1" applyFill="1" applyBorder="1" applyAlignment="1" applyProtection="1">
      <alignment vertical="center"/>
    </xf>
    <xf numFmtId="165" fontId="45" fillId="9" borderId="3" xfId="2" applyNumberFormat="1" applyFont="1" applyFill="1" applyBorder="1" applyAlignment="1" applyProtection="1">
      <alignment vertical="center"/>
    </xf>
    <xf numFmtId="165" fontId="45" fillId="5" borderId="71" xfId="2" applyNumberFormat="1" applyFont="1" applyFill="1" applyBorder="1" applyAlignment="1" applyProtection="1">
      <alignment vertical="center"/>
    </xf>
    <xf numFmtId="168" fontId="45" fillId="0" borderId="3" xfId="1" applyFont="1" applyFill="1" applyBorder="1" applyAlignment="1" applyProtection="1">
      <alignment vertical="center"/>
    </xf>
    <xf numFmtId="0" fontId="45" fillId="0" borderId="0" xfId="0" applyFont="1" applyFill="1" applyAlignment="1" applyProtection="1">
      <alignment horizontal="left" vertical="center"/>
    </xf>
    <xf numFmtId="0" fontId="45" fillId="0" borderId="0" xfId="0" applyFont="1" applyAlignment="1" applyProtection="1">
      <alignment vertical="center"/>
    </xf>
    <xf numFmtId="172" fontId="46" fillId="0" borderId="0" xfId="2" applyNumberFormat="1" applyFont="1" applyAlignment="1" applyProtection="1">
      <alignment vertical="center"/>
    </xf>
    <xf numFmtId="0" fontId="2" fillId="0" borderId="0" xfId="2" applyNumberFormat="1" applyFont="1" applyFill="1" applyBorder="1" applyAlignment="1" applyProtection="1">
      <alignment vertical="center"/>
    </xf>
    <xf numFmtId="165" fontId="1" fillId="35" borderId="37" xfId="2" applyNumberFormat="1" applyFont="1" applyFill="1" applyBorder="1" applyAlignment="1" applyProtection="1">
      <alignment vertical="center"/>
    </xf>
    <xf numFmtId="165" fontId="1" fillId="37" borderId="2" xfId="2" applyNumberFormat="1"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right" vertical="center"/>
    </xf>
    <xf numFmtId="0" fontId="1" fillId="7" borderId="6" xfId="0" applyFont="1" applyFill="1" applyBorder="1" applyAlignment="1" applyProtection="1">
      <alignment vertical="center" wrapText="1"/>
    </xf>
    <xf numFmtId="0" fontId="8" fillId="4" borderId="0" xfId="0" applyFont="1" applyFill="1" applyBorder="1" applyAlignment="1" applyProtection="1">
      <alignment vertical="center"/>
    </xf>
    <xf numFmtId="0" fontId="8" fillId="9" borderId="2" xfId="0" applyFont="1" applyFill="1" applyBorder="1" applyAlignment="1" applyProtection="1">
      <alignment horizontal="center" vertical="center"/>
    </xf>
    <xf numFmtId="0" fontId="8" fillId="2" borderId="5" xfId="0" applyFont="1" applyFill="1" applyBorder="1" applyAlignment="1" applyProtection="1">
      <alignment vertical="center"/>
    </xf>
    <xf numFmtId="0" fontId="2" fillId="7" borderId="2" xfId="0" applyFont="1" applyFill="1" applyBorder="1" applyAlignment="1" applyProtection="1">
      <alignment vertical="center" wrapText="1"/>
    </xf>
    <xf numFmtId="0" fontId="2" fillId="0" borderId="0" xfId="0" applyFont="1" applyBorder="1" applyAlignment="1" applyProtection="1">
      <alignment horizontal="center" vertical="center"/>
    </xf>
    <xf numFmtId="0" fontId="2" fillId="0" borderId="1" xfId="0" applyFont="1" applyBorder="1" applyAlignment="1" applyProtection="1">
      <alignment horizontal="right" vertical="center"/>
    </xf>
    <xf numFmtId="0" fontId="2" fillId="2" borderId="2" xfId="0" applyFont="1" applyFill="1" applyBorder="1" applyAlignment="1" applyProtection="1">
      <alignment vertical="center" wrapText="1"/>
    </xf>
    <xf numFmtId="0" fontId="2" fillId="7" borderId="48" xfId="0" applyFont="1" applyFill="1" applyBorder="1" applyAlignment="1" applyProtection="1">
      <alignment horizontal="center" vertical="center" wrapText="1"/>
    </xf>
    <xf numFmtId="0" fontId="2" fillId="7" borderId="75" xfId="0" applyFont="1" applyFill="1" applyBorder="1" applyAlignment="1" applyProtection="1">
      <alignment horizontal="center" vertical="center" wrapText="1"/>
    </xf>
    <xf numFmtId="0" fontId="2" fillId="7" borderId="49" xfId="0" applyFont="1" applyFill="1" applyBorder="1" applyAlignment="1" applyProtection="1">
      <alignment horizontal="center" vertical="center" wrapText="1"/>
    </xf>
    <xf numFmtId="0" fontId="2" fillId="20" borderId="48" xfId="0" applyFont="1" applyFill="1" applyBorder="1" applyAlignment="1" applyProtection="1">
      <alignment horizontal="center" vertical="center"/>
    </xf>
    <xf numFmtId="0" fontId="2" fillId="20" borderId="75" xfId="0" applyFont="1" applyFill="1" applyBorder="1" applyAlignment="1" applyProtection="1">
      <alignment horizontal="center" vertical="center"/>
    </xf>
    <xf numFmtId="0" fontId="2" fillId="20" borderId="49" xfId="0" applyFont="1" applyFill="1" applyBorder="1" applyAlignment="1" applyProtection="1">
      <alignment horizontal="center" vertical="center"/>
    </xf>
    <xf numFmtId="0" fontId="1" fillId="7" borderId="6" xfId="0" applyFont="1" applyFill="1" applyBorder="1" applyAlignment="1" applyProtection="1">
      <alignment vertical="center" wrapText="1"/>
    </xf>
    <xf numFmtId="0" fontId="14" fillId="2" borderId="26" xfId="0" applyFont="1" applyFill="1" applyBorder="1" applyAlignment="1" applyProtection="1">
      <alignment horizontal="center" vertical="center"/>
    </xf>
    <xf numFmtId="0" fontId="14" fillId="2" borderId="27" xfId="0" applyFont="1" applyFill="1" applyBorder="1" applyAlignment="1" applyProtection="1">
      <alignment horizontal="center" vertical="center"/>
    </xf>
    <xf numFmtId="0" fontId="1" fillId="7" borderId="72" xfId="0" applyFont="1" applyFill="1" applyBorder="1" applyAlignment="1" applyProtection="1">
      <alignment horizontal="center" vertical="center" wrapText="1"/>
    </xf>
    <xf numFmtId="0" fontId="1" fillId="7" borderId="63" xfId="0" applyFont="1" applyFill="1" applyBorder="1" applyAlignment="1" applyProtection="1">
      <alignment horizontal="center" vertical="center" wrapText="1"/>
    </xf>
    <xf numFmtId="0" fontId="1" fillId="7" borderId="73" xfId="0" applyFont="1" applyFill="1" applyBorder="1" applyAlignment="1" applyProtection="1">
      <alignment horizontal="center" vertical="center" wrapText="1"/>
    </xf>
    <xf numFmtId="0" fontId="2" fillId="2" borderId="74" xfId="0" applyFont="1" applyFill="1" applyBorder="1" applyAlignment="1" applyProtection="1">
      <alignment vertical="center"/>
    </xf>
    <xf numFmtId="0" fontId="2" fillId="2" borderId="13" xfId="0" applyFont="1" applyFill="1" applyBorder="1" applyAlignment="1" applyProtection="1">
      <alignment vertical="center" wrapText="1"/>
    </xf>
    <xf numFmtId="0" fontId="2" fillId="2" borderId="29" xfId="0" applyFont="1" applyFill="1" applyBorder="1" applyAlignment="1" applyProtection="1">
      <alignment vertical="center" wrapText="1"/>
    </xf>
    <xf numFmtId="0" fontId="2" fillId="7" borderId="76" xfId="0" applyFont="1" applyFill="1" applyBorder="1" applyAlignment="1" applyProtection="1">
      <alignment horizontal="center" vertical="center" wrapText="1"/>
    </xf>
    <xf numFmtId="0" fontId="2" fillId="7" borderId="77" xfId="0" applyFont="1" applyFill="1" applyBorder="1" applyAlignment="1" applyProtection="1">
      <alignment horizontal="center" vertical="center" wrapText="1"/>
    </xf>
    <xf numFmtId="0" fontId="2" fillId="7" borderId="80" xfId="0" applyFont="1" applyFill="1" applyBorder="1" applyAlignment="1" applyProtection="1">
      <alignment horizontal="center" vertical="center" wrapText="1"/>
    </xf>
    <xf numFmtId="0" fontId="2" fillId="5" borderId="76" xfId="0" applyFont="1" applyFill="1" applyBorder="1" applyAlignment="1" applyProtection="1">
      <alignment horizontal="center" vertical="center" wrapText="1"/>
    </xf>
    <xf numFmtId="0" fontId="2" fillId="5" borderId="77" xfId="0" applyFont="1" applyFill="1" applyBorder="1" applyAlignment="1" applyProtection="1">
      <alignment horizontal="center" vertical="center" wrapText="1"/>
    </xf>
    <xf numFmtId="0" fontId="2" fillId="5" borderId="78" xfId="0" applyFont="1" applyFill="1" applyBorder="1" applyAlignment="1" applyProtection="1">
      <alignment horizontal="center" vertical="center" wrapText="1"/>
    </xf>
    <xf numFmtId="0" fontId="2" fillId="6" borderId="79" xfId="0" applyFont="1" applyFill="1" applyBorder="1" applyAlignment="1" applyProtection="1">
      <alignment horizontal="center" vertical="center" wrapText="1"/>
    </xf>
    <xf numFmtId="0" fontId="0" fillId="3" borderId="2" xfId="0" applyFont="1" applyFill="1" applyBorder="1" applyAlignment="1" applyProtection="1">
      <alignment vertical="center"/>
    </xf>
    <xf numFmtId="0" fontId="4" fillId="0" borderId="2" xfId="0" applyFont="1" applyBorder="1" applyAlignment="1" applyProtection="1">
      <alignment horizontal="center" vertical="center"/>
    </xf>
    <xf numFmtId="0" fontId="2" fillId="2" borderId="2" xfId="0" applyFont="1" applyFill="1" applyBorder="1" applyAlignment="1" applyProtection="1">
      <alignment vertical="center"/>
    </xf>
    <xf numFmtId="0" fontId="8" fillId="14" borderId="84" xfId="0" applyFont="1" applyFill="1" applyBorder="1" applyAlignment="1" applyProtection="1">
      <alignment horizontal="left" vertical="center"/>
    </xf>
    <xf numFmtId="0" fontId="1" fillId="14" borderId="84" xfId="0" applyFont="1" applyFill="1" applyBorder="1" applyAlignment="1" applyProtection="1">
      <alignment horizontal="center" vertical="center"/>
    </xf>
    <xf numFmtId="165" fontId="8" fillId="14" borderId="84" xfId="2" applyNumberFormat="1" applyFont="1" applyFill="1" applyBorder="1" applyAlignment="1" applyProtection="1">
      <alignment horizontal="center" vertical="center"/>
    </xf>
    <xf numFmtId="165" fontId="8" fillId="14" borderId="25" xfId="2" applyNumberFormat="1" applyFont="1" applyFill="1" applyBorder="1" applyAlignment="1" applyProtection="1">
      <alignment horizontal="center" vertical="center"/>
    </xf>
    <xf numFmtId="0" fontId="8" fillId="14" borderId="19" xfId="0" applyFont="1" applyFill="1" applyBorder="1" applyAlignment="1" applyProtection="1">
      <alignment horizontal="left" vertical="center"/>
    </xf>
    <xf numFmtId="165" fontId="8" fillId="14" borderId="83" xfId="2" applyNumberFormat="1" applyFont="1" applyFill="1" applyBorder="1" applyAlignment="1" applyProtection="1">
      <alignment horizontal="center" vertical="center"/>
    </xf>
    <xf numFmtId="175" fontId="8" fillId="14" borderId="83" xfId="2" applyNumberFormat="1" applyFont="1" applyFill="1" applyBorder="1" applyAlignment="1" applyProtection="1">
      <alignment horizontal="center" vertical="center"/>
    </xf>
    <xf numFmtId="0" fontId="8" fillId="12" borderId="79" xfId="0" applyFont="1" applyFill="1" applyBorder="1" applyAlignment="1" applyProtection="1">
      <alignment vertical="center"/>
    </xf>
    <xf numFmtId="0" fontId="8" fillId="14" borderId="83" xfId="0" applyFont="1" applyFill="1" applyBorder="1" applyAlignment="1" applyProtection="1">
      <alignment horizontal="left" vertical="center"/>
    </xf>
    <xf numFmtId="0" fontId="8" fillId="12" borderId="79" xfId="0" applyFont="1" applyFill="1" applyBorder="1" applyAlignment="1" applyProtection="1">
      <alignment horizontal="left" vertical="center"/>
    </xf>
    <xf numFmtId="0" fontId="2" fillId="15" borderId="81" xfId="0" applyFont="1" applyFill="1" applyBorder="1" applyAlignment="1" applyProtection="1">
      <alignment horizontal="center" vertical="center"/>
    </xf>
    <xf numFmtId="0" fontId="2" fillId="15" borderId="82" xfId="0" applyFont="1" applyFill="1" applyBorder="1" applyAlignment="1" applyProtection="1">
      <alignment horizontal="center" vertical="center"/>
    </xf>
    <xf numFmtId="0" fontId="2" fillId="15" borderId="26" xfId="0" applyFont="1" applyFill="1" applyBorder="1" applyAlignment="1" applyProtection="1">
      <alignment horizontal="center" vertical="center"/>
    </xf>
    <xf numFmtId="0" fontId="2" fillId="15" borderId="46" xfId="0" applyFont="1" applyFill="1" applyBorder="1" applyAlignment="1" applyProtection="1">
      <alignment horizontal="center" vertical="center"/>
    </xf>
    <xf numFmtId="0" fontId="2" fillId="15" borderId="27" xfId="0" applyFont="1" applyFill="1" applyBorder="1" applyAlignment="1" applyProtection="1">
      <alignment horizontal="center" vertical="center"/>
    </xf>
    <xf numFmtId="0" fontId="3" fillId="7" borderId="2" xfId="0" applyFont="1" applyFill="1" applyBorder="1" applyAlignment="1" applyProtection="1">
      <alignment horizontal="center" vertical="center"/>
    </xf>
    <xf numFmtId="0" fontId="8" fillId="4" borderId="0" xfId="0" applyFont="1" applyFill="1" applyBorder="1" applyAlignment="1" applyProtection="1">
      <alignment vertical="center"/>
    </xf>
    <xf numFmtId="0" fontId="8" fillId="9" borderId="2" xfId="0" applyFont="1" applyFill="1" applyBorder="1" applyAlignment="1" applyProtection="1">
      <alignment horizontal="center" vertical="center"/>
    </xf>
    <xf numFmtId="0" fontId="8" fillId="2" borderId="5" xfId="0" applyFont="1" applyFill="1" applyBorder="1" applyAlignment="1" applyProtection="1">
      <alignment vertical="center"/>
    </xf>
    <xf numFmtId="0" fontId="2" fillId="14" borderId="24" xfId="0" applyFont="1" applyFill="1" applyBorder="1" applyAlignment="1" applyProtection="1">
      <alignment horizontal="left" vertical="center"/>
    </xf>
    <xf numFmtId="0" fontId="2" fillId="5" borderId="80" xfId="0" applyFont="1" applyFill="1" applyBorder="1" applyAlignment="1" applyProtection="1">
      <alignment horizontal="center" vertical="center" wrapText="1"/>
    </xf>
    <xf numFmtId="0" fontId="2" fillId="36" borderId="76" xfId="0" applyFont="1" applyFill="1" applyBorder="1" applyAlignment="1" applyProtection="1">
      <alignment horizontal="center" vertical="center" wrapText="1"/>
    </xf>
    <xf numFmtId="0" fontId="2" fillId="36" borderId="77" xfId="0" applyFont="1" applyFill="1" applyBorder="1" applyAlignment="1" applyProtection="1">
      <alignment horizontal="center" vertical="center" wrapText="1"/>
    </xf>
    <xf numFmtId="0" fontId="2" fillId="36" borderId="80" xfId="0" applyFont="1" applyFill="1" applyBorder="1" applyAlignment="1" applyProtection="1">
      <alignment horizontal="center" vertical="center" wrapText="1"/>
    </xf>
    <xf numFmtId="0" fontId="2" fillId="7" borderId="86" xfId="0" applyFont="1" applyFill="1" applyBorder="1" applyAlignment="1" applyProtection="1">
      <alignment vertical="center" wrapText="1"/>
    </xf>
    <xf numFmtId="0" fontId="2" fillId="7" borderId="87" xfId="0" applyFont="1" applyFill="1" applyBorder="1" applyAlignment="1" applyProtection="1">
      <alignment vertical="center" wrapText="1"/>
    </xf>
    <xf numFmtId="0" fontId="2" fillId="7" borderId="2" xfId="0" applyFont="1" applyFill="1" applyBorder="1" applyAlignment="1" applyProtection="1">
      <alignment horizontal="center" vertical="center"/>
    </xf>
    <xf numFmtId="0" fontId="2" fillId="2" borderId="88" xfId="0" applyFont="1" applyFill="1" applyBorder="1" applyAlignment="1" applyProtection="1">
      <alignment vertical="center" wrapText="1"/>
    </xf>
    <xf numFmtId="0" fontId="2" fillId="2" borderId="86" xfId="0" applyFont="1" applyFill="1" applyBorder="1" applyAlignment="1" applyProtection="1">
      <alignment vertical="center" wrapText="1"/>
    </xf>
    <xf numFmtId="0" fontId="2" fillId="2" borderId="89" xfId="0" applyFont="1" applyFill="1" applyBorder="1" applyAlignment="1" applyProtection="1">
      <alignment vertical="center" wrapText="1"/>
    </xf>
    <xf numFmtId="0" fontId="2" fillId="2" borderId="59" xfId="0" applyFont="1" applyFill="1" applyBorder="1" applyAlignment="1" applyProtection="1">
      <alignment vertical="center" wrapText="1"/>
    </xf>
    <xf numFmtId="0" fontId="25" fillId="24" borderId="101" xfId="0" applyFont="1" applyFill="1" applyBorder="1" applyAlignment="1" applyProtection="1">
      <alignment horizontal="center" vertical="center" wrapText="1"/>
    </xf>
    <xf numFmtId="0" fontId="25" fillId="24" borderId="102" xfId="0" applyFont="1" applyFill="1" applyBorder="1" applyAlignment="1" applyProtection="1">
      <alignment horizontal="center" vertical="center" wrapText="1"/>
    </xf>
    <xf numFmtId="0" fontId="38" fillId="0" borderId="48" xfId="0" applyFont="1" applyBorder="1" applyAlignment="1">
      <alignment horizontal="center"/>
    </xf>
    <xf numFmtId="0" fontId="38" fillId="0" borderId="49" xfId="0" applyFont="1" applyBorder="1" applyAlignment="1">
      <alignment horizontal="center"/>
    </xf>
    <xf numFmtId="49" fontId="39" fillId="0" borderId="26" xfId="0" applyNumberFormat="1" applyFont="1" applyBorder="1" applyAlignment="1">
      <alignment horizontal="center"/>
    </xf>
    <xf numFmtId="49" fontId="39" fillId="0" borderId="46" xfId="0" applyNumberFormat="1" applyFont="1" applyBorder="1" applyAlignment="1">
      <alignment horizontal="center"/>
    </xf>
    <xf numFmtId="49" fontId="39" fillId="0" borderId="27" xfId="0" applyNumberFormat="1" applyFont="1" applyBorder="1" applyAlignment="1">
      <alignment horizontal="center"/>
    </xf>
    <xf numFmtId="166" fontId="1" fillId="0" borderId="35" xfId="2" applyNumberFormat="1" applyFont="1" applyFill="1" applyBorder="1" applyAlignment="1" applyProtection="1">
      <alignment vertical="center"/>
    </xf>
    <xf numFmtId="166" fontId="1" fillId="0" borderId="7" xfId="2" applyNumberFormat="1" applyFont="1" applyFill="1" applyBorder="1" applyAlignment="1" applyProtection="1">
      <alignment vertical="center"/>
    </xf>
    <xf numFmtId="166" fontId="1" fillId="0" borderId="36" xfId="2" applyNumberFormat="1" applyFont="1" applyFill="1" applyBorder="1" applyAlignment="1" applyProtection="1">
      <alignment vertical="center"/>
    </xf>
    <xf numFmtId="166" fontId="1" fillId="0" borderId="68" xfId="2" applyNumberFormat="1" applyFont="1" applyFill="1" applyBorder="1" applyAlignment="1" applyProtection="1">
      <alignment vertical="center"/>
    </xf>
    <xf numFmtId="166" fontId="1" fillId="0" borderId="95" xfId="2" applyNumberFormat="1" applyFont="1" applyFill="1" applyBorder="1" applyAlignment="1" applyProtection="1">
      <alignment vertical="center"/>
    </xf>
    <xf numFmtId="1" fontId="1" fillId="0" borderId="37" xfId="2" applyNumberFormat="1" applyFont="1" applyFill="1" applyBorder="1" applyAlignment="1" applyProtection="1">
      <alignment vertical="center"/>
    </xf>
    <xf numFmtId="1" fontId="1" fillId="0" borderId="2" xfId="2" applyNumberFormat="1" applyFont="1" applyFill="1" applyBorder="1" applyAlignment="1" applyProtection="1">
      <alignment vertical="center"/>
    </xf>
    <xf numFmtId="1" fontId="1" fillId="0" borderId="38" xfId="2" applyNumberFormat="1" applyFont="1" applyFill="1" applyBorder="1" applyAlignment="1" applyProtection="1">
      <alignment vertical="center"/>
    </xf>
    <xf numFmtId="1" fontId="1" fillId="0" borderId="91" xfId="2" applyNumberFormat="1" applyFont="1" applyFill="1" applyBorder="1" applyAlignment="1" applyProtection="1">
      <alignment vertical="center"/>
    </xf>
    <xf numFmtId="166" fontId="1" fillId="0" borderId="90" xfId="2" applyNumberFormat="1" applyFont="1" applyFill="1" applyBorder="1" applyAlignment="1" applyProtection="1">
      <alignment vertical="center"/>
    </xf>
    <xf numFmtId="166" fontId="1" fillId="0" borderId="91" xfId="2" applyNumberFormat="1" applyFont="1" applyFill="1" applyBorder="1" applyAlignment="1" applyProtection="1">
      <alignment vertical="center"/>
    </xf>
    <xf numFmtId="171" fontId="2" fillId="4" borderId="2" xfId="1" applyNumberFormat="1" applyFont="1" applyFill="1" applyBorder="1" applyAlignment="1" applyProtection="1">
      <alignment horizontal="center" vertical="center"/>
    </xf>
    <xf numFmtId="0" fontId="2" fillId="0" borderId="2" xfId="0" applyFont="1" applyFill="1" applyBorder="1" applyAlignment="1" applyProtection="1">
      <alignment vertical="center" wrapText="1"/>
    </xf>
    <xf numFmtId="0" fontId="1" fillId="0" borderId="2" xfId="0" applyFont="1" applyFill="1" applyBorder="1" applyAlignment="1" applyProtection="1">
      <alignment vertical="center"/>
    </xf>
    <xf numFmtId="0" fontId="2" fillId="0" borderId="2" xfId="0" applyFont="1" applyFill="1" applyBorder="1" applyAlignment="1" applyProtection="1">
      <alignment vertical="center"/>
    </xf>
    <xf numFmtId="170" fontId="10" fillId="3" borderId="84" xfId="0" applyNumberFormat="1" applyFont="1" applyFill="1" applyBorder="1" applyAlignment="1" applyProtection="1">
      <alignment horizontal="left"/>
    </xf>
    <xf numFmtId="170" fontId="1" fillId="3" borderId="84" xfId="0" applyNumberFormat="1" applyFont="1" applyFill="1" applyBorder="1" applyAlignment="1" applyProtection="1">
      <alignment horizontal="left"/>
    </xf>
    <xf numFmtId="3" fontId="0" fillId="0" borderId="25" xfId="0" applyNumberFormat="1" applyBorder="1" applyProtection="1"/>
    <xf numFmtId="170" fontId="10" fillId="3" borderId="19" xfId="0" applyNumberFormat="1" applyFont="1" applyFill="1" applyBorder="1" applyAlignment="1" applyProtection="1"/>
    <xf numFmtId="170" fontId="10" fillId="3" borderId="20" xfId="0" applyNumberFormat="1" applyFont="1" applyFill="1" applyBorder="1" applyAlignment="1" applyProtection="1"/>
    <xf numFmtId="170" fontId="1" fillId="3" borderId="61" xfId="0" applyNumberFormat="1" applyFont="1" applyFill="1" applyBorder="1" applyAlignment="1" applyProtection="1"/>
    <xf numFmtId="170" fontId="10" fillId="3" borderId="62" xfId="0" applyNumberFormat="1" applyFont="1" applyFill="1" applyBorder="1" applyAlignment="1" applyProtection="1"/>
    <xf numFmtId="170" fontId="2" fillId="14" borderId="83" xfId="0" applyNumberFormat="1" applyFont="1" applyFill="1" applyBorder="1" applyAlignment="1" applyProtection="1">
      <alignment horizontal="left"/>
    </xf>
    <xf numFmtId="170" fontId="1" fillId="3" borderId="19" xfId="0" applyNumberFormat="1" applyFont="1" applyFill="1" applyBorder="1" applyAlignment="1" applyProtection="1">
      <alignment horizontal="left"/>
    </xf>
    <xf numFmtId="170" fontId="1" fillId="3" borderId="20" xfId="0" applyNumberFormat="1" applyFont="1" applyFill="1" applyBorder="1" applyAlignment="1" applyProtection="1">
      <alignment horizontal="left"/>
    </xf>
    <xf numFmtId="170" fontId="2" fillId="14" borderId="84" xfId="0" applyNumberFormat="1" applyFont="1" applyFill="1" applyBorder="1" applyAlignment="1" applyProtection="1">
      <alignment horizontal="left"/>
    </xf>
    <xf numFmtId="170" fontId="10" fillId="3" borderId="19" xfId="0" applyNumberFormat="1" applyFont="1" applyFill="1" applyBorder="1" applyAlignment="1" applyProtection="1">
      <alignment horizontal="left"/>
    </xf>
    <xf numFmtId="170" fontId="10" fillId="3" borderId="20" xfId="0" applyNumberFormat="1" applyFont="1" applyFill="1" applyBorder="1" applyAlignment="1" applyProtection="1">
      <alignment horizontal="left"/>
    </xf>
    <xf numFmtId="170" fontId="1" fillId="3" borderId="61" xfId="0" applyNumberFormat="1" applyFont="1" applyFill="1" applyBorder="1" applyAlignment="1" applyProtection="1">
      <alignment horizontal="left"/>
    </xf>
    <xf numFmtId="170" fontId="1" fillId="3" borderId="62" xfId="0" applyNumberFormat="1" applyFont="1" applyFill="1" applyBorder="1" applyAlignment="1" applyProtection="1">
      <alignment horizontal="left"/>
    </xf>
    <xf numFmtId="170" fontId="2" fillId="12" borderId="79" xfId="0" applyNumberFormat="1" applyFont="1" applyFill="1" applyBorder="1" applyAlignment="1" applyProtection="1">
      <alignment horizontal="left"/>
    </xf>
    <xf numFmtId="0" fontId="1" fillId="3" borderId="83" xfId="0" applyFont="1" applyFill="1" applyBorder="1" applyAlignment="1" applyProtection="1">
      <alignment horizontal="left"/>
    </xf>
    <xf numFmtId="0" fontId="1" fillId="3" borderId="84" xfId="0" applyFont="1" applyFill="1" applyBorder="1" applyAlignment="1" applyProtection="1">
      <alignment horizontal="left"/>
    </xf>
    <xf numFmtId="0" fontId="8" fillId="2" borderId="85" xfId="0" applyFont="1" applyFill="1" applyBorder="1" applyAlignment="1" applyProtection="1">
      <alignment vertical="center"/>
    </xf>
    <xf numFmtId="167" fontId="10" fillId="0" borderId="2" xfId="2" applyNumberFormat="1" applyFont="1" applyFill="1" applyBorder="1" applyAlignment="1" applyProtection="1">
      <alignment vertical="center"/>
    </xf>
    <xf numFmtId="170" fontId="10" fillId="7" borderId="2" xfId="0" applyNumberFormat="1" applyFont="1" applyFill="1" applyBorder="1" applyAlignment="1" applyProtection="1"/>
    <xf numFmtId="170" fontId="2" fillId="14" borderId="2" xfId="0" applyNumberFormat="1" applyFont="1" applyFill="1" applyBorder="1" applyAlignment="1" applyProtection="1">
      <alignment horizontal="left"/>
    </xf>
    <xf numFmtId="167" fontId="1" fillId="0" borderId="2" xfId="2" applyNumberFormat="1" applyFont="1" applyFill="1" applyBorder="1" applyAlignment="1" applyProtection="1">
      <alignment vertical="center"/>
    </xf>
    <xf numFmtId="170" fontId="1" fillId="7" borderId="10" xfId="0" applyNumberFormat="1" applyFont="1" applyFill="1" applyBorder="1" applyAlignment="1" applyProtection="1">
      <alignment horizontal="left"/>
    </xf>
    <xf numFmtId="165" fontId="10" fillId="4" borderId="0" xfId="2" applyNumberFormat="1" applyFont="1" applyFill="1" applyBorder="1" applyAlignment="1" applyProtection="1">
      <alignment vertical="center"/>
    </xf>
    <xf numFmtId="0" fontId="16" fillId="21" borderId="0" xfId="0" applyFont="1" applyFill="1" applyBorder="1" applyAlignment="1" applyProtection="1">
      <alignment horizontal="center" vertical="center"/>
    </xf>
    <xf numFmtId="0" fontId="16" fillId="21" borderId="0" xfId="0" applyFont="1" applyFill="1" applyBorder="1" applyAlignment="1" applyProtection="1">
      <alignment horizontal="left" vertical="center"/>
    </xf>
    <xf numFmtId="176" fontId="23" fillId="21" borderId="0" xfId="0" applyNumberFormat="1" applyFont="1" applyFill="1" applyBorder="1" applyAlignment="1" applyProtection="1">
      <alignment horizontal="right" vertical="center"/>
    </xf>
    <xf numFmtId="176" fontId="23" fillId="18" borderId="26" xfId="0" applyNumberFormat="1" applyFont="1" applyFill="1" applyBorder="1" applyAlignment="1" applyProtection="1">
      <alignment horizontal="left" vertical="center"/>
    </xf>
    <xf numFmtId="0" fontId="16" fillId="18" borderId="46" xfId="0" applyFont="1" applyFill="1" applyBorder="1" applyProtection="1"/>
    <xf numFmtId="176" fontId="23" fillId="18" borderId="46" xfId="0" applyNumberFormat="1" applyFont="1" applyFill="1" applyBorder="1" applyAlignment="1" applyProtection="1">
      <alignment horizontal="right" vertical="center"/>
    </xf>
    <xf numFmtId="9" fontId="16" fillId="18" borderId="46" xfId="0" applyNumberFormat="1" applyFont="1" applyFill="1" applyBorder="1" applyAlignment="1" applyProtection="1">
      <alignment horizontal="center" vertical="center"/>
    </xf>
    <xf numFmtId="9" fontId="16" fillId="18" borderId="27" xfId="0" applyNumberFormat="1" applyFont="1" applyFill="1" applyBorder="1" applyAlignment="1" applyProtection="1">
      <alignment horizontal="center" vertical="center"/>
    </xf>
    <xf numFmtId="0" fontId="16" fillId="21" borderId="0" xfId="0" applyFont="1" applyFill="1" applyBorder="1" applyProtection="1"/>
    <xf numFmtId="0" fontId="16" fillId="21" borderId="0" xfId="0" applyFont="1" applyFill="1" applyProtection="1"/>
    <xf numFmtId="9" fontId="16" fillId="21" borderId="0" xfId="0" applyNumberFormat="1" applyFont="1" applyFill="1" applyBorder="1" applyAlignment="1" applyProtection="1">
      <alignment horizontal="center" vertical="center"/>
    </xf>
    <xf numFmtId="0" fontId="16" fillId="21" borderId="0" xfId="0" applyFont="1" applyFill="1" applyAlignment="1" applyProtection="1">
      <alignment horizontal="center" vertical="center"/>
    </xf>
    <xf numFmtId="176" fontId="16" fillId="21" borderId="25" xfId="0" applyNumberFormat="1" applyFont="1" applyFill="1" applyBorder="1" applyAlignment="1" applyProtection="1">
      <alignment horizontal="center" vertical="center"/>
    </xf>
    <xf numFmtId="178" fontId="23" fillId="21" borderId="25" xfId="3" applyNumberFormat="1" applyFont="1" applyFill="1" applyBorder="1" applyAlignment="1" applyProtection="1">
      <alignment horizontal="center" vertical="center"/>
    </xf>
    <xf numFmtId="176" fontId="16" fillId="0" borderId="0" xfId="0" applyNumberFormat="1" applyFont="1" applyFill="1" applyBorder="1" applyProtection="1"/>
    <xf numFmtId="0" fontId="16" fillId="21" borderId="98" xfId="0" applyFont="1" applyFill="1" applyBorder="1" applyAlignment="1" applyProtection="1">
      <alignment horizontal="center" vertical="center"/>
    </xf>
    <xf numFmtId="0" fontId="16" fillId="21" borderId="98" xfId="0" applyFont="1" applyFill="1" applyBorder="1" applyProtection="1"/>
    <xf numFmtId="0" fontId="16" fillId="0" borderId="26" xfId="0" applyFont="1" applyBorder="1" applyAlignment="1" applyProtection="1">
      <alignment horizontal="left" vertical="center"/>
    </xf>
    <xf numFmtId="0" fontId="16" fillId="0" borderId="27" xfId="0" applyFont="1" applyBorder="1" applyAlignment="1" applyProtection="1">
      <alignment horizontal="left" vertical="center"/>
    </xf>
    <xf numFmtId="0" fontId="16" fillId="0" borderId="25" xfId="0" applyFont="1" applyFill="1" applyBorder="1" applyProtection="1"/>
    <xf numFmtId="176" fontId="16" fillId="0" borderId="25" xfId="0" applyNumberFormat="1" applyFont="1" applyFill="1" applyBorder="1" applyProtection="1"/>
    <xf numFmtId="176" fontId="16" fillId="21" borderId="98" xfId="0" applyNumberFormat="1" applyFont="1" applyFill="1" applyBorder="1" applyProtection="1"/>
    <xf numFmtId="176" fontId="16" fillId="21" borderId="98" xfId="0" applyNumberFormat="1" applyFont="1" applyFill="1" applyBorder="1" applyAlignment="1" applyProtection="1">
      <alignment horizontal="right" vertical="center"/>
    </xf>
    <xf numFmtId="179" fontId="16" fillId="21" borderId="98" xfId="5" applyNumberFormat="1" applyFont="1" applyFill="1" applyBorder="1" applyAlignment="1" applyProtection="1">
      <alignment horizontal="center" vertical="center"/>
    </xf>
    <xf numFmtId="177" fontId="16" fillId="21" borderId="98" xfId="3" applyFont="1" applyFill="1" applyBorder="1" applyAlignment="1" applyProtection="1">
      <alignment horizontal="center" vertical="center"/>
    </xf>
    <xf numFmtId="49" fontId="16" fillId="0" borderId="25" xfId="0" applyNumberFormat="1" applyFont="1" applyFill="1" applyBorder="1" applyProtection="1"/>
    <xf numFmtId="0" fontId="16" fillId="21" borderId="101" xfId="0" applyFont="1" applyFill="1" applyBorder="1" applyAlignment="1" applyProtection="1">
      <alignment horizontal="left" vertical="center" wrapText="1"/>
    </xf>
    <xf numFmtId="0" fontId="16" fillId="21" borderId="102" xfId="0" applyFont="1" applyFill="1" applyBorder="1" applyAlignment="1" applyProtection="1">
      <alignment horizontal="left" vertical="center"/>
    </xf>
    <xf numFmtId="0" fontId="16" fillId="21" borderId="98" xfId="0" applyFont="1" applyFill="1" applyBorder="1" applyAlignment="1" applyProtection="1">
      <alignment wrapText="1"/>
    </xf>
    <xf numFmtId="0" fontId="16" fillId="21" borderId="99" xfId="0" applyFont="1" applyFill="1" applyBorder="1" applyAlignment="1" applyProtection="1">
      <alignment horizontal="center" vertical="center"/>
    </xf>
    <xf numFmtId="0" fontId="16" fillId="21" borderId="100" xfId="0" applyFont="1" applyFill="1" applyBorder="1" applyProtection="1"/>
    <xf numFmtId="0" fontId="16" fillId="21" borderId="100" xfId="0" applyFont="1" applyFill="1" applyBorder="1" applyAlignment="1" applyProtection="1">
      <alignment horizontal="left" vertical="center"/>
    </xf>
    <xf numFmtId="176" fontId="16" fillId="21" borderId="100" xfId="0" applyNumberFormat="1" applyFont="1" applyFill="1" applyBorder="1" applyProtection="1"/>
    <xf numFmtId="9" fontId="16" fillId="21" borderId="100" xfId="0" applyNumberFormat="1" applyFont="1" applyFill="1" applyBorder="1" applyAlignment="1" applyProtection="1">
      <alignment horizontal="center" vertical="center"/>
    </xf>
    <xf numFmtId="176" fontId="23" fillId="0" borderId="25" xfId="0" applyNumberFormat="1" applyFont="1" applyFill="1" applyBorder="1" applyAlignment="1" applyProtection="1"/>
    <xf numFmtId="176" fontId="23" fillId="0" borderId="103" xfId="0" applyNumberFormat="1" applyFont="1" applyFill="1" applyBorder="1" applyProtection="1"/>
    <xf numFmtId="176" fontId="23" fillId="0" borderId="0" xfId="0" applyNumberFormat="1" applyFont="1" applyFill="1" applyBorder="1" applyProtection="1"/>
    <xf numFmtId="176" fontId="23" fillId="0" borderId="25" xfId="0" applyNumberFormat="1" applyFont="1" applyFill="1" applyBorder="1" applyProtection="1"/>
  </cellXfs>
  <cellStyles count="22">
    <cellStyle name="Accent" xfId="6"/>
    <cellStyle name="Accent 1" xfId="7"/>
    <cellStyle name="Accent 2" xfId="8"/>
    <cellStyle name="Accent 3" xfId="9"/>
    <cellStyle name="Bad" xfId="10"/>
    <cellStyle name="Error" xfId="11"/>
    <cellStyle name="Footnote" xfId="12"/>
    <cellStyle name="Good" xfId="13"/>
    <cellStyle name="Heading" xfId="14"/>
    <cellStyle name="Heading 1" xfId="15"/>
    <cellStyle name="Heading 2" xfId="16"/>
    <cellStyle name="Millares" xfId="1" builtinId="3"/>
    <cellStyle name="Millares 2" xfId="5"/>
    <cellStyle name="Moneda" xfId="2" builtinId="4"/>
    <cellStyle name="Moneda 2" xfId="4"/>
    <cellStyle name="Normal" xfId="0" builtinId="0"/>
    <cellStyle name="Note" xfId="17"/>
    <cellStyle name="Porcentaje" xfId="21" builtinId="5"/>
    <cellStyle name="Porcentaje 2" xfId="3"/>
    <cellStyle name="Status" xfId="18"/>
    <cellStyle name="Text" xfId="19"/>
    <cellStyle name="Warning" xfId="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B37A96"/>
      <rgbColor rgb="009999FF"/>
      <rgbColor rgb="00993366"/>
      <rgbColor rgb="00FFFFCC"/>
      <rgbColor rgb="00CCFFFF"/>
      <rgbColor rgb="00660066"/>
      <rgbColor rgb="00FF8080"/>
      <rgbColor rgb="000066CC"/>
      <rgbColor rgb="00BFBFB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8F8F8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6</xdr:row>
      <xdr:rowOff>95250</xdr:rowOff>
    </xdr:from>
    <xdr:to>
      <xdr:col>4</xdr:col>
      <xdr:colOff>771525</xdr:colOff>
      <xdr:row>12</xdr:row>
      <xdr:rowOff>85725</xdr:rowOff>
    </xdr:to>
    <xdr:sp macro="" textlink="" fLocksText="0">
      <xdr:nvSpPr>
        <xdr:cNvPr id="5121" name="Text 1">
          <a:extLst>
            <a:ext uri="{FF2B5EF4-FFF2-40B4-BE49-F238E27FC236}">
              <a16:creationId xmlns:a16="http://schemas.microsoft.com/office/drawing/2014/main" id="{00000000-0008-0000-0000-000001140000}"/>
            </a:ext>
          </a:extLst>
        </xdr:cNvPr>
        <xdr:cNvSpPr txBox="1">
          <a:spLocks noChangeArrowheads="1"/>
        </xdr:cNvSpPr>
      </xdr:nvSpPr>
      <xdr:spPr bwMode="auto">
        <a:xfrm>
          <a:off x="38100" y="1133475"/>
          <a:ext cx="8105775" cy="904875"/>
        </a:xfrm>
        <a:prstGeom prst="rect">
          <a:avLst/>
        </a:prstGeom>
        <a:noFill/>
        <a:ln w="9525" cap="flat">
          <a:noFill/>
          <a:round/>
          <a:headEnd/>
          <a:tailEnd/>
        </a:ln>
        <a:effectLst/>
      </xdr:spPr>
      <xdr:txBody>
        <a:bodyPr vertOverflow="clip" wrap="square" lIns="20160" tIns="20160" rIns="20160" bIns="20160" anchor="t" upright="1"/>
        <a:lstStyle/>
        <a:p>
          <a:pPr algn="l" rtl="0">
            <a:lnSpc>
              <a:spcPts val="1100"/>
            </a:lnSpc>
            <a:defRPr sz="1000"/>
          </a:pPr>
          <a:r>
            <a:rPr lang="es-ES" sz="1000" b="0" i="0" strike="noStrike">
              <a:solidFill>
                <a:srgbClr val="000000"/>
              </a:solidFill>
              <a:latin typeface="Arial"/>
              <a:cs typeface="Arial"/>
            </a:rPr>
            <a:t>Con el objeto de medir comparativamente el bienestar otorgado al personal de la Armada por la Prestación Educacional, es necesario recabar antecedentes comparativos que permitan cuantificar las alternativas que ofrece el mercado en cada Zona Naval.</a:t>
          </a:r>
        </a:p>
        <a:p>
          <a:pPr algn="l" rtl="0">
            <a:lnSpc>
              <a:spcPts val="1000"/>
            </a:lnSpc>
            <a:defRPr sz="1000"/>
          </a:pPr>
          <a:r>
            <a:rPr lang="es-ES" sz="1000" b="0" i="0" strike="noStrike">
              <a:solidFill>
                <a:srgbClr val="000000"/>
              </a:solidFill>
              <a:latin typeface="Arial"/>
              <a:cs typeface="Arial"/>
            </a:rPr>
            <a:t>Este cuadro comparativo debe ser completado con a lo menos dos instalaciones privadas o de otras instituciones a las que tenga acceso el  personal de la Armada y que otorguen prestaciones de calidad similar a las otorgadas por las instalaciones educacionales del SBA a comparar.</a:t>
          </a:r>
        </a:p>
        <a:p>
          <a:pPr algn="l" rtl="0">
            <a:lnSpc>
              <a:spcPts val="1100"/>
            </a:lnSpc>
            <a:defRPr sz="1000"/>
          </a:pPr>
          <a:endParaRPr lang="es-E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750094</xdr:colOff>
      <xdr:row>1</xdr:row>
      <xdr:rowOff>119062</xdr:rowOff>
    </xdr:from>
    <xdr:to>
      <xdr:col>12</xdr:col>
      <xdr:colOff>1107282</xdr:colOff>
      <xdr:row>4</xdr:row>
      <xdr:rowOff>107155</xdr:rowOff>
    </xdr:to>
    <xdr:cxnSp macro="">
      <xdr:nvCxnSpPr>
        <xdr:cNvPr id="2" name="Conector recto de flecha 1">
          <a:extLst>
            <a:ext uri="{FF2B5EF4-FFF2-40B4-BE49-F238E27FC236}">
              <a16:creationId xmlns:a16="http://schemas.microsoft.com/office/drawing/2014/main" id="{00000000-0008-0000-0600-000002000000}"/>
            </a:ext>
          </a:extLst>
        </xdr:cNvPr>
        <xdr:cNvCxnSpPr/>
      </xdr:nvCxnSpPr>
      <xdr:spPr>
        <a:xfrm flipV="1">
          <a:off x="17180719" y="14854237"/>
          <a:ext cx="357188" cy="41671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500063</xdr:colOff>
      <xdr:row>1</xdr:row>
      <xdr:rowOff>95250</xdr:rowOff>
    </xdr:from>
    <xdr:to>
      <xdr:col>14</xdr:col>
      <xdr:colOff>511969</xdr:colOff>
      <xdr:row>4</xdr:row>
      <xdr:rowOff>119062</xdr:rowOff>
    </xdr:to>
    <xdr:cxnSp macro="">
      <xdr:nvCxnSpPr>
        <xdr:cNvPr id="3" name="Conector recto de flecha 2">
          <a:extLst>
            <a:ext uri="{FF2B5EF4-FFF2-40B4-BE49-F238E27FC236}">
              <a16:creationId xmlns:a16="http://schemas.microsoft.com/office/drawing/2014/main" id="{00000000-0008-0000-0600-000003000000}"/>
            </a:ext>
          </a:extLst>
        </xdr:cNvPr>
        <xdr:cNvCxnSpPr/>
      </xdr:nvCxnSpPr>
      <xdr:spPr>
        <a:xfrm flipH="1" flipV="1">
          <a:off x="19426238" y="14830425"/>
          <a:ext cx="11906" cy="45243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557213</xdr:colOff>
      <xdr:row>1</xdr:row>
      <xdr:rowOff>104775</xdr:rowOff>
    </xdr:from>
    <xdr:to>
      <xdr:col>16</xdr:col>
      <xdr:colOff>569119</xdr:colOff>
      <xdr:row>4</xdr:row>
      <xdr:rowOff>128587</xdr:rowOff>
    </xdr:to>
    <xdr:cxnSp macro="">
      <xdr:nvCxnSpPr>
        <xdr:cNvPr id="4" name="Conector recto de flecha 3">
          <a:extLst>
            <a:ext uri="{FF2B5EF4-FFF2-40B4-BE49-F238E27FC236}">
              <a16:creationId xmlns:a16="http://schemas.microsoft.com/office/drawing/2014/main" id="{00000000-0008-0000-0600-000004000000}"/>
            </a:ext>
          </a:extLst>
        </xdr:cNvPr>
        <xdr:cNvCxnSpPr/>
      </xdr:nvCxnSpPr>
      <xdr:spPr>
        <a:xfrm flipH="1" flipV="1">
          <a:off x="21750338" y="14839950"/>
          <a:ext cx="11906" cy="45243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1095375</xdr:colOff>
      <xdr:row>1</xdr:row>
      <xdr:rowOff>130968</xdr:rowOff>
    </xdr:from>
    <xdr:to>
      <xdr:col>18</xdr:col>
      <xdr:colOff>369094</xdr:colOff>
      <xdr:row>4</xdr:row>
      <xdr:rowOff>130968</xdr:rowOff>
    </xdr:to>
    <xdr:cxnSp macro="">
      <xdr:nvCxnSpPr>
        <xdr:cNvPr id="5" name="Conector recto de flecha 4">
          <a:extLst>
            <a:ext uri="{FF2B5EF4-FFF2-40B4-BE49-F238E27FC236}">
              <a16:creationId xmlns:a16="http://schemas.microsoft.com/office/drawing/2014/main" id="{00000000-0008-0000-0600-000005000000}"/>
            </a:ext>
          </a:extLst>
        </xdr:cNvPr>
        <xdr:cNvCxnSpPr/>
      </xdr:nvCxnSpPr>
      <xdr:spPr>
        <a:xfrm flipH="1" flipV="1">
          <a:off x="23450550" y="14866143"/>
          <a:ext cx="483394" cy="42862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FF0000"/>
    <pageSetUpPr fitToPage="1"/>
  </sheetPr>
  <dimension ref="A1:IV29"/>
  <sheetViews>
    <sheetView showGridLines="0" workbookViewId="0">
      <selection activeCell="C5" sqref="C5"/>
    </sheetView>
  </sheetViews>
  <sheetFormatPr baseColWidth="10" defaultColWidth="11.44140625" defaultRowHeight="13.8" x14ac:dyDescent="0.25"/>
  <cols>
    <col min="1" max="1" width="34.44140625" style="1" customWidth="1"/>
    <col min="2" max="2" width="40.88671875" style="1" customWidth="1"/>
    <col min="3" max="3" width="16.88671875" style="1" customWidth="1"/>
    <col min="4" max="4" width="18.44140625" style="1" customWidth="1"/>
    <col min="5" max="5" width="19.33203125" style="1" customWidth="1"/>
    <col min="6" max="6" width="19.88671875" style="1" customWidth="1"/>
    <col min="7" max="11" width="18.6640625" style="1" customWidth="1"/>
    <col min="12" max="16384" width="11.44140625" style="1"/>
  </cols>
  <sheetData>
    <row r="1" spans="1:256" s="3" customFormat="1" x14ac:dyDescent="0.25">
      <c r="A1" s="306" t="s">
        <v>0</v>
      </c>
      <c r="B1" s="306"/>
      <c r="C1" s="306"/>
      <c r="D1" s="306"/>
      <c r="E1" s="306"/>
      <c r="F1" s="2"/>
      <c r="G1" s="2"/>
      <c r="IK1" s="1"/>
      <c r="IL1" s="1"/>
      <c r="IM1" s="1"/>
      <c r="IN1" s="1"/>
      <c r="IO1" s="1"/>
      <c r="IP1" s="1"/>
      <c r="IQ1" s="1"/>
      <c r="IR1" s="1"/>
      <c r="IS1" s="1"/>
      <c r="IT1" s="1"/>
      <c r="IU1" s="1"/>
      <c r="IV1" s="1"/>
    </row>
    <row r="2" spans="1:256" s="3" customFormat="1" ht="15.75" customHeight="1" x14ac:dyDescent="0.25">
      <c r="A2" s="306" t="s">
        <v>164</v>
      </c>
      <c r="B2" s="306"/>
      <c r="C2" s="306"/>
      <c r="D2" s="306"/>
      <c r="E2" s="306"/>
      <c r="F2" s="2"/>
      <c r="G2" s="2"/>
      <c r="IK2" s="1"/>
      <c r="IL2" s="1"/>
      <c r="IM2" s="1"/>
      <c r="IN2" s="1"/>
      <c r="IO2" s="1"/>
      <c r="IP2" s="1"/>
      <c r="IQ2" s="1"/>
      <c r="IR2" s="1"/>
      <c r="IS2" s="1"/>
      <c r="IT2" s="1"/>
      <c r="IU2" s="1"/>
      <c r="IV2" s="1"/>
    </row>
    <row r="3" spans="1:256" s="3" customFormat="1" ht="18" customHeight="1" x14ac:dyDescent="0.25">
      <c r="A3" s="306" t="s">
        <v>165</v>
      </c>
      <c r="B3" s="306"/>
      <c r="C3" s="306"/>
      <c r="D3" s="306"/>
      <c r="E3" s="306"/>
      <c r="F3" s="2"/>
      <c r="G3" s="2"/>
      <c r="IK3" s="1"/>
      <c r="IL3" s="1"/>
      <c r="IM3" s="1"/>
      <c r="IN3" s="1"/>
      <c r="IO3" s="1"/>
      <c r="IP3" s="1"/>
      <c r="IQ3" s="1"/>
      <c r="IR3" s="1"/>
      <c r="IS3" s="1"/>
      <c r="IT3" s="1"/>
      <c r="IU3" s="1"/>
      <c r="IV3" s="1"/>
    </row>
    <row r="4" spans="1:256" s="3" customFormat="1" ht="11.25" customHeight="1" x14ac:dyDescent="0.25">
      <c r="A4" s="1"/>
      <c r="B4" s="1"/>
      <c r="D4" s="1"/>
      <c r="F4" s="1"/>
      <c r="IK4" s="1"/>
      <c r="IL4" s="1"/>
      <c r="IM4" s="1"/>
      <c r="IN4" s="1"/>
      <c r="IO4" s="1"/>
      <c r="IP4" s="1"/>
      <c r="IQ4" s="1"/>
      <c r="IR4" s="1"/>
      <c r="IS4" s="1"/>
      <c r="IT4" s="1"/>
      <c r="IU4" s="1"/>
      <c r="IV4" s="1"/>
    </row>
    <row r="5" spans="1:256" s="3" customFormat="1" ht="12" customHeight="1" x14ac:dyDescent="0.25">
      <c r="A5" s="307" t="s">
        <v>3</v>
      </c>
      <c r="B5" s="307"/>
      <c r="C5" s="84" t="str">
        <f>'Ap. 2 Ingresos C. Benef.'!$I$5</f>
        <v>BIENIQUE</v>
      </c>
      <c r="D5" s="85"/>
      <c r="E5" s="1"/>
      <c r="F5" s="85"/>
      <c r="G5" s="1"/>
      <c r="IK5" s="1"/>
      <c r="IL5" s="1"/>
      <c r="IM5" s="1"/>
      <c r="IN5" s="1"/>
      <c r="IO5" s="1"/>
      <c r="IP5" s="1"/>
      <c r="IQ5" s="1"/>
      <c r="IR5" s="1"/>
      <c r="IS5" s="1"/>
      <c r="IT5" s="1"/>
      <c r="IU5" s="1"/>
      <c r="IV5" s="1"/>
    </row>
    <row r="6" spans="1:256" s="3" customFormat="1" ht="12" customHeight="1" x14ac:dyDescent="0.25">
      <c r="A6" s="6"/>
      <c r="B6" s="7"/>
      <c r="C6" s="85"/>
      <c r="D6" s="85"/>
      <c r="E6" s="1"/>
      <c r="F6" s="85"/>
      <c r="G6" s="1"/>
      <c r="IK6" s="1"/>
      <c r="IL6" s="1"/>
      <c r="IM6" s="1"/>
      <c r="IN6" s="1"/>
      <c r="IO6" s="1"/>
      <c r="IP6" s="1"/>
      <c r="IQ6" s="1"/>
      <c r="IR6" s="1"/>
      <c r="IS6" s="1"/>
      <c r="IT6" s="1"/>
      <c r="IU6" s="1"/>
      <c r="IV6" s="1"/>
    </row>
    <row r="7" spans="1:256" s="3" customFormat="1" ht="12" customHeight="1" x14ac:dyDescent="0.25">
      <c r="A7" s="6"/>
      <c r="B7" s="7"/>
      <c r="C7" s="85"/>
      <c r="D7" s="85"/>
      <c r="E7" s="1"/>
      <c r="F7" s="85"/>
      <c r="G7" s="1"/>
      <c r="IK7" s="1"/>
      <c r="IL7" s="1"/>
      <c r="IM7" s="1"/>
      <c r="IN7" s="1"/>
      <c r="IO7" s="1"/>
      <c r="IP7" s="1"/>
      <c r="IQ7" s="1"/>
      <c r="IR7" s="1"/>
      <c r="IS7" s="1"/>
      <c r="IT7" s="1"/>
      <c r="IU7" s="1"/>
      <c r="IV7" s="1"/>
    </row>
    <row r="8" spans="1:256" s="3" customFormat="1" ht="12" customHeight="1" x14ac:dyDescent="0.25">
      <c r="A8" s="6"/>
      <c r="B8" s="7"/>
      <c r="C8" s="85"/>
      <c r="D8" s="85"/>
      <c r="E8" s="1"/>
      <c r="F8" s="85"/>
      <c r="G8" s="1"/>
      <c r="IK8" s="1"/>
      <c r="IL8" s="1"/>
      <c r="IM8" s="1"/>
      <c r="IN8" s="1"/>
      <c r="IO8" s="1"/>
      <c r="IP8" s="1"/>
      <c r="IQ8" s="1"/>
      <c r="IR8" s="1"/>
      <c r="IS8" s="1"/>
      <c r="IT8" s="1"/>
      <c r="IU8" s="1"/>
      <c r="IV8" s="1"/>
    </row>
    <row r="9" spans="1:256" s="3" customFormat="1" ht="12" customHeight="1" x14ac:dyDescent="0.25">
      <c r="A9" s="6"/>
      <c r="B9" s="7"/>
      <c r="C9" s="85"/>
      <c r="D9" s="85"/>
      <c r="E9" s="1"/>
      <c r="F9" s="85"/>
      <c r="G9" s="1"/>
      <c r="IK9" s="1"/>
      <c r="IL9" s="1"/>
      <c r="IM9" s="1"/>
      <c r="IN9" s="1"/>
      <c r="IO9" s="1"/>
      <c r="IP9" s="1"/>
      <c r="IQ9" s="1"/>
      <c r="IR9" s="1"/>
      <c r="IS9" s="1"/>
      <c r="IT9" s="1"/>
      <c r="IU9" s="1"/>
      <c r="IV9" s="1"/>
    </row>
    <row r="10" spans="1:256" s="3" customFormat="1" ht="12" customHeight="1" x14ac:dyDescent="0.25">
      <c r="A10" s="6"/>
      <c r="B10" s="7"/>
      <c r="C10" s="85"/>
      <c r="D10" s="85"/>
      <c r="E10" s="1"/>
      <c r="F10" s="85"/>
      <c r="G10" s="1"/>
      <c r="IK10" s="1"/>
      <c r="IL10" s="1"/>
      <c r="IM10" s="1"/>
      <c r="IN10" s="1"/>
      <c r="IO10" s="1"/>
      <c r="IP10" s="1"/>
      <c r="IQ10" s="1"/>
      <c r="IR10" s="1"/>
      <c r="IS10" s="1"/>
      <c r="IT10" s="1"/>
      <c r="IU10" s="1"/>
      <c r="IV10" s="1"/>
    </row>
    <row r="11" spans="1:256" s="3" customFormat="1" ht="12" customHeight="1" x14ac:dyDescent="0.25">
      <c r="A11" s="6"/>
      <c r="B11" s="7"/>
      <c r="C11" s="85"/>
      <c r="D11" s="85"/>
      <c r="E11" s="1"/>
      <c r="F11" s="85"/>
      <c r="G11" s="1"/>
      <c r="IK11" s="1"/>
      <c r="IL11" s="1"/>
      <c r="IM11" s="1"/>
      <c r="IN11" s="1"/>
      <c r="IO11" s="1"/>
      <c r="IP11" s="1"/>
      <c r="IQ11" s="1"/>
      <c r="IR11" s="1"/>
      <c r="IS11" s="1"/>
      <c r="IT11" s="1"/>
      <c r="IU11" s="1"/>
      <c r="IV11" s="1"/>
    </row>
    <row r="12" spans="1:256" s="3" customFormat="1" ht="12" customHeight="1" x14ac:dyDescent="0.25">
      <c r="A12" s="6"/>
      <c r="B12" s="7"/>
      <c r="C12" s="85"/>
      <c r="D12" s="85"/>
      <c r="E12" s="1"/>
      <c r="F12" s="85"/>
      <c r="G12" s="1"/>
      <c r="IK12" s="1"/>
      <c r="IL12" s="1"/>
      <c r="IM12" s="1"/>
      <c r="IN12" s="1"/>
      <c r="IO12" s="1"/>
      <c r="IP12" s="1"/>
      <c r="IQ12" s="1"/>
      <c r="IR12" s="1"/>
      <c r="IS12" s="1"/>
      <c r="IT12" s="1"/>
      <c r="IU12" s="1"/>
      <c r="IV12" s="1"/>
    </row>
    <row r="13" spans="1:256" s="3" customFormat="1" ht="12" customHeight="1" x14ac:dyDescent="0.25">
      <c r="A13" s="86"/>
      <c r="B13" s="86"/>
      <c r="C13" s="86"/>
      <c r="D13" s="86"/>
      <c r="E13" s="86"/>
      <c r="F13" s="87"/>
      <c r="G13" s="87"/>
      <c r="H13" s="87"/>
      <c r="I13" s="87"/>
      <c r="J13" s="87"/>
      <c r="IK13" s="1"/>
      <c r="IL13" s="1"/>
      <c r="IM13" s="1"/>
      <c r="IN13" s="1"/>
      <c r="IO13" s="1"/>
      <c r="IP13" s="1"/>
      <c r="IQ13" s="1"/>
      <c r="IR13" s="1"/>
      <c r="IS13" s="1"/>
      <c r="IT13" s="1"/>
      <c r="IU13" s="1"/>
      <c r="IV13" s="1"/>
    </row>
    <row r="14" spans="1:256" s="22" customFormat="1" ht="12" customHeight="1" x14ac:dyDescent="0.25">
      <c r="A14" s="88"/>
      <c r="B14" s="88"/>
      <c r="C14" s="89" t="s">
        <v>166</v>
      </c>
      <c r="D14" s="90"/>
      <c r="E14" s="383">
        <v>12</v>
      </c>
      <c r="F14" s="20"/>
      <c r="G14" s="21"/>
      <c r="IK14" s="39"/>
      <c r="IL14" s="39"/>
      <c r="IM14" s="39"/>
      <c r="IN14" s="39"/>
      <c r="IO14" s="39"/>
      <c r="IP14" s="39"/>
      <c r="IQ14" s="39"/>
      <c r="IR14" s="39"/>
      <c r="IS14" s="39"/>
      <c r="IT14" s="39"/>
      <c r="IU14" s="39"/>
      <c r="IV14" s="39"/>
    </row>
    <row r="15" spans="1:256" s="22" customFormat="1" ht="13.5" customHeight="1" x14ac:dyDescent="0.25">
      <c r="A15" s="88"/>
      <c r="B15" s="88"/>
      <c r="C15" s="89" t="s">
        <v>167</v>
      </c>
      <c r="D15" s="90"/>
      <c r="E15" s="383">
        <v>10</v>
      </c>
      <c r="F15" s="20"/>
      <c r="G15" s="21"/>
      <c r="IK15" s="39"/>
      <c r="IL15" s="39"/>
      <c r="IM15" s="39"/>
      <c r="IN15" s="39"/>
      <c r="IO15" s="39"/>
      <c r="IP15" s="39"/>
      <c r="IQ15" s="39"/>
      <c r="IR15" s="39"/>
      <c r="IS15" s="39"/>
      <c r="IT15" s="39"/>
      <c r="IU15" s="39"/>
      <c r="IV15" s="39"/>
    </row>
    <row r="16" spans="1:256" s="22" customFormat="1" ht="13.5" customHeight="1" x14ac:dyDescent="0.25">
      <c r="A16" s="88"/>
      <c r="B16" s="88"/>
      <c r="C16" s="91"/>
      <c r="D16" s="91"/>
      <c r="E16" s="92"/>
      <c r="F16" s="20"/>
      <c r="G16" s="21"/>
      <c r="IK16" s="39"/>
      <c r="IL16" s="39"/>
      <c r="IM16" s="39"/>
      <c r="IN16" s="39"/>
      <c r="IO16" s="39"/>
      <c r="IP16" s="39"/>
      <c r="IQ16" s="39"/>
      <c r="IR16" s="39"/>
      <c r="IS16" s="39"/>
      <c r="IT16" s="39"/>
      <c r="IU16" s="39"/>
      <c r="IV16" s="39"/>
    </row>
    <row r="17" spans="1:5" x14ac:dyDescent="0.25">
      <c r="A17" s="88"/>
      <c r="B17" s="88"/>
      <c r="C17" s="88"/>
      <c r="D17" s="88"/>
      <c r="E17" s="88"/>
    </row>
    <row r="18" spans="1:5" x14ac:dyDescent="0.25">
      <c r="A18" s="308" t="str">
        <f>'Ap. 5 Tarifado '!A8</f>
        <v>Centro Beneficio</v>
      </c>
      <c r="B18" s="308" t="str">
        <f>'Ap. 5 Tarifado '!B8</f>
        <v>Prestación [Unidad]</v>
      </c>
      <c r="C18" s="93" t="str">
        <f>'Ap. 5 Tarifado '!C8</f>
        <v>Matrícula</v>
      </c>
      <c r="D18" s="94" t="str">
        <f>'Ap. 5 Tarifado '!G8</f>
        <v>MENSUALIDAD</v>
      </c>
      <c r="E18" s="95" t="s">
        <v>168</v>
      </c>
    </row>
    <row r="19" spans="1:5" ht="41.4" x14ac:dyDescent="0.25">
      <c r="A19" s="308">
        <f>'Ap. 5 Tarifado '!A9</f>
        <v>0</v>
      </c>
      <c r="B19" s="308">
        <f>'Ap. 5 Tarifado '!B9</f>
        <v>0</v>
      </c>
      <c r="C19" s="96" t="str">
        <f>'Ap. 5 Tarifado '!C9</f>
        <v>Personal Servicio Activo Armada y otras FFAA</v>
      </c>
      <c r="D19" s="96" t="str">
        <f>'Ap. 5 Tarifado '!G9</f>
        <v>Personal Servicio Activo Armada y otras FFAA</v>
      </c>
      <c r="E19" s="96" t="s">
        <v>169</v>
      </c>
    </row>
    <row r="20" spans="1:5" x14ac:dyDescent="0.25">
      <c r="A20" s="305" t="str">
        <f>'Ap. 5 Tarifado '!A10</f>
        <v>JARDIN INFANTIL "PEQUEÑOS HEROES"</v>
      </c>
      <c r="B20" s="82" t="str">
        <f>'Ap. 5 Tarifado '!B10</f>
        <v>Jardín [Media Jornada]</v>
      </c>
      <c r="C20" s="83">
        <f>'Ap. 2 Ingresos C. Benef.'!D17</f>
        <v>59600</v>
      </c>
      <c r="D20" s="83">
        <f>C20</f>
        <v>59600</v>
      </c>
      <c r="E20" s="83">
        <f>C20+(D20*$E$15)</f>
        <v>655600</v>
      </c>
    </row>
    <row r="21" spans="1:5" x14ac:dyDescent="0.25">
      <c r="A21" s="305">
        <f>'Ap. 5 Tarifado '!A11</f>
        <v>0</v>
      </c>
      <c r="B21" s="82" t="str">
        <f>'Ap. 5 Tarifado '!B11</f>
        <v xml:space="preserve">Jardín [Jornada Completa]     </v>
      </c>
      <c r="C21" s="83">
        <f>'Ap. 2 Ingresos C. Benef.'!D20</f>
        <v>99400</v>
      </c>
      <c r="D21" s="83">
        <f>C21</f>
        <v>99400</v>
      </c>
      <c r="E21" s="83">
        <f>C21+(D21*$E$15)</f>
        <v>1093400</v>
      </c>
    </row>
    <row r="22" spans="1:5" x14ac:dyDescent="0.25">
      <c r="A22" s="305">
        <f>'Ap. 5 Tarifado '!A12</f>
        <v>0</v>
      </c>
      <c r="B22" s="82" t="str">
        <f>'Ap. 5 Tarifado '!B12</f>
        <v xml:space="preserve">Jardín [Media Jornada con Colación y Almuerzo] </v>
      </c>
      <c r="C22" s="83">
        <f>'Ap. 2 Ingresos C. Benef.'!D23</f>
        <v>85200</v>
      </c>
      <c r="D22" s="83">
        <f>C22</f>
        <v>85200</v>
      </c>
      <c r="E22" s="83">
        <f>C22+(D22*$E$15)</f>
        <v>937200</v>
      </c>
    </row>
    <row r="23" spans="1:5" ht="12.9" customHeight="1" x14ac:dyDescent="0.25">
      <c r="A23" s="384" t="s">
        <v>170</v>
      </c>
      <c r="B23" s="385" t="s">
        <v>26</v>
      </c>
      <c r="C23" s="97"/>
      <c r="D23" s="97"/>
      <c r="E23" s="97">
        <f>C23+D23*$E$15</f>
        <v>0</v>
      </c>
    </row>
    <row r="24" spans="1:5" x14ac:dyDescent="0.25">
      <c r="A24" s="384"/>
      <c r="B24" s="385" t="s">
        <v>30</v>
      </c>
      <c r="C24" s="97">
        <v>118000</v>
      </c>
      <c r="D24" s="97"/>
      <c r="E24" s="97">
        <v>118000</v>
      </c>
    </row>
    <row r="25" spans="1:5" x14ac:dyDescent="0.25">
      <c r="A25" s="384"/>
      <c r="B25" s="386" t="s">
        <v>173</v>
      </c>
      <c r="C25" s="97">
        <v>160000</v>
      </c>
      <c r="D25" s="97">
        <v>200000</v>
      </c>
      <c r="E25" s="97">
        <f>C25+D25*$E$15</f>
        <v>2160000</v>
      </c>
    </row>
    <row r="26" spans="1:5" ht="14.25" customHeight="1" x14ac:dyDescent="0.25">
      <c r="A26" s="384"/>
      <c r="B26" s="385" t="s">
        <v>31</v>
      </c>
      <c r="C26" s="97"/>
      <c r="D26" s="97"/>
      <c r="E26" s="97">
        <f>C26+D26*$E$15</f>
        <v>0</v>
      </c>
    </row>
    <row r="27" spans="1:5" ht="12.9" customHeight="1" x14ac:dyDescent="0.25">
      <c r="A27" s="384" t="s">
        <v>171</v>
      </c>
      <c r="B27" s="385" t="s">
        <v>26</v>
      </c>
      <c r="C27" s="97"/>
      <c r="D27" s="97"/>
      <c r="E27" s="97">
        <f>C27+D27*$E$15</f>
        <v>0</v>
      </c>
    </row>
    <row r="28" spans="1:5" x14ac:dyDescent="0.25">
      <c r="A28" s="384"/>
      <c r="B28" s="385" t="s">
        <v>30</v>
      </c>
      <c r="C28" s="97">
        <v>155000</v>
      </c>
      <c r="D28" s="97">
        <v>155000</v>
      </c>
      <c r="E28" s="97">
        <v>155000</v>
      </c>
    </row>
    <row r="29" spans="1:5" x14ac:dyDescent="0.25">
      <c r="A29" s="384"/>
      <c r="B29" s="385" t="s">
        <v>31</v>
      </c>
      <c r="C29" s="97">
        <v>0</v>
      </c>
      <c r="D29" s="97">
        <v>0</v>
      </c>
      <c r="E29" s="97">
        <f>C29+D29*$E$15</f>
        <v>0</v>
      </c>
    </row>
  </sheetData>
  <sheetProtection algorithmName="SHA-512" hashValue="Tp3rOUHcH6GlOZBgFC+cHB/c4wEnOyUlkz/BQvCwcK7GJe26Yp7ZBzjq4+C2Vk8THsM0/4f8EPEoRgAc39uxpA==" saltValue="H4fSoCytFimkmkbborf23A==" spinCount="100000" sheet="1" objects="1" scenarios="1"/>
  <mergeCells count="9">
    <mergeCell ref="A20:A22"/>
    <mergeCell ref="A23:A26"/>
    <mergeCell ref="A27:A29"/>
    <mergeCell ref="A1:E1"/>
    <mergeCell ref="A2:E2"/>
    <mergeCell ref="A3:E3"/>
    <mergeCell ref="A5:B5"/>
    <mergeCell ref="A18:A19"/>
    <mergeCell ref="B18:B19"/>
  </mergeCells>
  <pageMargins left="0.74791666666666667" right="0.74791666666666667" top="0.80972222222222223" bottom="0.89027777777777772" header="0.4" footer="0.4"/>
  <pageSetup firstPageNumber="0" orientation="landscape" horizontalDpi="300" verticalDpi="300" r:id="rId1"/>
  <headerFooter alignWithMargins="0">
    <oddHeader>&amp;LSEPT - 2004&amp;CDIRECTIVA D.B.S.A.
ORDINARIA&amp;R01-BS/0305/04</oddHeader>
    <oddFooter>&amp;LDEPARTAMENTO
RRHH Y GESTION&amp;C01-BS&amp;RPAG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V35"/>
  <sheetViews>
    <sheetView showGridLines="0" tabSelected="1" zoomScale="70" zoomScaleNormal="70" workbookViewId="0">
      <selection activeCell="I5" sqref="I5:J5"/>
    </sheetView>
  </sheetViews>
  <sheetFormatPr baseColWidth="10" defaultColWidth="11.44140625" defaultRowHeight="13.8" x14ac:dyDescent="0.25"/>
  <cols>
    <col min="1" max="1" width="15.6640625" style="1" customWidth="1"/>
    <col min="2" max="2" width="22" style="1" customWidth="1"/>
    <col min="3" max="3" width="14" style="1" customWidth="1"/>
    <col min="4" max="4" width="17.88671875" style="1" customWidth="1"/>
    <col min="5" max="5" width="20.5546875" style="1" customWidth="1"/>
    <col min="6" max="6" width="17.88671875" style="1" customWidth="1"/>
    <col min="7" max="7" width="17.44140625" style="1" customWidth="1"/>
    <col min="8" max="8" width="17.6640625" style="1" customWidth="1"/>
    <col min="9" max="10" width="18.6640625" style="1" customWidth="1"/>
    <col min="11" max="11" width="19" style="1" customWidth="1"/>
    <col min="12" max="12" width="17.33203125" style="1" customWidth="1"/>
    <col min="13" max="13" width="13.109375" style="1" customWidth="1"/>
    <col min="14" max="14" width="17.5546875" style="1" customWidth="1"/>
    <col min="15" max="15" width="14.88671875" style="1" customWidth="1"/>
    <col min="16" max="16" width="14" style="1" customWidth="1"/>
    <col min="17" max="17" width="12.6640625" style="1" customWidth="1"/>
    <col min="18" max="18" width="11.109375" style="1" customWidth="1"/>
    <col min="19" max="19" width="14.44140625" style="1" bestFit="1" customWidth="1"/>
    <col min="20" max="20" width="14.88671875" style="1" bestFit="1" customWidth="1"/>
    <col min="21" max="16384" width="11.44140625" style="1"/>
  </cols>
  <sheetData>
    <row r="1" spans="1:256" s="3" customFormat="1" x14ac:dyDescent="0.25">
      <c r="A1" s="306" t="s">
        <v>0</v>
      </c>
      <c r="B1" s="306"/>
      <c r="C1" s="306"/>
      <c r="D1" s="306"/>
      <c r="E1" s="299"/>
      <c r="F1" s="299"/>
      <c r="G1" s="299"/>
      <c r="H1" s="299"/>
      <c r="I1" s="299"/>
      <c r="J1" s="299"/>
      <c r="K1" s="299"/>
      <c r="L1" s="299"/>
      <c r="M1" s="299"/>
      <c r="N1" s="299"/>
      <c r="O1" s="299"/>
      <c r="P1" s="2"/>
      <c r="Q1" s="2"/>
      <c r="R1" s="2"/>
    </row>
    <row r="2" spans="1:256" s="3" customFormat="1" x14ac:dyDescent="0.25">
      <c r="A2" s="306" t="s">
        <v>1</v>
      </c>
      <c r="B2" s="306"/>
      <c r="C2" s="306"/>
      <c r="D2" s="306"/>
      <c r="E2" s="299"/>
      <c r="F2" s="299"/>
      <c r="G2" s="299"/>
      <c r="H2" s="299"/>
      <c r="I2" s="299"/>
      <c r="J2" s="299"/>
      <c r="K2" s="299"/>
      <c r="L2" s="299"/>
      <c r="M2" s="299"/>
      <c r="N2" s="299"/>
      <c r="O2" s="299"/>
      <c r="P2" s="2"/>
      <c r="Q2" s="2"/>
      <c r="R2" s="2"/>
    </row>
    <row r="3" spans="1:256" s="3" customFormat="1" x14ac:dyDescent="0.25">
      <c r="A3" s="306" t="s">
        <v>2</v>
      </c>
      <c r="B3" s="306"/>
      <c r="C3" s="306"/>
      <c r="D3" s="306"/>
      <c r="E3" s="299"/>
      <c r="F3" s="299"/>
      <c r="G3" s="299"/>
      <c r="H3" s="299"/>
      <c r="I3" s="299"/>
      <c r="J3" s="299"/>
      <c r="K3" s="299"/>
      <c r="L3" s="299"/>
      <c r="M3" s="299"/>
      <c r="N3" s="299"/>
      <c r="O3" s="299"/>
      <c r="P3" s="2"/>
      <c r="Q3" s="2"/>
      <c r="R3" s="2"/>
    </row>
    <row r="4" spans="1:256" s="3" customFormat="1" ht="14.25" customHeight="1" x14ac:dyDescent="0.25">
      <c r="A4" s="1"/>
      <c r="B4" s="1"/>
    </row>
    <row r="5" spans="1:256" s="3" customFormat="1" ht="18" x14ac:dyDescent="0.25">
      <c r="A5" s="1"/>
      <c r="B5" s="1"/>
      <c r="C5" s="1"/>
      <c r="D5" s="1"/>
      <c r="E5" s="1"/>
      <c r="F5" s="1"/>
      <c r="G5" s="4" t="s">
        <v>3</v>
      </c>
      <c r="H5" s="5"/>
      <c r="I5" s="332" t="s">
        <v>4</v>
      </c>
      <c r="J5" s="332"/>
      <c r="IV5" s="1"/>
    </row>
    <row r="6" spans="1:256" s="3" customFormat="1" ht="12" customHeight="1" x14ac:dyDescent="0.25">
      <c r="A6" s="1"/>
      <c r="B6" s="1"/>
      <c r="C6" s="1"/>
      <c r="D6" s="1"/>
      <c r="E6" s="1"/>
      <c r="F6" s="1"/>
      <c r="G6" s="6"/>
      <c r="H6" s="7"/>
      <c r="I6" s="7"/>
      <c r="J6" s="8"/>
      <c r="K6" s="8"/>
    </row>
    <row r="7" spans="1:256" ht="18" customHeight="1" x14ac:dyDescent="0.25">
      <c r="A7" s="9" t="s">
        <v>5</v>
      </c>
    </row>
    <row r="8" spans="1:256" ht="25.2" x14ac:dyDescent="0.25">
      <c r="A8" s="333" t="str">
        <f>$A$15</f>
        <v>Centro Beneficio</v>
      </c>
      <c r="B8" s="333"/>
      <c r="C8" s="333"/>
      <c r="D8" s="10" t="s">
        <v>6</v>
      </c>
      <c r="E8" s="10" t="s">
        <v>7</v>
      </c>
      <c r="F8" s="134" t="s">
        <v>177</v>
      </c>
      <c r="G8" s="10" t="s">
        <v>8</v>
      </c>
      <c r="H8" s="10" t="s">
        <v>9</v>
      </c>
      <c r="I8" s="10" t="s">
        <v>10</v>
      </c>
      <c r="J8" s="10" t="s">
        <v>11</v>
      </c>
      <c r="K8" s="10" t="s">
        <v>12</v>
      </c>
      <c r="L8" s="11"/>
      <c r="M8" s="316" t="s">
        <v>374</v>
      </c>
      <c r="N8" s="317"/>
      <c r="O8" s="137">
        <v>1.06</v>
      </c>
    </row>
    <row r="9" spans="1:256" ht="25.2" x14ac:dyDescent="0.25">
      <c r="A9" s="331" t="str">
        <f>$A$17</f>
        <v>JARDIN INFANTIL "PEQUEÑOS HEROES"</v>
      </c>
      <c r="B9" s="331"/>
      <c r="C9" s="331"/>
      <c r="D9" s="12">
        <f>M26</f>
        <v>9788000</v>
      </c>
      <c r="E9" s="12">
        <f>N26</f>
        <v>97880000</v>
      </c>
      <c r="F9" s="12">
        <f>+O26</f>
        <v>1874000</v>
      </c>
      <c r="G9" s="12">
        <f>P26</f>
        <v>109542000</v>
      </c>
      <c r="H9" s="12">
        <f>'Ap. 3 Costos Directos'!$H$93</f>
        <v>98996146.055623412</v>
      </c>
      <c r="I9" s="12">
        <f>'Ap. 4 Costos Indirectos'!$B$9</f>
        <v>10346326.912330002</v>
      </c>
      <c r="J9" s="12">
        <f>SUM(H9:I9)</f>
        <v>109342472.96795341</v>
      </c>
      <c r="K9" s="12">
        <f>G9-J9</f>
        <v>199527.03204658628</v>
      </c>
      <c r="L9" s="11"/>
      <c r="M9" s="316"/>
      <c r="N9" s="317"/>
      <c r="O9" s="138"/>
    </row>
    <row r="10" spans="1:256" x14ac:dyDescent="0.25">
      <c r="A10" s="331" t="s">
        <v>13</v>
      </c>
      <c r="B10" s="331"/>
      <c r="C10" s="331"/>
      <c r="D10" s="12"/>
      <c r="E10" s="12"/>
      <c r="F10" s="12"/>
      <c r="G10" s="12"/>
      <c r="H10" s="12"/>
      <c r="I10" s="12"/>
      <c r="J10" s="12"/>
      <c r="K10" s="298">
        <v>0</v>
      </c>
      <c r="L10" s="11"/>
      <c r="M10" s="11"/>
    </row>
    <row r="11" spans="1:256" s="3" customFormat="1" ht="16.5" customHeight="1" x14ac:dyDescent="0.25">
      <c r="A11" s="321" t="s">
        <v>14</v>
      </c>
      <c r="B11" s="321"/>
      <c r="C11" s="321"/>
      <c r="D11" s="13">
        <f>SUM(D9:D9)</f>
        <v>9788000</v>
      </c>
      <c r="E11" s="13">
        <f>SUM(E9:E9)</f>
        <v>97880000</v>
      </c>
      <c r="F11" s="13"/>
      <c r="G11" s="13">
        <f>SUM(G9:G9)</f>
        <v>109542000</v>
      </c>
      <c r="H11" s="13">
        <f>SUM(H9:H9)</f>
        <v>98996146.055623412</v>
      </c>
      <c r="I11" s="13">
        <f>SUM(I9:I9)</f>
        <v>10346326.912330002</v>
      </c>
      <c r="J11" s="14">
        <f>SUM(H11:I11)</f>
        <v>109342472.96795341</v>
      </c>
      <c r="K11" s="14">
        <f>SUM(K9:K10)</f>
        <v>199527.03204658628</v>
      </c>
      <c r="L11" s="11"/>
      <c r="M11" s="11"/>
      <c r="IS11" s="1"/>
      <c r="IT11" s="1"/>
      <c r="IU11" s="1"/>
      <c r="IV11" s="1"/>
    </row>
    <row r="12" spans="1:256" s="18" customFormat="1" ht="20.399999999999999" customHeight="1" x14ac:dyDescent="0.25">
      <c r="A12" s="15"/>
      <c r="B12" s="15"/>
      <c r="C12" s="15"/>
      <c r="D12" s="16"/>
      <c r="E12" s="16"/>
      <c r="F12" s="16"/>
      <c r="G12" s="16"/>
      <c r="H12" s="16"/>
      <c r="I12" s="16"/>
      <c r="J12" s="16"/>
      <c r="K12" s="16"/>
      <c r="L12" s="16"/>
      <c r="M12" s="17"/>
      <c r="N12" s="17"/>
      <c r="IT12" s="19"/>
      <c r="IU12" s="19"/>
      <c r="IV12" s="19"/>
    </row>
    <row r="13" spans="1:256" s="22" customFormat="1" ht="18" customHeight="1" x14ac:dyDescent="0.25">
      <c r="A13" s="20"/>
      <c r="B13" s="20"/>
      <c r="C13" s="20"/>
      <c r="D13" s="21"/>
      <c r="E13" s="21"/>
      <c r="F13" s="21"/>
      <c r="G13" s="21"/>
      <c r="H13" s="21"/>
      <c r="I13" s="21"/>
      <c r="J13" s="21"/>
      <c r="K13" s="21"/>
    </row>
    <row r="14" spans="1:256" s="22" customFormat="1" ht="33.6" customHeight="1" thickBot="1" x14ac:dyDescent="0.3">
      <c r="A14" s="23" t="s">
        <v>15</v>
      </c>
      <c r="B14" s="23"/>
      <c r="C14" s="23"/>
      <c r="D14" s="115"/>
      <c r="E14" s="115"/>
      <c r="F14" s="115"/>
      <c r="G14" s="115"/>
      <c r="H14" s="115"/>
      <c r="I14" s="115"/>
      <c r="J14" s="21"/>
      <c r="K14" s="21"/>
    </row>
    <row r="15" spans="1:256" ht="19.2" customHeight="1" thickBot="1" x14ac:dyDescent="0.3">
      <c r="A15" s="322" t="s">
        <v>16</v>
      </c>
      <c r="B15" s="322" t="s">
        <v>17</v>
      </c>
      <c r="C15" s="323" t="s">
        <v>18</v>
      </c>
      <c r="D15" s="324" t="s">
        <v>19</v>
      </c>
      <c r="E15" s="325"/>
      <c r="F15" s="325"/>
      <c r="G15" s="326"/>
      <c r="H15" s="327" t="s">
        <v>20</v>
      </c>
      <c r="I15" s="328"/>
      <c r="J15" s="328"/>
      <c r="K15" s="329"/>
      <c r="L15" s="176"/>
      <c r="M15" s="24"/>
      <c r="N15" s="24"/>
      <c r="O15" s="24"/>
      <c r="P15" s="24"/>
      <c r="Q15" s="25"/>
    </row>
    <row r="16" spans="1:256" ht="48" customHeight="1" thickBot="1" x14ac:dyDescent="0.3">
      <c r="A16" s="322"/>
      <c r="B16" s="322"/>
      <c r="C16" s="323"/>
      <c r="D16" s="116" t="s">
        <v>175</v>
      </c>
      <c r="E16" s="26" t="s">
        <v>172</v>
      </c>
      <c r="F16" s="26" t="s">
        <v>176</v>
      </c>
      <c r="G16" s="117" t="s">
        <v>21</v>
      </c>
      <c r="H16" s="113" t="s">
        <v>175</v>
      </c>
      <c r="I16" s="26" t="s">
        <v>172</v>
      </c>
      <c r="J16" s="26" t="s">
        <v>176</v>
      </c>
      <c r="K16" s="123" t="s">
        <v>21</v>
      </c>
      <c r="L16" s="175" t="s">
        <v>177</v>
      </c>
      <c r="M16" s="125" t="s">
        <v>22</v>
      </c>
      <c r="N16" s="27" t="s">
        <v>23</v>
      </c>
      <c r="O16" s="27" t="s">
        <v>177</v>
      </c>
      <c r="P16" s="28" t="s">
        <v>24</v>
      </c>
    </row>
    <row r="17" spans="1:21" ht="23.25" customHeight="1" thickBot="1" x14ac:dyDescent="0.3">
      <c r="A17" s="330" t="s">
        <v>25</v>
      </c>
      <c r="B17" s="318" t="s">
        <v>26</v>
      </c>
      <c r="C17" s="110" t="s">
        <v>27</v>
      </c>
      <c r="D17" s="372">
        <v>59600</v>
      </c>
      <c r="E17" s="373">
        <v>71500</v>
      </c>
      <c r="F17" s="373">
        <v>102200</v>
      </c>
      <c r="G17" s="374">
        <v>150400</v>
      </c>
      <c r="H17" s="375">
        <f>D17</f>
        <v>59600</v>
      </c>
      <c r="I17" s="375">
        <f t="shared" ref="I17:K18" si="0">E17</f>
        <v>71500</v>
      </c>
      <c r="J17" s="375">
        <f t="shared" si="0"/>
        <v>102200</v>
      </c>
      <c r="K17" s="375">
        <f t="shared" si="0"/>
        <v>150400</v>
      </c>
      <c r="L17" s="376">
        <v>0</v>
      </c>
      <c r="M17" s="32"/>
      <c r="N17" s="29"/>
      <c r="O17" s="131"/>
      <c r="P17" s="30"/>
      <c r="Q17" s="108"/>
      <c r="R17" s="108"/>
      <c r="S17" s="108"/>
      <c r="T17" s="108"/>
      <c r="U17" s="108"/>
    </row>
    <row r="18" spans="1:21" ht="26.25" customHeight="1" thickBot="1" x14ac:dyDescent="0.3">
      <c r="A18" s="330"/>
      <c r="B18" s="319"/>
      <c r="C18" s="31" t="s">
        <v>28</v>
      </c>
      <c r="D18" s="377">
        <v>5</v>
      </c>
      <c r="E18" s="378">
        <v>0</v>
      </c>
      <c r="F18" s="378">
        <v>0</v>
      </c>
      <c r="G18" s="379">
        <v>0</v>
      </c>
      <c r="H18" s="377">
        <f>D18</f>
        <v>5</v>
      </c>
      <c r="I18" s="377">
        <f t="shared" si="0"/>
        <v>0</v>
      </c>
      <c r="J18" s="377">
        <f t="shared" si="0"/>
        <v>0</v>
      </c>
      <c r="K18" s="377">
        <f t="shared" si="0"/>
        <v>0</v>
      </c>
      <c r="L18" s="380">
        <v>0</v>
      </c>
      <c r="M18" s="32"/>
      <c r="N18" s="29"/>
      <c r="O18" s="131"/>
      <c r="P18" s="30"/>
      <c r="Q18" s="108"/>
      <c r="R18" s="108"/>
      <c r="S18" s="108"/>
      <c r="T18" s="108"/>
      <c r="U18" s="108"/>
    </row>
    <row r="19" spans="1:21" ht="26.25" customHeight="1" thickBot="1" x14ac:dyDescent="0.3">
      <c r="A19" s="330"/>
      <c r="B19" s="320"/>
      <c r="C19" s="111" t="s">
        <v>29</v>
      </c>
      <c r="D19" s="118">
        <f>D17*D18</f>
        <v>298000</v>
      </c>
      <c r="E19" s="33">
        <f>E17*E18</f>
        <v>0</v>
      </c>
      <c r="F19" s="33">
        <f>F17*F18</f>
        <v>0</v>
      </c>
      <c r="G19" s="119">
        <f>G17*G18</f>
        <v>0</v>
      </c>
      <c r="H19" s="118">
        <f>H17*H18*10</f>
        <v>2980000</v>
      </c>
      <c r="I19" s="33">
        <f>I17*I18*10</f>
        <v>0</v>
      </c>
      <c r="J19" s="33">
        <f>J17*J18*10</f>
        <v>0</v>
      </c>
      <c r="K19" s="174">
        <f>K17*K18*10</f>
        <v>0</v>
      </c>
      <c r="L19" s="128">
        <f>+L18*L17</f>
        <v>0</v>
      </c>
      <c r="M19" s="126">
        <f>SUM(D19:G19)</f>
        <v>298000</v>
      </c>
      <c r="N19" s="34">
        <f>SUM(H19:K19)</f>
        <v>2980000</v>
      </c>
      <c r="O19" s="132">
        <f>+L19</f>
        <v>0</v>
      </c>
      <c r="P19" s="35">
        <f>SUM(M19:O19)</f>
        <v>3278000</v>
      </c>
      <c r="Q19" s="108"/>
      <c r="R19" s="108"/>
      <c r="S19" s="108"/>
      <c r="T19" s="108"/>
      <c r="U19" s="108"/>
    </row>
    <row r="20" spans="1:21" ht="24" customHeight="1" thickBot="1" x14ac:dyDescent="0.3">
      <c r="A20" s="330"/>
      <c r="B20" s="315" t="s">
        <v>206</v>
      </c>
      <c r="C20" s="110" t="s">
        <v>27</v>
      </c>
      <c r="D20" s="372">
        <v>99400</v>
      </c>
      <c r="E20" s="372">
        <v>119200</v>
      </c>
      <c r="F20" s="372">
        <v>167300</v>
      </c>
      <c r="G20" s="372">
        <v>266000</v>
      </c>
      <c r="H20" s="375">
        <f>D20</f>
        <v>99400</v>
      </c>
      <c r="I20" s="375">
        <f t="shared" ref="I20:I21" si="1">E20</f>
        <v>119200</v>
      </c>
      <c r="J20" s="375">
        <f t="shared" ref="J20:J21" si="2">F20</f>
        <v>167300</v>
      </c>
      <c r="K20" s="375">
        <f t="shared" ref="K20:K21" si="3">G20</f>
        <v>266000</v>
      </c>
      <c r="L20" s="381">
        <v>93700</v>
      </c>
      <c r="M20" s="127"/>
      <c r="N20" s="36"/>
      <c r="O20" s="133"/>
      <c r="P20" s="37"/>
      <c r="Q20" s="108"/>
      <c r="R20" s="108"/>
      <c r="S20" s="108"/>
      <c r="T20" s="108"/>
      <c r="U20" s="108"/>
    </row>
    <row r="21" spans="1:21" ht="25.5" customHeight="1" thickBot="1" x14ac:dyDescent="0.3">
      <c r="A21" s="330"/>
      <c r="B21" s="315"/>
      <c r="C21" s="31" t="s">
        <v>28</v>
      </c>
      <c r="D21" s="377">
        <v>72</v>
      </c>
      <c r="E21" s="378">
        <v>16</v>
      </c>
      <c r="F21" s="378">
        <v>0</v>
      </c>
      <c r="G21" s="379">
        <v>0</v>
      </c>
      <c r="H21" s="377">
        <f>D21</f>
        <v>72</v>
      </c>
      <c r="I21" s="377">
        <f t="shared" si="1"/>
        <v>16</v>
      </c>
      <c r="J21" s="377">
        <f t="shared" si="2"/>
        <v>0</v>
      </c>
      <c r="K21" s="377">
        <f t="shared" si="3"/>
        <v>0</v>
      </c>
      <c r="L21" s="380">
        <v>20</v>
      </c>
      <c r="M21" s="127"/>
      <c r="N21" s="36"/>
      <c r="O21" s="133"/>
      <c r="P21" s="37"/>
      <c r="Q21" s="108"/>
      <c r="R21" s="108"/>
      <c r="S21" s="108"/>
      <c r="T21" s="108"/>
      <c r="U21" s="108"/>
    </row>
    <row r="22" spans="1:21" ht="26.25" customHeight="1" thickBot="1" x14ac:dyDescent="0.3">
      <c r="A22" s="330"/>
      <c r="B22" s="315"/>
      <c r="C22" s="111" t="s">
        <v>29</v>
      </c>
      <c r="D22" s="118">
        <f t="shared" ref="D22:K22" si="4">D21*D20</f>
        <v>7156800</v>
      </c>
      <c r="E22" s="33">
        <f t="shared" si="4"/>
        <v>1907200</v>
      </c>
      <c r="F22" s="33">
        <f t="shared" si="4"/>
        <v>0</v>
      </c>
      <c r="G22" s="119">
        <f t="shared" si="4"/>
        <v>0</v>
      </c>
      <c r="H22" s="118">
        <f>H21*H20*10</f>
        <v>71568000</v>
      </c>
      <c r="I22" s="33">
        <f>I21*I20*10</f>
        <v>19072000</v>
      </c>
      <c r="J22" s="33">
        <f t="shared" si="4"/>
        <v>0</v>
      </c>
      <c r="K22" s="174">
        <f t="shared" si="4"/>
        <v>0</v>
      </c>
      <c r="L22" s="128">
        <f>+L21*L20</f>
        <v>1874000</v>
      </c>
      <c r="M22" s="126">
        <f>SUM(D22:G22)</f>
        <v>9064000</v>
      </c>
      <c r="N22" s="34">
        <f>SUM(H22:K22)</f>
        <v>90640000</v>
      </c>
      <c r="O22" s="132">
        <f>+L22</f>
        <v>1874000</v>
      </c>
      <c r="P22" s="35">
        <f>SUM(M22:O22)</f>
        <v>101578000</v>
      </c>
      <c r="Q22" s="108"/>
      <c r="R22" s="108"/>
      <c r="S22" s="108"/>
      <c r="T22" s="108"/>
      <c r="U22" s="108"/>
    </row>
    <row r="23" spans="1:21" ht="26.25" customHeight="1" thickBot="1" x14ac:dyDescent="0.3">
      <c r="A23" s="330"/>
      <c r="B23" s="315" t="s">
        <v>207</v>
      </c>
      <c r="C23" s="110" t="s">
        <v>27</v>
      </c>
      <c r="D23" s="372">
        <v>85200</v>
      </c>
      <c r="E23" s="373">
        <v>102200</v>
      </c>
      <c r="F23" s="373">
        <v>139000</v>
      </c>
      <c r="G23" s="374">
        <v>216900</v>
      </c>
      <c r="H23" s="375">
        <f>D23</f>
        <v>85200</v>
      </c>
      <c r="I23" s="375">
        <f t="shared" ref="I23:I24" si="5">E23</f>
        <v>102200</v>
      </c>
      <c r="J23" s="375">
        <f t="shared" ref="J23:J24" si="6">F23</f>
        <v>139000</v>
      </c>
      <c r="K23" s="375">
        <f t="shared" ref="K23:K24" si="7">G23</f>
        <v>216900</v>
      </c>
      <c r="L23" s="381">
        <v>0</v>
      </c>
      <c r="M23" s="127"/>
      <c r="N23" s="36"/>
      <c r="O23" s="133"/>
      <c r="P23" s="37"/>
      <c r="Q23" s="108"/>
      <c r="R23" s="108"/>
      <c r="S23" s="108"/>
      <c r="T23" s="108"/>
      <c r="U23" s="108"/>
    </row>
    <row r="24" spans="1:21" ht="24.75" customHeight="1" thickBot="1" x14ac:dyDescent="0.3">
      <c r="A24" s="330"/>
      <c r="B24" s="315"/>
      <c r="C24" s="31" t="s">
        <v>28</v>
      </c>
      <c r="D24" s="377">
        <v>5</v>
      </c>
      <c r="E24" s="378">
        <v>0</v>
      </c>
      <c r="F24" s="378">
        <v>0</v>
      </c>
      <c r="G24" s="379">
        <v>0</v>
      </c>
      <c r="H24" s="377">
        <f>D24</f>
        <v>5</v>
      </c>
      <c r="I24" s="377">
        <f t="shared" si="5"/>
        <v>0</v>
      </c>
      <c r="J24" s="377">
        <f t="shared" si="6"/>
        <v>0</v>
      </c>
      <c r="K24" s="377">
        <f t="shared" si="7"/>
        <v>0</v>
      </c>
      <c r="L24" s="382">
        <v>0</v>
      </c>
      <c r="M24" s="127"/>
      <c r="N24" s="36"/>
      <c r="O24" s="133"/>
      <c r="P24" s="37"/>
    </row>
    <row r="25" spans="1:21" ht="26.25" customHeight="1" thickBot="1" x14ac:dyDescent="0.3">
      <c r="A25" s="330"/>
      <c r="B25" s="315"/>
      <c r="C25" s="111" t="s">
        <v>29</v>
      </c>
      <c r="D25" s="118">
        <f t="shared" ref="D25:K25" si="8">D24*D23</f>
        <v>426000</v>
      </c>
      <c r="E25" s="33">
        <f t="shared" si="8"/>
        <v>0</v>
      </c>
      <c r="F25" s="33">
        <f t="shared" si="8"/>
        <v>0</v>
      </c>
      <c r="G25" s="119">
        <f t="shared" si="8"/>
        <v>0</v>
      </c>
      <c r="H25" s="118">
        <f>H24*H23*10</f>
        <v>4260000</v>
      </c>
      <c r="I25" s="33">
        <f t="shared" si="8"/>
        <v>0</v>
      </c>
      <c r="J25" s="33">
        <f>J24*J23*10</f>
        <v>0</v>
      </c>
      <c r="K25" s="174">
        <f t="shared" si="8"/>
        <v>0</v>
      </c>
      <c r="L25" s="129">
        <f>+L24*L23</f>
        <v>0</v>
      </c>
      <c r="M25" s="126">
        <f>SUM(D25:G25)</f>
        <v>426000</v>
      </c>
      <c r="N25" s="34">
        <f>SUM(H25:K25)</f>
        <v>4260000</v>
      </c>
      <c r="O25" s="132">
        <f>+L25</f>
        <v>0</v>
      </c>
      <c r="P25" s="35">
        <f>SUM(M25:O25)</f>
        <v>4686000</v>
      </c>
    </row>
    <row r="26" spans="1:21" s="39" customFormat="1" ht="29.25" customHeight="1" thickBot="1" x14ac:dyDescent="0.3">
      <c r="A26" s="330"/>
      <c r="B26" s="301" t="s">
        <v>32</v>
      </c>
      <c r="C26" s="112" t="s">
        <v>33</v>
      </c>
      <c r="D26" s="120">
        <f t="shared" ref="D26:K26" si="9">D19+D22+D25</f>
        <v>7880800</v>
      </c>
      <c r="E26" s="121">
        <f t="shared" si="9"/>
        <v>1907200</v>
      </c>
      <c r="F26" s="121">
        <f t="shared" si="9"/>
        <v>0</v>
      </c>
      <c r="G26" s="122">
        <f t="shared" si="9"/>
        <v>0</v>
      </c>
      <c r="H26" s="114">
        <f t="shared" si="9"/>
        <v>78808000</v>
      </c>
      <c r="I26" s="38">
        <f>I19+I22+I25*10</f>
        <v>19072000</v>
      </c>
      <c r="J26" s="38">
        <f t="shared" si="9"/>
        <v>0</v>
      </c>
      <c r="K26" s="124">
        <f t="shared" si="9"/>
        <v>0</v>
      </c>
      <c r="L26" s="130">
        <f>+L25+L22+L19</f>
        <v>1874000</v>
      </c>
      <c r="M26" s="114">
        <f>M25+M22+M19</f>
        <v>9788000</v>
      </c>
      <c r="N26" s="38">
        <f>N25+N22+N19</f>
        <v>97880000</v>
      </c>
      <c r="O26" s="38">
        <f>+O19+O22+O25</f>
        <v>1874000</v>
      </c>
      <c r="P26" s="38">
        <f>P25+P22+P19</f>
        <v>109542000</v>
      </c>
    </row>
    <row r="28" spans="1:21" x14ac:dyDescent="0.25">
      <c r="C28" s="270" t="s">
        <v>375</v>
      </c>
      <c r="D28" s="271">
        <f>+D18+D21+D24+E18+E21+E24+F18+F21+F24+G18+G21+G24</f>
        <v>98</v>
      </c>
      <c r="E28" s="272">
        <f>D28/110</f>
        <v>0.89090909090909087</v>
      </c>
      <c r="F28" s="270"/>
    </row>
    <row r="29" spans="1:21" ht="14.4" thickBot="1" x14ac:dyDescent="0.3"/>
    <row r="30" spans="1:21" ht="30" customHeight="1" thickBot="1" x14ac:dyDescent="0.3">
      <c r="B30" s="312" t="s">
        <v>208</v>
      </c>
      <c r="C30" s="313"/>
      <c r="D30" s="313"/>
      <c r="E30" s="313"/>
      <c r="F30" s="314"/>
      <c r="I30" s="312" t="s">
        <v>224</v>
      </c>
      <c r="J30" s="313"/>
      <c r="K30" s="313"/>
      <c r="L30" s="313"/>
      <c r="M30" s="314"/>
      <c r="O30" s="312" t="s">
        <v>224</v>
      </c>
      <c r="P30" s="313"/>
      <c r="Q30" s="313"/>
      <c r="R30" s="313"/>
      <c r="S30" s="314"/>
    </row>
    <row r="31" spans="1:21" ht="30" customHeight="1" thickBot="1" x14ac:dyDescent="0.3">
      <c r="B31" s="309" t="s">
        <v>19</v>
      </c>
      <c r="C31" s="310"/>
      <c r="D31" s="310"/>
      <c r="E31" s="310"/>
      <c r="F31" s="311"/>
      <c r="I31" s="309" t="s">
        <v>19</v>
      </c>
      <c r="J31" s="310"/>
      <c r="K31" s="310"/>
      <c r="L31" s="310"/>
      <c r="M31" s="311"/>
      <c r="O31" s="309" t="s">
        <v>19</v>
      </c>
      <c r="P31" s="310"/>
      <c r="Q31" s="310"/>
      <c r="R31" s="310"/>
      <c r="S31" s="311"/>
    </row>
    <row r="32" spans="1:21" ht="45" customHeight="1" x14ac:dyDescent="0.25">
      <c r="B32" s="151" t="s">
        <v>202</v>
      </c>
      <c r="C32" s="144" t="s">
        <v>195</v>
      </c>
      <c r="D32" s="145" t="s">
        <v>172</v>
      </c>
      <c r="E32" s="145" t="s">
        <v>196</v>
      </c>
      <c r="F32" s="146" t="s">
        <v>21</v>
      </c>
      <c r="I32" s="151" t="s">
        <v>202</v>
      </c>
      <c r="J32" s="144" t="s">
        <v>195</v>
      </c>
      <c r="K32" s="145" t="s">
        <v>172</v>
      </c>
      <c r="L32" s="145" t="s">
        <v>196</v>
      </c>
      <c r="M32" s="146" t="s">
        <v>21</v>
      </c>
      <c r="O32" s="151" t="s">
        <v>202</v>
      </c>
      <c r="P32" s="144" t="s">
        <v>195</v>
      </c>
      <c r="Q32" s="145" t="s">
        <v>172</v>
      </c>
      <c r="R32" s="145" t="s">
        <v>196</v>
      </c>
      <c r="S32" s="146" t="s">
        <v>21</v>
      </c>
    </row>
    <row r="33" spans="2:19" ht="45" customHeight="1" x14ac:dyDescent="0.25">
      <c r="B33" s="152" t="s">
        <v>205</v>
      </c>
      <c r="C33" s="147">
        <v>56200</v>
      </c>
      <c r="D33" s="147">
        <v>67400</v>
      </c>
      <c r="E33" s="147">
        <v>96400</v>
      </c>
      <c r="F33" s="148">
        <v>141800</v>
      </c>
      <c r="G33" s="143"/>
      <c r="H33" s="143"/>
      <c r="I33" s="152" t="s">
        <v>205</v>
      </c>
      <c r="J33" s="147">
        <f>CEILING(D17,100)</f>
        <v>59600</v>
      </c>
      <c r="K33" s="147">
        <f>CEILING(E17,100)</f>
        <v>71500</v>
      </c>
      <c r="L33" s="147">
        <f>CEILING(F17,100)</f>
        <v>102200</v>
      </c>
      <c r="M33" s="148">
        <f>CEILING(G17,100)</f>
        <v>150400</v>
      </c>
      <c r="O33" s="152" t="s">
        <v>205</v>
      </c>
      <c r="P33" s="147">
        <f>+J33-C33</f>
        <v>3400</v>
      </c>
      <c r="Q33" s="147">
        <f t="shared" ref="Q33:S35" si="10">+K33-D33</f>
        <v>4100</v>
      </c>
      <c r="R33" s="147">
        <f t="shared" si="10"/>
        <v>5800</v>
      </c>
      <c r="S33" s="147">
        <f t="shared" si="10"/>
        <v>8600</v>
      </c>
    </row>
    <row r="34" spans="2:19" ht="45" customHeight="1" x14ac:dyDescent="0.25">
      <c r="B34" s="152" t="s">
        <v>204</v>
      </c>
      <c r="C34" s="147">
        <v>93700</v>
      </c>
      <c r="D34" s="147">
        <v>112400</v>
      </c>
      <c r="E34" s="147">
        <v>157800</v>
      </c>
      <c r="F34" s="148">
        <v>250900</v>
      </c>
      <c r="G34" s="197"/>
      <c r="H34" s="143"/>
      <c r="I34" s="152" t="s">
        <v>204</v>
      </c>
      <c r="J34" s="147">
        <f>CEILING(D20,100)</f>
        <v>99400</v>
      </c>
      <c r="K34" s="147">
        <f>CEILING(E20,100)</f>
        <v>119200</v>
      </c>
      <c r="L34" s="147">
        <f>CEILING(F20,100)</f>
        <v>167300</v>
      </c>
      <c r="M34" s="148">
        <f>CEILING(G20,100)</f>
        <v>266000</v>
      </c>
      <c r="O34" s="152" t="s">
        <v>204</v>
      </c>
      <c r="P34" s="147">
        <f t="shared" ref="P34:P35" si="11">+J34-C34</f>
        <v>5700</v>
      </c>
      <c r="Q34" s="147">
        <f t="shared" si="10"/>
        <v>6800</v>
      </c>
      <c r="R34" s="147">
        <f t="shared" si="10"/>
        <v>9500</v>
      </c>
      <c r="S34" s="147">
        <f t="shared" si="10"/>
        <v>15100</v>
      </c>
    </row>
    <row r="35" spans="2:19" ht="45" customHeight="1" thickBot="1" x14ac:dyDescent="0.3">
      <c r="B35" s="142" t="s">
        <v>203</v>
      </c>
      <c r="C35" s="149">
        <v>80300</v>
      </c>
      <c r="D35" s="149">
        <v>96400</v>
      </c>
      <c r="E35" s="149">
        <v>131100</v>
      </c>
      <c r="F35" s="150">
        <v>204600</v>
      </c>
      <c r="G35" s="143"/>
      <c r="H35" s="143"/>
      <c r="I35" s="142" t="s">
        <v>203</v>
      </c>
      <c r="J35" s="149">
        <f>CEILING(D23,100)</f>
        <v>85200</v>
      </c>
      <c r="K35" s="149">
        <f>CEILING(E23,100)</f>
        <v>102200</v>
      </c>
      <c r="L35" s="149">
        <f>CEILING(F23,100)</f>
        <v>139000</v>
      </c>
      <c r="M35" s="150">
        <f>CEILING(G23,100)</f>
        <v>216900</v>
      </c>
      <c r="O35" s="142" t="s">
        <v>203</v>
      </c>
      <c r="P35" s="147">
        <f t="shared" si="11"/>
        <v>4900</v>
      </c>
      <c r="Q35" s="147">
        <f t="shared" si="10"/>
        <v>5800</v>
      </c>
      <c r="R35" s="147">
        <f t="shared" si="10"/>
        <v>7900</v>
      </c>
      <c r="S35" s="147">
        <f t="shared" si="10"/>
        <v>12300</v>
      </c>
    </row>
  </sheetData>
  <sheetProtection algorithmName="SHA-512" hashValue="3sTlu4jCdtJH/UeFm65sg58Hp97Hv9rI5+A61u3zEIQ+Gy9Z6h8StNu3lStD9IWF7q0dlVTx06XNMmOkMYrGiA==" saltValue="29IFaz2LMEkK9aUTUt+Cbg==" spinCount="100000" sheet="1" objects="1" scenarios="1"/>
  <mergeCells count="25">
    <mergeCell ref="A1:D1"/>
    <mergeCell ref="A2:D2"/>
    <mergeCell ref="A3:D3"/>
    <mergeCell ref="I5:J5"/>
    <mergeCell ref="A8:C8"/>
    <mergeCell ref="M8:N8"/>
    <mergeCell ref="B17:B19"/>
    <mergeCell ref="B20:B22"/>
    <mergeCell ref="A11:C11"/>
    <mergeCell ref="A15:A16"/>
    <mergeCell ref="B15:B16"/>
    <mergeCell ref="C15:C16"/>
    <mergeCell ref="D15:G15"/>
    <mergeCell ref="M9:N9"/>
    <mergeCell ref="H15:K15"/>
    <mergeCell ref="A17:A26"/>
    <mergeCell ref="A10:C10"/>
    <mergeCell ref="A9:C9"/>
    <mergeCell ref="O31:S31"/>
    <mergeCell ref="I31:M31"/>
    <mergeCell ref="B30:F30"/>
    <mergeCell ref="B31:F31"/>
    <mergeCell ref="B23:B25"/>
    <mergeCell ref="O30:S30"/>
    <mergeCell ref="I30:M30"/>
  </mergeCells>
  <pageMargins left="3.937007874015748E-2" right="3.937007874015748E-2" top="0.74803149606299213" bottom="0.74803149606299213" header="0.31496062992125984" footer="0.31496062992125984"/>
  <pageSetup paperSize="5" scale="60" firstPageNumber="0" fitToHeight="0" orientation="landscape" verticalDpi="300" r:id="rId1"/>
  <headerFooter alignWithMargins="0">
    <oddHeader>&amp;LSEPT - 2004&amp;CDIRECTIVA D.B.S.A.
ORDINARIA&amp;R01-BS/0305/04</oddHeader>
    <oddFooter>&amp;LDEPARTAMENTO
RRHH Y GESTION&amp;C01-BS&amp;RPAG &amp;P</oddFooter>
  </headerFooter>
  <ignoredErrors>
    <ignoredError sqref="F9 O26 H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Q97"/>
  <sheetViews>
    <sheetView showGridLines="0" zoomScale="70" zoomScaleNormal="70" workbookViewId="0">
      <selection activeCell="D5" sqref="D5:E5"/>
    </sheetView>
  </sheetViews>
  <sheetFormatPr baseColWidth="10" defaultColWidth="11.44140625" defaultRowHeight="13.8" x14ac:dyDescent="0.25"/>
  <cols>
    <col min="1" max="1" width="19.33203125" style="1" customWidth="1"/>
    <col min="2" max="2" width="21.109375" style="1" customWidth="1"/>
    <col min="3" max="3" width="56.6640625" style="1" customWidth="1"/>
    <col min="4" max="4" width="18.109375" style="1" bestFit="1" customWidth="1"/>
    <col min="5" max="5" width="16" style="1" bestFit="1" customWidth="1"/>
    <col min="6" max="6" width="16.44140625" style="40" bestFit="1" customWidth="1"/>
    <col min="7" max="7" width="22.88671875" style="3" bestFit="1" customWidth="1"/>
    <col min="8" max="8" width="23.44140625" style="3" bestFit="1" customWidth="1"/>
    <col min="9" max="9" width="11.44140625" style="161"/>
    <col min="10" max="10" width="14.88671875" style="1" bestFit="1" customWidth="1"/>
    <col min="11" max="11" width="15.5546875" style="1" customWidth="1"/>
    <col min="12" max="12" width="20.44140625" style="1" bestFit="1" customWidth="1"/>
    <col min="13" max="13" width="4.44140625" style="1" bestFit="1" customWidth="1"/>
    <col min="14" max="14" width="13.33203125" style="1" bestFit="1" customWidth="1"/>
    <col min="15" max="15" width="11.44140625" style="1"/>
    <col min="16" max="16" width="22.88671875" style="1" customWidth="1"/>
    <col min="17" max="17" width="17.33203125" style="1" customWidth="1"/>
    <col min="18" max="16384" width="11.44140625" style="1"/>
  </cols>
  <sheetData>
    <row r="1" spans="1:17" x14ac:dyDescent="0.25">
      <c r="B1" s="306" t="s">
        <v>0</v>
      </c>
      <c r="C1" s="306"/>
      <c r="D1" s="306"/>
      <c r="E1" s="306"/>
      <c r="F1" s="306"/>
      <c r="G1" s="306"/>
      <c r="H1" s="1"/>
    </row>
    <row r="2" spans="1:17" x14ac:dyDescent="0.25">
      <c r="B2" s="306" t="s">
        <v>34</v>
      </c>
      <c r="C2" s="306"/>
      <c r="D2" s="306"/>
      <c r="E2" s="306"/>
      <c r="F2" s="306"/>
      <c r="G2" s="306"/>
      <c r="H2" s="1"/>
    </row>
    <row r="3" spans="1:17" x14ac:dyDescent="0.25">
      <c r="B3" s="306" t="s">
        <v>198</v>
      </c>
      <c r="C3" s="306"/>
      <c r="D3" s="306"/>
      <c r="E3" s="306"/>
      <c r="F3" s="306"/>
      <c r="G3" s="306"/>
      <c r="H3" s="1"/>
    </row>
    <row r="4" spans="1:17" ht="6.75" customHeight="1" x14ac:dyDescent="0.25">
      <c r="B4" s="3"/>
      <c r="C4" s="3"/>
    </row>
    <row r="5" spans="1:17" s="41" customFormat="1" ht="16.2" thickBot="1" x14ac:dyDescent="0.3">
      <c r="B5" s="42" t="s">
        <v>35</v>
      </c>
      <c r="C5" s="42"/>
      <c r="D5" s="349" t="str">
        <f>'Ap. 2 Ingresos C. Benef.'!$I$5</f>
        <v>BIENIQUE</v>
      </c>
      <c r="E5" s="349"/>
      <c r="F5" s="43"/>
      <c r="G5" s="43"/>
      <c r="H5" s="43"/>
      <c r="I5" s="162"/>
    </row>
    <row r="6" spans="1:17" ht="15" customHeight="1" thickBot="1" x14ac:dyDescent="0.3">
      <c r="A6" s="15"/>
      <c r="B6" s="15"/>
      <c r="C6" s="350"/>
      <c r="D6" s="350"/>
      <c r="J6" s="139" t="s">
        <v>192</v>
      </c>
      <c r="K6" s="140"/>
      <c r="L6" s="141" t="s">
        <v>221</v>
      </c>
    </row>
    <row r="7" spans="1:17" x14ac:dyDescent="0.25">
      <c r="D7" s="44" t="s">
        <v>36</v>
      </c>
      <c r="E7" s="351" t="s">
        <v>37</v>
      </c>
      <c r="F7" s="351"/>
      <c r="G7" s="303" t="s">
        <v>38</v>
      </c>
      <c r="H7" s="45" t="s">
        <v>39</v>
      </c>
    </row>
    <row r="8" spans="1:17" ht="25.5" customHeight="1" thickBot="1" x14ac:dyDescent="0.3">
      <c r="A8" s="46" t="s">
        <v>40</v>
      </c>
      <c r="B8" s="352" t="s">
        <v>41</v>
      </c>
      <c r="C8" s="352"/>
      <c r="D8" s="47" t="s">
        <v>42</v>
      </c>
      <c r="E8" s="48" t="s">
        <v>43</v>
      </c>
      <c r="F8" s="48" t="s">
        <v>44</v>
      </c>
      <c r="G8" s="49" t="s">
        <v>45</v>
      </c>
      <c r="H8" s="50" t="s">
        <v>45</v>
      </c>
      <c r="N8" s="281">
        <f>SUM(M10:M13)</f>
        <v>10</v>
      </c>
    </row>
    <row r="9" spans="1:17" ht="15.75" customHeight="1" thickBot="1" x14ac:dyDescent="0.3">
      <c r="A9" s="330" t="str">
        <f>'Ap. 2 Ingresos C. Benef.'!$A$17</f>
        <v>JARDIN INFANTIL "PEQUEÑOS HEROES"</v>
      </c>
      <c r="B9" s="341" t="s">
        <v>46</v>
      </c>
      <c r="C9" s="341"/>
      <c r="D9" s="172">
        <f>SUM(D19:D20,D17,D11:D15)</f>
        <v>58201649.222290076</v>
      </c>
      <c r="E9" s="169">
        <f>SUM(E19:E20,E17,E11:E15)</f>
        <v>250000</v>
      </c>
      <c r="F9" s="170"/>
      <c r="G9" s="169">
        <f>SUM(G19:G20,G17,G11:G15)</f>
        <v>4250000</v>
      </c>
      <c r="H9" s="171">
        <f>SUM(H19:H20,H17,H11:H15)</f>
        <v>62451649.222290076</v>
      </c>
      <c r="L9" s="346" t="s">
        <v>216</v>
      </c>
      <c r="M9" s="347"/>
      <c r="N9" s="348"/>
      <c r="P9" s="100" t="s">
        <v>182</v>
      </c>
      <c r="Q9" s="101">
        <f>SUELDOS!AH188</f>
        <v>1234800</v>
      </c>
    </row>
    <row r="10" spans="1:17" ht="14.4" thickBot="1" x14ac:dyDescent="0.3">
      <c r="A10" s="330"/>
      <c r="B10" s="342" t="s">
        <v>47</v>
      </c>
      <c r="C10" s="342"/>
      <c r="D10" s="339"/>
      <c r="E10" s="339"/>
      <c r="F10" s="339"/>
      <c r="G10" s="339"/>
      <c r="H10" s="339"/>
      <c r="L10" s="98" t="s">
        <v>181</v>
      </c>
      <c r="M10" s="159">
        <v>1</v>
      </c>
      <c r="N10" s="177">
        <f>SUELDOS!W3</f>
        <v>743064.0650559999</v>
      </c>
    </row>
    <row r="11" spans="1:17" ht="14.4" thickBot="1" x14ac:dyDescent="0.35">
      <c r="A11" s="330"/>
      <c r="B11" s="387" t="s">
        <v>48</v>
      </c>
      <c r="C11" s="387"/>
      <c r="D11" s="179">
        <f>N17</f>
        <v>51633581.408207998</v>
      </c>
      <c r="E11" s="52">
        <v>0</v>
      </c>
      <c r="F11" s="55">
        <v>0</v>
      </c>
      <c r="G11" s="53">
        <f>E11*F11</f>
        <v>0</v>
      </c>
      <c r="H11" s="54">
        <f>G11+D11</f>
        <v>51633581.408207998</v>
      </c>
      <c r="L11" s="98" t="s">
        <v>183</v>
      </c>
      <c r="M11" s="159">
        <v>6</v>
      </c>
      <c r="N11" s="177">
        <f>SUM(SUELDOS!W4:W10)</f>
        <v>2438586.7102239998</v>
      </c>
      <c r="P11" s="344" t="s">
        <v>185</v>
      </c>
      <c r="Q11" s="345"/>
    </row>
    <row r="12" spans="1:17" ht="14.4" thickBot="1" x14ac:dyDescent="0.35">
      <c r="A12" s="330"/>
      <c r="B12" s="387" t="s">
        <v>49</v>
      </c>
      <c r="C12" s="387"/>
      <c r="D12" s="180">
        <v>0</v>
      </c>
      <c r="E12" s="52">
        <v>0</v>
      </c>
      <c r="F12" s="55">
        <v>0</v>
      </c>
      <c r="G12" s="53">
        <f>E12*F12</f>
        <v>0</v>
      </c>
      <c r="H12" s="54">
        <f>G12+D12</f>
        <v>0</v>
      </c>
      <c r="L12" s="98" t="s">
        <v>184</v>
      </c>
      <c r="M12" s="159">
        <v>2</v>
      </c>
      <c r="N12" s="109">
        <f>SUM(SUELDOS!W11:W12)</f>
        <v>767199.59161200002</v>
      </c>
      <c r="P12" s="102" t="s">
        <v>223</v>
      </c>
      <c r="Q12" s="279">
        <f>(SUELDOS!AD135+SUELDOS!AD189)+(SUELDOS!AH188)</f>
        <v>3561472</v>
      </c>
    </row>
    <row r="13" spans="1:17" ht="14.4" thickBot="1" x14ac:dyDescent="0.35">
      <c r="A13" s="330"/>
      <c r="B13" s="388" t="s">
        <v>193</v>
      </c>
      <c r="C13" s="388"/>
      <c r="D13" s="179">
        <f>Q9</f>
        <v>1234800</v>
      </c>
      <c r="E13" s="52">
        <v>0</v>
      </c>
      <c r="F13" s="55">
        <v>0</v>
      </c>
      <c r="G13" s="53">
        <f>E13*F13</f>
        <v>0</v>
      </c>
      <c r="H13" s="54">
        <f>G13+D13</f>
        <v>1234800</v>
      </c>
      <c r="L13" s="98" t="s">
        <v>186</v>
      </c>
      <c r="M13" s="159">
        <v>1</v>
      </c>
      <c r="N13" s="177">
        <f>SUELDOS!W13</f>
        <v>353948.08379200002</v>
      </c>
      <c r="P13" s="102" t="s">
        <v>179</v>
      </c>
      <c r="Q13" s="279">
        <f>SUELDOS!AD3*'Ap. 3 Costos Directos'!N8</f>
        <v>1105460</v>
      </c>
    </row>
    <row r="14" spans="1:17" ht="12.75" customHeight="1" thickBot="1" x14ac:dyDescent="0.35">
      <c r="A14" s="330"/>
      <c r="B14" s="387" t="s">
        <v>194</v>
      </c>
      <c r="C14" s="387"/>
      <c r="D14" s="179">
        <f>Q14</f>
        <v>4666932</v>
      </c>
      <c r="E14" s="52">
        <v>0</v>
      </c>
      <c r="F14" s="55">
        <v>0</v>
      </c>
      <c r="G14" s="53">
        <f>E14*F14</f>
        <v>0</v>
      </c>
      <c r="H14" s="54">
        <f>G14+D14</f>
        <v>4666932</v>
      </c>
      <c r="L14" s="103" t="s">
        <v>187</v>
      </c>
      <c r="M14" s="104"/>
      <c r="N14" s="136">
        <f>SUM(N10:N13)</f>
        <v>4302798.4506839998</v>
      </c>
      <c r="P14" s="101" t="s">
        <v>178</v>
      </c>
      <c r="Q14" s="107">
        <f>SUM(Q12:Q13)</f>
        <v>4666932</v>
      </c>
    </row>
    <row r="15" spans="1:17" ht="12.75" customHeight="1" thickBot="1" x14ac:dyDescent="0.35">
      <c r="A15" s="330"/>
      <c r="B15" s="387" t="s">
        <v>50</v>
      </c>
      <c r="C15" s="387"/>
      <c r="D15" s="51">
        <v>0</v>
      </c>
      <c r="E15" s="52">
        <v>0</v>
      </c>
      <c r="F15" s="55">
        <v>0</v>
      </c>
      <c r="G15" s="53">
        <f>E15*F15</f>
        <v>0</v>
      </c>
      <c r="H15" s="54">
        <f>G15+D15</f>
        <v>0</v>
      </c>
      <c r="L15" s="103" t="s">
        <v>188</v>
      </c>
      <c r="M15" s="135"/>
      <c r="N15" s="389">
        <f>N14*12</f>
        <v>51633581.408207998</v>
      </c>
    </row>
    <row r="16" spans="1:17" ht="12.75" customHeight="1" thickBot="1" x14ac:dyDescent="0.3">
      <c r="A16" s="330"/>
      <c r="B16" s="334" t="s">
        <v>51</v>
      </c>
      <c r="C16" s="334"/>
      <c r="D16" s="336"/>
      <c r="E16" s="336"/>
      <c r="F16" s="336"/>
      <c r="G16" s="336"/>
      <c r="H16" s="336"/>
      <c r="I16" s="163"/>
      <c r="L16" s="103" t="s">
        <v>189</v>
      </c>
      <c r="M16" s="104"/>
      <c r="N16" s="178"/>
    </row>
    <row r="17" spans="1:17" ht="12.75" customHeight="1" thickBot="1" x14ac:dyDescent="0.35">
      <c r="A17" s="330"/>
      <c r="B17" s="387" t="s">
        <v>52</v>
      </c>
      <c r="C17" s="387"/>
      <c r="D17" s="51">
        <f>D11*0.01</f>
        <v>516335.81408207997</v>
      </c>
      <c r="E17" s="52">
        <v>0</v>
      </c>
      <c r="F17" s="55">
        <v>0</v>
      </c>
      <c r="G17" s="53">
        <f>E17*F17</f>
        <v>0</v>
      </c>
      <c r="H17" s="54">
        <f>+D17</f>
        <v>516335.81408207997</v>
      </c>
      <c r="I17" s="163"/>
      <c r="L17" s="105" t="s">
        <v>222</v>
      </c>
      <c r="M17" s="106"/>
      <c r="N17" s="107">
        <f>N15</f>
        <v>51633581.408207998</v>
      </c>
    </row>
    <row r="18" spans="1:17" ht="12.75" customHeight="1" thickBot="1" x14ac:dyDescent="0.3">
      <c r="A18" s="330"/>
      <c r="B18" s="334" t="s">
        <v>53</v>
      </c>
      <c r="C18" s="334"/>
      <c r="D18" s="336"/>
      <c r="E18" s="336"/>
      <c r="F18" s="336"/>
      <c r="G18" s="336"/>
      <c r="H18" s="336"/>
      <c r="I18" s="163"/>
      <c r="Q18" s="99">
        <f>+Q14+Q9+N17</f>
        <v>57535313.408207998</v>
      </c>
    </row>
    <row r="19" spans="1:17" ht="12.75" customHeight="1" thickBot="1" x14ac:dyDescent="0.35">
      <c r="A19" s="330"/>
      <c r="B19" s="390" t="s">
        <v>54</v>
      </c>
      <c r="C19" s="391"/>
      <c r="D19" s="51">
        <v>150000</v>
      </c>
      <c r="E19" s="52">
        <v>0</v>
      </c>
      <c r="F19" s="55">
        <v>0</v>
      </c>
      <c r="G19" s="53">
        <f>E19*F19</f>
        <v>0</v>
      </c>
      <c r="H19" s="54">
        <f>+D19</f>
        <v>150000</v>
      </c>
      <c r="I19" s="163" t="s">
        <v>214</v>
      </c>
    </row>
    <row r="20" spans="1:17" ht="12.75" customHeight="1" thickBot="1" x14ac:dyDescent="0.35">
      <c r="A20" s="330"/>
      <c r="B20" s="392" t="s">
        <v>55</v>
      </c>
      <c r="C20" s="393"/>
      <c r="D20" s="57">
        <v>0</v>
      </c>
      <c r="E20" s="58">
        <v>250000</v>
      </c>
      <c r="F20" s="59">
        <v>17</v>
      </c>
      <c r="G20" s="61">
        <f>E20*F20</f>
        <v>4250000</v>
      </c>
      <c r="H20" s="60">
        <f>G20+D20</f>
        <v>4250000</v>
      </c>
      <c r="I20" s="163" t="s">
        <v>262</v>
      </c>
    </row>
    <row r="21" spans="1:17" ht="12.75" customHeight="1" thickBot="1" x14ac:dyDescent="0.3">
      <c r="A21" s="330"/>
      <c r="B21" s="343" t="s">
        <v>56</v>
      </c>
      <c r="C21" s="343"/>
      <c r="D21" s="172">
        <f>SUM(D23:D24,D26:D28,D30:D31,D33:D44,D46:D54,D56:D62,D64:D66,D68:D75,D77:D78,D80:D83,D85:D86)</f>
        <v>11060316.833333332</v>
      </c>
      <c r="E21" s="169">
        <f>SUM(E23:E24,E26:E28,E30:E31,E33:E44,E46:E54,E56:E62,E64:E66,E68:E75,E77:E78,E80:E83,E85:E86)</f>
        <v>461039.2</v>
      </c>
      <c r="F21" s="170"/>
      <c r="G21" s="169">
        <f>SUM(G23:G24,G26:G28,G30:G31,G33:G44,G46:G54,G56:G62,G64:G66,G68:G75,G77:G78,G80:G83,G85:G86)</f>
        <v>26249740</v>
      </c>
      <c r="H21" s="173">
        <f>SUM(H23:H24,H26:H28,H30:H31,H33:H44,H46:H54,H56:H62,H64:H66,H68:H75,H77:H78,H80:H83,H85:H86)</f>
        <v>36264496.833333328</v>
      </c>
      <c r="I21" s="163"/>
    </row>
    <row r="22" spans="1:17" ht="12.75" customHeight="1" thickBot="1" x14ac:dyDescent="0.35">
      <c r="A22" s="330"/>
      <c r="B22" s="394" t="s">
        <v>57</v>
      </c>
      <c r="C22" s="394"/>
      <c r="D22" s="340"/>
      <c r="E22" s="340"/>
      <c r="F22" s="340"/>
      <c r="G22" s="340"/>
      <c r="H22" s="340"/>
      <c r="I22" s="163"/>
    </row>
    <row r="23" spans="1:17" ht="12.75" customHeight="1" thickBot="1" x14ac:dyDescent="0.35">
      <c r="A23" s="330"/>
      <c r="B23" s="388" t="s">
        <v>58</v>
      </c>
      <c r="C23" s="388"/>
      <c r="D23" s="51">
        <v>0</v>
      </c>
      <c r="E23" s="282">
        <f>1600*1.037</f>
        <v>1659.1999999999998</v>
      </c>
      <c r="F23" s="287">
        <f>10*20*11+15*5*1</f>
        <v>2275</v>
      </c>
      <c r="G23" s="283">
        <f>E23*F23</f>
        <v>3774679.9999999995</v>
      </c>
      <c r="H23" s="284">
        <f>G23+D23</f>
        <v>3774679.9999999995</v>
      </c>
      <c r="I23" s="280" t="s">
        <v>383</v>
      </c>
      <c r="P23" s="108"/>
    </row>
    <row r="24" spans="1:17" ht="12.75" customHeight="1" thickBot="1" x14ac:dyDescent="0.35">
      <c r="A24" s="330"/>
      <c r="B24" s="395" t="s">
        <v>59</v>
      </c>
      <c r="C24" s="396"/>
      <c r="D24" s="51">
        <v>0</v>
      </c>
      <c r="E24" s="52">
        <v>850</v>
      </c>
      <c r="F24" s="55">
        <f>((90)*20*10)+(20*20*1)</f>
        <v>18400</v>
      </c>
      <c r="G24" s="53">
        <f>E24*F24</f>
        <v>15640000</v>
      </c>
      <c r="H24" s="54">
        <f>G24+D24</f>
        <v>15640000</v>
      </c>
      <c r="I24" s="280" t="s">
        <v>384</v>
      </c>
    </row>
    <row r="25" spans="1:17" ht="12.75" customHeight="1" thickBot="1" x14ac:dyDescent="0.35">
      <c r="A25" s="330"/>
      <c r="B25" s="397" t="s">
        <v>60</v>
      </c>
      <c r="C25" s="397"/>
      <c r="D25" s="336"/>
      <c r="E25" s="336"/>
      <c r="F25" s="336"/>
      <c r="G25" s="336"/>
      <c r="H25" s="336"/>
      <c r="I25" s="163"/>
    </row>
    <row r="26" spans="1:17" ht="12.75" customHeight="1" thickBot="1" x14ac:dyDescent="0.35">
      <c r="A26" s="330"/>
      <c r="B26" s="387" t="s">
        <v>61</v>
      </c>
      <c r="C26" s="387"/>
      <c r="D26" s="51">
        <v>0</v>
      </c>
      <c r="E26" s="52">
        <v>0</v>
      </c>
      <c r="F26" s="55">
        <v>0</v>
      </c>
      <c r="G26" s="53">
        <f>E26*F26</f>
        <v>0</v>
      </c>
      <c r="H26" s="54">
        <f>G26+D26</f>
        <v>0</v>
      </c>
      <c r="I26" s="163"/>
    </row>
    <row r="27" spans="1:17" ht="12.75" customHeight="1" thickBot="1" x14ac:dyDescent="0.35">
      <c r="A27" s="330"/>
      <c r="B27" s="387" t="s">
        <v>62</v>
      </c>
      <c r="C27" s="387"/>
      <c r="D27" s="51">
        <v>0</v>
      </c>
      <c r="E27" s="52">
        <v>15000</v>
      </c>
      <c r="F27" s="55">
        <v>20</v>
      </c>
      <c r="G27" s="53">
        <f>E27*F27</f>
        <v>300000</v>
      </c>
      <c r="H27" s="54">
        <f>G27+D27</f>
        <v>300000</v>
      </c>
      <c r="I27" s="280" t="s">
        <v>212</v>
      </c>
    </row>
    <row r="28" spans="1:17" ht="13.5" customHeight="1" thickBot="1" x14ac:dyDescent="0.35">
      <c r="A28" s="330"/>
      <c r="B28" s="387" t="s">
        <v>63</v>
      </c>
      <c r="C28" s="387"/>
      <c r="D28" s="51">
        <v>0</v>
      </c>
      <c r="E28" s="52">
        <v>33000</v>
      </c>
      <c r="F28" s="55">
        <v>3</v>
      </c>
      <c r="G28" s="53">
        <f>E28*F28</f>
        <v>99000</v>
      </c>
      <c r="H28" s="54">
        <f>G28+D28</f>
        <v>99000</v>
      </c>
      <c r="I28" s="163" t="s">
        <v>213</v>
      </c>
    </row>
    <row r="29" spans="1:17" ht="12.75" customHeight="1" thickBot="1" x14ac:dyDescent="0.35">
      <c r="A29" s="330"/>
      <c r="B29" s="397" t="s">
        <v>64</v>
      </c>
      <c r="C29" s="397"/>
      <c r="D29" s="339"/>
      <c r="E29" s="339"/>
      <c r="F29" s="339"/>
      <c r="G29" s="339"/>
      <c r="H29" s="339"/>
      <c r="I29" s="163"/>
    </row>
    <row r="30" spans="1:17" ht="12.75" customHeight="1" thickBot="1" x14ac:dyDescent="0.35">
      <c r="A30" s="330"/>
      <c r="B30" s="388" t="s">
        <v>65</v>
      </c>
      <c r="C30" s="388"/>
      <c r="D30" s="51">
        <v>0</v>
      </c>
      <c r="E30" s="52">
        <v>0</v>
      </c>
      <c r="F30" s="55">
        <v>0</v>
      </c>
      <c r="G30" s="53">
        <f>E30*F30</f>
        <v>0</v>
      </c>
      <c r="H30" s="54">
        <f>G30+D30</f>
        <v>0</v>
      </c>
      <c r="I30" s="163"/>
    </row>
    <row r="31" spans="1:17" ht="14.4" thickBot="1" x14ac:dyDescent="0.35">
      <c r="A31" s="330"/>
      <c r="B31" s="387" t="s">
        <v>66</v>
      </c>
      <c r="C31" s="387"/>
      <c r="D31" s="51">
        <v>0</v>
      </c>
      <c r="E31" s="52">
        <v>0</v>
      </c>
      <c r="F31" s="55">
        <v>0</v>
      </c>
      <c r="G31" s="53">
        <f>E31*F31</f>
        <v>0</v>
      </c>
      <c r="H31" s="54">
        <f>G31+D31</f>
        <v>0</v>
      </c>
      <c r="I31" s="163"/>
    </row>
    <row r="32" spans="1:17" ht="14.4" thickBot="1" x14ac:dyDescent="0.35">
      <c r="A32" s="330"/>
      <c r="B32" s="397" t="s">
        <v>67</v>
      </c>
      <c r="C32" s="397"/>
      <c r="D32" s="336"/>
      <c r="E32" s="336"/>
      <c r="F32" s="336"/>
      <c r="G32" s="336"/>
      <c r="H32" s="336"/>
      <c r="I32" s="163"/>
    </row>
    <row r="33" spans="1:11" ht="14.4" thickBot="1" x14ac:dyDescent="0.35">
      <c r="A33" s="330"/>
      <c r="B33" s="388" t="s">
        <v>68</v>
      </c>
      <c r="C33" s="388"/>
      <c r="D33" s="51">
        <v>200000</v>
      </c>
      <c r="E33" s="52">
        <v>0</v>
      </c>
      <c r="F33" s="55">
        <v>0</v>
      </c>
      <c r="G33" s="53">
        <f t="shared" ref="G33:G44" si="0">E33*F33</f>
        <v>0</v>
      </c>
      <c r="H33" s="54">
        <f t="shared" ref="H33:H44" si="1">G33+D33</f>
        <v>200000</v>
      </c>
      <c r="I33" s="163" t="s">
        <v>211</v>
      </c>
    </row>
    <row r="34" spans="1:11" ht="14.4" thickBot="1" x14ac:dyDescent="0.35">
      <c r="A34" s="330"/>
      <c r="B34" s="388" t="s">
        <v>210</v>
      </c>
      <c r="C34" s="388"/>
      <c r="D34" s="51">
        <v>120000</v>
      </c>
      <c r="E34" s="52">
        <v>0</v>
      </c>
      <c r="F34" s="55">
        <v>0</v>
      </c>
      <c r="G34" s="53">
        <f t="shared" si="0"/>
        <v>0</v>
      </c>
      <c r="H34" s="54">
        <f t="shared" si="1"/>
        <v>120000</v>
      </c>
      <c r="I34" s="163" t="s">
        <v>199</v>
      </c>
    </row>
    <row r="35" spans="1:11" ht="14.4" thickBot="1" x14ac:dyDescent="0.35">
      <c r="A35" s="330"/>
      <c r="B35" s="395" t="s">
        <v>69</v>
      </c>
      <c r="C35" s="396"/>
      <c r="D35" s="51">
        <v>0</v>
      </c>
      <c r="E35" s="52">
        <v>0</v>
      </c>
      <c r="F35" s="55">
        <v>0</v>
      </c>
      <c r="G35" s="53">
        <f t="shared" si="0"/>
        <v>0</v>
      </c>
      <c r="H35" s="54">
        <f t="shared" si="1"/>
        <v>0</v>
      </c>
      <c r="I35" s="163"/>
    </row>
    <row r="36" spans="1:11" ht="14.4" thickBot="1" x14ac:dyDescent="0.35">
      <c r="A36" s="330"/>
      <c r="B36" s="388" t="s">
        <v>70</v>
      </c>
      <c r="C36" s="388"/>
      <c r="D36" s="285">
        <f>E36*F36</f>
        <v>60000</v>
      </c>
      <c r="E36" s="282">
        <v>10000</v>
      </c>
      <c r="F36" s="287">
        <v>6</v>
      </c>
      <c r="G36" s="283">
        <f t="shared" si="0"/>
        <v>60000</v>
      </c>
      <c r="H36" s="284">
        <f>G36</f>
        <v>60000</v>
      </c>
      <c r="I36" s="280" t="s">
        <v>385</v>
      </c>
      <c r="K36" s="108">
        <v>10000</v>
      </c>
    </row>
    <row r="37" spans="1:11" ht="14.4" thickBot="1" x14ac:dyDescent="0.35">
      <c r="A37" s="330"/>
      <c r="B37" s="388" t="s">
        <v>71</v>
      </c>
      <c r="C37" s="388"/>
      <c r="D37" s="51">
        <v>0</v>
      </c>
      <c r="E37" s="52">
        <v>0</v>
      </c>
      <c r="F37" s="55">
        <v>0</v>
      </c>
      <c r="G37" s="53">
        <f t="shared" si="0"/>
        <v>0</v>
      </c>
      <c r="H37" s="54">
        <f t="shared" si="1"/>
        <v>0</v>
      </c>
      <c r="I37" s="163"/>
    </row>
    <row r="38" spans="1:11" ht="14.4" thickBot="1" x14ac:dyDescent="0.35">
      <c r="A38" s="330"/>
      <c r="B38" s="395" t="s">
        <v>72</v>
      </c>
      <c r="C38" s="396"/>
      <c r="D38" s="51">
        <v>0</v>
      </c>
      <c r="E38" s="52">
        <v>0</v>
      </c>
      <c r="F38" s="55">
        <v>0</v>
      </c>
      <c r="G38" s="53">
        <f t="shared" si="0"/>
        <v>0</v>
      </c>
      <c r="H38" s="54">
        <f t="shared" si="1"/>
        <v>0</v>
      </c>
      <c r="I38" s="163"/>
    </row>
    <row r="39" spans="1:11" ht="14.4" thickBot="1" x14ac:dyDescent="0.35">
      <c r="A39" s="330"/>
      <c r="B39" s="388" t="s">
        <v>73</v>
      </c>
      <c r="C39" s="388"/>
      <c r="D39" s="51">
        <v>0</v>
      </c>
      <c r="E39" s="52">
        <v>0</v>
      </c>
      <c r="F39" s="55">
        <v>0</v>
      </c>
      <c r="G39" s="53">
        <f t="shared" si="0"/>
        <v>0</v>
      </c>
      <c r="H39" s="54">
        <f t="shared" si="1"/>
        <v>0</v>
      </c>
      <c r="I39" s="163"/>
    </row>
    <row r="40" spans="1:11" ht="14.4" thickBot="1" x14ac:dyDescent="0.35">
      <c r="A40" s="330"/>
      <c r="B40" s="388" t="s">
        <v>74</v>
      </c>
      <c r="C40" s="388"/>
      <c r="D40" s="51">
        <v>100000</v>
      </c>
      <c r="E40" s="52">
        <v>0</v>
      </c>
      <c r="F40" s="55">
        <v>0</v>
      </c>
      <c r="G40" s="53">
        <f t="shared" si="0"/>
        <v>0</v>
      </c>
      <c r="H40" s="54">
        <f t="shared" si="1"/>
        <v>100000</v>
      </c>
      <c r="I40" s="163" t="s">
        <v>215</v>
      </c>
    </row>
    <row r="41" spans="1:11" ht="14.4" thickBot="1" x14ac:dyDescent="0.35">
      <c r="A41" s="330"/>
      <c r="B41" s="388" t="s">
        <v>75</v>
      </c>
      <c r="C41" s="388"/>
      <c r="D41" s="51">
        <v>2053260</v>
      </c>
      <c r="E41" s="52">
        <v>0</v>
      </c>
      <c r="F41" s="55">
        <v>0</v>
      </c>
      <c r="G41" s="53">
        <f t="shared" si="0"/>
        <v>0</v>
      </c>
      <c r="H41" s="54">
        <f t="shared" si="1"/>
        <v>2053260</v>
      </c>
      <c r="I41" s="163" t="s">
        <v>190</v>
      </c>
    </row>
    <row r="42" spans="1:11" ht="14.4" thickBot="1" x14ac:dyDescent="0.35">
      <c r="A42" s="330"/>
      <c r="B42" s="388" t="s">
        <v>76</v>
      </c>
      <c r="C42" s="388"/>
      <c r="D42" s="51">
        <v>60000</v>
      </c>
      <c r="E42" s="52">
        <v>0</v>
      </c>
      <c r="F42" s="55">
        <v>0</v>
      </c>
      <c r="G42" s="53">
        <f t="shared" si="0"/>
        <v>0</v>
      </c>
      <c r="H42" s="54">
        <f t="shared" si="1"/>
        <v>60000</v>
      </c>
      <c r="I42" s="280" t="s">
        <v>386</v>
      </c>
    </row>
    <row r="43" spans="1:11" ht="14.4" thickBot="1" x14ac:dyDescent="0.35">
      <c r="A43" s="330"/>
      <c r="B43" s="388" t="s">
        <v>77</v>
      </c>
      <c r="C43" s="388"/>
      <c r="D43" s="51">
        <f>E43*F43</f>
        <v>282000</v>
      </c>
      <c r="E43" s="52">
        <v>47000</v>
      </c>
      <c r="F43" s="55">
        <v>6</v>
      </c>
      <c r="G43" s="53">
        <f t="shared" si="0"/>
        <v>282000</v>
      </c>
      <c r="H43" s="54">
        <f>G43</f>
        <v>282000</v>
      </c>
      <c r="I43" s="280" t="s">
        <v>387</v>
      </c>
      <c r="J43" s="1" t="s">
        <v>388</v>
      </c>
    </row>
    <row r="44" spans="1:11" ht="14.4" thickBot="1" x14ac:dyDescent="0.35">
      <c r="A44" s="330"/>
      <c r="B44" s="388" t="s">
        <v>78</v>
      </c>
      <c r="C44" s="388"/>
      <c r="D44" s="51">
        <v>0</v>
      </c>
      <c r="E44" s="52">
        <v>0</v>
      </c>
      <c r="F44" s="55">
        <v>0</v>
      </c>
      <c r="G44" s="53">
        <f t="shared" si="0"/>
        <v>0</v>
      </c>
      <c r="H44" s="54">
        <f t="shared" si="1"/>
        <v>0</v>
      </c>
      <c r="I44" s="163"/>
    </row>
    <row r="45" spans="1:11" s="3" customFormat="1" ht="14.4" thickBot="1" x14ac:dyDescent="0.35">
      <c r="A45" s="330"/>
      <c r="B45" s="397" t="s">
        <v>79</v>
      </c>
      <c r="C45" s="397"/>
      <c r="D45" s="336"/>
      <c r="E45" s="336"/>
      <c r="F45" s="336"/>
      <c r="G45" s="336"/>
      <c r="H45" s="336"/>
      <c r="I45" s="163"/>
    </row>
    <row r="46" spans="1:11" s="3" customFormat="1" ht="14.4" thickBot="1" x14ac:dyDescent="0.35">
      <c r="A46" s="330"/>
      <c r="B46" s="387" t="s">
        <v>80</v>
      </c>
      <c r="C46" s="387"/>
      <c r="D46" s="51">
        <f>J46*1.037</f>
        <v>867450.49999999988</v>
      </c>
      <c r="E46" s="52">
        <v>0</v>
      </c>
      <c r="F46" s="56">
        <v>0</v>
      </c>
      <c r="G46" s="53">
        <f t="shared" ref="G46:G54" si="2">E46*F46</f>
        <v>0</v>
      </c>
      <c r="H46" s="54">
        <f t="shared" ref="H46:H54" si="3">G46+D46</f>
        <v>867450.49999999988</v>
      </c>
      <c r="I46" s="163" t="s">
        <v>218</v>
      </c>
      <c r="J46" s="108">
        <v>836500</v>
      </c>
    </row>
    <row r="47" spans="1:11" ht="14.4" thickBot="1" x14ac:dyDescent="0.35">
      <c r="A47" s="330"/>
      <c r="B47" s="387" t="s">
        <v>81</v>
      </c>
      <c r="C47" s="387"/>
      <c r="D47" s="51">
        <f>J47*1.03</f>
        <v>2130246</v>
      </c>
      <c r="E47" s="52">
        <v>0</v>
      </c>
      <c r="F47" s="55">
        <v>0</v>
      </c>
      <c r="G47" s="53">
        <f t="shared" si="2"/>
        <v>0</v>
      </c>
      <c r="H47" s="54">
        <f t="shared" si="3"/>
        <v>2130246</v>
      </c>
      <c r="I47" s="163" t="s">
        <v>217</v>
      </c>
      <c r="J47" s="108">
        <v>2068200</v>
      </c>
    </row>
    <row r="48" spans="1:11" ht="14.4" thickBot="1" x14ac:dyDescent="0.35">
      <c r="A48" s="330"/>
      <c r="B48" s="387" t="s">
        <v>82</v>
      </c>
      <c r="C48" s="387"/>
      <c r="D48" s="51">
        <v>505000</v>
      </c>
      <c r="E48" s="52">
        <v>0</v>
      </c>
      <c r="F48" s="55">
        <v>0</v>
      </c>
      <c r="G48" s="53">
        <f t="shared" si="2"/>
        <v>0</v>
      </c>
      <c r="H48" s="54">
        <f t="shared" si="3"/>
        <v>505000</v>
      </c>
      <c r="I48" s="163"/>
      <c r="J48" s="1">
        <v>505000</v>
      </c>
    </row>
    <row r="49" spans="1:12" ht="14.4" thickBot="1" x14ac:dyDescent="0.35">
      <c r="A49" s="330"/>
      <c r="B49" s="387" t="s">
        <v>83</v>
      </c>
      <c r="C49" s="387"/>
      <c r="D49" s="51">
        <v>0</v>
      </c>
      <c r="E49" s="52">
        <v>0</v>
      </c>
      <c r="F49" s="55">
        <v>0</v>
      </c>
      <c r="G49" s="53">
        <f t="shared" si="2"/>
        <v>0</v>
      </c>
      <c r="H49" s="54">
        <f t="shared" si="3"/>
        <v>0</v>
      </c>
      <c r="I49" s="163"/>
    </row>
    <row r="50" spans="1:12" ht="14.4" thickBot="1" x14ac:dyDescent="0.35">
      <c r="A50" s="330"/>
      <c r="B50" s="387" t="s">
        <v>84</v>
      </c>
      <c r="C50" s="387"/>
      <c r="D50" s="51">
        <v>0</v>
      </c>
      <c r="E50" s="52">
        <v>0</v>
      </c>
      <c r="F50" s="55">
        <v>0</v>
      </c>
      <c r="G50" s="53">
        <f t="shared" si="2"/>
        <v>0</v>
      </c>
      <c r="H50" s="54">
        <f t="shared" si="3"/>
        <v>0</v>
      </c>
      <c r="I50" s="163"/>
    </row>
    <row r="51" spans="1:12" ht="14.4" thickBot="1" x14ac:dyDescent="0.35">
      <c r="A51" s="330"/>
      <c r="B51" s="387" t="s">
        <v>85</v>
      </c>
      <c r="C51" s="387"/>
      <c r="D51" s="51">
        <v>0</v>
      </c>
      <c r="E51" s="52">
        <v>20000</v>
      </c>
      <c r="F51" s="55">
        <v>12</v>
      </c>
      <c r="G51" s="53">
        <f t="shared" si="2"/>
        <v>240000</v>
      </c>
      <c r="H51" s="54">
        <f t="shared" si="3"/>
        <v>240000</v>
      </c>
      <c r="I51" s="163" t="s">
        <v>220</v>
      </c>
    </row>
    <row r="52" spans="1:12" ht="14.4" thickBot="1" x14ac:dyDescent="0.35">
      <c r="A52" s="330"/>
      <c r="B52" s="387" t="s">
        <v>86</v>
      </c>
      <c r="C52" s="387"/>
      <c r="D52" s="51">
        <f>E52*F52</f>
        <v>703560</v>
      </c>
      <c r="E52" s="52">
        <v>58630</v>
      </c>
      <c r="F52" s="55">
        <v>12</v>
      </c>
      <c r="G52" s="53">
        <f t="shared" si="2"/>
        <v>703560</v>
      </c>
      <c r="H52" s="54">
        <f>G52</f>
        <v>703560</v>
      </c>
      <c r="I52" s="280" t="s">
        <v>219</v>
      </c>
    </row>
    <row r="53" spans="1:12" ht="14.4" thickBot="1" x14ac:dyDescent="0.35">
      <c r="A53" s="330"/>
      <c r="B53" s="387" t="s">
        <v>87</v>
      </c>
      <c r="C53" s="387"/>
      <c r="D53" s="51">
        <v>0</v>
      </c>
      <c r="E53" s="52">
        <v>0</v>
      </c>
      <c r="F53" s="55">
        <v>0</v>
      </c>
      <c r="G53" s="53">
        <f t="shared" si="2"/>
        <v>0</v>
      </c>
      <c r="H53" s="54">
        <f t="shared" si="3"/>
        <v>0</v>
      </c>
      <c r="I53" s="163"/>
    </row>
    <row r="54" spans="1:12" ht="14.4" thickBot="1" x14ac:dyDescent="0.35">
      <c r="A54" s="330"/>
      <c r="B54" s="387" t="s">
        <v>88</v>
      </c>
      <c r="C54" s="387"/>
      <c r="D54" s="57">
        <v>0</v>
      </c>
      <c r="E54" s="58">
        <v>0</v>
      </c>
      <c r="F54" s="59">
        <v>0</v>
      </c>
      <c r="G54" s="61">
        <f t="shared" si="2"/>
        <v>0</v>
      </c>
      <c r="H54" s="60">
        <f t="shared" si="3"/>
        <v>0</v>
      </c>
      <c r="I54" s="163"/>
    </row>
    <row r="55" spans="1:12" ht="14.4" thickBot="1" x14ac:dyDescent="0.3">
      <c r="A55" s="330"/>
      <c r="B55" s="334" t="s">
        <v>89</v>
      </c>
      <c r="C55" s="338"/>
      <c r="D55" s="337"/>
      <c r="E55" s="337"/>
      <c r="F55" s="337"/>
      <c r="G55" s="337"/>
      <c r="H55" s="337"/>
      <c r="I55" s="163"/>
    </row>
    <row r="56" spans="1:12" ht="14.4" thickBot="1" x14ac:dyDescent="0.35">
      <c r="A56" s="330"/>
      <c r="B56" s="388" t="s">
        <v>90</v>
      </c>
      <c r="C56" s="388"/>
      <c r="D56" s="288">
        <f>L56/3</f>
        <v>2246833.333333333</v>
      </c>
      <c r="E56" s="289">
        <v>0</v>
      </c>
      <c r="F56" s="292">
        <v>0</v>
      </c>
      <c r="G56" s="290">
        <f t="shared" ref="G56:G62" si="4">E56*F56</f>
        <v>0</v>
      </c>
      <c r="H56" s="291">
        <f t="shared" ref="H56:H62" si="5">G56+D56</f>
        <v>2246833.333333333</v>
      </c>
      <c r="I56" s="293" t="s">
        <v>389</v>
      </c>
      <c r="J56" s="294"/>
      <c r="K56" s="294"/>
      <c r="L56" s="295">
        <f>6500000*1.037</f>
        <v>6740499.9999999991</v>
      </c>
    </row>
    <row r="57" spans="1:12" ht="14.4" thickBot="1" x14ac:dyDescent="0.35">
      <c r="A57" s="330"/>
      <c r="B57" s="388" t="s">
        <v>91</v>
      </c>
      <c r="C57" s="388"/>
      <c r="D57" s="51">
        <v>0</v>
      </c>
      <c r="E57" s="52">
        <v>0</v>
      </c>
      <c r="F57" s="55">
        <v>0</v>
      </c>
      <c r="G57" s="53">
        <f t="shared" si="4"/>
        <v>0</v>
      </c>
      <c r="H57" s="54">
        <f t="shared" si="5"/>
        <v>0</v>
      </c>
      <c r="I57" s="163"/>
    </row>
    <row r="58" spans="1:12" ht="14.4" thickBot="1" x14ac:dyDescent="0.35">
      <c r="A58" s="330"/>
      <c r="B58" s="388" t="s">
        <v>92</v>
      </c>
      <c r="C58" s="388"/>
      <c r="D58" s="51">
        <v>0</v>
      </c>
      <c r="E58" s="52">
        <v>0</v>
      </c>
      <c r="F58" s="55">
        <v>0</v>
      </c>
      <c r="G58" s="53">
        <f t="shared" si="4"/>
        <v>0</v>
      </c>
      <c r="H58" s="54">
        <f t="shared" si="5"/>
        <v>0</v>
      </c>
      <c r="I58" s="163"/>
    </row>
    <row r="59" spans="1:12" ht="14.4" thickBot="1" x14ac:dyDescent="0.35">
      <c r="A59" s="330"/>
      <c r="B59" s="388" t="s">
        <v>93</v>
      </c>
      <c r="C59" s="388"/>
      <c r="D59" s="51">
        <v>0</v>
      </c>
      <c r="E59" s="52">
        <v>0</v>
      </c>
      <c r="F59" s="55">
        <v>0</v>
      </c>
      <c r="G59" s="53">
        <f t="shared" si="4"/>
        <v>0</v>
      </c>
      <c r="H59" s="54">
        <f t="shared" si="5"/>
        <v>0</v>
      </c>
      <c r="I59" s="163"/>
    </row>
    <row r="60" spans="1:12" ht="14.4" thickBot="1" x14ac:dyDescent="0.35">
      <c r="A60" s="330"/>
      <c r="B60" s="388" t="s">
        <v>94</v>
      </c>
      <c r="C60" s="388"/>
      <c r="D60" s="51">
        <v>0</v>
      </c>
      <c r="E60" s="52">
        <v>0</v>
      </c>
      <c r="F60" s="55">
        <v>0</v>
      </c>
      <c r="G60" s="53">
        <f t="shared" si="4"/>
        <v>0</v>
      </c>
      <c r="H60" s="54">
        <f t="shared" si="5"/>
        <v>0</v>
      </c>
      <c r="I60" s="163"/>
    </row>
    <row r="61" spans="1:12" ht="14.4" thickBot="1" x14ac:dyDescent="0.35">
      <c r="A61" s="330"/>
      <c r="B61" s="388" t="s">
        <v>95</v>
      </c>
      <c r="C61" s="388"/>
      <c r="D61" s="51">
        <v>0</v>
      </c>
      <c r="E61" s="52">
        <v>0</v>
      </c>
      <c r="F61" s="55">
        <v>0</v>
      </c>
      <c r="G61" s="53">
        <f t="shared" si="4"/>
        <v>0</v>
      </c>
      <c r="H61" s="54">
        <f t="shared" si="5"/>
        <v>0</v>
      </c>
      <c r="I61" s="163"/>
    </row>
    <row r="62" spans="1:12" ht="14.4" thickBot="1" x14ac:dyDescent="0.35">
      <c r="A62" s="330"/>
      <c r="B62" s="388" t="s">
        <v>96</v>
      </c>
      <c r="C62" s="388"/>
      <c r="D62" s="51">
        <v>0</v>
      </c>
      <c r="E62" s="52">
        <v>0</v>
      </c>
      <c r="F62" s="55">
        <v>0</v>
      </c>
      <c r="G62" s="53">
        <f t="shared" si="4"/>
        <v>0</v>
      </c>
      <c r="H62" s="54">
        <f t="shared" si="5"/>
        <v>0</v>
      </c>
      <c r="I62" s="163"/>
    </row>
    <row r="63" spans="1:12" ht="14.4" thickBot="1" x14ac:dyDescent="0.3">
      <c r="A63" s="330"/>
      <c r="B63" s="334" t="s">
        <v>97</v>
      </c>
      <c r="C63" s="334"/>
      <c r="D63" s="336"/>
      <c r="E63" s="336"/>
      <c r="F63" s="336"/>
      <c r="G63" s="336"/>
      <c r="H63" s="336"/>
      <c r="I63" s="163"/>
    </row>
    <row r="64" spans="1:12" ht="14.4" thickBot="1" x14ac:dyDescent="0.35">
      <c r="A64" s="330"/>
      <c r="B64" s="387" t="s">
        <v>98</v>
      </c>
      <c r="C64" s="387"/>
      <c r="D64" s="51">
        <v>0</v>
      </c>
      <c r="E64" s="52">
        <v>0</v>
      </c>
      <c r="F64" s="55">
        <v>0</v>
      </c>
      <c r="G64" s="53">
        <f>E64*F64</f>
        <v>0</v>
      </c>
      <c r="H64" s="54">
        <f>G64+D64</f>
        <v>0</v>
      </c>
      <c r="I64" s="163"/>
    </row>
    <row r="65" spans="1:12" ht="14.4" thickBot="1" x14ac:dyDescent="0.35">
      <c r="A65" s="330"/>
      <c r="B65" s="387" t="s">
        <v>99</v>
      </c>
      <c r="C65" s="387"/>
      <c r="D65" s="51">
        <v>0</v>
      </c>
      <c r="E65" s="52">
        <v>0</v>
      </c>
      <c r="F65" s="55">
        <v>0</v>
      </c>
      <c r="G65" s="53">
        <f>E65*F65</f>
        <v>0</v>
      </c>
      <c r="H65" s="54">
        <f>G65+D65</f>
        <v>0</v>
      </c>
      <c r="I65" s="163"/>
    </row>
    <row r="66" spans="1:12" ht="14.4" thickBot="1" x14ac:dyDescent="0.35">
      <c r="A66" s="330"/>
      <c r="B66" s="387" t="s">
        <v>100</v>
      </c>
      <c r="C66" s="387"/>
      <c r="D66" s="51">
        <v>0</v>
      </c>
      <c r="E66" s="52">
        <v>0</v>
      </c>
      <c r="F66" s="55">
        <v>0</v>
      </c>
      <c r="G66" s="53">
        <f>E66*F66</f>
        <v>0</v>
      </c>
      <c r="H66" s="54">
        <f>G66+D66</f>
        <v>0</v>
      </c>
      <c r="I66" s="163"/>
    </row>
    <row r="67" spans="1:12" ht="14.4" thickBot="1" x14ac:dyDescent="0.3">
      <c r="A67" s="330"/>
      <c r="B67" s="334" t="s">
        <v>101</v>
      </c>
      <c r="C67" s="334"/>
      <c r="D67" s="336"/>
      <c r="E67" s="336"/>
      <c r="F67" s="336"/>
      <c r="G67" s="336"/>
      <c r="H67" s="336"/>
      <c r="I67" s="163"/>
    </row>
    <row r="68" spans="1:12" ht="14.4" thickBot="1" x14ac:dyDescent="0.35">
      <c r="A68" s="330"/>
      <c r="B68" s="388" t="s">
        <v>197</v>
      </c>
      <c r="C68" s="388"/>
      <c r="D68" s="51">
        <v>0</v>
      </c>
      <c r="E68" s="52">
        <f>2000*10</f>
        <v>20000</v>
      </c>
      <c r="F68" s="55">
        <v>95</v>
      </c>
      <c r="G68" s="53">
        <f t="shared" ref="G68:G75" si="6">E68*F68</f>
        <v>1900000</v>
      </c>
      <c r="H68" s="54">
        <f t="shared" ref="H68:H75" si="7">G68+D68</f>
        <v>1900000</v>
      </c>
      <c r="I68" s="163" t="s">
        <v>225</v>
      </c>
    </row>
    <row r="69" spans="1:12" ht="14.4" thickBot="1" x14ac:dyDescent="0.35">
      <c r="A69" s="330"/>
      <c r="B69" s="387" t="s">
        <v>102</v>
      </c>
      <c r="C69" s="387"/>
      <c r="D69" s="51">
        <v>0</v>
      </c>
      <c r="E69" s="52">
        <v>0</v>
      </c>
      <c r="F69" s="55">
        <v>0</v>
      </c>
      <c r="G69" s="53">
        <f t="shared" si="6"/>
        <v>0</v>
      </c>
      <c r="H69" s="54">
        <f t="shared" si="7"/>
        <v>0</v>
      </c>
      <c r="I69" s="163"/>
    </row>
    <row r="70" spans="1:12" ht="14.4" thickBot="1" x14ac:dyDescent="0.35">
      <c r="A70" s="330"/>
      <c r="B70" s="387" t="s">
        <v>103</v>
      </c>
      <c r="C70" s="387"/>
      <c r="D70" s="51">
        <v>0</v>
      </c>
      <c r="E70" s="52">
        <v>0</v>
      </c>
      <c r="F70" s="55">
        <v>0</v>
      </c>
      <c r="G70" s="53">
        <f t="shared" si="6"/>
        <v>0</v>
      </c>
      <c r="H70" s="54">
        <f t="shared" si="7"/>
        <v>0</v>
      </c>
      <c r="I70" s="163"/>
    </row>
    <row r="71" spans="1:12" ht="14.4" thickBot="1" x14ac:dyDescent="0.35">
      <c r="A71" s="330"/>
      <c r="B71" s="387" t="s">
        <v>104</v>
      </c>
      <c r="C71" s="387"/>
      <c r="D71" s="51">
        <v>0</v>
      </c>
      <c r="E71" s="52">
        <v>0</v>
      </c>
      <c r="F71" s="55">
        <v>0</v>
      </c>
      <c r="G71" s="53">
        <f t="shared" si="6"/>
        <v>0</v>
      </c>
      <c r="H71" s="54">
        <f t="shared" si="7"/>
        <v>0</v>
      </c>
      <c r="I71" s="163"/>
    </row>
    <row r="72" spans="1:12" ht="14.4" thickBot="1" x14ac:dyDescent="0.35">
      <c r="A72" s="330"/>
      <c r="B72" s="387" t="s">
        <v>105</v>
      </c>
      <c r="C72" s="387"/>
      <c r="D72" s="285">
        <v>120000</v>
      </c>
      <c r="E72" s="282">
        <v>0</v>
      </c>
      <c r="F72" s="287">
        <v>0</v>
      </c>
      <c r="G72" s="283">
        <f t="shared" si="6"/>
        <v>0</v>
      </c>
      <c r="H72" s="284">
        <f t="shared" si="7"/>
        <v>120000</v>
      </c>
      <c r="I72" s="280" t="s">
        <v>390</v>
      </c>
    </row>
    <row r="73" spans="1:12" ht="14.4" thickBot="1" x14ac:dyDescent="0.35">
      <c r="A73" s="330"/>
      <c r="B73" s="398" t="s">
        <v>180</v>
      </c>
      <c r="C73" s="399"/>
      <c r="D73" s="51">
        <v>465315</v>
      </c>
      <c r="E73" s="52">
        <v>0</v>
      </c>
      <c r="F73" s="55">
        <v>0</v>
      </c>
      <c r="G73" s="53">
        <f t="shared" si="6"/>
        <v>0</v>
      </c>
      <c r="H73" s="54">
        <f>G73+D73</f>
        <v>465315</v>
      </c>
      <c r="I73" s="163" t="s">
        <v>200</v>
      </c>
      <c r="K73" s="286">
        <f>H73/3</f>
        <v>155105</v>
      </c>
    </row>
    <row r="74" spans="1:12" ht="14.4" thickBot="1" x14ac:dyDescent="0.35">
      <c r="A74" s="330"/>
      <c r="B74" s="398" t="s">
        <v>174</v>
      </c>
      <c r="C74" s="399"/>
      <c r="D74" s="51">
        <v>493920</v>
      </c>
      <c r="E74" s="52">
        <v>0</v>
      </c>
      <c r="F74" s="55">
        <v>0</v>
      </c>
      <c r="G74" s="53">
        <v>0</v>
      </c>
      <c r="H74" s="54">
        <f t="shared" si="7"/>
        <v>493920</v>
      </c>
      <c r="I74" s="163" t="s">
        <v>201</v>
      </c>
      <c r="K74" s="286">
        <f>H74/12</f>
        <v>41160</v>
      </c>
    </row>
    <row r="75" spans="1:12" ht="14.4" thickBot="1" x14ac:dyDescent="0.35">
      <c r="A75" s="330"/>
      <c r="B75" s="395" t="s">
        <v>106</v>
      </c>
      <c r="C75" s="399"/>
      <c r="D75" s="51">
        <v>0</v>
      </c>
      <c r="E75" s="52">
        <v>0</v>
      </c>
      <c r="F75" s="55">
        <v>0</v>
      </c>
      <c r="G75" s="53">
        <f t="shared" si="6"/>
        <v>0</v>
      </c>
      <c r="H75" s="54">
        <f t="shared" si="7"/>
        <v>0</v>
      </c>
      <c r="I75" s="163"/>
    </row>
    <row r="76" spans="1:12" ht="14.4" thickBot="1" x14ac:dyDescent="0.3">
      <c r="A76" s="330"/>
      <c r="B76" s="334" t="s">
        <v>107</v>
      </c>
      <c r="C76" s="334"/>
      <c r="D76" s="336"/>
      <c r="E76" s="336"/>
      <c r="F76" s="336"/>
      <c r="G76" s="336"/>
      <c r="H76" s="336"/>
      <c r="I76" s="163"/>
    </row>
    <row r="77" spans="1:12" ht="14.4" thickBot="1" x14ac:dyDescent="0.35">
      <c r="A77" s="330"/>
      <c r="B77" s="387" t="s">
        <v>108</v>
      </c>
      <c r="C77" s="387"/>
      <c r="D77" s="285">
        <v>352732</v>
      </c>
      <c r="E77" s="282">
        <v>0</v>
      </c>
      <c r="F77" s="287">
        <v>0</v>
      </c>
      <c r="G77" s="283">
        <f>F77*E77</f>
        <v>0</v>
      </c>
      <c r="H77" s="284">
        <f>G77+D77</f>
        <v>352732</v>
      </c>
      <c r="I77" s="163"/>
      <c r="J77" s="181"/>
      <c r="K77" s="181"/>
      <c r="L77" s="181"/>
    </row>
    <row r="78" spans="1:12" ht="14.4" thickBot="1" x14ac:dyDescent="0.35">
      <c r="A78" s="330"/>
      <c r="B78" s="387" t="s">
        <v>109</v>
      </c>
      <c r="C78" s="387"/>
      <c r="D78" s="51">
        <v>0</v>
      </c>
      <c r="E78" s="282">
        <v>6400</v>
      </c>
      <c r="F78" s="287">
        <v>95</v>
      </c>
      <c r="G78" s="283">
        <f>F78*E78</f>
        <v>608000</v>
      </c>
      <c r="H78" s="284">
        <f>G78+D78</f>
        <v>608000</v>
      </c>
      <c r="I78" s="163"/>
      <c r="J78" s="181"/>
      <c r="K78" s="181"/>
      <c r="L78" s="181"/>
    </row>
    <row r="79" spans="1:12" ht="14.4" thickBot="1" x14ac:dyDescent="0.3">
      <c r="A79" s="330"/>
      <c r="B79" s="334" t="s">
        <v>110</v>
      </c>
      <c r="C79" s="334"/>
      <c r="D79" s="336"/>
      <c r="E79" s="336"/>
      <c r="F79" s="336"/>
      <c r="G79" s="336"/>
      <c r="H79" s="336"/>
      <c r="I79" s="163"/>
    </row>
    <row r="80" spans="1:12" ht="14.4" thickBot="1" x14ac:dyDescent="0.35">
      <c r="A80" s="330"/>
      <c r="B80" s="387" t="s">
        <v>111</v>
      </c>
      <c r="C80" s="387"/>
      <c r="D80" s="51">
        <v>250000</v>
      </c>
      <c r="E80" s="52">
        <v>0</v>
      </c>
      <c r="F80" s="55">
        <v>0</v>
      </c>
      <c r="G80" s="53">
        <f>E80*F80</f>
        <v>0</v>
      </c>
      <c r="H80" s="54">
        <f>G80+D80</f>
        <v>250000</v>
      </c>
      <c r="I80" s="163" t="s">
        <v>191</v>
      </c>
    </row>
    <row r="81" spans="1:9" ht="14.4" thickBot="1" x14ac:dyDescent="0.35">
      <c r="A81" s="330"/>
      <c r="B81" s="387" t="s">
        <v>112</v>
      </c>
      <c r="C81" s="387"/>
      <c r="D81" s="51">
        <v>0</v>
      </c>
      <c r="E81" s="52">
        <v>0</v>
      </c>
      <c r="F81" s="55">
        <v>0</v>
      </c>
      <c r="G81" s="53">
        <f>E81*F81</f>
        <v>0</v>
      </c>
      <c r="H81" s="54">
        <f>G81+D81</f>
        <v>0</v>
      </c>
      <c r="I81" s="163"/>
    </row>
    <row r="82" spans="1:9" ht="14.4" thickBot="1" x14ac:dyDescent="0.35">
      <c r="A82" s="330"/>
      <c r="B82" s="398" t="s">
        <v>113</v>
      </c>
      <c r="C82" s="399"/>
      <c r="D82" s="285">
        <v>50000</v>
      </c>
      <c r="E82" s="282">
        <v>0</v>
      </c>
      <c r="F82" s="287">
        <v>0</v>
      </c>
      <c r="G82" s="283">
        <f>E82*F82</f>
        <v>0</v>
      </c>
      <c r="H82" s="284">
        <f>G82+D82</f>
        <v>50000</v>
      </c>
      <c r="I82" s="280" t="s">
        <v>391</v>
      </c>
    </row>
    <row r="83" spans="1:9" ht="14.4" thickBot="1" x14ac:dyDescent="0.35">
      <c r="A83" s="330"/>
      <c r="B83" s="388" t="s">
        <v>114</v>
      </c>
      <c r="C83" s="388"/>
      <c r="D83" s="57">
        <v>0</v>
      </c>
      <c r="E83" s="58">
        <v>48500</v>
      </c>
      <c r="F83" s="59">
        <v>5</v>
      </c>
      <c r="G83" s="53">
        <f>E83*F83</f>
        <v>242500</v>
      </c>
      <c r="H83" s="60">
        <f>G83+D83</f>
        <v>242500</v>
      </c>
      <c r="I83" s="163" t="s">
        <v>209</v>
      </c>
    </row>
    <row r="84" spans="1:9" ht="14.4" thickBot="1" x14ac:dyDescent="0.3">
      <c r="A84" s="330"/>
      <c r="B84" s="334" t="s">
        <v>115</v>
      </c>
      <c r="C84" s="334"/>
      <c r="D84" s="335"/>
      <c r="E84" s="335"/>
      <c r="F84" s="335"/>
      <c r="G84" s="335"/>
      <c r="H84" s="335"/>
      <c r="I84" s="163"/>
    </row>
    <row r="85" spans="1:9" ht="14.4" thickBot="1" x14ac:dyDescent="0.35">
      <c r="A85" s="330"/>
      <c r="B85" s="388" t="s">
        <v>116</v>
      </c>
      <c r="C85" s="388"/>
      <c r="D85" s="51">
        <v>0</v>
      </c>
      <c r="E85" s="282">
        <v>200000</v>
      </c>
      <c r="F85" s="287">
        <v>12</v>
      </c>
      <c r="G85" s="283">
        <f>E85*F85</f>
        <v>2400000</v>
      </c>
      <c r="H85" s="284">
        <f>G85+D85</f>
        <v>2400000</v>
      </c>
      <c r="I85" s="280" t="s">
        <v>392</v>
      </c>
    </row>
    <row r="86" spans="1:9" ht="14.4" thickBot="1" x14ac:dyDescent="0.35">
      <c r="A86" s="330"/>
      <c r="B86" s="400" t="s">
        <v>117</v>
      </c>
      <c r="C86" s="401"/>
      <c r="D86" s="57">
        <v>0</v>
      </c>
      <c r="E86" s="58">
        <v>0</v>
      </c>
      <c r="F86" s="59">
        <v>0</v>
      </c>
      <c r="G86" s="61">
        <f>E86*F86</f>
        <v>0</v>
      </c>
      <c r="H86" s="60">
        <f>G86+D86</f>
        <v>0</v>
      </c>
      <c r="I86" s="163"/>
    </row>
    <row r="87" spans="1:9" ht="14.4" thickBot="1" x14ac:dyDescent="0.35">
      <c r="A87" s="330"/>
      <c r="B87" s="402" t="s">
        <v>118</v>
      </c>
      <c r="C87" s="402"/>
      <c r="D87" s="169">
        <f>SUM(D88:D92)</f>
        <v>280000</v>
      </c>
      <c r="E87" s="169">
        <f>SUM(E88:E92)</f>
        <v>14000</v>
      </c>
      <c r="F87" s="170"/>
      <c r="G87" s="169">
        <f>SUM(G88:G92)</f>
        <v>280000</v>
      </c>
      <c r="H87" s="171">
        <f>SUM(H88:H92)</f>
        <v>280000</v>
      </c>
      <c r="I87" s="163"/>
    </row>
    <row r="88" spans="1:9" ht="14.4" thickBot="1" x14ac:dyDescent="0.35">
      <c r="A88" s="330"/>
      <c r="B88" s="403" t="s">
        <v>119</v>
      </c>
      <c r="C88" s="403"/>
      <c r="D88" s="164">
        <f>E88*F88</f>
        <v>280000</v>
      </c>
      <c r="E88" s="165">
        <v>14000</v>
      </c>
      <c r="F88" s="166">
        <v>20</v>
      </c>
      <c r="G88" s="167">
        <f>E88*F88</f>
        <v>280000</v>
      </c>
      <c r="H88" s="168">
        <f>D88</f>
        <v>280000</v>
      </c>
      <c r="I88" s="163" t="s">
        <v>393</v>
      </c>
    </row>
    <row r="89" spans="1:9" ht="14.4" thickBot="1" x14ac:dyDescent="0.35">
      <c r="A89" s="330"/>
      <c r="B89" s="404" t="s">
        <v>120</v>
      </c>
      <c r="C89" s="404"/>
      <c r="D89" s="51">
        <v>0</v>
      </c>
      <c r="E89" s="52">
        <v>0</v>
      </c>
      <c r="F89" s="55">
        <v>0</v>
      </c>
      <c r="G89" s="53">
        <f>E89*F89</f>
        <v>0</v>
      </c>
      <c r="H89" s="54">
        <f>G89+D89</f>
        <v>0</v>
      </c>
      <c r="I89" s="163"/>
    </row>
    <row r="90" spans="1:9" ht="14.4" thickBot="1" x14ac:dyDescent="0.35">
      <c r="A90" s="330"/>
      <c r="B90" s="404" t="s">
        <v>121</v>
      </c>
      <c r="C90" s="404"/>
      <c r="D90" s="51">
        <v>0</v>
      </c>
      <c r="E90" s="52">
        <v>0</v>
      </c>
      <c r="F90" s="55">
        <v>0</v>
      </c>
      <c r="G90" s="53">
        <f>E90*F90</f>
        <v>0</v>
      </c>
      <c r="H90" s="54">
        <f>G90+D90</f>
        <v>0</v>
      </c>
      <c r="I90" s="163"/>
    </row>
    <row r="91" spans="1:9" ht="14.4" thickBot="1" x14ac:dyDescent="0.35">
      <c r="A91" s="330"/>
      <c r="B91" s="404" t="s">
        <v>122</v>
      </c>
      <c r="C91" s="404"/>
      <c r="D91" s="51">
        <v>0</v>
      </c>
      <c r="E91" s="52">
        <v>0</v>
      </c>
      <c r="F91" s="55">
        <v>0</v>
      </c>
      <c r="G91" s="53">
        <f>E91*F91</f>
        <v>0</v>
      </c>
      <c r="H91" s="54">
        <f>G91+D91</f>
        <v>0</v>
      </c>
      <c r="I91" s="163"/>
    </row>
    <row r="92" spans="1:9" ht="14.4" thickBot="1" x14ac:dyDescent="0.35">
      <c r="A92" s="330"/>
      <c r="B92" s="404" t="s">
        <v>123</v>
      </c>
      <c r="C92" s="404"/>
      <c r="D92" s="57">
        <v>0</v>
      </c>
      <c r="E92" s="58">
        <v>0</v>
      </c>
      <c r="F92" s="59">
        <v>0</v>
      </c>
      <c r="G92" s="61">
        <f>E92*F92</f>
        <v>0</v>
      </c>
      <c r="H92" s="60">
        <f>G92+D92</f>
        <v>0</v>
      </c>
      <c r="I92" s="163"/>
    </row>
    <row r="93" spans="1:9" ht="14.4" thickBot="1" x14ac:dyDescent="0.3">
      <c r="A93" s="330"/>
      <c r="B93" s="405" t="s">
        <v>124</v>
      </c>
      <c r="C93" s="405"/>
      <c r="D93" s="62">
        <f>SUM(D9,D21,D87)</f>
        <v>69541966.055623412</v>
      </c>
      <c r="E93" s="63">
        <f>SUM(E87,E21,E9)</f>
        <v>725039.2</v>
      </c>
      <c r="F93" s="64"/>
      <c r="G93" s="65">
        <f>SUM(G87,G21,G9)</f>
        <v>30779740</v>
      </c>
      <c r="H93" s="66">
        <f>SUM(H87,H21,H9)</f>
        <v>98996146.055623412</v>
      </c>
      <c r="I93" s="163"/>
    </row>
    <row r="97" spans="8:8" x14ac:dyDescent="0.25">
      <c r="H97" s="160"/>
    </row>
  </sheetData>
  <sheetProtection algorithmName="SHA-512" hashValue="JRES7gfI0+65iuShbsRCVzIDesJBof8LiwD9NVrG7kukORVNyTI+YNfE8jd3Rpm2LVerTnQzT+moa2Rx2aTzWw==" saltValue="13ZyxnJCDIDErsy14ussFA==" spinCount="100000" sheet="1" objects="1" scenarios="1"/>
  <mergeCells count="99">
    <mergeCell ref="P11:Q11"/>
    <mergeCell ref="L9:N9"/>
    <mergeCell ref="B1:G1"/>
    <mergeCell ref="B2:G2"/>
    <mergeCell ref="B3:G3"/>
    <mergeCell ref="D5:E5"/>
    <mergeCell ref="C6:D6"/>
    <mergeCell ref="E7:F7"/>
    <mergeCell ref="B8:C8"/>
    <mergeCell ref="A9:A93"/>
    <mergeCell ref="B9:C9"/>
    <mergeCell ref="B10:C10"/>
    <mergeCell ref="D10:H10"/>
    <mergeCell ref="B11:C11"/>
    <mergeCell ref="B12:C12"/>
    <mergeCell ref="B13:C13"/>
    <mergeCell ref="B14:C14"/>
    <mergeCell ref="B15:C15"/>
    <mergeCell ref="B16:C16"/>
    <mergeCell ref="D16:H16"/>
    <mergeCell ref="B17:C17"/>
    <mergeCell ref="B18:C18"/>
    <mergeCell ref="D18:H18"/>
    <mergeCell ref="B21:C21"/>
    <mergeCell ref="B22:C22"/>
    <mergeCell ref="D22:H22"/>
    <mergeCell ref="B23:C23"/>
    <mergeCell ref="B25:C25"/>
    <mergeCell ref="D25:H25"/>
    <mergeCell ref="B26:C26"/>
    <mergeCell ref="B27:C27"/>
    <mergeCell ref="B28:C28"/>
    <mergeCell ref="B29:C29"/>
    <mergeCell ref="D29:H29"/>
    <mergeCell ref="B30:C30"/>
    <mergeCell ref="B31:C31"/>
    <mergeCell ref="B32:C32"/>
    <mergeCell ref="D32:H32"/>
    <mergeCell ref="B33:C33"/>
    <mergeCell ref="B34:C34"/>
    <mergeCell ref="B36:C36"/>
    <mergeCell ref="B37:C37"/>
    <mergeCell ref="B39:C39"/>
    <mergeCell ref="B40:C40"/>
    <mergeCell ref="B41:C41"/>
    <mergeCell ref="B42:C42"/>
    <mergeCell ref="B43:C43"/>
    <mergeCell ref="B44:C44"/>
    <mergeCell ref="B45:C45"/>
    <mergeCell ref="D45:H45"/>
    <mergeCell ref="B46:C46"/>
    <mergeCell ref="B47:C47"/>
    <mergeCell ref="B48:C48"/>
    <mergeCell ref="B49:C49"/>
    <mergeCell ref="B50:C50"/>
    <mergeCell ref="B51:C51"/>
    <mergeCell ref="B52:C52"/>
    <mergeCell ref="B53:C53"/>
    <mergeCell ref="B54:C54"/>
    <mergeCell ref="B55:C55"/>
    <mergeCell ref="D55:H55"/>
    <mergeCell ref="B56:C56"/>
    <mergeCell ref="B57:C57"/>
    <mergeCell ref="B58:C58"/>
    <mergeCell ref="B59:C59"/>
    <mergeCell ref="B60:C60"/>
    <mergeCell ref="B61:C61"/>
    <mergeCell ref="B62:C62"/>
    <mergeCell ref="B63:C63"/>
    <mergeCell ref="D63:H63"/>
    <mergeCell ref="B64:C64"/>
    <mergeCell ref="B65:C65"/>
    <mergeCell ref="B66:C66"/>
    <mergeCell ref="B67:C67"/>
    <mergeCell ref="D67:H67"/>
    <mergeCell ref="B81:C81"/>
    <mergeCell ref="B83:C83"/>
    <mergeCell ref="B68:C68"/>
    <mergeCell ref="B69:C69"/>
    <mergeCell ref="B70:C70"/>
    <mergeCell ref="B71:C71"/>
    <mergeCell ref="B72:C72"/>
    <mergeCell ref="B76:C76"/>
    <mergeCell ref="B80:C80"/>
    <mergeCell ref="D76:H76"/>
    <mergeCell ref="B77:C77"/>
    <mergeCell ref="B78:C78"/>
    <mergeCell ref="B79:C79"/>
    <mergeCell ref="D79:H79"/>
    <mergeCell ref="B84:C84"/>
    <mergeCell ref="D84:H84"/>
    <mergeCell ref="B92:C92"/>
    <mergeCell ref="B93:C93"/>
    <mergeCell ref="B85:C85"/>
    <mergeCell ref="B87:C87"/>
    <mergeCell ref="B88:C88"/>
    <mergeCell ref="B89:C89"/>
    <mergeCell ref="B90:C90"/>
    <mergeCell ref="B91:C91"/>
  </mergeCells>
  <pageMargins left="0.6" right="0.47013888888888888" top="1.379861111111111" bottom="3.1999999999999997" header="0.47013888888888888" footer="0.4597222222222222"/>
  <pageSetup scale="66" firstPageNumber="0" fitToHeight="18" orientation="portrait" horizontalDpi="300" verticalDpi="300" r:id="rId1"/>
  <headerFooter alignWithMargins="0">
    <oddHeader>&amp;LSEPT - 2004&amp;CDIRECTIVA D.B.S.A.
ORDINARIO&amp;R01-BS/0305/04</oddHeader>
    <oddFooter>&amp;LDEPARTAMENTO 
RRHH Y GESTION&amp;C01-BS&amp;RPAG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C95"/>
  <sheetViews>
    <sheetView showGridLines="0" zoomScale="75" zoomScaleNormal="75" workbookViewId="0">
      <pane ySplit="9" topLeftCell="A10" activePane="bottomLeft" state="frozen"/>
      <selection pane="bottomLeft" activeCell="B5" sqref="B5"/>
    </sheetView>
  </sheetViews>
  <sheetFormatPr baseColWidth="10" defaultColWidth="11.44140625" defaultRowHeight="13.8" x14ac:dyDescent="0.25"/>
  <cols>
    <col min="1" max="1" width="97.33203125" style="1" customWidth="1"/>
    <col min="2" max="2" width="20.5546875" style="1" customWidth="1"/>
    <col min="3" max="3" width="47.44140625" style="67" customWidth="1"/>
    <col min="4" max="4" width="77.44140625" style="1" customWidth="1"/>
    <col min="5" max="16384" width="11.44140625" style="1"/>
  </cols>
  <sheetData>
    <row r="1" spans="1:3" x14ac:dyDescent="0.25">
      <c r="A1" s="306" t="s">
        <v>0</v>
      </c>
      <c r="B1" s="306"/>
      <c r="C1" s="2"/>
    </row>
    <row r="2" spans="1:3" x14ac:dyDescent="0.25">
      <c r="A2" s="306" t="s">
        <v>34</v>
      </c>
      <c r="B2" s="306"/>
      <c r="C2" s="2"/>
    </row>
    <row r="3" spans="1:3" x14ac:dyDescent="0.25">
      <c r="A3" s="306" t="s">
        <v>125</v>
      </c>
      <c r="B3" s="306"/>
      <c r="C3" s="3"/>
    </row>
    <row r="4" spans="1:3" ht="6.75" customHeight="1" x14ac:dyDescent="0.25">
      <c r="A4" s="3"/>
    </row>
    <row r="5" spans="1:3" x14ac:dyDescent="0.25">
      <c r="A5" s="6" t="s">
        <v>126</v>
      </c>
      <c r="B5" s="68" t="str">
        <f>'Ap. 2 Ingresos C. Benef.'!$I$5</f>
        <v>BIENIQUE</v>
      </c>
      <c r="C5" s="69"/>
    </row>
    <row r="6" spans="1:3" x14ac:dyDescent="0.25">
      <c r="A6" s="3"/>
    </row>
    <row r="7" spans="1:3" x14ac:dyDescent="0.25">
      <c r="A7" s="302"/>
      <c r="B7" s="70" t="s">
        <v>127</v>
      </c>
      <c r="C7" s="1"/>
    </row>
    <row r="8" spans="1:3" x14ac:dyDescent="0.25">
      <c r="A8" s="71" t="s">
        <v>128</v>
      </c>
      <c r="B8" s="72" t="s">
        <v>42</v>
      </c>
      <c r="C8" s="1"/>
    </row>
    <row r="9" spans="1:3" x14ac:dyDescent="0.25">
      <c r="A9" s="304" t="s">
        <v>124</v>
      </c>
      <c r="B9" s="73">
        <f>SUM(B10,B20)</f>
        <v>10346326.912330002</v>
      </c>
      <c r="C9" s="1"/>
    </row>
    <row r="10" spans="1:3" ht="40.799999999999997" x14ac:dyDescent="0.25">
      <c r="A10" s="74" t="s">
        <v>46</v>
      </c>
      <c r="B10" s="75">
        <f>'Ap. 6 Remuneraciones'!P17</f>
        <v>10346326.912330002</v>
      </c>
      <c r="C10" s="182" t="s">
        <v>226</v>
      </c>
    </row>
    <row r="11" spans="1:3" x14ac:dyDescent="0.25">
      <c r="A11" s="76" t="s">
        <v>129</v>
      </c>
      <c r="B11" s="406">
        <v>0</v>
      </c>
      <c r="C11" s="1"/>
    </row>
    <row r="12" spans="1:3" x14ac:dyDescent="0.25">
      <c r="A12" s="76" t="s">
        <v>130</v>
      </c>
      <c r="B12" s="406">
        <v>0</v>
      </c>
      <c r="C12" s="1"/>
    </row>
    <row r="13" spans="1:3" x14ac:dyDescent="0.25">
      <c r="A13" s="76" t="s">
        <v>131</v>
      </c>
      <c r="B13" s="406">
        <v>0</v>
      </c>
      <c r="C13" s="1"/>
    </row>
    <row r="14" spans="1:3" x14ac:dyDescent="0.25">
      <c r="A14" s="76" t="s">
        <v>132</v>
      </c>
      <c r="B14" s="406">
        <v>0</v>
      </c>
      <c r="C14" s="1"/>
    </row>
    <row r="15" spans="1:3" x14ac:dyDescent="0.3">
      <c r="A15" s="407" t="s">
        <v>133</v>
      </c>
      <c r="B15" s="406">
        <v>0</v>
      </c>
      <c r="C15" s="1"/>
    </row>
    <row r="16" spans="1:3" x14ac:dyDescent="0.25">
      <c r="A16" s="76" t="s">
        <v>134</v>
      </c>
      <c r="B16" s="406">
        <v>0</v>
      </c>
      <c r="C16" s="1"/>
    </row>
    <row r="17" spans="1:2" s="1" customFormat="1" x14ac:dyDescent="0.25">
      <c r="A17" s="76" t="s">
        <v>135</v>
      </c>
      <c r="B17" s="406">
        <v>0</v>
      </c>
    </row>
    <row r="18" spans="1:2" s="1" customFormat="1" x14ac:dyDescent="0.25">
      <c r="A18" s="76" t="s">
        <v>136</v>
      </c>
      <c r="B18" s="406">
        <v>0</v>
      </c>
    </row>
    <row r="19" spans="1:2" s="1" customFormat="1" x14ac:dyDescent="0.25">
      <c r="A19" s="76" t="s">
        <v>137</v>
      </c>
      <c r="B19" s="406">
        <v>0</v>
      </c>
    </row>
    <row r="20" spans="1:2" s="1" customFormat="1" x14ac:dyDescent="0.25">
      <c r="A20" s="77" t="s">
        <v>56</v>
      </c>
      <c r="B20" s="75">
        <f>SUM(B22,B24,B26,B28:B31,B33:B34,B36:B39,B41:B49,B51:B53)</f>
        <v>0</v>
      </c>
    </row>
    <row r="21" spans="1:2" s="1" customFormat="1" ht="12.75" customHeight="1" x14ac:dyDescent="0.3">
      <c r="A21" s="408" t="s">
        <v>57</v>
      </c>
      <c r="B21" s="408"/>
    </row>
    <row r="22" spans="1:2" s="1" customFormat="1" x14ac:dyDescent="0.25">
      <c r="A22" s="76" t="s">
        <v>138</v>
      </c>
      <c r="B22" s="406">
        <v>0</v>
      </c>
    </row>
    <row r="23" spans="1:2" s="1" customFormat="1" ht="12.75" customHeight="1" x14ac:dyDescent="0.3">
      <c r="A23" s="408" t="s">
        <v>60</v>
      </c>
      <c r="B23" s="408"/>
    </row>
    <row r="24" spans="1:2" s="1" customFormat="1" x14ac:dyDescent="0.25">
      <c r="A24" s="76" t="s">
        <v>139</v>
      </c>
      <c r="B24" s="406">
        <v>0</v>
      </c>
    </row>
    <row r="25" spans="1:2" s="1" customFormat="1" ht="12.75" customHeight="1" x14ac:dyDescent="0.3">
      <c r="A25" s="408" t="s">
        <v>64</v>
      </c>
      <c r="B25" s="408"/>
    </row>
    <row r="26" spans="1:2" s="1" customFormat="1" x14ac:dyDescent="0.25">
      <c r="A26" s="78" t="s">
        <v>140</v>
      </c>
      <c r="B26" s="409">
        <v>0</v>
      </c>
    </row>
    <row r="27" spans="1:2" s="1" customFormat="1" x14ac:dyDescent="0.25">
      <c r="A27" s="353" t="s">
        <v>110</v>
      </c>
      <c r="B27" s="353"/>
    </row>
    <row r="28" spans="1:2" s="1" customFormat="1" x14ac:dyDescent="0.25">
      <c r="A28" s="76" t="s">
        <v>141</v>
      </c>
      <c r="B28" s="406">
        <v>0</v>
      </c>
    </row>
    <row r="29" spans="1:2" s="1" customFormat="1" x14ac:dyDescent="0.25">
      <c r="A29" s="76" t="s">
        <v>142</v>
      </c>
      <c r="B29" s="406">
        <v>0</v>
      </c>
    </row>
    <row r="30" spans="1:2" s="1" customFormat="1" x14ac:dyDescent="0.25">
      <c r="A30" s="76" t="s">
        <v>143</v>
      </c>
      <c r="B30" s="406">
        <v>0</v>
      </c>
    </row>
    <row r="31" spans="1:2" s="1" customFormat="1" x14ac:dyDescent="0.25">
      <c r="A31" s="76" t="s">
        <v>144</v>
      </c>
      <c r="B31" s="406">
        <v>0</v>
      </c>
    </row>
    <row r="32" spans="1:2" s="1" customFormat="1" x14ac:dyDescent="0.25">
      <c r="A32" s="353" t="s">
        <v>115</v>
      </c>
      <c r="B32" s="353"/>
    </row>
    <row r="33" spans="1:2" s="1" customFormat="1" x14ac:dyDescent="0.25">
      <c r="A33" s="76" t="s">
        <v>145</v>
      </c>
      <c r="B33" s="406">
        <v>0</v>
      </c>
    </row>
    <row r="34" spans="1:2" s="1" customFormat="1" x14ac:dyDescent="0.3">
      <c r="A34" s="410" t="s">
        <v>117</v>
      </c>
      <c r="B34" s="406">
        <v>0</v>
      </c>
    </row>
    <row r="35" spans="1:2" s="1" customFormat="1" x14ac:dyDescent="0.3">
      <c r="A35" s="408" t="s">
        <v>67</v>
      </c>
      <c r="B35" s="408"/>
    </row>
    <row r="36" spans="1:2" s="1" customFormat="1" x14ac:dyDescent="0.25">
      <c r="A36" s="76" t="s">
        <v>146</v>
      </c>
      <c r="B36" s="406">
        <v>0</v>
      </c>
    </row>
    <row r="37" spans="1:2" s="1" customFormat="1" x14ac:dyDescent="0.25">
      <c r="A37" s="76" t="s">
        <v>147</v>
      </c>
      <c r="B37" s="406">
        <v>0</v>
      </c>
    </row>
    <row r="38" spans="1:2" s="1" customFormat="1" x14ac:dyDescent="0.25">
      <c r="A38" s="76" t="s">
        <v>148</v>
      </c>
      <c r="B38" s="406">
        <v>0</v>
      </c>
    </row>
    <row r="39" spans="1:2" s="1" customFormat="1" x14ac:dyDescent="0.25">
      <c r="A39" s="76" t="s">
        <v>149</v>
      </c>
      <c r="B39" s="406">
        <v>0</v>
      </c>
    </row>
    <row r="40" spans="1:2" s="1" customFormat="1" x14ac:dyDescent="0.3">
      <c r="A40" s="408" t="s">
        <v>79</v>
      </c>
      <c r="B40" s="408"/>
    </row>
    <row r="41" spans="1:2" s="1" customFormat="1" x14ac:dyDescent="0.25">
      <c r="A41" s="76" t="s">
        <v>150</v>
      </c>
      <c r="B41" s="406">
        <v>0</v>
      </c>
    </row>
    <row r="42" spans="1:2" s="1" customFormat="1" x14ac:dyDescent="0.25">
      <c r="A42" s="76" t="s">
        <v>151</v>
      </c>
      <c r="B42" s="406">
        <v>0</v>
      </c>
    </row>
    <row r="43" spans="1:2" s="1" customFormat="1" x14ac:dyDescent="0.25">
      <c r="A43" s="76" t="s">
        <v>152</v>
      </c>
      <c r="B43" s="406">
        <v>0</v>
      </c>
    </row>
    <row r="44" spans="1:2" s="1" customFormat="1" x14ac:dyDescent="0.25">
      <c r="A44" s="76" t="s">
        <v>153</v>
      </c>
      <c r="B44" s="406">
        <v>0</v>
      </c>
    </row>
    <row r="45" spans="1:2" s="1" customFormat="1" x14ac:dyDescent="0.25">
      <c r="A45" s="76" t="s">
        <v>154</v>
      </c>
      <c r="B45" s="406">
        <v>0</v>
      </c>
    </row>
    <row r="46" spans="1:2" s="1" customFormat="1" x14ac:dyDescent="0.25">
      <c r="A46" s="76" t="s">
        <v>155</v>
      </c>
      <c r="B46" s="406">
        <v>0</v>
      </c>
    </row>
    <row r="47" spans="1:2" s="1" customFormat="1" x14ac:dyDescent="0.25">
      <c r="A47" s="76" t="s">
        <v>156</v>
      </c>
      <c r="B47" s="406">
        <v>0</v>
      </c>
    </row>
    <row r="48" spans="1:2" s="1" customFormat="1" x14ac:dyDescent="0.25">
      <c r="A48" s="76" t="s">
        <v>157</v>
      </c>
      <c r="B48" s="406">
        <v>0</v>
      </c>
    </row>
    <row r="49" spans="1:3" x14ac:dyDescent="0.25">
      <c r="A49" s="76" t="s">
        <v>158</v>
      </c>
      <c r="B49" s="406">
        <v>0</v>
      </c>
      <c r="C49" s="1"/>
    </row>
    <row r="50" spans="1:3" x14ac:dyDescent="0.25">
      <c r="A50" s="353" t="s">
        <v>97</v>
      </c>
      <c r="B50" s="353"/>
      <c r="C50" s="1"/>
    </row>
    <row r="51" spans="1:3" x14ac:dyDescent="0.25">
      <c r="A51" s="76" t="s">
        <v>159</v>
      </c>
      <c r="B51" s="406">
        <v>0</v>
      </c>
      <c r="C51" s="1"/>
    </row>
    <row r="52" spans="1:3" x14ac:dyDescent="0.25">
      <c r="A52" s="76" t="s">
        <v>160</v>
      </c>
      <c r="B52" s="406">
        <v>0</v>
      </c>
      <c r="C52" s="1"/>
    </row>
    <row r="53" spans="1:3" x14ac:dyDescent="0.25">
      <c r="A53" s="76" t="s">
        <v>161</v>
      </c>
      <c r="B53" s="406">
        <v>0</v>
      </c>
    </row>
    <row r="54" spans="1:3" x14ac:dyDescent="0.25">
      <c r="A54" s="302"/>
      <c r="B54" s="411"/>
    </row>
    <row r="55" spans="1:3" x14ac:dyDescent="0.25">
      <c r="A55" s="79"/>
      <c r="B55" s="411"/>
    </row>
    <row r="56" spans="1:3" x14ac:dyDescent="0.25">
      <c r="A56" s="80"/>
      <c r="B56" s="80"/>
    </row>
    <row r="57" spans="1:3" x14ac:dyDescent="0.25">
      <c r="A57" s="80"/>
      <c r="B57" s="80"/>
    </row>
    <row r="58" spans="1:3" x14ac:dyDescent="0.25">
      <c r="A58" s="80"/>
      <c r="B58" s="80"/>
    </row>
    <row r="59" spans="1:3" x14ac:dyDescent="0.25">
      <c r="A59" s="80"/>
      <c r="B59" s="80"/>
    </row>
    <row r="60" spans="1:3" x14ac:dyDescent="0.25">
      <c r="A60" s="80"/>
      <c r="B60" s="80"/>
    </row>
    <row r="61" spans="1:3" x14ac:dyDescent="0.25">
      <c r="A61" s="80"/>
      <c r="B61" s="80"/>
    </row>
    <row r="62" spans="1:3" x14ac:dyDescent="0.25">
      <c r="A62" s="80"/>
      <c r="B62" s="80"/>
    </row>
    <row r="63" spans="1:3" x14ac:dyDescent="0.25">
      <c r="A63" s="80"/>
      <c r="B63" s="80"/>
    </row>
    <row r="64" spans="1:3" x14ac:dyDescent="0.25">
      <c r="A64" s="80"/>
      <c r="B64" s="80"/>
    </row>
    <row r="65" spans="1:2" x14ac:dyDescent="0.25">
      <c r="A65" s="80"/>
      <c r="B65" s="80"/>
    </row>
    <row r="66" spans="1:2" x14ac:dyDescent="0.25">
      <c r="A66" s="80"/>
      <c r="B66" s="80"/>
    </row>
    <row r="67" spans="1:2" x14ac:dyDescent="0.25">
      <c r="A67" s="80"/>
      <c r="B67" s="80"/>
    </row>
    <row r="68" spans="1:2" x14ac:dyDescent="0.25">
      <c r="A68" s="80"/>
      <c r="B68" s="80"/>
    </row>
    <row r="69" spans="1:2" x14ac:dyDescent="0.25">
      <c r="A69" s="80"/>
      <c r="B69" s="80"/>
    </row>
    <row r="70" spans="1:2" x14ac:dyDescent="0.25">
      <c r="A70" s="80"/>
      <c r="B70" s="80"/>
    </row>
    <row r="71" spans="1:2" x14ac:dyDescent="0.25">
      <c r="A71" s="80"/>
      <c r="B71" s="80"/>
    </row>
    <row r="72" spans="1:2" x14ac:dyDescent="0.25">
      <c r="A72" s="80"/>
      <c r="B72" s="80"/>
    </row>
    <row r="73" spans="1:2" x14ac:dyDescent="0.25">
      <c r="A73" s="80"/>
      <c r="B73" s="80"/>
    </row>
    <row r="74" spans="1:2" x14ac:dyDescent="0.25">
      <c r="A74" s="80"/>
      <c r="B74" s="80"/>
    </row>
    <row r="75" spans="1:2" x14ac:dyDescent="0.25">
      <c r="A75" s="80"/>
      <c r="B75" s="80"/>
    </row>
    <row r="76" spans="1:2" x14ac:dyDescent="0.25">
      <c r="A76" s="80"/>
      <c r="B76" s="80"/>
    </row>
    <row r="77" spans="1:2" x14ac:dyDescent="0.25">
      <c r="A77" s="80"/>
      <c r="B77" s="80"/>
    </row>
    <row r="78" spans="1:2" x14ac:dyDescent="0.25">
      <c r="A78" s="80"/>
      <c r="B78" s="80"/>
    </row>
    <row r="79" spans="1:2" x14ac:dyDescent="0.25">
      <c r="A79" s="80"/>
      <c r="B79" s="80"/>
    </row>
    <row r="80" spans="1:2" x14ac:dyDescent="0.25">
      <c r="A80" s="80"/>
      <c r="B80" s="80"/>
    </row>
    <row r="81" spans="1:2" x14ac:dyDescent="0.25">
      <c r="A81" s="80"/>
      <c r="B81" s="80"/>
    </row>
    <row r="82" spans="1:2" x14ac:dyDescent="0.25">
      <c r="A82" s="80"/>
      <c r="B82" s="80"/>
    </row>
    <row r="83" spans="1:2" x14ac:dyDescent="0.25">
      <c r="A83" s="80"/>
      <c r="B83" s="80"/>
    </row>
    <row r="84" spans="1:2" x14ac:dyDescent="0.25">
      <c r="A84" s="80"/>
      <c r="B84" s="80"/>
    </row>
    <row r="85" spans="1:2" x14ac:dyDescent="0.25">
      <c r="A85" s="80"/>
      <c r="B85" s="80"/>
    </row>
    <row r="86" spans="1:2" x14ac:dyDescent="0.25">
      <c r="A86" s="80"/>
      <c r="B86" s="80"/>
    </row>
    <row r="87" spans="1:2" x14ac:dyDescent="0.25">
      <c r="A87" s="80"/>
      <c r="B87" s="80"/>
    </row>
    <row r="88" spans="1:2" x14ac:dyDescent="0.25">
      <c r="A88" s="80"/>
      <c r="B88" s="80"/>
    </row>
    <row r="89" spans="1:2" x14ac:dyDescent="0.25">
      <c r="A89" s="80"/>
      <c r="B89" s="80"/>
    </row>
    <row r="90" spans="1:2" x14ac:dyDescent="0.25">
      <c r="A90" s="80"/>
      <c r="B90" s="80"/>
    </row>
    <row r="91" spans="1:2" x14ac:dyDescent="0.25">
      <c r="A91" s="80"/>
      <c r="B91" s="80"/>
    </row>
    <row r="92" spans="1:2" x14ac:dyDescent="0.25">
      <c r="A92" s="80"/>
      <c r="B92" s="80"/>
    </row>
    <row r="93" spans="1:2" x14ac:dyDescent="0.25">
      <c r="A93" s="80"/>
      <c r="B93" s="80"/>
    </row>
    <row r="94" spans="1:2" x14ac:dyDescent="0.25">
      <c r="A94" s="80"/>
      <c r="B94" s="80"/>
    </row>
    <row r="95" spans="1:2" x14ac:dyDescent="0.25">
      <c r="A95" s="80"/>
      <c r="B95" s="80"/>
    </row>
  </sheetData>
  <sheetProtection algorithmName="SHA-512" hashValue="L4p8+X49RjMlcf2kQI5n00t8Mb5vwvCrBMC33Z/DuScyyhtnQqfC/D2/Lc/gPWRR0RZ1WP1yev4FPPeFvqZdNw==" saltValue="esfu9Xb9GFWki+63uvKIfQ==" spinCount="100000" sheet="1" objects="1" scenarios="1"/>
  <mergeCells count="11">
    <mergeCell ref="A50:B50"/>
    <mergeCell ref="A1:B1"/>
    <mergeCell ref="A2:B2"/>
    <mergeCell ref="A3:B3"/>
    <mergeCell ref="A21:B21"/>
    <mergeCell ref="A23:B23"/>
    <mergeCell ref="A25:B25"/>
    <mergeCell ref="A27:B27"/>
    <mergeCell ref="A32:B32"/>
    <mergeCell ref="A35:B35"/>
    <mergeCell ref="A40:B40"/>
  </mergeCells>
  <pageMargins left="1.4097222222222223" right="0.57013888888888886" top="0.86041666666666661" bottom="0.82986111111111116" header="0.4201388888888889" footer="0"/>
  <pageSetup firstPageNumber="0" orientation="portrait" horizontalDpi="300" verticalDpi="300"/>
  <headerFooter alignWithMargins="0">
    <oddHeader>&amp;LSEPT-2004&amp;CDIRECTIVA D.B.S.A.
ORDINARIO&amp;R01-BS/0305/04</oddHeader>
    <oddFooter>&amp;LDEPARTAMENTO
RRHH Y GESTION&amp;C01-BS&amp;RPAG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V12"/>
  <sheetViews>
    <sheetView showGridLines="0" workbookViewId="0">
      <selection activeCell="C5" sqref="C5:D5"/>
    </sheetView>
  </sheetViews>
  <sheetFormatPr baseColWidth="10" defaultColWidth="11.44140625" defaultRowHeight="13.8" x14ac:dyDescent="0.25"/>
  <cols>
    <col min="1" max="1" width="30" style="1" customWidth="1"/>
    <col min="2" max="2" width="36.5546875" style="1" customWidth="1"/>
    <col min="3" max="9" width="16.33203125" style="1" customWidth="1"/>
    <col min="10" max="10" width="17.109375" style="1" customWidth="1"/>
    <col min="11" max="11" width="16.33203125" style="1" customWidth="1"/>
    <col min="12" max="14" width="11.44140625" style="1"/>
    <col min="15" max="15" width="15.6640625" style="1" customWidth="1"/>
    <col min="16" max="16384" width="11.44140625" style="1"/>
  </cols>
  <sheetData>
    <row r="1" spans="1:256" s="3" customFormat="1" x14ac:dyDescent="0.25">
      <c r="A1" s="306" t="s">
        <v>0</v>
      </c>
      <c r="B1" s="306"/>
      <c r="C1" s="306"/>
      <c r="D1" s="306"/>
      <c r="E1" s="306"/>
      <c r="F1" s="306"/>
      <c r="G1" s="306"/>
      <c r="H1" s="299"/>
      <c r="I1" s="299"/>
      <c r="J1" s="299"/>
      <c r="K1" s="2"/>
      <c r="IO1" s="1"/>
      <c r="IP1" s="1"/>
      <c r="IQ1" s="1"/>
      <c r="IR1" s="1"/>
      <c r="IS1" s="1"/>
      <c r="IT1" s="1"/>
      <c r="IU1" s="1"/>
      <c r="IV1" s="1"/>
    </row>
    <row r="2" spans="1:256" s="3" customFormat="1" ht="15.75" customHeight="1" x14ac:dyDescent="0.25">
      <c r="A2" s="306" t="s">
        <v>162</v>
      </c>
      <c r="B2" s="306"/>
      <c r="C2" s="306"/>
      <c r="D2" s="306"/>
      <c r="E2" s="306"/>
      <c r="F2" s="306"/>
      <c r="G2" s="306"/>
      <c r="H2" s="299"/>
      <c r="I2" s="299"/>
      <c r="J2" s="299"/>
      <c r="K2" s="2"/>
      <c r="IO2" s="1"/>
      <c r="IP2" s="1"/>
      <c r="IQ2" s="1"/>
      <c r="IR2" s="1"/>
      <c r="IS2" s="1"/>
      <c r="IT2" s="1"/>
      <c r="IU2" s="1"/>
      <c r="IV2" s="1"/>
    </row>
    <row r="3" spans="1:256" s="3" customFormat="1" ht="18" customHeight="1" x14ac:dyDescent="0.25">
      <c r="A3" s="306" t="s">
        <v>163</v>
      </c>
      <c r="B3" s="306"/>
      <c r="C3" s="306"/>
      <c r="D3" s="306"/>
      <c r="E3" s="306"/>
      <c r="F3" s="306"/>
      <c r="G3" s="306"/>
      <c r="H3" s="299"/>
      <c r="I3" s="299"/>
      <c r="J3" s="299"/>
      <c r="K3" s="2"/>
      <c r="IO3" s="1"/>
      <c r="IP3" s="1"/>
      <c r="IQ3" s="1"/>
      <c r="IR3" s="1"/>
      <c r="IS3" s="1"/>
      <c r="IT3" s="1"/>
      <c r="IU3" s="1"/>
      <c r="IV3" s="1"/>
    </row>
    <row r="4" spans="1:256" s="3" customFormat="1" ht="11.25" customHeight="1" x14ac:dyDescent="0.25">
      <c r="A4" s="1"/>
      <c r="B4" s="1"/>
      <c r="IO4" s="1"/>
      <c r="IP4" s="1"/>
      <c r="IQ4" s="1"/>
      <c r="IR4" s="1"/>
      <c r="IS4" s="1"/>
      <c r="IT4" s="1"/>
      <c r="IU4" s="1"/>
      <c r="IV4" s="1"/>
    </row>
    <row r="5" spans="1:256" s="3" customFormat="1" ht="12" customHeight="1" x14ac:dyDescent="0.25">
      <c r="A5" s="7" t="s">
        <v>3</v>
      </c>
      <c r="B5" s="300"/>
      <c r="C5" s="360" t="str">
        <f>'Ap. 2 Ingresos C. Benef.'!$I$5</f>
        <v>BIENIQUE</v>
      </c>
      <c r="D5" s="360"/>
      <c r="E5" s="1"/>
      <c r="F5" s="1"/>
      <c r="G5" s="1"/>
      <c r="H5" s="1"/>
      <c r="I5" s="2"/>
      <c r="IN5" s="1"/>
      <c r="IO5" s="1"/>
      <c r="IP5" s="1"/>
      <c r="IQ5" s="1"/>
      <c r="IR5" s="1"/>
      <c r="IS5" s="1"/>
      <c r="IT5" s="1"/>
      <c r="IU5" s="1"/>
      <c r="IV5" s="1"/>
    </row>
    <row r="6" spans="1:256" s="3" customFormat="1" ht="12" customHeight="1" x14ac:dyDescent="0.25">
      <c r="A6" s="1"/>
      <c r="B6" s="1"/>
      <c r="C6" s="1"/>
      <c r="D6" s="1"/>
      <c r="E6" s="6"/>
      <c r="F6" s="7"/>
      <c r="G6" s="8"/>
      <c r="H6" s="8"/>
      <c r="I6" s="8"/>
      <c r="IO6" s="1"/>
      <c r="IP6" s="1"/>
      <c r="IQ6" s="1"/>
      <c r="IR6" s="1"/>
      <c r="IS6" s="1"/>
      <c r="IT6" s="1"/>
      <c r="IU6" s="1"/>
      <c r="IV6" s="1"/>
    </row>
    <row r="7" spans="1:256" s="22" customFormat="1" ht="16.5" customHeight="1" thickBot="1" x14ac:dyDescent="0.3">
      <c r="A7" s="20"/>
      <c r="B7" s="20"/>
      <c r="C7" s="21"/>
      <c r="D7" s="21"/>
      <c r="E7" s="21"/>
      <c r="F7" s="21"/>
      <c r="G7" s="21"/>
      <c r="H7" s="296">
        <v>2018</v>
      </c>
      <c r="I7" s="21"/>
      <c r="K7" s="21"/>
      <c r="L7" s="296">
        <v>2017</v>
      </c>
      <c r="M7" s="21"/>
      <c r="IO7" s="39"/>
      <c r="IP7" s="39"/>
      <c r="IQ7" s="39"/>
      <c r="IR7" s="39"/>
      <c r="IS7" s="39"/>
      <c r="IT7" s="39"/>
      <c r="IU7" s="39"/>
      <c r="IV7" s="39"/>
    </row>
    <row r="8" spans="1:256" ht="12.75" customHeight="1" x14ac:dyDescent="0.25">
      <c r="A8" s="361" t="str">
        <f>'Ap. 2 Ingresos C. Benef.'!A15</f>
        <v>Centro Beneficio</v>
      </c>
      <c r="B8" s="363" t="str">
        <f>'Ap. 2 Ingresos C. Benef.'!B15</f>
        <v>Prestación [Unidad]</v>
      </c>
      <c r="C8" s="324" t="str">
        <f>'Ap. 2 Ingresos C. Benef.'!D15</f>
        <v>Matrícula</v>
      </c>
      <c r="D8" s="325"/>
      <c r="E8" s="325"/>
      <c r="F8" s="326"/>
      <c r="G8" s="327" t="s">
        <v>395</v>
      </c>
      <c r="H8" s="328"/>
      <c r="I8" s="328"/>
      <c r="J8" s="354"/>
      <c r="K8" s="327" t="s">
        <v>395</v>
      </c>
      <c r="L8" s="328"/>
      <c r="M8" s="328"/>
      <c r="N8" s="354"/>
      <c r="O8" s="355" t="s">
        <v>394</v>
      </c>
      <c r="P8" s="356"/>
      <c r="Q8" s="356"/>
      <c r="R8" s="357"/>
    </row>
    <row r="9" spans="1:256" ht="41.4" x14ac:dyDescent="0.25">
      <c r="A9" s="362">
        <f>'Ap. 2 Ingresos C. Benef.'!A16</f>
        <v>0</v>
      </c>
      <c r="B9" s="364">
        <f>'Ap. 2 Ingresos C. Benef.'!B16</f>
        <v>0</v>
      </c>
      <c r="C9" s="153" t="str">
        <f>'Ap. 2 Ingresos C. Benef.'!D16</f>
        <v>Personal Servicio Activo Armada y otras FFAA</v>
      </c>
      <c r="D9" s="81" t="str">
        <f>'Ap. 2 Ingresos C. Benef.'!E16</f>
        <v>Gendarmeria y PDI</v>
      </c>
      <c r="E9" s="81" t="str">
        <f>'Ap. 2 Ingresos C. Benef.'!F16</f>
        <v>En retiro</v>
      </c>
      <c r="F9" s="154" t="str">
        <f>'Ap. 2 Ingresos C. Benef.'!G16</f>
        <v>Casos Especiales</v>
      </c>
      <c r="G9" s="153" t="str">
        <f>'Ap. 2 Ingresos C. Benef.'!H16</f>
        <v>Personal Servicio Activo Armada y otras FFAA</v>
      </c>
      <c r="H9" s="81" t="str">
        <f>'Ap. 2 Ingresos C. Benef.'!I16</f>
        <v>Gendarmeria y PDI</v>
      </c>
      <c r="I9" s="81" t="str">
        <f>'Ap. 2 Ingresos C. Benef.'!J16</f>
        <v>En retiro</v>
      </c>
      <c r="J9" s="154" t="str">
        <f>'Ap. 2 Ingresos C. Benef.'!K16</f>
        <v>Casos Especiales</v>
      </c>
      <c r="K9" s="81" t="s">
        <v>175</v>
      </c>
      <c r="L9" s="81" t="s">
        <v>172</v>
      </c>
      <c r="M9" s="81" t="s">
        <v>176</v>
      </c>
      <c r="N9" s="154" t="s">
        <v>21</v>
      </c>
      <c r="O9" s="153" t="s">
        <v>175</v>
      </c>
      <c r="P9" s="81" t="s">
        <v>172</v>
      </c>
      <c r="Q9" s="81" t="s">
        <v>176</v>
      </c>
      <c r="R9" s="154" t="s">
        <v>21</v>
      </c>
    </row>
    <row r="10" spans="1:256" x14ac:dyDescent="0.25">
      <c r="A10" s="358" t="str">
        <f>'Ap. 2 Ingresos C. Benef.'!A17</f>
        <v>JARDIN INFANTIL "PEQUEÑOS HEROES"</v>
      </c>
      <c r="B10" s="157" t="str">
        <f>'Ap. 2 Ingresos C. Benef.'!B17</f>
        <v>Jardín [Media Jornada]</v>
      </c>
      <c r="C10" s="155">
        <f>'Ap. 2 Ingresos C. Benef.'!D17</f>
        <v>59600</v>
      </c>
      <c r="D10" s="155">
        <f>'Ap. 2 Ingresos C. Benef.'!E17</f>
        <v>71500</v>
      </c>
      <c r="E10" s="155">
        <f>'Ap. 2 Ingresos C. Benef.'!F17</f>
        <v>102200</v>
      </c>
      <c r="F10" s="155">
        <f>'Ap. 2 Ingresos C. Benef.'!G17</f>
        <v>150400</v>
      </c>
      <c r="G10" s="155">
        <f>'Ap. 2 Ingresos C. Benef.'!H17</f>
        <v>59600</v>
      </c>
      <c r="H10" s="155">
        <f>'Ap. 2 Ingresos C. Benef.'!I17</f>
        <v>71500</v>
      </c>
      <c r="I10" s="155">
        <f>'Ap. 2 Ingresos C. Benef.'!J17</f>
        <v>102200</v>
      </c>
      <c r="J10" s="155">
        <f>'Ap. 2 Ingresos C. Benef.'!K17</f>
        <v>150400</v>
      </c>
      <c r="K10" s="147">
        <v>56200</v>
      </c>
      <c r="L10" s="147">
        <v>67400</v>
      </c>
      <c r="M10" s="147">
        <v>96400</v>
      </c>
      <c r="N10" s="148">
        <v>141800</v>
      </c>
      <c r="O10" s="297">
        <f>G10-K10</f>
        <v>3400</v>
      </c>
      <c r="P10" s="297">
        <f t="shared" ref="P10:R10" si="0">H10-L10</f>
        <v>4100</v>
      </c>
      <c r="Q10" s="297">
        <f t="shared" si="0"/>
        <v>5800</v>
      </c>
      <c r="R10" s="297">
        <f t="shared" si="0"/>
        <v>8600</v>
      </c>
    </row>
    <row r="11" spans="1:256" x14ac:dyDescent="0.25">
      <c r="A11" s="358">
        <f>'Ap. 2 Ingresos C. Benef.'!A20</f>
        <v>0</v>
      </c>
      <c r="B11" s="157" t="str">
        <f>'Ap. 2 Ingresos C. Benef.'!B20</f>
        <v xml:space="preserve">Jardín [Jornada Completa]     </v>
      </c>
      <c r="C11" s="155">
        <f>'Ap. 2 Ingresos C. Benef.'!D20</f>
        <v>99400</v>
      </c>
      <c r="D11" s="155">
        <f>'Ap. 2 Ingresos C. Benef.'!E20</f>
        <v>119200</v>
      </c>
      <c r="E11" s="155">
        <f>'Ap. 2 Ingresos C. Benef.'!F20</f>
        <v>167300</v>
      </c>
      <c r="F11" s="155">
        <f>'Ap. 2 Ingresos C. Benef.'!G20</f>
        <v>266000</v>
      </c>
      <c r="G11" s="155">
        <f>'Ap. 2 Ingresos C. Benef.'!H20</f>
        <v>99400</v>
      </c>
      <c r="H11" s="155">
        <f>'Ap. 2 Ingresos C. Benef.'!I20</f>
        <v>119200</v>
      </c>
      <c r="I11" s="155">
        <f>'Ap. 2 Ingresos C. Benef.'!J20</f>
        <v>167300</v>
      </c>
      <c r="J11" s="155">
        <f>'Ap. 2 Ingresos C. Benef.'!K20</f>
        <v>266000</v>
      </c>
      <c r="K11" s="147">
        <v>93700</v>
      </c>
      <c r="L11" s="147">
        <v>112400</v>
      </c>
      <c r="M11" s="147">
        <v>157800</v>
      </c>
      <c r="N11" s="148">
        <v>250900</v>
      </c>
      <c r="O11" s="297">
        <f t="shared" ref="O11:O12" si="1">G11-K11</f>
        <v>5700</v>
      </c>
      <c r="P11" s="297">
        <f t="shared" ref="P11:P12" si="2">H11-L11</f>
        <v>6800</v>
      </c>
      <c r="Q11" s="297">
        <f t="shared" ref="Q11:Q12" si="3">I11-M11</f>
        <v>9500</v>
      </c>
      <c r="R11" s="297">
        <f t="shared" ref="R11:R12" si="4">J11-N11</f>
        <v>15100</v>
      </c>
    </row>
    <row r="12" spans="1:256" ht="14.4" thickBot="1" x14ac:dyDescent="0.3">
      <c r="A12" s="359">
        <f>'Ap. 2 Ingresos C. Benef.'!A23</f>
        <v>0</v>
      </c>
      <c r="B12" s="158" t="str">
        <f>'Ap. 2 Ingresos C. Benef.'!B23</f>
        <v xml:space="preserve">Jardín [Media Jornada con Colación y Almuerzo] </v>
      </c>
      <c r="C12" s="156">
        <f>'Ap. 2 Ingresos C. Benef.'!D23</f>
        <v>85200</v>
      </c>
      <c r="D12" s="156">
        <f>'Ap. 2 Ingresos C. Benef.'!E23</f>
        <v>102200</v>
      </c>
      <c r="E12" s="156">
        <f>'Ap. 2 Ingresos C. Benef.'!F23</f>
        <v>139000</v>
      </c>
      <c r="F12" s="156">
        <f>'Ap. 2 Ingresos C. Benef.'!G23</f>
        <v>216900</v>
      </c>
      <c r="G12" s="156">
        <f>'Ap. 2 Ingresos C. Benef.'!H23</f>
        <v>85200</v>
      </c>
      <c r="H12" s="156">
        <f>'Ap. 2 Ingresos C. Benef.'!I23</f>
        <v>102200</v>
      </c>
      <c r="I12" s="156">
        <f>'Ap. 2 Ingresos C. Benef.'!J23</f>
        <v>139000</v>
      </c>
      <c r="J12" s="156">
        <f>'Ap. 2 Ingresos C. Benef.'!K23</f>
        <v>216900</v>
      </c>
      <c r="K12" s="149">
        <v>80300</v>
      </c>
      <c r="L12" s="149">
        <v>96400</v>
      </c>
      <c r="M12" s="149">
        <v>131100</v>
      </c>
      <c r="N12" s="150">
        <v>204600</v>
      </c>
      <c r="O12" s="297">
        <f t="shared" si="1"/>
        <v>4900</v>
      </c>
      <c r="P12" s="297">
        <f t="shared" si="2"/>
        <v>5800</v>
      </c>
      <c r="Q12" s="297">
        <f t="shared" si="3"/>
        <v>7900</v>
      </c>
      <c r="R12" s="297">
        <f t="shared" si="4"/>
        <v>12300</v>
      </c>
    </row>
  </sheetData>
  <sheetProtection algorithmName="SHA-512" hashValue="X9MQlXeFG6OA0O/IGVEqkQcCE9gJAQFAJ60lpAesN0HMPFse/JRg5HNik7zO1YTevtzxYI7KJ54apGmoZD8hAg==" saltValue="pkbW+o/EOqRMZ0LDo6LUMA==" spinCount="100000" sheet="1" objects="1" scenarios="1"/>
  <mergeCells count="11">
    <mergeCell ref="K8:N8"/>
    <mergeCell ref="O8:R8"/>
    <mergeCell ref="A10:A12"/>
    <mergeCell ref="A1:G1"/>
    <mergeCell ref="A2:G2"/>
    <mergeCell ref="A3:G3"/>
    <mergeCell ref="C5:D5"/>
    <mergeCell ref="A8:A9"/>
    <mergeCell ref="B8:B9"/>
    <mergeCell ref="C8:F8"/>
    <mergeCell ref="G8:J8"/>
  </mergeCells>
  <pageMargins left="0.25" right="0.25" top="0.75" bottom="0.75" header="0.3" footer="0.3"/>
  <pageSetup paperSize="5" scale="80" firstPageNumber="0" orientation="landscape" verticalDpi="300" r:id="rId1"/>
  <headerFooter alignWithMargins="0">
    <oddHeader>&amp;LSEPT - 2004&amp;CDIRECTIVA D.B.S.A.
ORDINARIA&amp;R01-BS/0305/04</oddHeader>
    <oddFooter>&amp;LDEPARTAMENTO
RRHH Y GESTION&amp;C01-BS&amp;RPAG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AE18"/>
  <sheetViews>
    <sheetView showGridLines="0" topLeftCell="M1" zoomScaleNormal="100" workbookViewId="0">
      <selection activeCell="P6" sqref="P6"/>
    </sheetView>
  </sheetViews>
  <sheetFormatPr baseColWidth="10" defaultColWidth="11.44140625" defaultRowHeight="10.199999999999999" x14ac:dyDescent="0.2"/>
  <cols>
    <col min="1" max="1" width="4.44140625" style="423" customWidth="1"/>
    <col min="2" max="2" width="16.109375" style="421" customWidth="1"/>
    <col min="3" max="3" width="21.88671875" style="421" customWidth="1"/>
    <col min="4" max="4" width="19.33203125" style="421" customWidth="1"/>
    <col min="5" max="5" width="40" style="421" customWidth="1"/>
    <col min="6" max="6" width="23.6640625" style="421" customWidth="1"/>
    <col min="7" max="10" width="21.5546875" style="421" customWidth="1"/>
    <col min="11" max="11" width="18" style="421" customWidth="1"/>
    <col min="12" max="12" width="18.33203125" style="421" customWidth="1"/>
    <col min="13" max="13" width="19.44140625" style="421" customWidth="1"/>
    <col min="14" max="14" width="18" style="421" customWidth="1"/>
    <col min="15" max="15" width="17.44140625" style="421" customWidth="1"/>
    <col min="16" max="16" width="16.5546875" style="421" customWidth="1"/>
    <col min="17" max="17" width="17.44140625" style="421" customWidth="1"/>
    <col min="18" max="18" width="18.109375" style="421" customWidth="1"/>
    <col min="19" max="20" width="18.6640625" style="421" customWidth="1"/>
    <col min="21" max="21" width="19.44140625" style="421" bestFit="1" customWidth="1"/>
    <col min="22" max="22" width="19" style="421" customWidth="1"/>
    <col min="23" max="23" width="16.88671875" style="421" customWidth="1"/>
    <col min="24" max="24" width="17.5546875" style="421" customWidth="1"/>
    <col min="25" max="25" width="15.33203125" style="421" customWidth="1"/>
    <col min="26" max="26" width="19.6640625" style="421" customWidth="1"/>
    <col min="27" max="27" width="17.44140625" style="421" customWidth="1"/>
    <col min="28" max="28" width="12" style="421" customWidth="1"/>
    <col min="29" max="16384" width="11.44140625" style="421"/>
  </cols>
  <sheetData>
    <row r="1" spans="1:31" x14ac:dyDescent="0.2">
      <c r="A1" s="412"/>
      <c r="B1" s="412"/>
      <c r="C1" s="413"/>
      <c r="D1" s="413"/>
      <c r="E1" s="413"/>
      <c r="F1" s="413"/>
      <c r="G1" s="414"/>
      <c r="H1" s="414"/>
      <c r="I1" s="414"/>
      <c r="J1" s="414"/>
      <c r="K1" s="414"/>
      <c r="L1" s="414"/>
      <c r="M1" s="415" t="s">
        <v>232</v>
      </c>
      <c r="N1" s="416"/>
      <c r="O1" s="417"/>
      <c r="P1" s="417"/>
      <c r="Q1" s="417"/>
      <c r="R1" s="418"/>
      <c r="S1" s="419"/>
      <c r="T1" s="420"/>
      <c r="U1" s="420"/>
    </row>
    <row r="2" spans="1:31" x14ac:dyDescent="0.2">
      <c r="A2" s="412"/>
      <c r="B2" s="412"/>
      <c r="C2" s="413"/>
      <c r="D2" s="413"/>
      <c r="E2" s="413"/>
      <c r="F2" s="413"/>
      <c r="G2" s="414"/>
      <c r="H2" s="414"/>
      <c r="I2" s="414"/>
      <c r="J2" s="414"/>
      <c r="K2" s="414"/>
      <c r="L2" s="414"/>
      <c r="M2" s="414"/>
      <c r="N2" s="414"/>
      <c r="O2" s="414"/>
      <c r="P2" s="414"/>
      <c r="Q2" s="414"/>
      <c r="R2" s="422"/>
      <c r="S2" s="422"/>
      <c r="T2" s="420"/>
      <c r="U2" s="420"/>
    </row>
    <row r="4" spans="1:31" x14ac:dyDescent="0.2">
      <c r="A4" s="183" t="s">
        <v>233</v>
      </c>
    </row>
    <row r="5" spans="1:31" x14ac:dyDescent="0.2">
      <c r="I5" s="424" t="s">
        <v>189</v>
      </c>
      <c r="J5" s="425">
        <v>0.03</v>
      </c>
    </row>
    <row r="6" spans="1:31" ht="43.95" customHeight="1" x14ac:dyDescent="0.2">
      <c r="A6" s="186" t="s">
        <v>227</v>
      </c>
      <c r="B6" s="186" t="s">
        <v>228</v>
      </c>
      <c r="C6" s="365" t="s">
        <v>234</v>
      </c>
      <c r="D6" s="366"/>
      <c r="E6" s="187" t="s">
        <v>235</v>
      </c>
      <c r="F6" s="187" t="s">
        <v>236</v>
      </c>
      <c r="G6" s="187" t="s">
        <v>237</v>
      </c>
      <c r="H6" s="187" t="s">
        <v>238</v>
      </c>
      <c r="I6" s="188" t="s">
        <v>239</v>
      </c>
      <c r="J6" s="184" t="s">
        <v>229</v>
      </c>
      <c r="K6" s="184" t="s">
        <v>230</v>
      </c>
      <c r="L6" s="185" t="s">
        <v>231</v>
      </c>
      <c r="M6" s="189" t="s">
        <v>240</v>
      </c>
      <c r="N6" s="189" t="s">
        <v>241</v>
      </c>
      <c r="O6" s="190" t="s">
        <v>242</v>
      </c>
      <c r="P6" s="190" t="s">
        <v>243</v>
      </c>
      <c r="Q6" s="191" t="s">
        <v>244</v>
      </c>
      <c r="R6" s="191" t="s">
        <v>245</v>
      </c>
      <c r="S6" s="192" t="s">
        <v>246</v>
      </c>
      <c r="T6" s="192" t="s">
        <v>247</v>
      </c>
      <c r="U6" s="193" t="s">
        <v>248</v>
      </c>
      <c r="AC6" s="426"/>
      <c r="AD6" s="426"/>
      <c r="AE6" s="426"/>
    </row>
    <row r="7" spans="1:31" x14ac:dyDescent="0.2">
      <c r="A7" s="427">
        <v>1</v>
      </c>
      <c r="B7" s="428" t="s">
        <v>4</v>
      </c>
      <c r="C7" s="429"/>
      <c r="D7" s="430"/>
      <c r="E7" s="431"/>
      <c r="F7" s="431"/>
      <c r="G7" s="432"/>
      <c r="H7" s="433">
        <f>G7*(1+$J$5)</f>
        <v>0</v>
      </c>
      <c r="I7" s="434">
        <f t="shared" ref="I7:I16" si="0">H7*12</f>
        <v>0</v>
      </c>
      <c r="J7" s="434"/>
      <c r="K7" s="434"/>
      <c r="L7" s="434">
        <f t="shared" ref="L7:L16" si="1">SUM(I7:K7)</f>
        <v>0</v>
      </c>
      <c r="M7" s="194">
        <v>0.1</v>
      </c>
      <c r="N7" s="435">
        <f>+L7*M7</f>
        <v>0</v>
      </c>
      <c r="O7" s="194">
        <v>0.05</v>
      </c>
      <c r="P7" s="434">
        <f t="shared" ref="P7:P16" si="2">+L7*O7</f>
        <v>0</v>
      </c>
      <c r="Q7" s="436">
        <v>0</v>
      </c>
      <c r="R7" s="434">
        <f t="shared" ref="R7:R16" si="3">L7*Q7</f>
        <v>0</v>
      </c>
      <c r="S7" s="436">
        <v>0.85</v>
      </c>
      <c r="T7" s="434">
        <f t="shared" ref="T7:T16" si="4">L7*S7</f>
        <v>0</v>
      </c>
      <c r="U7" s="194">
        <f>+M7+O7+Q7+S7</f>
        <v>1</v>
      </c>
      <c r="AC7" s="426"/>
      <c r="AD7" s="426"/>
      <c r="AE7" s="426"/>
    </row>
    <row r="8" spans="1:31" x14ac:dyDescent="0.2">
      <c r="A8" s="427">
        <v>2</v>
      </c>
      <c r="B8" s="428" t="s">
        <v>4</v>
      </c>
      <c r="C8" s="429" t="s">
        <v>263</v>
      </c>
      <c r="D8" s="430" t="s">
        <v>264</v>
      </c>
      <c r="E8" s="431" t="s">
        <v>265</v>
      </c>
      <c r="F8" s="431" t="s">
        <v>266</v>
      </c>
      <c r="G8" s="432">
        <v>809391</v>
      </c>
      <c r="H8" s="433">
        <f t="shared" ref="H8:H16" si="5">G8*(1+$J$5)</f>
        <v>833672.73</v>
      </c>
      <c r="I8" s="434">
        <f t="shared" si="0"/>
        <v>10004072.76</v>
      </c>
      <c r="J8" s="434">
        <v>118886</v>
      </c>
      <c r="K8" s="434">
        <v>242685</v>
      </c>
      <c r="L8" s="434">
        <f t="shared" si="1"/>
        <v>10365643.76</v>
      </c>
      <c r="M8" s="194">
        <v>0.01</v>
      </c>
      <c r="N8" s="435">
        <f t="shared" ref="N8:N16" si="6">+L8*M8</f>
        <v>103656.4376</v>
      </c>
      <c r="O8" s="194">
        <v>0.01</v>
      </c>
      <c r="P8" s="434">
        <f t="shared" si="2"/>
        <v>103656.4376</v>
      </c>
      <c r="Q8" s="436">
        <v>0.01</v>
      </c>
      <c r="R8" s="434">
        <f t="shared" si="3"/>
        <v>103656.4376</v>
      </c>
      <c r="S8" s="436">
        <v>0.97</v>
      </c>
      <c r="T8" s="434">
        <f t="shared" si="4"/>
        <v>10054674.4472</v>
      </c>
      <c r="U8" s="194">
        <f t="shared" ref="U8:U16" si="7">+M8+O8+Q8+S8</f>
        <v>1</v>
      </c>
      <c r="AC8" s="426"/>
      <c r="AD8" s="426"/>
      <c r="AE8" s="426"/>
    </row>
    <row r="9" spans="1:31" x14ac:dyDescent="0.2">
      <c r="A9" s="427">
        <v>3</v>
      </c>
      <c r="B9" s="428" t="s">
        <v>4</v>
      </c>
      <c r="C9" s="429" t="s">
        <v>249</v>
      </c>
      <c r="D9" s="430"/>
      <c r="E9" s="431" t="s">
        <v>250</v>
      </c>
      <c r="F9" s="431" t="s">
        <v>251</v>
      </c>
      <c r="G9" s="432">
        <v>669100</v>
      </c>
      <c r="H9" s="433">
        <f t="shared" si="5"/>
        <v>689173</v>
      </c>
      <c r="I9" s="434">
        <f t="shared" si="0"/>
        <v>8270076</v>
      </c>
      <c r="J9" s="434">
        <v>121152.70999999999</v>
      </c>
      <c r="K9" s="434">
        <v>242684.96199999997</v>
      </c>
      <c r="L9" s="434">
        <f t="shared" si="1"/>
        <v>8633913.6720000003</v>
      </c>
      <c r="M9" s="194">
        <v>0.49</v>
      </c>
      <c r="N9" s="435">
        <f t="shared" si="6"/>
        <v>4230617.6992800003</v>
      </c>
      <c r="O9" s="194">
        <v>0.14000000000000001</v>
      </c>
      <c r="P9" s="434">
        <f t="shared" si="2"/>
        <v>1208747.9140800002</v>
      </c>
      <c r="Q9" s="436">
        <v>0.02</v>
      </c>
      <c r="R9" s="434">
        <f t="shared" si="3"/>
        <v>172678.27344000002</v>
      </c>
      <c r="S9" s="436">
        <v>0.35</v>
      </c>
      <c r="T9" s="434">
        <f t="shared" si="4"/>
        <v>3021869.7851999998</v>
      </c>
      <c r="U9" s="194">
        <f t="shared" si="7"/>
        <v>1</v>
      </c>
      <c r="AC9" s="426"/>
      <c r="AD9" s="426"/>
      <c r="AE9" s="426"/>
    </row>
    <row r="10" spans="1:31" x14ac:dyDescent="0.2">
      <c r="A10" s="427">
        <v>4</v>
      </c>
      <c r="B10" s="428" t="s">
        <v>4</v>
      </c>
      <c r="C10" s="429" t="s">
        <v>252</v>
      </c>
      <c r="D10" s="430"/>
      <c r="E10" s="437" t="s">
        <v>253</v>
      </c>
      <c r="F10" s="431" t="s">
        <v>251</v>
      </c>
      <c r="G10" s="432">
        <v>486225</v>
      </c>
      <c r="H10" s="433">
        <f t="shared" si="5"/>
        <v>500811.75</v>
      </c>
      <c r="I10" s="434">
        <f t="shared" si="0"/>
        <v>6009741</v>
      </c>
      <c r="J10" s="434">
        <v>121152.70999999999</v>
      </c>
      <c r="K10" s="434">
        <v>242684.96199999997</v>
      </c>
      <c r="L10" s="434">
        <f t="shared" si="1"/>
        <v>6373578.6720000003</v>
      </c>
      <c r="M10" s="194">
        <v>0.38</v>
      </c>
      <c r="N10" s="435">
        <f t="shared" si="6"/>
        <v>2421959.89536</v>
      </c>
      <c r="O10" s="194">
        <v>0.1</v>
      </c>
      <c r="P10" s="434">
        <f t="shared" si="2"/>
        <v>637357.8672000001</v>
      </c>
      <c r="Q10" s="436">
        <v>0.02</v>
      </c>
      <c r="R10" s="434">
        <f t="shared" si="3"/>
        <v>127471.57344000001</v>
      </c>
      <c r="S10" s="436">
        <v>0.5</v>
      </c>
      <c r="T10" s="434">
        <f t="shared" si="4"/>
        <v>3186789.3360000001</v>
      </c>
      <c r="U10" s="194">
        <f t="shared" si="7"/>
        <v>1</v>
      </c>
      <c r="AC10" s="426"/>
      <c r="AD10" s="426"/>
      <c r="AE10" s="426"/>
    </row>
    <row r="11" spans="1:31" x14ac:dyDescent="0.2">
      <c r="A11" s="427">
        <v>5</v>
      </c>
      <c r="B11" s="428" t="s">
        <v>4</v>
      </c>
      <c r="C11" s="429" t="s">
        <v>254</v>
      </c>
      <c r="D11" s="430"/>
      <c r="E11" s="431" t="s">
        <v>255</v>
      </c>
      <c r="F11" s="431" t="s">
        <v>251</v>
      </c>
      <c r="G11" s="432">
        <v>1545812</v>
      </c>
      <c r="H11" s="433">
        <f t="shared" si="5"/>
        <v>1592186.36</v>
      </c>
      <c r="I11" s="434">
        <f t="shared" si="0"/>
        <v>19106236.32</v>
      </c>
      <c r="J11" s="434">
        <v>118885.82799999999</v>
      </c>
      <c r="K11" s="434">
        <v>208294.93099999998</v>
      </c>
      <c r="L11" s="434">
        <f t="shared" si="1"/>
        <v>19433417.079000004</v>
      </c>
      <c r="M11" s="194">
        <v>0.45</v>
      </c>
      <c r="N11" s="435">
        <f t="shared" si="6"/>
        <v>8745037.6855500024</v>
      </c>
      <c r="O11" s="194">
        <v>0.05</v>
      </c>
      <c r="P11" s="434">
        <f t="shared" si="2"/>
        <v>971670.85395000025</v>
      </c>
      <c r="Q11" s="436">
        <v>0.05</v>
      </c>
      <c r="R11" s="434">
        <f t="shared" si="3"/>
        <v>971670.85395000025</v>
      </c>
      <c r="S11" s="436">
        <v>0.45</v>
      </c>
      <c r="T11" s="434">
        <f t="shared" si="4"/>
        <v>8745037.6855500024</v>
      </c>
      <c r="U11" s="194">
        <f t="shared" si="7"/>
        <v>1</v>
      </c>
      <c r="AC11" s="426"/>
      <c r="AD11" s="426"/>
      <c r="AE11" s="426"/>
    </row>
    <row r="12" spans="1:31" x14ac:dyDescent="0.2">
      <c r="A12" s="427">
        <v>6</v>
      </c>
      <c r="B12" s="428" t="s">
        <v>4</v>
      </c>
      <c r="C12" s="429" t="s">
        <v>256</v>
      </c>
      <c r="D12" s="430"/>
      <c r="E12" s="431" t="s">
        <v>257</v>
      </c>
      <c r="F12" s="431" t="s">
        <v>251</v>
      </c>
      <c r="G12" s="432">
        <v>892394</v>
      </c>
      <c r="H12" s="433">
        <f t="shared" si="5"/>
        <v>919165.82000000007</v>
      </c>
      <c r="I12" s="434">
        <f t="shared" si="0"/>
        <v>11029989.84</v>
      </c>
      <c r="J12" s="434">
        <v>118885.82799999999</v>
      </c>
      <c r="K12" s="434">
        <v>242684.96199999997</v>
      </c>
      <c r="L12" s="434">
        <f t="shared" si="1"/>
        <v>11391560.629999999</v>
      </c>
      <c r="M12" s="194">
        <v>0.18</v>
      </c>
      <c r="N12" s="435">
        <f t="shared" si="6"/>
        <v>2050480.9133999997</v>
      </c>
      <c r="O12" s="194">
        <v>0.1</v>
      </c>
      <c r="P12" s="434">
        <f t="shared" si="2"/>
        <v>1139156.0629999998</v>
      </c>
      <c r="Q12" s="436">
        <v>0.1</v>
      </c>
      <c r="R12" s="434">
        <f t="shared" si="3"/>
        <v>1139156.0629999998</v>
      </c>
      <c r="S12" s="436">
        <v>0.62</v>
      </c>
      <c r="T12" s="434">
        <f t="shared" si="4"/>
        <v>7062767.5905999998</v>
      </c>
      <c r="U12" s="194">
        <f t="shared" si="7"/>
        <v>1</v>
      </c>
      <c r="AC12" s="426"/>
      <c r="AD12" s="426"/>
      <c r="AE12" s="426"/>
    </row>
    <row r="13" spans="1:31" x14ac:dyDescent="0.2">
      <c r="A13" s="427">
        <v>7</v>
      </c>
      <c r="B13" s="428" t="s">
        <v>4</v>
      </c>
      <c r="C13" s="429" t="s">
        <v>258</v>
      </c>
      <c r="D13" s="430"/>
      <c r="E13" s="431" t="s">
        <v>259</v>
      </c>
      <c r="F13" s="431" t="s">
        <v>251</v>
      </c>
      <c r="G13" s="432">
        <v>1221487</v>
      </c>
      <c r="H13" s="433">
        <f t="shared" si="5"/>
        <v>1258131.6100000001</v>
      </c>
      <c r="I13" s="434">
        <f t="shared" si="0"/>
        <v>15097579.32</v>
      </c>
      <c r="J13" s="434">
        <v>118885.82799999999</v>
      </c>
      <c r="K13" s="434">
        <v>208294.93099999998</v>
      </c>
      <c r="L13" s="434">
        <f t="shared" si="1"/>
        <v>15424760.079</v>
      </c>
      <c r="M13" s="194">
        <v>0.4</v>
      </c>
      <c r="N13" s="435">
        <f t="shared" si="6"/>
        <v>6169904.0316000003</v>
      </c>
      <c r="O13" s="194">
        <v>0.3</v>
      </c>
      <c r="P13" s="434">
        <f t="shared" si="2"/>
        <v>4627428.0236999998</v>
      </c>
      <c r="Q13" s="436">
        <v>0.02</v>
      </c>
      <c r="R13" s="434">
        <f t="shared" si="3"/>
        <v>308495.20157999999</v>
      </c>
      <c r="S13" s="436">
        <v>0.28000000000000003</v>
      </c>
      <c r="T13" s="434">
        <f t="shared" si="4"/>
        <v>4318932.8221200006</v>
      </c>
      <c r="U13" s="194">
        <f t="shared" si="7"/>
        <v>1</v>
      </c>
      <c r="AC13" s="426"/>
      <c r="AD13" s="426"/>
      <c r="AE13" s="426"/>
    </row>
    <row r="14" spans="1:31" x14ac:dyDescent="0.2">
      <c r="A14" s="427">
        <v>8</v>
      </c>
      <c r="B14" s="428" t="s">
        <v>4</v>
      </c>
      <c r="C14" s="429" t="s">
        <v>260</v>
      </c>
      <c r="D14" s="430"/>
      <c r="E14" s="431" t="s">
        <v>261</v>
      </c>
      <c r="F14" s="431" t="s">
        <v>251</v>
      </c>
      <c r="G14" s="432">
        <v>865013</v>
      </c>
      <c r="H14" s="433">
        <f t="shared" si="5"/>
        <v>890963.39</v>
      </c>
      <c r="I14" s="434">
        <f t="shared" si="0"/>
        <v>10691560.68</v>
      </c>
      <c r="J14" s="434">
        <v>121152.70999999999</v>
      </c>
      <c r="K14" s="434">
        <v>242684.96199999997</v>
      </c>
      <c r="L14" s="434">
        <f t="shared" si="1"/>
        <v>11055398.352</v>
      </c>
      <c r="M14" s="194">
        <v>0.42</v>
      </c>
      <c r="N14" s="435">
        <f t="shared" si="6"/>
        <v>4643267.3078399999</v>
      </c>
      <c r="O14" s="194">
        <v>0.15</v>
      </c>
      <c r="P14" s="434">
        <f t="shared" si="2"/>
        <v>1658309.7527999999</v>
      </c>
      <c r="Q14" s="436">
        <v>0.01</v>
      </c>
      <c r="R14" s="434">
        <f t="shared" si="3"/>
        <v>110553.98352000001</v>
      </c>
      <c r="S14" s="436">
        <v>0.42</v>
      </c>
      <c r="T14" s="434">
        <f t="shared" si="4"/>
        <v>4643267.3078399999</v>
      </c>
      <c r="U14" s="194">
        <f t="shared" si="7"/>
        <v>1</v>
      </c>
      <c r="AC14" s="426"/>
      <c r="AD14" s="426"/>
      <c r="AE14" s="426"/>
    </row>
    <row r="15" spans="1:31" x14ac:dyDescent="0.2">
      <c r="A15" s="427">
        <v>9</v>
      </c>
      <c r="B15" s="428" t="s">
        <v>4</v>
      </c>
      <c r="C15" s="438"/>
      <c r="D15" s="439"/>
      <c r="E15" s="440"/>
      <c r="F15" s="431"/>
      <c r="G15" s="433"/>
      <c r="H15" s="433">
        <f t="shared" si="5"/>
        <v>0</v>
      </c>
      <c r="I15" s="434">
        <f t="shared" si="0"/>
        <v>0</v>
      </c>
      <c r="J15" s="434"/>
      <c r="K15" s="434"/>
      <c r="L15" s="434">
        <f t="shared" si="1"/>
        <v>0</v>
      </c>
      <c r="M15" s="194">
        <v>0.1</v>
      </c>
      <c r="N15" s="435">
        <f t="shared" si="6"/>
        <v>0</v>
      </c>
      <c r="O15" s="194">
        <v>0.08</v>
      </c>
      <c r="P15" s="434">
        <f t="shared" si="2"/>
        <v>0</v>
      </c>
      <c r="Q15" s="436">
        <v>0</v>
      </c>
      <c r="R15" s="434">
        <f t="shared" si="3"/>
        <v>0</v>
      </c>
      <c r="S15" s="436">
        <v>0.82</v>
      </c>
      <c r="T15" s="434">
        <f t="shared" si="4"/>
        <v>0</v>
      </c>
      <c r="U15" s="194">
        <f t="shared" si="7"/>
        <v>1</v>
      </c>
      <c r="AC15" s="426"/>
      <c r="AD15" s="426"/>
      <c r="AE15" s="426"/>
    </row>
    <row r="16" spans="1:31" ht="10.8" thickBot="1" x14ac:dyDescent="0.25">
      <c r="A16" s="427">
        <v>10</v>
      </c>
      <c r="B16" s="428" t="s">
        <v>4</v>
      </c>
      <c r="C16" s="438"/>
      <c r="D16" s="439"/>
      <c r="E16" s="440"/>
      <c r="F16" s="428"/>
      <c r="G16" s="433"/>
      <c r="H16" s="433">
        <f t="shared" si="5"/>
        <v>0</v>
      </c>
      <c r="I16" s="434">
        <f t="shared" si="0"/>
        <v>0</v>
      </c>
      <c r="J16" s="434">
        <v>0</v>
      </c>
      <c r="K16" s="434">
        <v>0</v>
      </c>
      <c r="L16" s="434">
        <f t="shared" si="1"/>
        <v>0</v>
      </c>
      <c r="M16" s="194">
        <v>0</v>
      </c>
      <c r="N16" s="435">
        <f t="shared" si="6"/>
        <v>0</v>
      </c>
      <c r="O16" s="194">
        <v>0</v>
      </c>
      <c r="P16" s="434">
        <f t="shared" si="2"/>
        <v>0</v>
      </c>
      <c r="Q16" s="436">
        <v>0</v>
      </c>
      <c r="R16" s="434">
        <f t="shared" si="3"/>
        <v>0</v>
      </c>
      <c r="S16" s="436">
        <v>0</v>
      </c>
      <c r="T16" s="434">
        <f t="shared" si="4"/>
        <v>0</v>
      </c>
      <c r="U16" s="194">
        <f t="shared" si="7"/>
        <v>0</v>
      </c>
      <c r="AC16" s="426"/>
      <c r="AD16" s="426"/>
      <c r="AE16" s="426"/>
    </row>
    <row r="17" spans="1:29" ht="11.4" thickTop="1" thickBot="1" x14ac:dyDescent="0.25">
      <c r="A17" s="441"/>
      <c r="B17" s="442"/>
      <c r="C17" s="443"/>
      <c r="D17" s="443"/>
      <c r="E17" s="444"/>
      <c r="F17" s="444"/>
      <c r="G17" s="445"/>
      <c r="H17" s="445"/>
      <c r="I17" s="195">
        <f>SUM(I7:I16)</f>
        <v>80209255.920000017</v>
      </c>
      <c r="J17" s="446">
        <f>SUM(J7:J16)</f>
        <v>839001.61399999994</v>
      </c>
      <c r="K17" s="446">
        <f>SUM(K7:K16)</f>
        <v>1630014.7099999997</v>
      </c>
      <c r="L17" s="446">
        <f>SUM(L7:L16)</f>
        <v>82678272.244000003</v>
      </c>
      <c r="M17" s="426"/>
      <c r="N17" s="447">
        <f>SUM(N7:N16)</f>
        <v>28364923.970630001</v>
      </c>
      <c r="O17" s="448"/>
      <c r="P17" s="447">
        <f>SUM(P7:P16)</f>
        <v>10346326.912330002</v>
      </c>
      <c r="Q17" s="448"/>
      <c r="R17" s="449">
        <f>SUM(R7:R16)</f>
        <v>2933682.3865300007</v>
      </c>
      <c r="S17" s="448"/>
      <c r="T17" s="449">
        <f>SUM(T7:T16)</f>
        <v>41033338.974509999</v>
      </c>
      <c r="AC17" s="196"/>
    </row>
    <row r="18" spans="1:29" ht="10.8" thickTop="1" x14ac:dyDescent="0.2"/>
  </sheetData>
  <sheetProtection algorithmName="SHA-512" hashValue="1dm3JQDXjUzO+mwaj5aYYEDzKW0Sy1BBAQ8b+pTT8uxeCuHzATGQPmFXxdy2DL2ukNijcEziV0omVxCxkLKPpA==" saltValue="xpKagQGc9IaW/u9Z3meXaQ==" spinCount="100000" sheet="1" objects="1" scenarios="1"/>
  <mergeCells count="11">
    <mergeCell ref="C6:D6"/>
    <mergeCell ref="C15:D15"/>
    <mergeCell ref="C16:D16"/>
    <mergeCell ref="C7:D7"/>
    <mergeCell ref="C13:D13"/>
    <mergeCell ref="C14:D14"/>
    <mergeCell ref="C8:D8"/>
    <mergeCell ref="C9:D9"/>
    <mergeCell ref="C10:D10"/>
    <mergeCell ref="C11:D11"/>
    <mergeCell ref="C12:D12"/>
  </mergeCells>
  <dataValidations count="1">
    <dataValidation type="list" allowBlank="1" showInputMessage="1" showErrorMessage="1" sqref="B7:B17">
      <formula1>"BIENIQUE,BIENVALP,DELBIENSAN,BIENTALC,DELBIENMONTT,BIENMAG,DELBIENWILL"</formula1>
    </dataValidation>
  </dataValidations>
  <pageMargins left="0.70866141732283472" right="0.70866141732283472" top="0.74803149606299213" bottom="0.74803149606299213" header="0.31496062992125984" footer="0.31496062992125984"/>
  <pageSetup scale="1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I194"/>
  <sheetViews>
    <sheetView zoomScale="70" zoomScaleNormal="70" workbookViewId="0">
      <selection activeCell="E39" sqref="E39"/>
    </sheetView>
  </sheetViews>
  <sheetFormatPr baseColWidth="10" defaultRowHeight="13.2" x14ac:dyDescent="0.25"/>
  <cols>
    <col min="1" max="1" width="4.109375" customWidth="1"/>
    <col min="2" max="2" width="13.33203125" bestFit="1" customWidth="1"/>
    <col min="3" max="3" width="11.6640625" bestFit="1" customWidth="1"/>
    <col min="4" max="4" width="12.109375" bestFit="1" customWidth="1"/>
    <col min="5" max="5" width="23.109375" bestFit="1" customWidth="1"/>
    <col min="6" max="6" width="10.88671875" bestFit="1" customWidth="1"/>
    <col min="7" max="7" width="13.6640625" bestFit="1" customWidth="1"/>
    <col min="8" max="8" width="19.6640625" bestFit="1" customWidth="1"/>
    <col min="9" max="9" width="11.5546875" bestFit="1" customWidth="1"/>
    <col min="10" max="10" width="13.44140625" customWidth="1"/>
    <col min="11" max="11" width="8.33203125" bestFit="1" customWidth="1"/>
    <col min="12" max="12" width="12" bestFit="1" customWidth="1"/>
    <col min="13" max="13" width="10.33203125" bestFit="1" customWidth="1"/>
    <col min="14" max="14" width="9.33203125" bestFit="1" customWidth="1"/>
    <col min="15" max="15" width="8.6640625" bestFit="1" customWidth="1"/>
    <col min="16" max="16" width="12" bestFit="1" customWidth="1"/>
    <col min="17" max="17" width="10.33203125" bestFit="1" customWidth="1"/>
    <col min="18" max="18" width="19.44140625" customWidth="1"/>
    <col min="19" max="20" width="10.88671875" customWidth="1"/>
    <col min="21" max="21" width="10.33203125" bestFit="1" customWidth="1"/>
    <col min="22" max="22" width="16.109375" bestFit="1" customWidth="1"/>
    <col min="23" max="23" width="21.33203125" customWidth="1"/>
    <col min="24" max="24" width="19.44140625" customWidth="1"/>
    <col min="25" max="25" width="12" bestFit="1" customWidth="1"/>
    <col min="26" max="26" width="11.44140625" bestFit="1" customWidth="1"/>
    <col min="27" max="27" width="14.109375" bestFit="1" customWidth="1"/>
    <col min="28" max="28" width="12" bestFit="1" customWidth="1"/>
    <col min="29" max="29" width="23.44140625" bestFit="1" customWidth="1"/>
    <col min="30" max="30" width="20.88671875" bestFit="1" customWidth="1"/>
    <col min="31" max="31" width="16.109375" bestFit="1" customWidth="1"/>
    <col min="32" max="32" width="9.109375" bestFit="1" customWidth="1"/>
    <col min="33" max="33" width="16.109375" bestFit="1" customWidth="1"/>
    <col min="34" max="34" width="23.44140625" bestFit="1" customWidth="1"/>
    <col min="35" max="35" width="16.109375" bestFit="1" customWidth="1"/>
    <col min="257" max="257" width="4.109375" customWidth="1"/>
    <col min="258" max="258" width="13.33203125" bestFit="1" customWidth="1"/>
    <col min="259" max="259" width="11.6640625" bestFit="1" customWidth="1"/>
    <col min="260" max="260" width="12.109375" bestFit="1" customWidth="1"/>
    <col min="261" max="261" width="23.109375" bestFit="1" customWidth="1"/>
    <col min="262" max="262" width="10.88671875" bestFit="1" customWidth="1"/>
    <col min="263" max="263" width="13.6640625" bestFit="1" customWidth="1"/>
    <col min="264" max="264" width="19.6640625" bestFit="1" customWidth="1"/>
    <col min="265" max="265" width="11.5546875" bestFit="1" customWidth="1"/>
    <col min="266" max="266" width="13.44140625" customWidth="1"/>
    <col min="267" max="267" width="8.33203125" bestFit="1" customWidth="1"/>
    <col min="268" max="268" width="12" bestFit="1" customWidth="1"/>
    <col min="269" max="269" width="10.33203125" bestFit="1" customWidth="1"/>
    <col min="270" max="270" width="9.33203125" bestFit="1" customWidth="1"/>
    <col min="271" max="271" width="8.6640625" bestFit="1" customWidth="1"/>
    <col min="272" max="272" width="12" bestFit="1" customWidth="1"/>
    <col min="273" max="273" width="10.33203125" bestFit="1" customWidth="1"/>
    <col min="274" max="274" width="12" bestFit="1" customWidth="1"/>
    <col min="275" max="276" width="10.88671875" customWidth="1"/>
    <col min="277" max="277" width="10.33203125" bestFit="1" customWidth="1"/>
    <col min="278" max="278" width="16.109375" bestFit="1" customWidth="1"/>
    <col min="279" max="279" width="12.109375" bestFit="1" customWidth="1"/>
    <col min="280" max="280" width="13.33203125" bestFit="1" customWidth="1"/>
    <col min="281" max="281" width="12" bestFit="1" customWidth="1"/>
    <col min="282" max="282" width="10.33203125" bestFit="1" customWidth="1"/>
    <col min="283" max="283" width="14.109375" bestFit="1" customWidth="1"/>
    <col min="284" max="284" width="12" bestFit="1" customWidth="1"/>
    <col min="285" max="285" width="16.109375" bestFit="1" customWidth="1"/>
    <col min="286" max="286" width="14.88671875" bestFit="1" customWidth="1"/>
    <col min="287" max="287" width="16.109375" bestFit="1" customWidth="1"/>
    <col min="288" max="288" width="9.109375" bestFit="1" customWidth="1"/>
    <col min="289" max="291" width="16.109375" bestFit="1" customWidth="1"/>
    <col min="513" max="513" width="4.109375" customWidth="1"/>
    <col min="514" max="514" width="13.33203125" bestFit="1" customWidth="1"/>
    <col min="515" max="515" width="11.6640625" bestFit="1" customWidth="1"/>
    <col min="516" max="516" width="12.109375" bestFit="1" customWidth="1"/>
    <col min="517" max="517" width="23.109375" bestFit="1" customWidth="1"/>
    <col min="518" max="518" width="10.88671875" bestFit="1" customWidth="1"/>
    <col min="519" max="519" width="13.6640625" bestFit="1" customWidth="1"/>
    <col min="520" max="520" width="19.6640625" bestFit="1" customWidth="1"/>
    <col min="521" max="521" width="11.5546875" bestFit="1" customWidth="1"/>
    <col min="522" max="522" width="13.44140625" customWidth="1"/>
    <col min="523" max="523" width="8.33203125" bestFit="1" customWidth="1"/>
    <col min="524" max="524" width="12" bestFit="1" customWidth="1"/>
    <col min="525" max="525" width="10.33203125" bestFit="1" customWidth="1"/>
    <col min="526" max="526" width="9.33203125" bestFit="1" customWidth="1"/>
    <col min="527" max="527" width="8.6640625" bestFit="1" customWidth="1"/>
    <col min="528" max="528" width="12" bestFit="1" customWidth="1"/>
    <col min="529" max="529" width="10.33203125" bestFit="1" customWidth="1"/>
    <col min="530" max="530" width="12" bestFit="1" customWidth="1"/>
    <col min="531" max="532" width="10.88671875" customWidth="1"/>
    <col min="533" max="533" width="10.33203125" bestFit="1" customWidth="1"/>
    <col min="534" max="534" width="16.109375" bestFit="1" customWidth="1"/>
    <col min="535" max="535" width="12.109375" bestFit="1" customWidth="1"/>
    <col min="536" max="536" width="13.33203125" bestFit="1" customWidth="1"/>
    <col min="537" max="537" width="12" bestFit="1" customWidth="1"/>
    <col min="538" max="538" width="10.33203125" bestFit="1" customWidth="1"/>
    <col min="539" max="539" width="14.109375" bestFit="1" customWidth="1"/>
    <col min="540" max="540" width="12" bestFit="1" customWidth="1"/>
    <col min="541" max="541" width="16.109375" bestFit="1" customWidth="1"/>
    <col min="542" max="542" width="14.88671875" bestFit="1" customWidth="1"/>
    <col min="543" max="543" width="16.109375" bestFit="1" customWidth="1"/>
    <col min="544" max="544" width="9.109375" bestFit="1" customWidth="1"/>
    <col min="545" max="547" width="16.109375" bestFit="1" customWidth="1"/>
    <col min="769" max="769" width="4.109375" customWidth="1"/>
    <col min="770" max="770" width="13.33203125" bestFit="1" customWidth="1"/>
    <col min="771" max="771" width="11.6640625" bestFit="1" customWidth="1"/>
    <col min="772" max="772" width="12.109375" bestFit="1" customWidth="1"/>
    <col min="773" max="773" width="23.109375" bestFit="1" customWidth="1"/>
    <col min="774" max="774" width="10.88671875" bestFit="1" customWidth="1"/>
    <col min="775" max="775" width="13.6640625" bestFit="1" customWidth="1"/>
    <col min="776" max="776" width="19.6640625" bestFit="1" customWidth="1"/>
    <col min="777" max="777" width="11.5546875" bestFit="1" customWidth="1"/>
    <col min="778" max="778" width="13.44140625" customWidth="1"/>
    <col min="779" max="779" width="8.33203125" bestFit="1" customWidth="1"/>
    <col min="780" max="780" width="12" bestFit="1" customWidth="1"/>
    <col min="781" max="781" width="10.33203125" bestFit="1" customWidth="1"/>
    <col min="782" max="782" width="9.33203125" bestFit="1" customWidth="1"/>
    <col min="783" max="783" width="8.6640625" bestFit="1" customWidth="1"/>
    <col min="784" max="784" width="12" bestFit="1" customWidth="1"/>
    <col min="785" max="785" width="10.33203125" bestFit="1" customWidth="1"/>
    <col min="786" max="786" width="12" bestFit="1" customWidth="1"/>
    <col min="787" max="788" width="10.88671875" customWidth="1"/>
    <col min="789" max="789" width="10.33203125" bestFit="1" customWidth="1"/>
    <col min="790" max="790" width="16.109375" bestFit="1" customWidth="1"/>
    <col min="791" max="791" width="12.109375" bestFit="1" customWidth="1"/>
    <col min="792" max="792" width="13.33203125" bestFit="1" customWidth="1"/>
    <col min="793" max="793" width="12" bestFit="1" customWidth="1"/>
    <col min="794" max="794" width="10.33203125" bestFit="1" customWidth="1"/>
    <col min="795" max="795" width="14.109375" bestFit="1" customWidth="1"/>
    <col min="796" max="796" width="12" bestFit="1" customWidth="1"/>
    <col min="797" max="797" width="16.109375" bestFit="1" customWidth="1"/>
    <col min="798" max="798" width="14.88671875" bestFit="1" customWidth="1"/>
    <col min="799" max="799" width="16.109375" bestFit="1" customWidth="1"/>
    <col min="800" max="800" width="9.109375" bestFit="1" customWidth="1"/>
    <col min="801" max="803" width="16.109375" bestFit="1" customWidth="1"/>
    <col min="1025" max="1025" width="4.109375" customWidth="1"/>
    <col min="1026" max="1026" width="13.33203125" bestFit="1" customWidth="1"/>
    <col min="1027" max="1027" width="11.6640625" bestFit="1" customWidth="1"/>
    <col min="1028" max="1028" width="12.109375" bestFit="1" customWidth="1"/>
    <col min="1029" max="1029" width="23.109375" bestFit="1" customWidth="1"/>
    <col min="1030" max="1030" width="10.88671875" bestFit="1" customWidth="1"/>
    <col min="1031" max="1031" width="13.6640625" bestFit="1" customWidth="1"/>
    <col min="1032" max="1032" width="19.6640625" bestFit="1" customWidth="1"/>
    <col min="1033" max="1033" width="11.5546875" bestFit="1" customWidth="1"/>
    <col min="1034" max="1034" width="13.44140625" customWidth="1"/>
    <col min="1035" max="1035" width="8.33203125" bestFit="1" customWidth="1"/>
    <col min="1036" max="1036" width="12" bestFit="1" customWidth="1"/>
    <col min="1037" max="1037" width="10.33203125" bestFit="1" customWidth="1"/>
    <col min="1038" max="1038" width="9.33203125" bestFit="1" customWidth="1"/>
    <col min="1039" max="1039" width="8.6640625" bestFit="1" customWidth="1"/>
    <col min="1040" max="1040" width="12" bestFit="1" customWidth="1"/>
    <col min="1041" max="1041" width="10.33203125" bestFit="1" customWidth="1"/>
    <col min="1042" max="1042" width="12" bestFit="1" customWidth="1"/>
    <col min="1043" max="1044" width="10.88671875" customWidth="1"/>
    <col min="1045" max="1045" width="10.33203125" bestFit="1" customWidth="1"/>
    <col min="1046" max="1046" width="16.109375" bestFit="1" customWidth="1"/>
    <col min="1047" max="1047" width="12.109375" bestFit="1" customWidth="1"/>
    <col min="1048" max="1048" width="13.33203125" bestFit="1" customWidth="1"/>
    <col min="1049" max="1049" width="12" bestFit="1" customWidth="1"/>
    <col min="1050" max="1050" width="10.33203125" bestFit="1" customWidth="1"/>
    <col min="1051" max="1051" width="14.109375" bestFit="1" customWidth="1"/>
    <col min="1052" max="1052" width="12" bestFit="1" customWidth="1"/>
    <col min="1053" max="1053" width="16.109375" bestFit="1" customWidth="1"/>
    <col min="1054" max="1054" width="14.88671875" bestFit="1" customWidth="1"/>
    <col min="1055" max="1055" width="16.109375" bestFit="1" customWidth="1"/>
    <col min="1056" max="1056" width="9.109375" bestFit="1" customWidth="1"/>
    <col min="1057" max="1059" width="16.109375" bestFit="1" customWidth="1"/>
    <col min="1281" max="1281" width="4.109375" customWidth="1"/>
    <col min="1282" max="1282" width="13.33203125" bestFit="1" customWidth="1"/>
    <col min="1283" max="1283" width="11.6640625" bestFit="1" customWidth="1"/>
    <col min="1284" max="1284" width="12.109375" bestFit="1" customWidth="1"/>
    <col min="1285" max="1285" width="23.109375" bestFit="1" customWidth="1"/>
    <col min="1286" max="1286" width="10.88671875" bestFit="1" customWidth="1"/>
    <col min="1287" max="1287" width="13.6640625" bestFit="1" customWidth="1"/>
    <col min="1288" max="1288" width="19.6640625" bestFit="1" customWidth="1"/>
    <col min="1289" max="1289" width="11.5546875" bestFit="1" customWidth="1"/>
    <col min="1290" max="1290" width="13.44140625" customWidth="1"/>
    <col min="1291" max="1291" width="8.33203125" bestFit="1" customWidth="1"/>
    <col min="1292" max="1292" width="12" bestFit="1" customWidth="1"/>
    <col min="1293" max="1293" width="10.33203125" bestFit="1" customWidth="1"/>
    <col min="1294" max="1294" width="9.33203125" bestFit="1" customWidth="1"/>
    <col min="1295" max="1295" width="8.6640625" bestFit="1" customWidth="1"/>
    <col min="1296" max="1296" width="12" bestFit="1" customWidth="1"/>
    <col min="1297" max="1297" width="10.33203125" bestFit="1" customWidth="1"/>
    <col min="1298" max="1298" width="12" bestFit="1" customWidth="1"/>
    <col min="1299" max="1300" width="10.88671875" customWidth="1"/>
    <col min="1301" max="1301" width="10.33203125" bestFit="1" customWidth="1"/>
    <col min="1302" max="1302" width="16.109375" bestFit="1" customWidth="1"/>
    <col min="1303" max="1303" width="12.109375" bestFit="1" customWidth="1"/>
    <col min="1304" max="1304" width="13.33203125" bestFit="1" customWidth="1"/>
    <col min="1305" max="1305" width="12" bestFit="1" customWidth="1"/>
    <col min="1306" max="1306" width="10.33203125" bestFit="1" customWidth="1"/>
    <col min="1307" max="1307" width="14.109375" bestFit="1" customWidth="1"/>
    <col min="1308" max="1308" width="12" bestFit="1" customWidth="1"/>
    <col min="1309" max="1309" width="16.109375" bestFit="1" customWidth="1"/>
    <col min="1310" max="1310" width="14.88671875" bestFit="1" customWidth="1"/>
    <col min="1311" max="1311" width="16.109375" bestFit="1" customWidth="1"/>
    <col min="1312" max="1312" width="9.109375" bestFit="1" customWidth="1"/>
    <col min="1313" max="1315" width="16.109375" bestFit="1" customWidth="1"/>
    <col min="1537" max="1537" width="4.109375" customWidth="1"/>
    <col min="1538" max="1538" width="13.33203125" bestFit="1" customWidth="1"/>
    <col min="1539" max="1539" width="11.6640625" bestFit="1" customWidth="1"/>
    <col min="1540" max="1540" width="12.109375" bestFit="1" customWidth="1"/>
    <col min="1541" max="1541" width="23.109375" bestFit="1" customWidth="1"/>
    <col min="1542" max="1542" width="10.88671875" bestFit="1" customWidth="1"/>
    <col min="1543" max="1543" width="13.6640625" bestFit="1" customWidth="1"/>
    <col min="1544" max="1544" width="19.6640625" bestFit="1" customWidth="1"/>
    <col min="1545" max="1545" width="11.5546875" bestFit="1" customWidth="1"/>
    <col min="1546" max="1546" width="13.44140625" customWidth="1"/>
    <col min="1547" max="1547" width="8.33203125" bestFit="1" customWidth="1"/>
    <col min="1548" max="1548" width="12" bestFit="1" customWidth="1"/>
    <col min="1549" max="1549" width="10.33203125" bestFit="1" customWidth="1"/>
    <col min="1550" max="1550" width="9.33203125" bestFit="1" customWidth="1"/>
    <col min="1551" max="1551" width="8.6640625" bestFit="1" customWidth="1"/>
    <col min="1552" max="1552" width="12" bestFit="1" customWidth="1"/>
    <col min="1553" max="1553" width="10.33203125" bestFit="1" customWidth="1"/>
    <col min="1554" max="1554" width="12" bestFit="1" customWidth="1"/>
    <col min="1555" max="1556" width="10.88671875" customWidth="1"/>
    <col min="1557" max="1557" width="10.33203125" bestFit="1" customWidth="1"/>
    <col min="1558" max="1558" width="16.109375" bestFit="1" customWidth="1"/>
    <col min="1559" max="1559" width="12.109375" bestFit="1" customWidth="1"/>
    <col min="1560" max="1560" width="13.33203125" bestFit="1" customWidth="1"/>
    <col min="1561" max="1561" width="12" bestFit="1" customWidth="1"/>
    <col min="1562" max="1562" width="10.33203125" bestFit="1" customWidth="1"/>
    <col min="1563" max="1563" width="14.109375" bestFit="1" customWidth="1"/>
    <col min="1564" max="1564" width="12" bestFit="1" customWidth="1"/>
    <col min="1565" max="1565" width="16.109375" bestFit="1" customWidth="1"/>
    <col min="1566" max="1566" width="14.88671875" bestFit="1" customWidth="1"/>
    <col min="1567" max="1567" width="16.109375" bestFit="1" customWidth="1"/>
    <col min="1568" max="1568" width="9.109375" bestFit="1" customWidth="1"/>
    <col min="1569" max="1571" width="16.109375" bestFit="1" customWidth="1"/>
    <col min="1793" max="1793" width="4.109375" customWidth="1"/>
    <col min="1794" max="1794" width="13.33203125" bestFit="1" customWidth="1"/>
    <col min="1795" max="1795" width="11.6640625" bestFit="1" customWidth="1"/>
    <col min="1796" max="1796" width="12.109375" bestFit="1" customWidth="1"/>
    <col min="1797" max="1797" width="23.109375" bestFit="1" customWidth="1"/>
    <col min="1798" max="1798" width="10.88671875" bestFit="1" customWidth="1"/>
    <col min="1799" max="1799" width="13.6640625" bestFit="1" customWidth="1"/>
    <col min="1800" max="1800" width="19.6640625" bestFit="1" customWidth="1"/>
    <col min="1801" max="1801" width="11.5546875" bestFit="1" customWidth="1"/>
    <col min="1802" max="1802" width="13.44140625" customWidth="1"/>
    <col min="1803" max="1803" width="8.33203125" bestFit="1" customWidth="1"/>
    <col min="1804" max="1804" width="12" bestFit="1" customWidth="1"/>
    <col min="1805" max="1805" width="10.33203125" bestFit="1" customWidth="1"/>
    <col min="1806" max="1806" width="9.33203125" bestFit="1" customWidth="1"/>
    <col min="1807" max="1807" width="8.6640625" bestFit="1" customWidth="1"/>
    <col min="1808" max="1808" width="12" bestFit="1" customWidth="1"/>
    <col min="1809" max="1809" width="10.33203125" bestFit="1" customWidth="1"/>
    <col min="1810" max="1810" width="12" bestFit="1" customWidth="1"/>
    <col min="1811" max="1812" width="10.88671875" customWidth="1"/>
    <col min="1813" max="1813" width="10.33203125" bestFit="1" customWidth="1"/>
    <col min="1814" max="1814" width="16.109375" bestFit="1" customWidth="1"/>
    <col min="1815" max="1815" width="12.109375" bestFit="1" customWidth="1"/>
    <col min="1816" max="1816" width="13.33203125" bestFit="1" customWidth="1"/>
    <col min="1817" max="1817" width="12" bestFit="1" customWidth="1"/>
    <col min="1818" max="1818" width="10.33203125" bestFit="1" customWidth="1"/>
    <col min="1819" max="1819" width="14.109375" bestFit="1" customWidth="1"/>
    <col min="1820" max="1820" width="12" bestFit="1" customWidth="1"/>
    <col min="1821" max="1821" width="16.109375" bestFit="1" customWidth="1"/>
    <col min="1822" max="1822" width="14.88671875" bestFit="1" customWidth="1"/>
    <col min="1823" max="1823" width="16.109375" bestFit="1" customWidth="1"/>
    <col min="1824" max="1824" width="9.109375" bestFit="1" customWidth="1"/>
    <col min="1825" max="1827" width="16.109375" bestFit="1" customWidth="1"/>
    <col min="2049" max="2049" width="4.109375" customWidth="1"/>
    <col min="2050" max="2050" width="13.33203125" bestFit="1" customWidth="1"/>
    <col min="2051" max="2051" width="11.6640625" bestFit="1" customWidth="1"/>
    <col min="2052" max="2052" width="12.109375" bestFit="1" customWidth="1"/>
    <col min="2053" max="2053" width="23.109375" bestFit="1" customWidth="1"/>
    <col min="2054" max="2054" width="10.88671875" bestFit="1" customWidth="1"/>
    <col min="2055" max="2055" width="13.6640625" bestFit="1" customWidth="1"/>
    <col min="2056" max="2056" width="19.6640625" bestFit="1" customWidth="1"/>
    <col min="2057" max="2057" width="11.5546875" bestFit="1" customWidth="1"/>
    <col min="2058" max="2058" width="13.44140625" customWidth="1"/>
    <col min="2059" max="2059" width="8.33203125" bestFit="1" customWidth="1"/>
    <col min="2060" max="2060" width="12" bestFit="1" customWidth="1"/>
    <col min="2061" max="2061" width="10.33203125" bestFit="1" customWidth="1"/>
    <col min="2062" max="2062" width="9.33203125" bestFit="1" customWidth="1"/>
    <col min="2063" max="2063" width="8.6640625" bestFit="1" customWidth="1"/>
    <col min="2064" max="2064" width="12" bestFit="1" customWidth="1"/>
    <col min="2065" max="2065" width="10.33203125" bestFit="1" customWidth="1"/>
    <col min="2066" max="2066" width="12" bestFit="1" customWidth="1"/>
    <col min="2067" max="2068" width="10.88671875" customWidth="1"/>
    <col min="2069" max="2069" width="10.33203125" bestFit="1" customWidth="1"/>
    <col min="2070" max="2070" width="16.109375" bestFit="1" customWidth="1"/>
    <col min="2071" max="2071" width="12.109375" bestFit="1" customWidth="1"/>
    <col min="2072" max="2072" width="13.33203125" bestFit="1" customWidth="1"/>
    <col min="2073" max="2073" width="12" bestFit="1" customWidth="1"/>
    <col min="2074" max="2074" width="10.33203125" bestFit="1" customWidth="1"/>
    <col min="2075" max="2075" width="14.109375" bestFit="1" customWidth="1"/>
    <col min="2076" max="2076" width="12" bestFit="1" customWidth="1"/>
    <col min="2077" max="2077" width="16.109375" bestFit="1" customWidth="1"/>
    <col min="2078" max="2078" width="14.88671875" bestFit="1" customWidth="1"/>
    <col min="2079" max="2079" width="16.109375" bestFit="1" customWidth="1"/>
    <col min="2080" max="2080" width="9.109375" bestFit="1" customWidth="1"/>
    <col min="2081" max="2083" width="16.109375" bestFit="1" customWidth="1"/>
    <col min="2305" max="2305" width="4.109375" customWidth="1"/>
    <col min="2306" max="2306" width="13.33203125" bestFit="1" customWidth="1"/>
    <col min="2307" max="2307" width="11.6640625" bestFit="1" customWidth="1"/>
    <col min="2308" max="2308" width="12.109375" bestFit="1" customWidth="1"/>
    <col min="2309" max="2309" width="23.109375" bestFit="1" customWidth="1"/>
    <col min="2310" max="2310" width="10.88671875" bestFit="1" customWidth="1"/>
    <col min="2311" max="2311" width="13.6640625" bestFit="1" customWidth="1"/>
    <col min="2312" max="2312" width="19.6640625" bestFit="1" customWidth="1"/>
    <col min="2313" max="2313" width="11.5546875" bestFit="1" customWidth="1"/>
    <col min="2314" max="2314" width="13.44140625" customWidth="1"/>
    <col min="2315" max="2315" width="8.33203125" bestFit="1" customWidth="1"/>
    <col min="2316" max="2316" width="12" bestFit="1" customWidth="1"/>
    <col min="2317" max="2317" width="10.33203125" bestFit="1" customWidth="1"/>
    <col min="2318" max="2318" width="9.33203125" bestFit="1" customWidth="1"/>
    <col min="2319" max="2319" width="8.6640625" bestFit="1" customWidth="1"/>
    <col min="2320" max="2320" width="12" bestFit="1" customWidth="1"/>
    <col min="2321" max="2321" width="10.33203125" bestFit="1" customWidth="1"/>
    <col min="2322" max="2322" width="12" bestFit="1" customWidth="1"/>
    <col min="2323" max="2324" width="10.88671875" customWidth="1"/>
    <col min="2325" max="2325" width="10.33203125" bestFit="1" customWidth="1"/>
    <col min="2326" max="2326" width="16.109375" bestFit="1" customWidth="1"/>
    <col min="2327" max="2327" width="12.109375" bestFit="1" customWidth="1"/>
    <col min="2328" max="2328" width="13.33203125" bestFit="1" customWidth="1"/>
    <col min="2329" max="2329" width="12" bestFit="1" customWidth="1"/>
    <col min="2330" max="2330" width="10.33203125" bestFit="1" customWidth="1"/>
    <col min="2331" max="2331" width="14.109375" bestFit="1" customWidth="1"/>
    <col min="2332" max="2332" width="12" bestFit="1" customWidth="1"/>
    <col min="2333" max="2333" width="16.109375" bestFit="1" customWidth="1"/>
    <col min="2334" max="2334" width="14.88671875" bestFit="1" customWidth="1"/>
    <col min="2335" max="2335" width="16.109375" bestFit="1" customWidth="1"/>
    <col min="2336" max="2336" width="9.109375" bestFit="1" customWidth="1"/>
    <col min="2337" max="2339" width="16.109375" bestFit="1" customWidth="1"/>
    <col min="2561" max="2561" width="4.109375" customWidth="1"/>
    <col min="2562" max="2562" width="13.33203125" bestFit="1" customWidth="1"/>
    <col min="2563" max="2563" width="11.6640625" bestFit="1" customWidth="1"/>
    <col min="2564" max="2564" width="12.109375" bestFit="1" customWidth="1"/>
    <col min="2565" max="2565" width="23.109375" bestFit="1" customWidth="1"/>
    <col min="2566" max="2566" width="10.88671875" bestFit="1" customWidth="1"/>
    <col min="2567" max="2567" width="13.6640625" bestFit="1" customWidth="1"/>
    <col min="2568" max="2568" width="19.6640625" bestFit="1" customWidth="1"/>
    <col min="2569" max="2569" width="11.5546875" bestFit="1" customWidth="1"/>
    <col min="2570" max="2570" width="13.44140625" customWidth="1"/>
    <col min="2571" max="2571" width="8.33203125" bestFit="1" customWidth="1"/>
    <col min="2572" max="2572" width="12" bestFit="1" customWidth="1"/>
    <col min="2573" max="2573" width="10.33203125" bestFit="1" customWidth="1"/>
    <col min="2574" max="2574" width="9.33203125" bestFit="1" customWidth="1"/>
    <col min="2575" max="2575" width="8.6640625" bestFit="1" customWidth="1"/>
    <col min="2576" max="2576" width="12" bestFit="1" customWidth="1"/>
    <col min="2577" max="2577" width="10.33203125" bestFit="1" customWidth="1"/>
    <col min="2578" max="2578" width="12" bestFit="1" customWidth="1"/>
    <col min="2579" max="2580" width="10.88671875" customWidth="1"/>
    <col min="2581" max="2581" width="10.33203125" bestFit="1" customWidth="1"/>
    <col min="2582" max="2582" width="16.109375" bestFit="1" customWidth="1"/>
    <col min="2583" max="2583" width="12.109375" bestFit="1" customWidth="1"/>
    <col min="2584" max="2584" width="13.33203125" bestFit="1" customWidth="1"/>
    <col min="2585" max="2585" width="12" bestFit="1" customWidth="1"/>
    <col min="2586" max="2586" width="10.33203125" bestFit="1" customWidth="1"/>
    <col min="2587" max="2587" width="14.109375" bestFit="1" customWidth="1"/>
    <col min="2588" max="2588" width="12" bestFit="1" customWidth="1"/>
    <col min="2589" max="2589" width="16.109375" bestFit="1" customWidth="1"/>
    <col min="2590" max="2590" width="14.88671875" bestFit="1" customWidth="1"/>
    <col min="2591" max="2591" width="16.109375" bestFit="1" customWidth="1"/>
    <col min="2592" max="2592" width="9.109375" bestFit="1" customWidth="1"/>
    <col min="2593" max="2595" width="16.109375" bestFit="1" customWidth="1"/>
    <col min="2817" max="2817" width="4.109375" customWidth="1"/>
    <col min="2818" max="2818" width="13.33203125" bestFit="1" customWidth="1"/>
    <col min="2819" max="2819" width="11.6640625" bestFit="1" customWidth="1"/>
    <col min="2820" max="2820" width="12.109375" bestFit="1" customWidth="1"/>
    <col min="2821" max="2821" width="23.109375" bestFit="1" customWidth="1"/>
    <col min="2822" max="2822" width="10.88671875" bestFit="1" customWidth="1"/>
    <col min="2823" max="2823" width="13.6640625" bestFit="1" customWidth="1"/>
    <col min="2824" max="2824" width="19.6640625" bestFit="1" customWidth="1"/>
    <col min="2825" max="2825" width="11.5546875" bestFit="1" customWidth="1"/>
    <col min="2826" max="2826" width="13.44140625" customWidth="1"/>
    <col min="2827" max="2827" width="8.33203125" bestFit="1" customWidth="1"/>
    <col min="2828" max="2828" width="12" bestFit="1" customWidth="1"/>
    <col min="2829" max="2829" width="10.33203125" bestFit="1" customWidth="1"/>
    <col min="2830" max="2830" width="9.33203125" bestFit="1" customWidth="1"/>
    <col min="2831" max="2831" width="8.6640625" bestFit="1" customWidth="1"/>
    <col min="2832" max="2832" width="12" bestFit="1" customWidth="1"/>
    <col min="2833" max="2833" width="10.33203125" bestFit="1" customWidth="1"/>
    <col min="2834" max="2834" width="12" bestFit="1" customWidth="1"/>
    <col min="2835" max="2836" width="10.88671875" customWidth="1"/>
    <col min="2837" max="2837" width="10.33203125" bestFit="1" customWidth="1"/>
    <col min="2838" max="2838" width="16.109375" bestFit="1" customWidth="1"/>
    <col min="2839" max="2839" width="12.109375" bestFit="1" customWidth="1"/>
    <col min="2840" max="2840" width="13.33203125" bestFit="1" customWidth="1"/>
    <col min="2841" max="2841" width="12" bestFit="1" customWidth="1"/>
    <col min="2842" max="2842" width="10.33203125" bestFit="1" customWidth="1"/>
    <col min="2843" max="2843" width="14.109375" bestFit="1" customWidth="1"/>
    <col min="2844" max="2844" width="12" bestFit="1" customWidth="1"/>
    <col min="2845" max="2845" width="16.109375" bestFit="1" customWidth="1"/>
    <col min="2846" max="2846" width="14.88671875" bestFit="1" customWidth="1"/>
    <col min="2847" max="2847" width="16.109375" bestFit="1" customWidth="1"/>
    <col min="2848" max="2848" width="9.109375" bestFit="1" customWidth="1"/>
    <col min="2849" max="2851" width="16.109375" bestFit="1" customWidth="1"/>
    <col min="3073" max="3073" width="4.109375" customWidth="1"/>
    <col min="3074" max="3074" width="13.33203125" bestFit="1" customWidth="1"/>
    <col min="3075" max="3075" width="11.6640625" bestFit="1" customWidth="1"/>
    <col min="3076" max="3076" width="12.109375" bestFit="1" customWidth="1"/>
    <col min="3077" max="3077" width="23.109375" bestFit="1" customWidth="1"/>
    <col min="3078" max="3078" width="10.88671875" bestFit="1" customWidth="1"/>
    <col min="3079" max="3079" width="13.6640625" bestFit="1" customWidth="1"/>
    <col min="3080" max="3080" width="19.6640625" bestFit="1" customWidth="1"/>
    <col min="3081" max="3081" width="11.5546875" bestFit="1" customWidth="1"/>
    <col min="3082" max="3082" width="13.44140625" customWidth="1"/>
    <col min="3083" max="3083" width="8.33203125" bestFit="1" customWidth="1"/>
    <col min="3084" max="3084" width="12" bestFit="1" customWidth="1"/>
    <col min="3085" max="3085" width="10.33203125" bestFit="1" customWidth="1"/>
    <col min="3086" max="3086" width="9.33203125" bestFit="1" customWidth="1"/>
    <col min="3087" max="3087" width="8.6640625" bestFit="1" customWidth="1"/>
    <col min="3088" max="3088" width="12" bestFit="1" customWidth="1"/>
    <col min="3089" max="3089" width="10.33203125" bestFit="1" customWidth="1"/>
    <col min="3090" max="3090" width="12" bestFit="1" customWidth="1"/>
    <col min="3091" max="3092" width="10.88671875" customWidth="1"/>
    <col min="3093" max="3093" width="10.33203125" bestFit="1" customWidth="1"/>
    <col min="3094" max="3094" width="16.109375" bestFit="1" customWidth="1"/>
    <col min="3095" max="3095" width="12.109375" bestFit="1" customWidth="1"/>
    <col min="3096" max="3096" width="13.33203125" bestFit="1" customWidth="1"/>
    <col min="3097" max="3097" width="12" bestFit="1" customWidth="1"/>
    <col min="3098" max="3098" width="10.33203125" bestFit="1" customWidth="1"/>
    <col min="3099" max="3099" width="14.109375" bestFit="1" customWidth="1"/>
    <col min="3100" max="3100" width="12" bestFit="1" customWidth="1"/>
    <col min="3101" max="3101" width="16.109375" bestFit="1" customWidth="1"/>
    <col min="3102" max="3102" width="14.88671875" bestFit="1" customWidth="1"/>
    <col min="3103" max="3103" width="16.109375" bestFit="1" customWidth="1"/>
    <col min="3104" max="3104" width="9.109375" bestFit="1" customWidth="1"/>
    <col min="3105" max="3107" width="16.109375" bestFit="1" customWidth="1"/>
    <col min="3329" max="3329" width="4.109375" customWidth="1"/>
    <col min="3330" max="3330" width="13.33203125" bestFit="1" customWidth="1"/>
    <col min="3331" max="3331" width="11.6640625" bestFit="1" customWidth="1"/>
    <col min="3332" max="3332" width="12.109375" bestFit="1" customWidth="1"/>
    <col min="3333" max="3333" width="23.109375" bestFit="1" customWidth="1"/>
    <col min="3334" max="3334" width="10.88671875" bestFit="1" customWidth="1"/>
    <col min="3335" max="3335" width="13.6640625" bestFit="1" customWidth="1"/>
    <col min="3336" max="3336" width="19.6640625" bestFit="1" customWidth="1"/>
    <col min="3337" max="3337" width="11.5546875" bestFit="1" customWidth="1"/>
    <col min="3338" max="3338" width="13.44140625" customWidth="1"/>
    <col min="3339" max="3339" width="8.33203125" bestFit="1" customWidth="1"/>
    <col min="3340" max="3340" width="12" bestFit="1" customWidth="1"/>
    <col min="3341" max="3341" width="10.33203125" bestFit="1" customWidth="1"/>
    <col min="3342" max="3342" width="9.33203125" bestFit="1" customWidth="1"/>
    <col min="3343" max="3343" width="8.6640625" bestFit="1" customWidth="1"/>
    <col min="3344" max="3344" width="12" bestFit="1" customWidth="1"/>
    <col min="3345" max="3345" width="10.33203125" bestFit="1" customWidth="1"/>
    <col min="3346" max="3346" width="12" bestFit="1" customWidth="1"/>
    <col min="3347" max="3348" width="10.88671875" customWidth="1"/>
    <col min="3349" max="3349" width="10.33203125" bestFit="1" customWidth="1"/>
    <col min="3350" max="3350" width="16.109375" bestFit="1" customWidth="1"/>
    <col min="3351" max="3351" width="12.109375" bestFit="1" customWidth="1"/>
    <col min="3352" max="3352" width="13.33203125" bestFit="1" customWidth="1"/>
    <col min="3353" max="3353" width="12" bestFit="1" customWidth="1"/>
    <col min="3354" max="3354" width="10.33203125" bestFit="1" customWidth="1"/>
    <col min="3355" max="3355" width="14.109375" bestFit="1" customWidth="1"/>
    <col min="3356" max="3356" width="12" bestFit="1" customWidth="1"/>
    <col min="3357" max="3357" width="16.109375" bestFit="1" customWidth="1"/>
    <col min="3358" max="3358" width="14.88671875" bestFit="1" customWidth="1"/>
    <col min="3359" max="3359" width="16.109375" bestFit="1" customWidth="1"/>
    <col min="3360" max="3360" width="9.109375" bestFit="1" customWidth="1"/>
    <col min="3361" max="3363" width="16.109375" bestFit="1" customWidth="1"/>
    <col min="3585" max="3585" width="4.109375" customWidth="1"/>
    <col min="3586" max="3586" width="13.33203125" bestFit="1" customWidth="1"/>
    <col min="3587" max="3587" width="11.6640625" bestFit="1" customWidth="1"/>
    <col min="3588" max="3588" width="12.109375" bestFit="1" customWidth="1"/>
    <col min="3589" max="3589" width="23.109375" bestFit="1" customWidth="1"/>
    <col min="3590" max="3590" width="10.88671875" bestFit="1" customWidth="1"/>
    <col min="3591" max="3591" width="13.6640625" bestFit="1" customWidth="1"/>
    <col min="3592" max="3592" width="19.6640625" bestFit="1" customWidth="1"/>
    <col min="3593" max="3593" width="11.5546875" bestFit="1" customWidth="1"/>
    <col min="3594" max="3594" width="13.44140625" customWidth="1"/>
    <col min="3595" max="3595" width="8.33203125" bestFit="1" customWidth="1"/>
    <col min="3596" max="3596" width="12" bestFit="1" customWidth="1"/>
    <col min="3597" max="3597" width="10.33203125" bestFit="1" customWidth="1"/>
    <col min="3598" max="3598" width="9.33203125" bestFit="1" customWidth="1"/>
    <col min="3599" max="3599" width="8.6640625" bestFit="1" customWidth="1"/>
    <col min="3600" max="3600" width="12" bestFit="1" customWidth="1"/>
    <col min="3601" max="3601" width="10.33203125" bestFit="1" customWidth="1"/>
    <col min="3602" max="3602" width="12" bestFit="1" customWidth="1"/>
    <col min="3603" max="3604" width="10.88671875" customWidth="1"/>
    <col min="3605" max="3605" width="10.33203125" bestFit="1" customWidth="1"/>
    <col min="3606" max="3606" width="16.109375" bestFit="1" customWidth="1"/>
    <col min="3607" max="3607" width="12.109375" bestFit="1" customWidth="1"/>
    <col min="3608" max="3608" width="13.33203125" bestFit="1" customWidth="1"/>
    <col min="3609" max="3609" width="12" bestFit="1" customWidth="1"/>
    <col min="3610" max="3610" width="10.33203125" bestFit="1" customWidth="1"/>
    <col min="3611" max="3611" width="14.109375" bestFit="1" customWidth="1"/>
    <col min="3612" max="3612" width="12" bestFit="1" customWidth="1"/>
    <col min="3613" max="3613" width="16.109375" bestFit="1" customWidth="1"/>
    <col min="3614" max="3614" width="14.88671875" bestFit="1" customWidth="1"/>
    <col min="3615" max="3615" width="16.109375" bestFit="1" customWidth="1"/>
    <col min="3616" max="3616" width="9.109375" bestFit="1" customWidth="1"/>
    <col min="3617" max="3619" width="16.109375" bestFit="1" customWidth="1"/>
    <col min="3841" max="3841" width="4.109375" customWidth="1"/>
    <col min="3842" max="3842" width="13.33203125" bestFit="1" customWidth="1"/>
    <col min="3843" max="3843" width="11.6640625" bestFit="1" customWidth="1"/>
    <col min="3844" max="3844" width="12.109375" bestFit="1" customWidth="1"/>
    <col min="3845" max="3845" width="23.109375" bestFit="1" customWidth="1"/>
    <col min="3846" max="3846" width="10.88671875" bestFit="1" customWidth="1"/>
    <col min="3847" max="3847" width="13.6640625" bestFit="1" customWidth="1"/>
    <col min="3848" max="3848" width="19.6640625" bestFit="1" customWidth="1"/>
    <col min="3849" max="3849" width="11.5546875" bestFit="1" customWidth="1"/>
    <col min="3850" max="3850" width="13.44140625" customWidth="1"/>
    <col min="3851" max="3851" width="8.33203125" bestFit="1" customWidth="1"/>
    <col min="3852" max="3852" width="12" bestFit="1" customWidth="1"/>
    <col min="3853" max="3853" width="10.33203125" bestFit="1" customWidth="1"/>
    <col min="3854" max="3854" width="9.33203125" bestFit="1" customWidth="1"/>
    <col min="3855" max="3855" width="8.6640625" bestFit="1" customWidth="1"/>
    <col min="3856" max="3856" width="12" bestFit="1" customWidth="1"/>
    <col min="3857" max="3857" width="10.33203125" bestFit="1" customWidth="1"/>
    <col min="3858" max="3858" width="12" bestFit="1" customWidth="1"/>
    <col min="3859" max="3860" width="10.88671875" customWidth="1"/>
    <col min="3861" max="3861" width="10.33203125" bestFit="1" customWidth="1"/>
    <col min="3862" max="3862" width="16.109375" bestFit="1" customWidth="1"/>
    <col min="3863" max="3863" width="12.109375" bestFit="1" customWidth="1"/>
    <col min="3864" max="3864" width="13.33203125" bestFit="1" customWidth="1"/>
    <col min="3865" max="3865" width="12" bestFit="1" customWidth="1"/>
    <col min="3866" max="3866" width="10.33203125" bestFit="1" customWidth="1"/>
    <col min="3867" max="3867" width="14.109375" bestFit="1" customWidth="1"/>
    <col min="3868" max="3868" width="12" bestFit="1" customWidth="1"/>
    <col min="3869" max="3869" width="16.109375" bestFit="1" customWidth="1"/>
    <col min="3870" max="3870" width="14.88671875" bestFit="1" customWidth="1"/>
    <col min="3871" max="3871" width="16.109375" bestFit="1" customWidth="1"/>
    <col min="3872" max="3872" width="9.109375" bestFit="1" customWidth="1"/>
    <col min="3873" max="3875" width="16.109375" bestFit="1" customWidth="1"/>
    <col min="4097" max="4097" width="4.109375" customWidth="1"/>
    <col min="4098" max="4098" width="13.33203125" bestFit="1" customWidth="1"/>
    <col min="4099" max="4099" width="11.6640625" bestFit="1" customWidth="1"/>
    <col min="4100" max="4100" width="12.109375" bestFit="1" customWidth="1"/>
    <col min="4101" max="4101" width="23.109375" bestFit="1" customWidth="1"/>
    <col min="4102" max="4102" width="10.88671875" bestFit="1" customWidth="1"/>
    <col min="4103" max="4103" width="13.6640625" bestFit="1" customWidth="1"/>
    <col min="4104" max="4104" width="19.6640625" bestFit="1" customWidth="1"/>
    <col min="4105" max="4105" width="11.5546875" bestFit="1" customWidth="1"/>
    <col min="4106" max="4106" width="13.44140625" customWidth="1"/>
    <col min="4107" max="4107" width="8.33203125" bestFit="1" customWidth="1"/>
    <col min="4108" max="4108" width="12" bestFit="1" customWidth="1"/>
    <col min="4109" max="4109" width="10.33203125" bestFit="1" customWidth="1"/>
    <col min="4110" max="4110" width="9.33203125" bestFit="1" customWidth="1"/>
    <col min="4111" max="4111" width="8.6640625" bestFit="1" customWidth="1"/>
    <col min="4112" max="4112" width="12" bestFit="1" customWidth="1"/>
    <col min="4113" max="4113" width="10.33203125" bestFit="1" customWidth="1"/>
    <col min="4114" max="4114" width="12" bestFit="1" customWidth="1"/>
    <col min="4115" max="4116" width="10.88671875" customWidth="1"/>
    <col min="4117" max="4117" width="10.33203125" bestFit="1" customWidth="1"/>
    <col min="4118" max="4118" width="16.109375" bestFit="1" customWidth="1"/>
    <col min="4119" max="4119" width="12.109375" bestFit="1" customWidth="1"/>
    <col min="4120" max="4120" width="13.33203125" bestFit="1" customWidth="1"/>
    <col min="4121" max="4121" width="12" bestFit="1" customWidth="1"/>
    <col min="4122" max="4122" width="10.33203125" bestFit="1" customWidth="1"/>
    <col min="4123" max="4123" width="14.109375" bestFit="1" customWidth="1"/>
    <col min="4124" max="4124" width="12" bestFit="1" customWidth="1"/>
    <col min="4125" max="4125" width="16.109375" bestFit="1" customWidth="1"/>
    <col min="4126" max="4126" width="14.88671875" bestFit="1" customWidth="1"/>
    <col min="4127" max="4127" width="16.109375" bestFit="1" customWidth="1"/>
    <col min="4128" max="4128" width="9.109375" bestFit="1" customWidth="1"/>
    <col min="4129" max="4131" width="16.109375" bestFit="1" customWidth="1"/>
    <col min="4353" max="4353" width="4.109375" customWidth="1"/>
    <col min="4354" max="4354" width="13.33203125" bestFit="1" customWidth="1"/>
    <col min="4355" max="4355" width="11.6640625" bestFit="1" customWidth="1"/>
    <col min="4356" max="4356" width="12.109375" bestFit="1" customWidth="1"/>
    <col min="4357" max="4357" width="23.109375" bestFit="1" customWidth="1"/>
    <col min="4358" max="4358" width="10.88671875" bestFit="1" customWidth="1"/>
    <col min="4359" max="4359" width="13.6640625" bestFit="1" customWidth="1"/>
    <col min="4360" max="4360" width="19.6640625" bestFit="1" customWidth="1"/>
    <col min="4361" max="4361" width="11.5546875" bestFit="1" customWidth="1"/>
    <col min="4362" max="4362" width="13.44140625" customWidth="1"/>
    <col min="4363" max="4363" width="8.33203125" bestFit="1" customWidth="1"/>
    <col min="4364" max="4364" width="12" bestFit="1" customWidth="1"/>
    <col min="4365" max="4365" width="10.33203125" bestFit="1" customWidth="1"/>
    <col min="4366" max="4366" width="9.33203125" bestFit="1" customWidth="1"/>
    <col min="4367" max="4367" width="8.6640625" bestFit="1" customWidth="1"/>
    <col min="4368" max="4368" width="12" bestFit="1" customWidth="1"/>
    <col min="4369" max="4369" width="10.33203125" bestFit="1" customWidth="1"/>
    <col min="4370" max="4370" width="12" bestFit="1" customWidth="1"/>
    <col min="4371" max="4372" width="10.88671875" customWidth="1"/>
    <col min="4373" max="4373" width="10.33203125" bestFit="1" customWidth="1"/>
    <col min="4374" max="4374" width="16.109375" bestFit="1" customWidth="1"/>
    <col min="4375" max="4375" width="12.109375" bestFit="1" customWidth="1"/>
    <col min="4376" max="4376" width="13.33203125" bestFit="1" customWidth="1"/>
    <col min="4377" max="4377" width="12" bestFit="1" customWidth="1"/>
    <col min="4378" max="4378" width="10.33203125" bestFit="1" customWidth="1"/>
    <col min="4379" max="4379" width="14.109375" bestFit="1" customWidth="1"/>
    <col min="4380" max="4380" width="12" bestFit="1" customWidth="1"/>
    <col min="4381" max="4381" width="16.109375" bestFit="1" customWidth="1"/>
    <col min="4382" max="4382" width="14.88671875" bestFit="1" customWidth="1"/>
    <col min="4383" max="4383" width="16.109375" bestFit="1" customWidth="1"/>
    <col min="4384" max="4384" width="9.109375" bestFit="1" customWidth="1"/>
    <col min="4385" max="4387" width="16.109375" bestFit="1" customWidth="1"/>
    <col min="4609" max="4609" width="4.109375" customWidth="1"/>
    <col min="4610" max="4610" width="13.33203125" bestFit="1" customWidth="1"/>
    <col min="4611" max="4611" width="11.6640625" bestFit="1" customWidth="1"/>
    <col min="4612" max="4612" width="12.109375" bestFit="1" customWidth="1"/>
    <col min="4613" max="4613" width="23.109375" bestFit="1" customWidth="1"/>
    <col min="4614" max="4614" width="10.88671875" bestFit="1" customWidth="1"/>
    <col min="4615" max="4615" width="13.6640625" bestFit="1" customWidth="1"/>
    <col min="4616" max="4616" width="19.6640625" bestFit="1" customWidth="1"/>
    <col min="4617" max="4617" width="11.5546875" bestFit="1" customWidth="1"/>
    <col min="4618" max="4618" width="13.44140625" customWidth="1"/>
    <col min="4619" max="4619" width="8.33203125" bestFit="1" customWidth="1"/>
    <col min="4620" max="4620" width="12" bestFit="1" customWidth="1"/>
    <col min="4621" max="4621" width="10.33203125" bestFit="1" customWidth="1"/>
    <col min="4622" max="4622" width="9.33203125" bestFit="1" customWidth="1"/>
    <col min="4623" max="4623" width="8.6640625" bestFit="1" customWidth="1"/>
    <col min="4624" max="4624" width="12" bestFit="1" customWidth="1"/>
    <col min="4625" max="4625" width="10.33203125" bestFit="1" customWidth="1"/>
    <col min="4626" max="4626" width="12" bestFit="1" customWidth="1"/>
    <col min="4627" max="4628" width="10.88671875" customWidth="1"/>
    <col min="4629" max="4629" width="10.33203125" bestFit="1" customWidth="1"/>
    <col min="4630" max="4630" width="16.109375" bestFit="1" customWidth="1"/>
    <col min="4631" max="4631" width="12.109375" bestFit="1" customWidth="1"/>
    <col min="4632" max="4632" width="13.33203125" bestFit="1" customWidth="1"/>
    <col min="4633" max="4633" width="12" bestFit="1" customWidth="1"/>
    <col min="4634" max="4634" width="10.33203125" bestFit="1" customWidth="1"/>
    <col min="4635" max="4635" width="14.109375" bestFit="1" customWidth="1"/>
    <col min="4636" max="4636" width="12" bestFit="1" customWidth="1"/>
    <col min="4637" max="4637" width="16.109375" bestFit="1" customWidth="1"/>
    <col min="4638" max="4638" width="14.88671875" bestFit="1" customWidth="1"/>
    <col min="4639" max="4639" width="16.109375" bestFit="1" customWidth="1"/>
    <col min="4640" max="4640" width="9.109375" bestFit="1" customWidth="1"/>
    <col min="4641" max="4643" width="16.109375" bestFit="1" customWidth="1"/>
    <col min="4865" max="4865" width="4.109375" customWidth="1"/>
    <col min="4866" max="4866" width="13.33203125" bestFit="1" customWidth="1"/>
    <col min="4867" max="4867" width="11.6640625" bestFit="1" customWidth="1"/>
    <col min="4868" max="4868" width="12.109375" bestFit="1" customWidth="1"/>
    <col min="4869" max="4869" width="23.109375" bestFit="1" customWidth="1"/>
    <col min="4870" max="4870" width="10.88671875" bestFit="1" customWidth="1"/>
    <col min="4871" max="4871" width="13.6640625" bestFit="1" customWidth="1"/>
    <col min="4872" max="4872" width="19.6640625" bestFit="1" customWidth="1"/>
    <col min="4873" max="4873" width="11.5546875" bestFit="1" customWidth="1"/>
    <col min="4874" max="4874" width="13.44140625" customWidth="1"/>
    <col min="4875" max="4875" width="8.33203125" bestFit="1" customWidth="1"/>
    <col min="4876" max="4876" width="12" bestFit="1" customWidth="1"/>
    <col min="4877" max="4877" width="10.33203125" bestFit="1" customWidth="1"/>
    <col min="4878" max="4878" width="9.33203125" bestFit="1" customWidth="1"/>
    <col min="4879" max="4879" width="8.6640625" bestFit="1" customWidth="1"/>
    <col min="4880" max="4880" width="12" bestFit="1" customWidth="1"/>
    <col min="4881" max="4881" width="10.33203125" bestFit="1" customWidth="1"/>
    <col min="4882" max="4882" width="12" bestFit="1" customWidth="1"/>
    <col min="4883" max="4884" width="10.88671875" customWidth="1"/>
    <col min="4885" max="4885" width="10.33203125" bestFit="1" customWidth="1"/>
    <col min="4886" max="4886" width="16.109375" bestFit="1" customWidth="1"/>
    <col min="4887" max="4887" width="12.109375" bestFit="1" customWidth="1"/>
    <col min="4888" max="4888" width="13.33203125" bestFit="1" customWidth="1"/>
    <col min="4889" max="4889" width="12" bestFit="1" customWidth="1"/>
    <col min="4890" max="4890" width="10.33203125" bestFit="1" customWidth="1"/>
    <col min="4891" max="4891" width="14.109375" bestFit="1" customWidth="1"/>
    <col min="4892" max="4892" width="12" bestFit="1" customWidth="1"/>
    <col min="4893" max="4893" width="16.109375" bestFit="1" customWidth="1"/>
    <col min="4894" max="4894" width="14.88671875" bestFit="1" customWidth="1"/>
    <col min="4895" max="4895" width="16.109375" bestFit="1" customWidth="1"/>
    <col min="4896" max="4896" width="9.109375" bestFit="1" customWidth="1"/>
    <col min="4897" max="4899" width="16.109375" bestFit="1" customWidth="1"/>
    <col min="5121" max="5121" width="4.109375" customWidth="1"/>
    <col min="5122" max="5122" width="13.33203125" bestFit="1" customWidth="1"/>
    <col min="5123" max="5123" width="11.6640625" bestFit="1" customWidth="1"/>
    <col min="5124" max="5124" width="12.109375" bestFit="1" customWidth="1"/>
    <col min="5125" max="5125" width="23.109375" bestFit="1" customWidth="1"/>
    <col min="5126" max="5126" width="10.88671875" bestFit="1" customWidth="1"/>
    <col min="5127" max="5127" width="13.6640625" bestFit="1" customWidth="1"/>
    <col min="5128" max="5128" width="19.6640625" bestFit="1" customWidth="1"/>
    <col min="5129" max="5129" width="11.5546875" bestFit="1" customWidth="1"/>
    <col min="5130" max="5130" width="13.44140625" customWidth="1"/>
    <col min="5131" max="5131" width="8.33203125" bestFit="1" customWidth="1"/>
    <col min="5132" max="5132" width="12" bestFit="1" customWidth="1"/>
    <col min="5133" max="5133" width="10.33203125" bestFit="1" customWidth="1"/>
    <col min="5134" max="5134" width="9.33203125" bestFit="1" customWidth="1"/>
    <col min="5135" max="5135" width="8.6640625" bestFit="1" customWidth="1"/>
    <col min="5136" max="5136" width="12" bestFit="1" customWidth="1"/>
    <col min="5137" max="5137" width="10.33203125" bestFit="1" customWidth="1"/>
    <col min="5138" max="5138" width="12" bestFit="1" customWidth="1"/>
    <col min="5139" max="5140" width="10.88671875" customWidth="1"/>
    <col min="5141" max="5141" width="10.33203125" bestFit="1" customWidth="1"/>
    <col min="5142" max="5142" width="16.109375" bestFit="1" customWidth="1"/>
    <col min="5143" max="5143" width="12.109375" bestFit="1" customWidth="1"/>
    <col min="5144" max="5144" width="13.33203125" bestFit="1" customWidth="1"/>
    <col min="5145" max="5145" width="12" bestFit="1" customWidth="1"/>
    <col min="5146" max="5146" width="10.33203125" bestFit="1" customWidth="1"/>
    <col min="5147" max="5147" width="14.109375" bestFit="1" customWidth="1"/>
    <col min="5148" max="5148" width="12" bestFit="1" customWidth="1"/>
    <col min="5149" max="5149" width="16.109375" bestFit="1" customWidth="1"/>
    <col min="5150" max="5150" width="14.88671875" bestFit="1" customWidth="1"/>
    <col min="5151" max="5151" width="16.109375" bestFit="1" customWidth="1"/>
    <col min="5152" max="5152" width="9.109375" bestFit="1" customWidth="1"/>
    <col min="5153" max="5155" width="16.109375" bestFit="1" customWidth="1"/>
    <col min="5377" max="5377" width="4.109375" customWidth="1"/>
    <col min="5378" max="5378" width="13.33203125" bestFit="1" customWidth="1"/>
    <col min="5379" max="5379" width="11.6640625" bestFit="1" customWidth="1"/>
    <col min="5380" max="5380" width="12.109375" bestFit="1" customWidth="1"/>
    <col min="5381" max="5381" width="23.109375" bestFit="1" customWidth="1"/>
    <col min="5382" max="5382" width="10.88671875" bestFit="1" customWidth="1"/>
    <col min="5383" max="5383" width="13.6640625" bestFit="1" customWidth="1"/>
    <col min="5384" max="5384" width="19.6640625" bestFit="1" customWidth="1"/>
    <col min="5385" max="5385" width="11.5546875" bestFit="1" customWidth="1"/>
    <col min="5386" max="5386" width="13.44140625" customWidth="1"/>
    <col min="5387" max="5387" width="8.33203125" bestFit="1" customWidth="1"/>
    <col min="5388" max="5388" width="12" bestFit="1" customWidth="1"/>
    <col min="5389" max="5389" width="10.33203125" bestFit="1" customWidth="1"/>
    <col min="5390" max="5390" width="9.33203125" bestFit="1" customWidth="1"/>
    <col min="5391" max="5391" width="8.6640625" bestFit="1" customWidth="1"/>
    <col min="5392" max="5392" width="12" bestFit="1" customWidth="1"/>
    <col min="5393" max="5393" width="10.33203125" bestFit="1" customWidth="1"/>
    <col min="5394" max="5394" width="12" bestFit="1" customWidth="1"/>
    <col min="5395" max="5396" width="10.88671875" customWidth="1"/>
    <col min="5397" max="5397" width="10.33203125" bestFit="1" customWidth="1"/>
    <col min="5398" max="5398" width="16.109375" bestFit="1" customWidth="1"/>
    <col min="5399" max="5399" width="12.109375" bestFit="1" customWidth="1"/>
    <col min="5400" max="5400" width="13.33203125" bestFit="1" customWidth="1"/>
    <col min="5401" max="5401" width="12" bestFit="1" customWidth="1"/>
    <col min="5402" max="5402" width="10.33203125" bestFit="1" customWidth="1"/>
    <col min="5403" max="5403" width="14.109375" bestFit="1" customWidth="1"/>
    <col min="5404" max="5404" width="12" bestFit="1" customWidth="1"/>
    <col min="5405" max="5405" width="16.109375" bestFit="1" customWidth="1"/>
    <col min="5406" max="5406" width="14.88671875" bestFit="1" customWidth="1"/>
    <col min="5407" max="5407" width="16.109375" bestFit="1" customWidth="1"/>
    <col min="5408" max="5408" width="9.109375" bestFit="1" customWidth="1"/>
    <col min="5409" max="5411" width="16.109375" bestFit="1" customWidth="1"/>
    <col min="5633" max="5633" width="4.109375" customWidth="1"/>
    <col min="5634" max="5634" width="13.33203125" bestFit="1" customWidth="1"/>
    <col min="5635" max="5635" width="11.6640625" bestFit="1" customWidth="1"/>
    <col min="5636" max="5636" width="12.109375" bestFit="1" customWidth="1"/>
    <col min="5637" max="5637" width="23.109375" bestFit="1" customWidth="1"/>
    <col min="5638" max="5638" width="10.88671875" bestFit="1" customWidth="1"/>
    <col min="5639" max="5639" width="13.6640625" bestFit="1" customWidth="1"/>
    <col min="5640" max="5640" width="19.6640625" bestFit="1" customWidth="1"/>
    <col min="5641" max="5641" width="11.5546875" bestFit="1" customWidth="1"/>
    <col min="5642" max="5642" width="13.44140625" customWidth="1"/>
    <col min="5643" max="5643" width="8.33203125" bestFit="1" customWidth="1"/>
    <col min="5644" max="5644" width="12" bestFit="1" customWidth="1"/>
    <col min="5645" max="5645" width="10.33203125" bestFit="1" customWidth="1"/>
    <col min="5646" max="5646" width="9.33203125" bestFit="1" customWidth="1"/>
    <col min="5647" max="5647" width="8.6640625" bestFit="1" customWidth="1"/>
    <col min="5648" max="5648" width="12" bestFit="1" customWidth="1"/>
    <col min="5649" max="5649" width="10.33203125" bestFit="1" customWidth="1"/>
    <col min="5650" max="5650" width="12" bestFit="1" customWidth="1"/>
    <col min="5651" max="5652" width="10.88671875" customWidth="1"/>
    <col min="5653" max="5653" width="10.33203125" bestFit="1" customWidth="1"/>
    <col min="5654" max="5654" width="16.109375" bestFit="1" customWidth="1"/>
    <col min="5655" max="5655" width="12.109375" bestFit="1" customWidth="1"/>
    <col min="5656" max="5656" width="13.33203125" bestFit="1" customWidth="1"/>
    <col min="5657" max="5657" width="12" bestFit="1" customWidth="1"/>
    <col min="5658" max="5658" width="10.33203125" bestFit="1" customWidth="1"/>
    <col min="5659" max="5659" width="14.109375" bestFit="1" customWidth="1"/>
    <col min="5660" max="5660" width="12" bestFit="1" customWidth="1"/>
    <col min="5661" max="5661" width="16.109375" bestFit="1" customWidth="1"/>
    <col min="5662" max="5662" width="14.88671875" bestFit="1" customWidth="1"/>
    <col min="5663" max="5663" width="16.109375" bestFit="1" customWidth="1"/>
    <col min="5664" max="5664" width="9.109375" bestFit="1" customWidth="1"/>
    <col min="5665" max="5667" width="16.109375" bestFit="1" customWidth="1"/>
    <col min="5889" max="5889" width="4.109375" customWidth="1"/>
    <col min="5890" max="5890" width="13.33203125" bestFit="1" customWidth="1"/>
    <col min="5891" max="5891" width="11.6640625" bestFit="1" customWidth="1"/>
    <col min="5892" max="5892" width="12.109375" bestFit="1" customWidth="1"/>
    <col min="5893" max="5893" width="23.109375" bestFit="1" customWidth="1"/>
    <col min="5894" max="5894" width="10.88671875" bestFit="1" customWidth="1"/>
    <col min="5895" max="5895" width="13.6640625" bestFit="1" customWidth="1"/>
    <col min="5896" max="5896" width="19.6640625" bestFit="1" customWidth="1"/>
    <col min="5897" max="5897" width="11.5546875" bestFit="1" customWidth="1"/>
    <col min="5898" max="5898" width="13.44140625" customWidth="1"/>
    <col min="5899" max="5899" width="8.33203125" bestFit="1" customWidth="1"/>
    <col min="5900" max="5900" width="12" bestFit="1" customWidth="1"/>
    <col min="5901" max="5901" width="10.33203125" bestFit="1" customWidth="1"/>
    <col min="5902" max="5902" width="9.33203125" bestFit="1" customWidth="1"/>
    <col min="5903" max="5903" width="8.6640625" bestFit="1" customWidth="1"/>
    <col min="5904" max="5904" width="12" bestFit="1" customWidth="1"/>
    <col min="5905" max="5905" width="10.33203125" bestFit="1" customWidth="1"/>
    <col min="5906" max="5906" width="12" bestFit="1" customWidth="1"/>
    <col min="5907" max="5908" width="10.88671875" customWidth="1"/>
    <col min="5909" max="5909" width="10.33203125" bestFit="1" customWidth="1"/>
    <col min="5910" max="5910" width="16.109375" bestFit="1" customWidth="1"/>
    <col min="5911" max="5911" width="12.109375" bestFit="1" customWidth="1"/>
    <col min="5912" max="5912" width="13.33203125" bestFit="1" customWidth="1"/>
    <col min="5913" max="5913" width="12" bestFit="1" customWidth="1"/>
    <col min="5914" max="5914" width="10.33203125" bestFit="1" customWidth="1"/>
    <col min="5915" max="5915" width="14.109375" bestFit="1" customWidth="1"/>
    <col min="5916" max="5916" width="12" bestFit="1" customWidth="1"/>
    <col min="5917" max="5917" width="16.109375" bestFit="1" customWidth="1"/>
    <col min="5918" max="5918" width="14.88671875" bestFit="1" customWidth="1"/>
    <col min="5919" max="5919" width="16.109375" bestFit="1" customWidth="1"/>
    <col min="5920" max="5920" width="9.109375" bestFit="1" customWidth="1"/>
    <col min="5921" max="5923" width="16.109375" bestFit="1" customWidth="1"/>
    <col min="6145" max="6145" width="4.109375" customWidth="1"/>
    <col min="6146" max="6146" width="13.33203125" bestFit="1" customWidth="1"/>
    <col min="6147" max="6147" width="11.6640625" bestFit="1" customWidth="1"/>
    <col min="6148" max="6148" width="12.109375" bestFit="1" customWidth="1"/>
    <col min="6149" max="6149" width="23.109375" bestFit="1" customWidth="1"/>
    <col min="6150" max="6150" width="10.88671875" bestFit="1" customWidth="1"/>
    <col min="6151" max="6151" width="13.6640625" bestFit="1" customWidth="1"/>
    <col min="6152" max="6152" width="19.6640625" bestFit="1" customWidth="1"/>
    <col min="6153" max="6153" width="11.5546875" bestFit="1" customWidth="1"/>
    <col min="6154" max="6154" width="13.44140625" customWidth="1"/>
    <col min="6155" max="6155" width="8.33203125" bestFit="1" customWidth="1"/>
    <col min="6156" max="6156" width="12" bestFit="1" customWidth="1"/>
    <col min="6157" max="6157" width="10.33203125" bestFit="1" customWidth="1"/>
    <col min="6158" max="6158" width="9.33203125" bestFit="1" customWidth="1"/>
    <col min="6159" max="6159" width="8.6640625" bestFit="1" customWidth="1"/>
    <col min="6160" max="6160" width="12" bestFit="1" customWidth="1"/>
    <col min="6161" max="6161" width="10.33203125" bestFit="1" customWidth="1"/>
    <col min="6162" max="6162" width="12" bestFit="1" customWidth="1"/>
    <col min="6163" max="6164" width="10.88671875" customWidth="1"/>
    <col min="6165" max="6165" width="10.33203125" bestFit="1" customWidth="1"/>
    <col min="6166" max="6166" width="16.109375" bestFit="1" customWidth="1"/>
    <col min="6167" max="6167" width="12.109375" bestFit="1" customWidth="1"/>
    <col min="6168" max="6168" width="13.33203125" bestFit="1" customWidth="1"/>
    <col min="6169" max="6169" width="12" bestFit="1" customWidth="1"/>
    <col min="6170" max="6170" width="10.33203125" bestFit="1" customWidth="1"/>
    <col min="6171" max="6171" width="14.109375" bestFit="1" customWidth="1"/>
    <col min="6172" max="6172" width="12" bestFit="1" customWidth="1"/>
    <col min="6173" max="6173" width="16.109375" bestFit="1" customWidth="1"/>
    <col min="6174" max="6174" width="14.88671875" bestFit="1" customWidth="1"/>
    <col min="6175" max="6175" width="16.109375" bestFit="1" customWidth="1"/>
    <col min="6176" max="6176" width="9.109375" bestFit="1" customWidth="1"/>
    <col min="6177" max="6179" width="16.109375" bestFit="1" customWidth="1"/>
    <col min="6401" max="6401" width="4.109375" customWidth="1"/>
    <col min="6402" max="6402" width="13.33203125" bestFit="1" customWidth="1"/>
    <col min="6403" max="6403" width="11.6640625" bestFit="1" customWidth="1"/>
    <col min="6404" max="6404" width="12.109375" bestFit="1" customWidth="1"/>
    <col min="6405" max="6405" width="23.109375" bestFit="1" customWidth="1"/>
    <col min="6406" max="6406" width="10.88671875" bestFit="1" customWidth="1"/>
    <col min="6407" max="6407" width="13.6640625" bestFit="1" customWidth="1"/>
    <col min="6408" max="6408" width="19.6640625" bestFit="1" customWidth="1"/>
    <col min="6409" max="6409" width="11.5546875" bestFit="1" customWidth="1"/>
    <col min="6410" max="6410" width="13.44140625" customWidth="1"/>
    <col min="6411" max="6411" width="8.33203125" bestFit="1" customWidth="1"/>
    <col min="6412" max="6412" width="12" bestFit="1" customWidth="1"/>
    <col min="6413" max="6413" width="10.33203125" bestFit="1" customWidth="1"/>
    <col min="6414" max="6414" width="9.33203125" bestFit="1" customWidth="1"/>
    <col min="6415" max="6415" width="8.6640625" bestFit="1" customWidth="1"/>
    <col min="6416" max="6416" width="12" bestFit="1" customWidth="1"/>
    <col min="6417" max="6417" width="10.33203125" bestFit="1" customWidth="1"/>
    <col min="6418" max="6418" width="12" bestFit="1" customWidth="1"/>
    <col min="6419" max="6420" width="10.88671875" customWidth="1"/>
    <col min="6421" max="6421" width="10.33203125" bestFit="1" customWidth="1"/>
    <col min="6422" max="6422" width="16.109375" bestFit="1" customWidth="1"/>
    <col min="6423" max="6423" width="12.109375" bestFit="1" customWidth="1"/>
    <col min="6424" max="6424" width="13.33203125" bestFit="1" customWidth="1"/>
    <col min="6425" max="6425" width="12" bestFit="1" customWidth="1"/>
    <col min="6426" max="6426" width="10.33203125" bestFit="1" customWidth="1"/>
    <col min="6427" max="6427" width="14.109375" bestFit="1" customWidth="1"/>
    <col min="6428" max="6428" width="12" bestFit="1" customWidth="1"/>
    <col min="6429" max="6429" width="16.109375" bestFit="1" customWidth="1"/>
    <col min="6430" max="6430" width="14.88671875" bestFit="1" customWidth="1"/>
    <col min="6431" max="6431" width="16.109375" bestFit="1" customWidth="1"/>
    <col min="6432" max="6432" width="9.109375" bestFit="1" customWidth="1"/>
    <col min="6433" max="6435" width="16.109375" bestFit="1" customWidth="1"/>
    <col min="6657" max="6657" width="4.109375" customWidth="1"/>
    <col min="6658" max="6658" width="13.33203125" bestFit="1" customWidth="1"/>
    <col min="6659" max="6659" width="11.6640625" bestFit="1" customWidth="1"/>
    <col min="6660" max="6660" width="12.109375" bestFit="1" customWidth="1"/>
    <col min="6661" max="6661" width="23.109375" bestFit="1" customWidth="1"/>
    <col min="6662" max="6662" width="10.88671875" bestFit="1" customWidth="1"/>
    <col min="6663" max="6663" width="13.6640625" bestFit="1" customWidth="1"/>
    <col min="6664" max="6664" width="19.6640625" bestFit="1" customWidth="1"/>
    <col min="6665" max="6665" width="11.5546875" bestFit="1" customWidth="1"/>
    <col min="6666" max="6666" width="13.44140625" customWidth="1"/>
    <col min="6667" max="6667" width="8.33203125" bestFit="1" customWidth="1"/>
    <col min="6668" max="6668" width="12" bestFit="1" customWidth="1"/>
    <col min="6669" max="6669" width="10.33203125" bestFit="1" customWidth="1"/>
    <col min="6670" max="6670" width="9.33203125" bestFit="1" customWidth="1"/>
    <col min="6671" max="6671" width="8.6640625" bestFit="1" customWidth="1"/>
    <col min="6672" max="6672" width="12" bestFit="1" customWidth="1"/>
    <col min="6673" max="6673" width="10.33203125" bestFit="1" customWidth="1"/>
    <col min="6674" max="6674" width="12" bestFit="1" customWidth="1"/>
    <col min="6675" max="6676" width="10.88671875" customWidth="1"/>
    <col min="6677" max="6677" width="10.33203125" bestFit="1" customWidth="1"/>
    <col min="6678" max="6678" width="16.109375" bestFit="1" customWidth="1"/>
    <col min="6679" max="6679" width="12.109375" bestFit="1" customWidth="1"/>
    <col min="6680" max="6680" width="13.33203125" bestFit="1" customWidth="1"/>
    <col min="6681" max="6681" width="12" bestFit="1" customWidth="1"/>
    <col min="6682" max="6682" width="10.33203125" bestFit="1" customWidth="1"/>
    <col min="6683" max="6683" width="14.109375" bestFit="1" customWidth="1"/>
    <col min="6684" max="6684" width="12" bestFit="1" customWidth="1"/>
    <col min="6685" max="6685" width="16.109375" bestFit="1" customWidth="1"/>
    <col min="6686" max="6686" width="14.88671875" bestFit="1" customWidth="1"/>
    <col min="6687" max="6687" width="16.109375" bestFit="1" customWidth="1"/>
    <col min="6688" max="6688" width="9.109375" bestFit="1" customWidth="1"/>
    <col min="6689" max="6691" width="16.109375" bestFit="1" customWidth="1"/>
    <col min="6913" max="6913" width="4.109375" customWidth="1"/>
    <col min="6914" max="6914" width="13.33203125" bestFit="1" customWidth="1"/>
    <col min="6915" max="6915" width="11.6640625" bestFit="1" customWidth="1"/>
    <col min="6916" max="6916" width="12.109375" bestFit="1" customWidth="1"/>
    <col min="6917" max="6917" width="23.109375" bestFit="1" customWidth="1"/>
    <col min="6918" max="6918" width="10.88671875" bestFit="1" customWidth="1"/>
    <col min="6919" max="6919" width="13.6640625" bestFit="1" customWidth="1"/>
    <col min="6920" max="6920" width="19.6640625" bestFit="1" customWidth="1"/>
    <col min="6921" max="6921" width="11.5546875" bestFit="1" customWidth="1"/>
    <col min="6922" max="6922" width="13.44140625" customWidth="1"/>
    <col min="6923" max="6923" width="8.33203125" bestFit="1" customWidth="1"/>
    <col min="6924" max="6924" width="12" bestFit="1" customWidth="1"/>
    <col min="6925" max="6925" width="10.33203125" bestFit="1" customWidth="1"/>
    <col min="6926" max="6926" width="9.33203125" bestFit="1" customWidth="1"/>
    <col min="6927" max="6927" width="8.6640625" bestFit="1" customWidth="1"/>
    <col min="6928" max="6928" width="12" bestFit="1" customWidth="1"/>
    <col min="6929" max="6929" width="10.33203125" bestFit="1" customWidth="1"/>
    <col min="6930" max="6930" width="12" bestFit="1" customWidth="1"/>
    <col min="6931" max="6932" width="10.88671875" customWidth="1"/>
    <col min="6933" max="6933" width="10.33203125" bestFit="1" customWidth="1"/>
    <col min="6934" max="6934" width="16.109375" bestFit="1" customWidth="1"/>
    <col min="6935" max="6935" width="12.109375" bestFit="1" customWidth="1"/>
    <col min="6936" max="6936" width="13.33203125" bestFit="1" customWidth="1"/>
    <col min="6937" max="6937" width="12" bestFit="1" customWidth="1"/>
    <col min="6938" max="6938" width="10.33203125" bestFit="1" customWidth="1"/>
    <col min="6939" max="6939" width="14.109375" bestFit="1" customWidth="1"/>
    <col min="6940" max="6940" width="12" bestFit="1" customWidth="1"/>
    <col min="6941" max="6941" width="16.109375" bestFit="1" customWidth="1"/>
    <col min="6942" max="6942" width="14.88671875" bestFit="1" customWidth="1"/>
    <col min="6943" max="6943" width="16.109375" bestFit="1" customWidth="1"/>
    <col min="6944" max="6944" width="9.109375" bestFit="1" customWidth="1"/>
    <col min="6945" max="6947" width="16.109375" bestFit="1" customWidth="1"/>
    <col min="7169" max="7169" width="4.109375" customWidth="1"/>
    <col min="7170" max="7170" width="13.33203125" bestFit="1" customWidth="1"/>
    <col min="7171" max="7171" width="11.6640625" bestFit="1" customWidth="1"/>
    <col min="7172" max="7172" width="12.109375" bestFit="1" customWidth="1"/>
    <col min="7173" max="7173" width="23.109375" bestFit="1" customWidth="1"/>
    <col min="7174" max="7174" width="10.88671875" bestFit="1" customWidth="1"/>
    <col min="7175" max="7175" width="13.6640625" bestFit="1" customWidth="1"/>
    <col min="7176" max="7176" width="19.6640625" bestFit="1" customWidth="1"/>
    <col min="7177" max="7177" width="11.5546875" bestFit="1" customWidth="1"/>
    <col min="7178" max="7178" width="13.44140625" customWidth="1"/>
    <col min="7179" max="7179" width="8.33203125" bestFit="1" customWidth="1"/>
    <col min="7180" max="7180" width="12" bestFit="1" customWidth="1"/>
    <col min="7181" max="7181" width="10.33203125" bestFit="1" customWidth="1"/>
    <col min="7182" max="7182" width="9.33203125" bestFit="1" customWidth="1"/>
    <col min="7183" max="7183" width="8.6640625" bestFit="1" customWidth="1"/>
    <col min="7184" max="7184" width="12" bestFit="1" customWidth="1"/>
    <col min="7185" max="7185" width="10.33203125" bestFit="1" customWidth="1"/>
    <col min="7186" max="7186" width="12" bestFit="1" customWidth="1"/>
    <col min="7187" max="7188" width="10.88671875" customWidth="1"/>
    <col min="7189" max="7189" width="10.33203125" bestFit="1" customWidth="1"/>
    <col min="7190" max="7190" width="16.109375" bestFit="1" customWidth="1"/>
    <col min="7191" max="7191" width="12.109375" bestFit="1" customWidth="1"/>
    <col min="7192" max="7192" width="13.33203125" bestFit="1" customWidth="1"/>
    <col min="7193" max="7193" width="12" bestFit="1" customWidth="1"/>
    <col min="7194" max="7194" width="10.33203125" bestFit="1" customWidth="1"/>
    <col min="7195" max="7195" width="14.109375" bestFit="1" customWidth="1"/>
    <col min="7196" max="7196" width="12" bestFit="1" customWidth="1"/>
    <col min="7197" max="7197" width="16.109375" bestFit="1" customWidth="1"/>
    <col min="7198" max="7198" width="14.88671875" bestFit="1" customWidth="1"/>
    <col min="7199" max="7199" width="16.109375" bestFit="1" customWidth="1"/>
    <col min="7200" max="7200" width="9.109375" bestFit="1" customWidth="1"/>
    <col min="7201" max="7203" width="16.109375" bestFit="1" customWidth="1"/>
    <col min="7425" max="7425" width="4.109375" customWidth="1"/>
    <col min="7426" max="7426" width="13.33203125" bestFit="1" customWidth="1"/>
    <col min="7427" max="7427" width="11.6640625" bestFit="1" customWidth="1"/>
    <col min="7428" max="7428" width="12.109375" bestFit="1" customWidth="1"/>
    <col min="7429" max="7429" width="23.109375" bestFit="1" customWidth="1"/>
    <col min="7430" max="7430" width="10.88671875" bestFit="1" customWidth="1"/>
    <col min="7431" max="7431" width="13.6640625" bestFit="1" customWidth="1"/>
    <col min="7432" max="7432" width="19.6640625" bestFit="1" customWidth="1"/>
    <col min="7433" max="7433" width="11.5546875" bestFit="1" customWidth="1"/>
    <col min="7434" max="7434" width="13.44140625" customWidth="1"/>
    <col min="7435" max="7435" width="8.33203125" bestFit="1" customWidth="1"/>
    <col min="7436" max="7436" width="12" bestFit="1" customWidth="1"/>
    <col min="7437" max="7437" width="10.33203125" bestFit="1" customWidth="1"/>
    <col min="7438" max="7438" width="9.33203125" bestFit="1" customWidth="1"/>
    <col min="7439" max="7439" width="8.6640625" bestFit="1" customWidth="1"/>
    <col min="7440" max="7440" width="12" bestFit="1" customWidth="1"/>
    <col min="7441" max="7441" width="10.33203125" bestFit="1" customWidth="1"/>
    <col min="7442" max="7442" width="12" bestFit="1" customWidth="1"/>
    <col min="7443" max="7444" width="10.88671875" customWidth="1"/>
    <col min="7445" max="7445" width="10.33203125" bestFit="1" customWidth="1"/>
    <col min="7446" max="7446" width="16.109375" bestFit="1" customWidth="1"/>
    <col min="7447" max="7447" width="12.109375" bestFit="1" customWidth="1"/>
    <col min="7448" max="7448" width="13.33203125" bestFit="1" customWidth="1"/>
    <col min="7449" max="7449" width="12" bestFit="1" customWidth="1"/>
    <col min="7450" max="7450" width="10.33203125" bestFit="1" customWidth="1"/>
    <col min="7451" max="7451" width="14.109375" bestFit="1" customWidth="1"/>
    <col min="7452" max="7452" width="12" bestFit="1" customWidth="1"/>
    <col min="7453" max="7453" width="16.109375" bestFit="1" customWidth="1"/>
    <col min="7454" max="7454" width="14.88671875" bestFit="1" customWidth="1"/>
    <col min="7455" max="7455" width="16.109375" bestFit="1" customWidth="1"/>
    <col min="7456" max="7456" width="9.109375" bestFit="1" customWidth="1"/>
    <col min="7457" max="7459" width="16.109375" bestFit="1" customWidth="1"/>
    <col min="7681" max="7681" width="4.109375" customWidth="1"/>
    <col min="7682" max="7682" width="13.33203125" bestFit="1" customWidth="1"/>
    <col min="7683" max="7683" width="11.6640625" bestFit="1" customWidth="1"/>
    <col min="7684" max="7684" width="12.109375" bestFit="1" customWidth="1"/>
    <col min="7685" max="7685" width="23.109375" bestFit="1" customWidth="1"/>
    <col min="7686" max="7686" width="10.88671875" bestFit="1" customWidth="1"/>
    <col min="7687" max="7687" width="13.6640625" bestFit="1" customWidth="1"/>
    <col min="7688" max="7688" width="19.6640625" bestFit="1" customWidth="1"/>
    <col min="7689" max="7689" width="11.5546875" bestFit="1" customWidth="1"/>
    <col min="7690" max="7690" width="13.44140625" customWidth="1"/>
    <col min="7691" max="7691" width="8.33203125" bestFit="1" customWidth="1"/>
    <col min="7692" max="7692" width="12" bestFit="1" customWidth="1"/>
    <col min="7693" max="7693" width="10.33203125" bestFit="1" customWidth="1"/>
    <col min="7694" max="7694" width="9.33203125" bestFit="1" customWidth="1"/>
    <col min="7695" max="7695" width="8.6640625" bestFit="1" customWidth="1"/>
    <col min="7696" max="7696" width="12" bestFit="1" customWidth="1"/>
    <col min="7697" max="7697" width="10.33203125" bestFit="1" customWidth="1"/>
    <col min="7698" max="7698" width="12" bestFit="1" customWidth="1"/>
    <col min="7699" max="7700" width="10.88671875" customWidth="1"/>
    <col min="7701" max="7701" width="10.33203125" bestFit="1" customWidth="1"/>
    <col min="7702" max="7702" width="16.109375" bestFit="1" customWidth="1"/>
    <col min="7703" max="7703" width="12.109375" bestFit="1" customWidth="1"/>
    <col min="7704" max="7704" width="13.33203125" bestFit="1" customWidth="1"/>
    <col min="7705" max="7705" width="12" bestFit="1" customWidth="1"/>
    <col min="7706" max="7706" width="10.33203125" bestFit="1" customWidth="1"/>
    <col min="7707" max="7707" width="14.109375" bestFit="1" customWidth="1"/>
    <col min="7708" max="7708" width="12" bestFit="1" customWidth="1"/>
    <col min="7709" max="7709" width="16.109375" bestFit="1" customWidth="1"/>
    <col min="7710" max="7710" width="14.88671875" bestFit="1" customWidth="1"/>
    <col min="7711" max="7711" width="16.109375" bestFit="1" customWidth="1"/>
    <col min="7712" max="7712" width="9.109375" bestFit="1" customWidth="1"/>
    <col min="7713" max="7715" width="16.109375" bestFit="1" customWidth="1"/>
    <col min="7937" max="7937" width="4.109375" customWidth="1"/>
    <col min="7938" max="7938" width="13.33203125" bestFit="1" customWidth="1"/>
    <col min="7939" max="7939" width="11.6640625" bestFit="1" customWidth="1"/>
    <col min="7940" max="7940" width="12.109375" bestFit="1" customWidth="1"/>
    <col min="7941" max="7941" width="23.109375" bestFit="1" customWidth="1"/>
    <col min="7942" max="7942" width="10.88671875" bestFit="1" customWidth="1"/>
    <col min="7943" max="7943" width="13.6640625" bestFit="1" customWidth="1"/>
    <col min="7944" max="7944" width="19.6640625" bestFit="1" customWidth="1"/>
    <col min="7945" max="7945" width="11.5546875" bestFit="1" customWidth="1"/>
    <col min="7946" max="7946" width="13.44140625" customWidth="1"/>
    <col min="7947" max="7947" width="8.33203125" bestFit="1" customWidth="1"/>
    <col min="7948" max="7948" width="12" bestFit="1" customWidth="1"/>
    <col min="7949" max="7949" width="10.33203125" bestFit="1" customWidth="1"/>
    <col min="7950" max="7950" width="9.33203125" bestFit="1" customWidth="1"/>
    <col min="7951" max="7951" width="8.6640625" bestFit="1" customWidth="1"/>
    <col min="7952" max="7952" width="12" bestFit="1" customWidth="1"/>
    <col min="7953" max="7953" width="10.33203125" bestFit="1" customWidth="1"/>
    <col min="7954" max="7954" width="12" bestFit="1" customWidth="1"/>
    <col min="7955" max="7956" width="10.88671875" customWidth="1"/>
    <col min="7957" max="7957" width="10.33203125" bestFit="1" customWidth="1"/>
    <col min="7958" max="7958" width="16.109375" bestFit="1" customWidth="1"/>
    <col min="7959" max="7959" width="12.109375" bestFit="1" customWidth="1"/>
    <col min="7960" max="7960" width="13.33203125" bestFit="1" customWidth="1"/>
    <col min="7961" max="7961" width="12" bestFit="1" customWidth="1"/>
    <col min="7962" max="7962" width="10.33203125" bestFit="1" customWidth="1"/>
    <col min="7963" max="7963" width="14.109375" bestFit="1" customWidth="1"/>
    <col min="7964" max="7964" width="12" bestFit="1" customWidth="1"/>
    <col min="7965" max="7965" width="16.109375" bestFit="1" customWidth="1"/>
    <col min="7966" max="7966" width="14.88671875" bestFit="1" customWidth="1"/>
    <col min="7967" max="7967" width="16.109375" bestFit="1" customWidth="1"/>
    <col min="7968" max="7968" width="9.109375" bestFit="1" customWidth="1"/>
    <col min="7969" max="7971" width="16.109375" bestFit="1" customWidth="1"/>
    <col min="8193" max="8193" width="4.109375" customWidth="1"/>
    <col min="8194" max="8194" width="13.33203125" bestFit="1" customWidth="1"/>
    <col min="8195" max="8195" width="11.6640625" bestFit="1" customWidth="1"/>
    <col min="8196" max="8196" width="12.109375" bestFit="1" customWidth="1"/>
    <col min="8197" max="8197" width="23.109375" bestFit="1" customWidth="1"/>
    <col min="8198" max="8198" width="10.88671875" bestFit="1" customWidth="1"/>
    <col min="8199" max="8199" width="13.6640625" bestFit="1" customWidth="1"/>
    <col min="8200" max="8200" width="19.6640625" bestFit="1" customWidth="1"/>
    <col min="8201" max="8201" width="11.5546875" bestFit="1" customWidth="1"/>
    <col min="8202" max="8202" width="13.44140625" customWidth="1"/>
    <col min="8203" max="8203" width="8.33203125" bestFit="1" customWidth="1"/>
    <col min="8204" max="8204" width="12" bestFit="1" customWidth="1"/>
    <col min="8205" max="8205" width="10.33203125" bestFit="1" customWidth="1"/>
    <col min="8206" max="8206" width="9.33203125" bestFit="1" customWidth="1"/>
    <col min="8207" max="8207" width="8.6640625" bestFit="1" customWidth="1"/>
    <col min="8208" max="8208" width="12" bestFit="1" customWidth="1"/>
    <col min="8209" max="8209" width="10.33203125" bestFit="1" customWidth="1"/>
    <col min="8210" max="8210" width="12" bestFit="1" customWidth="1"/>
    <col min="8211" max="8212" width="10.88671875" customWidth="1"/>
    <col min="8213" max="8213" width="10.33203125" bestFit="1" customWidth="1"/>
    <col min="8214" max="8214" width="16.109375" bestFit="1" customWidth="1"/>
    <col min="8215" max="8215" width="12.109375" bestFit="1" customWidth="1"/>
    <col min="8216" max="8216" width="13.33203125" bestFit="1" customWidth="1"/>
    <col min="8217" max="8217" width="12" bestFit="1" customWidth="1"/>
    <col min="8218" max="8218" width="10.33203125" bestFit="1" customWidth="1"/>
    <col min="8219" max="8219" width="14.109375" bestFit="1" customWidth="1"/>
    <col min="8220" max="8220" width="12" bestFit="1" customWidth="1"/>
    <col min="8221" max="8221" width="16.109375" bestFit="1" customWidth="1"/>
    <col min="8222" max="8222" width="14.88671875" bestFit="1" customWidth="1"/>
    <col min="8223" max="8223" width="16.109375" bestFit="1" customWidth="1"/>
    <col min="8224" max="8224" width="9.109375" bestFit="1" customWidth="1"/>
    <col min="8225" max="8227" width="16.109375" bestFit="1" customWidth="1"/>
    <col min="8449" max="8449" width="4.109375" customWidth="1"/>
    <col min="8450" max="8450" width="13.33203125" bestFit="1" customWidth="1"/>
    <col min="8451" max="8451" width="11.6640625" bestFit="1" customWidth="1"/>
    <col min="8452" max="8452" width="12.109375" bestFit="1" customWidth="1"/>
    <col min="8453" max="8453" width="23.109375" bestFit="1" customWidth="1"/>
    <col min="8454" max="8454" width="10.88671875" bestFit="1" customWidth="1"/>
    <col min="8455" max="8455" width="13.6640625" bestFit="1" customWidth="1"/>
    <col min="8456" max="8456" width="19.6640625" bestFit="1" customWidth="1"/>
    <col min="8457" max="8457" width="11.5546875" bestFit="1" customWidth="1"/>
    <col min="8458" max="8458" width="13.44140625" customWidth="1"/>
    <col min="8459" max="8459" width="8.33203125" bestFit="1" customWidth="1"/>
    <col min="8460" max="8460" width="12" bestFit="1" customWidth="1"/>
    <col min="8461" max="8461" width="10.33203125" bestFit="1" customWidth="1"/>
    <col min="8462" max="8462" width="9.33203125" bestFit="1" customWidth="1"/>
    <col min="8463" max="8463" width="8.6640625" bestFit="1" customWidth="1"/>
    <col min="8464" max="8464" width="12" bestFit="1" customWidth="1"/>
    <col min="8465" max="8465" width="10.33203125" bestFit="1" customWidth="1"/>
    <col min="8466" max="8466" width="12" bestFit="1" customWidth="1"/>
    <col min="8467" max="8468" width="10.88671875" customWidth="1"/>
    <col min="8469" max="8469" width="10.33203125" bestFit="1" customWidth="1"/>
    <col min="8470" max="8470" width="16.109375" bestFit="1" customWidth="1"/>
    <col min="8471" max="8471" width="12.109375" bestFit="1" customWidth="1"/>
    <col min="8472" max="8472" width="13.33203125" bestFit="1" customWidth="1"/>
    <col min="8473" max="8473" width="12" bestFit="1" customWidth="1"/>
    <col min="8474" max="8474" width="10.33203125" bestFit="1" customWidth="1"/>
    <col min="8475" max="8475" width="14.109375" bestFit="1" customWidth="1"/>
    <col min="8476" max="8476" width="12" bestFit="1" customWidth="1"/>
    <col min="8477" max="8477" width="16.109375" bestFit="1" customWidth="1"/>
    <col min="8478" max="8478" width="14.88671875" bestFit="1" customWidth="1"/>
    <col min="8479" max="8479" width="16.109375" bestFit="1" customWidth="1"/>
    <col min="8480" max="8480" width="9.109375" bestFit="1" customWidth="1"/>
    <col min="8481" max="8483" width="16.109375" bestFit="1" customWidth="1"/>
    <col min="8705" max="8705" width="4.109375" customWidth="1"/>
    <col min="8706" max="8706" width="13.33203125" bestFit="1" customWidth="1"/>
    <col min="8707" max="8707" width="11.6640625" bestFit="1" customWidth="1"/>
    <col min="8708" max="8708" width="12.109375" bestFit="1" customWidth="1"/>
    <col min="8709" max="8709" width="23.109375" bestFit="1" customWidth="1"/>
    <col min="8710" max="8710" width="10.88671875" bestFit="1" customWidth="1"/>
    <col min="8711" max="8711" width="13.6640625" bestFit="1" customWidth="1"/>
    <col min="8712" max="8712" width="19.6640625" bestFit="1" customWidth="1"/>
    <col min="8713" max="8713" width="11.5546875" bestFit="1" customWidth="1"/>
    <col min="8714" max="8714" width="13.44140625" customWidth="1"/>
    <col min="8715" max="8715" width="8.33203125" bestFit="1" customWidth="1"/>
    <col min="8716" max="8716" width="12" bestFit="1" customWidth="1"/>
    <col min="8717" max="8717" width="10.33203125" bestFit="1" customWidth="1"/>
    <col min="8718" max="8718" width="9.33203125" bestFit="1" customWidth="1"/>
    <col min="8719" max="8719" width="8.6640625" bestFit="1" customWidth="1"/>
    <col min="8720" max="8720" width="12" bestFit="1" customWidth="1"/>
    <col min="8721" max="8721" width="10.33203125" bestFit="1" customWidth="1"/>
    <col min="8722" max="8722" width="12" bestFit="1" customWidth="1"/>
    <col min="8723" max="8724" width="10.88671875" customWidth="1"/>
    <col min="8725" max="8725" width="10.33203125" bestFit="1" customWidth="1"/>
    <col min="8726" max="8726" width="16.109375" bestFit="1" customWidth="1"/>
    <col min="8727" max="8727" width="12.109375" bestFit="1" customWidth="1"/>
    <col min="8728" max="8728" width="13.33203125" bestFit="1" customWidth="1"/>
    <col min="8729" max="8729" width="12" bestFit="1" customWidth="1"/>
    <col min="8730" max="8730" width="10.33203125" bestFit="1" customWidth="1"/>
    <col min="8731" max="8731" width="14.109375" bestFit="1" customWidth="1"/>
    <col min="8732" max="8732" width="12" bestFit="1" customWidth="1"/>
    <col min="8733" max="8733" width="16.109375" bestFit="1" customWidth="1"/>
    <col min="8734" max="8734" width="14.88671875" bestFit="1" customWidth="1"/>
    <col min="8735" max="8735" width="16.109375" bestFit="1" customWidth="1"/>
    <col min="8736" max="8736" width="9.109375" bestFit="1" customWidth="1"/>
    <col min="8737" max="8739" width="16.109375" bestFit="1" customWidth="1"/>
    <col min="8961" max="8961" width="4.109375" customWidth="1"/>
    <col min="8962" max="8962" width="13.33203125" bestFit="1" customWidth="1"/>
    <col min="8963" max="8963" width="11.6640625" bestFit="1" customWidth="1"/>
    <col min="8964" max="8964" width="12.109375" bestFit="1" customWidth="1"/>
    <col min="8965" max="8965" width="23.109375" bestFit="1" customWidth="1"/>
    <col min="8966" max="8966" width="10.88671875" bestFit="1" customWidth="1"/>
    <col min="8967" max="8967" width="13.6640625" bestFit="1" customWidth="1"/>
    <col min="8968" max="8968" width="19.6640625" bestFit="1" customWidth="1"/>
    <col min="8969" max="8969" width="11.5546875" bestFit="1" customWidth="1"/>
    <col min="8970" max="8970" width="13.44140625" customWidth="1"/>
    <col min="8971" max="8971" width="8.33203125" bestFit="1" customWidth="1"/>
    <col min="8972" max="8972" width="12" bestFit="1" customWidth="1"/>
    <col min="8973" max="8973" width="10.33203125" bestFit="1" customWidth="1"/>
    <col min="8974" max="8974" width="9.33203125" bestFit="1" customWidth="1"/>
    <col min="8975" max="8975" width="8.6640625" bestFit="1" customWidth="1"/>
    <col min="8976" max="8976" width="12" bestFit="1" customWidth="1"/>
    <col min="8977" max="8977" width="10.33203125" bestFit="1" customWidth="1"/>
    <col min="8978" max="8978" width="12" bestFit="1" customWidth="1"/>
    <col min="8979" max="8980" width="10.88671875" customWidth="1"/>
    <col min="8981" max="8981" width="10.33203125" bestFit="1" customWidth="1"/>
    <col min="8982" max="8982" width="16.109375" bestFit="1" customWidth="1"/>
    <col min="8983" max="8983" width="12.109375" bestFit="1" customWidth="1"/>
    <col min="8984" max="8984" width="13.33203125" bestFit="1" customWidth="1"/>
    <col min="8985" max="8985" width="12" bestFit="1" customWidth="1"/>
    <col min="8986" max="8986" width="10.33203125" bestFit="1" customWidth="1"/>
    <col min="8987" max="8987" width="14.109375" bestFit="1" customWidth="1"/>
    <col min="8988" max="8988" width="12" bestFit="1" customWidth="1"/>
    <col min="8989" max="8989" width="16.109375" bestFit="1" customWidth="1"/>
    <col min="8990" max="8990" width="14.88671875" bestFit="1" customWidth="1"/>
    <col min="8991" max="8991" width="16.109375" bestFit="1" customWidth="1"/>
    <col min="8992" max="8992" width="9.109375" bestFit="1" customWidth="1"/>
    <col min="8993" max="8995" width="16.109375" bestFit="1" customWidth="1"/>
    <col min="9217" max="9217" width="4.109375" customWidth="1"/>
    <col min="9218" max="9218" width="13.33203125" bestFit="1" customWidth="1"/>
    <col min="9219" max="9219" width="11.6640625" bestFit="1" customWidth="1"/>
    <col min="9220" max="9220" width="12.109375" bestFit="1" customWidth="1"/>
    <col min="9221" max="9221" width="23.109375" bestFit="1" customWidth="1"/>
    <col min="9222" max="9222" width="10.88671875" bestFit="1" customWidth="1"/>
    <col min="9223" max="9223" width="13.6640625" bestFit="1" customWidth="1"/>
    <col min="9224" max="9224" width="19.6640625" bestFit="1" customWidth="1"/>
    <col min="9225" max="9225" width="11.5546875" bestFit="1" customWidth="1"/>
    <col min="9226" max="9226" width="13.44140625" customWidth="1"/>
    <col min="9227" max="9227" width="8.33203125" bestFit="1" customWidth="1"/>
    <col min="9228" max="9228" width="12" bestFit="1" customWidth="1"/>
    <col min="9229" max="9229" width="10.33203125" bestFit="1" customWidth="1"/>
    <col min="9230" max="9230" width="9.33203125" bestFit="1" customWidth="1"/>
    <col min="9231" max="9231" width="8.6640625" bestFit="1" customWidth="1"/>
    <col min="9232" max="9232" width="12" bestFit="1" customWidth="1"/>
    <col min="9233" max="9233" width="10.33203125" bestFit="1" customWidth="1"/>
    <col min="9234" max="9234" width="12" bestFit="1" customWidth="1"/>
    <col min="9235" max="9236" width="10.88671875" customWidth="1"/>
    <col min="9237" max="9237" width="10.33203125" bestFit="1" customWidth="1"/>
    <col min="9238" max="9238" width="16.109375" bestFit="1" customWidth="1"/>
    <col min="9239" max="9239" width="12.109375" bestFit="1" customWidth="1"/>
    <col min="9240" max="9240" width="13.33203125" bestFit="1" customWidth="1"/>
    <col min="9241" max="9241" width="12" bestFit="1" customWidth="1"/>
    <col min="9242" max="9242" width="10.33203125" bestFit="1" customWidth="1"/>
    <col min="9243" max="9243" width="14.109375" bestFit="1" customWidth="1"/>
    <col min="9244" max="9244" width="12" bestFit="1" customWidth="1"/>
    <col min="9245" max="9245" width="16.109375" bestFit="1" customWidth="1"/>
    <col min="9246" max="9246" width="14.88671875" bestFit="1" customWidth="1"/>
    <col min="9247" max="9247" width="16.109375" bestFit="1" customWidth="1"/>
    <col min="9248" max="9248" width="9.109375" bestFit="1" customWidth="1"/>
    <col min="9249" max="9251" width="16.109375" bestFit="1" customWidth="1"/>
    <col min="9473" max="9473" width="4.109375" customWidth="1"/>
    <col min="9474" max="9474" width="13.33203125" bestFit="1" customWidth="1"/>
    <col min="9475" max="9475" width="11.6640625" bestFit="1" customWidth="1"/>
    <col min="9476" max="9476" width="12.109375" bestFit="1" customWidth="1"/>
    <col min="9477" max="9477" width="23.109375" bestFit="1" customWidth="1"/>
    <col min="9478" max="9478" width="10.88671875" bestFit="1" customWidth="1"/>
    <col min="9479" max="9479" width="13.6640625" bestFit="1" customWidth="1"/>
    <col min="9480" max="9480" width="19.6640625" bestFit="1" customWidth="1"/>
    <col min="9481" max="9481" width="11.5546875" bestFit="1" customWidth="1"/>
    <col min="9482" max="9482" width="13.44140625" customWidth="1"/>
    <col min="9483" max="9483" width="8.33203125" bestFit="1" customWidth="1"/>
    <col min="9484" max="9484" width="12" bestFit="1" customWidth="1"/>
    <col min="9485" max="9485" width="10.33203125" bestFit="1" customWidth="1"/>
    <col min="9486" max="9486" width="9.33203125" bestFit="1" customWidth="1"/>
    <col min="9487" max="9487" width="8.6640625" bestFit="1" customWidth="1"/>
    <col min="9488" max="9488" width="12" bestFit="1" customWidth="1"/>
    <col min="9489" max="9489" width="10.33203125" bestFit="1" customWidth="1"/>
    <col min="9490" max="9490" width="12" bestFit="1" customWidth="1"/>
    <col min="9491" max="9492" width="10.88671875" customWidth="1"/>
    <col min="9493" max="9493" width="10.33203125" bestFit="1" customWidth="1"/>
    <col min="9494" max="9494" width="16.109375" bestFit="1" customWidth="1"/>
    <col min="9495" max="9495" width="12.109375" bestFit="1" customWidth="1"/>
    <col min="9496" max="9496" width="13.33203125" bestFit="1" customWidth="1"/>
    <col min="9497" max="9497" width="12" bestFit="1" customWidth="1"/>
    <col min="9498" max="9498" width="10.33203125" bestFit="1" customWidth="1"/>
    <col min="9499" max="9499" width="14.109375" bestFit="1" customWidth="1"/>
    <col min="9500" max="9500" width="12" bestFit="1" customWidth="1"/>
    <col min="9501" max="9501" width="16.109375" bestFit="1" customWidth="1"/>
    <col min="9502" max="9502" width="14.88671875" bestFit="1" customWidth="1"/>
    <col min="9503" max="9503" width="16.109375" bestFit="1" customWidth="1"/>
    <col min="9504" max="9504" width="9.109375" bestFit="1" customWidth="1"/>
    <col min="9505" max="9507" width="16.109375" bestFit="1" customWidth="1"/>
    <col min="9729" max="9729" width="4.109375" customWidth="1"/>
    <col min="9730" max="9730" width="13.33203125" bestFit="1" customWidth="1"/>
    <col min="9731" max="9731" width="11.6640625" bestFit="1" customWidth="1"/>
    <col min="9732" max="9732" width="12.109375" bestFit="1" customWidth="1"/>
    <col min="9733" max="9733" width="23.109375" bestFit="1" customWidth="1"/>
    <col min="9734" max="9734" width="10.88671875" bestFit="1" customWidth="1"/>
    <col min="9735" max="9735" width="13.6640625" bestFit="1" customWidth="1"/>
    <col min="9736" max="9736" width="19.6640625" bestFit="1" customWidth="1"/>
    <col min="9737" max="9737" width="11.5546875" bestFit="1" customWidth="1"/>
    <col min="9738" max="9738" width="13.44140625" customWidth="1"/>
    <col min="9739" max="9739" width="8.33203125" bestFit="1" customWidth="1"/>
    <col min="9740" max="9740" width="12" bestFit="1" customWidth="1"/>
    <col min="9741" max="9741" width="10.33203125" bestFit="1" customWidth="1"/>
    <col min="9742" max="9742" width="9.33203125" bestFit="1" customWidth="1"/>
    <col min="9743" max="9743" width="8.6640625" bestFit="1" customWidth="1"/>
    <col min="9744" max="9744" width="12" bestFit="1" customWidth="1"/>
    <col min="9745" max="9745" width="10.33203125" bestFit="1" customWidth="1"/>
    <col min="9746" max="9746" width="12" bestFit="1" customWidth="1"/>
    <col min="9747" max="9748" width="10.88671875" customWidth="1"/>
    <col min="9749" max="9749" width="10.33203125" bestFit="1" customWidth="1"/>
    <col min="9750" max="9750" width="16.109375" bestFit="1" customWidth="1"/>
    <col min="9751" max="9751" width="12.109375" bestFit="1" customWidth="1"/>
    <col min="9752" max="9752" width="13.33203125" bestFit="1" customWidth="1"/>
    <col min="9753" max="9753" width="12" bestFit="1" customWidth="1"/>
    <col min="9754" max="9754" width="10.33203125" bestFit="1" customWidth="1"/>
    <col min="9755" max="9755" width="14.109375" bestFit="1" customWidth="1"/>
    <col min="9756" max="9756" width="12" bestFit="1" customWidth="1"/>
    <col min="9757" max="9757" width="16.109375" bestFit="1" customWidth="1"/>
    <col min="9758" max="9758" width="14.88671875" bestFit="1" customWidth="1"/>
    <col min="9759" max="9759" width="16.109375" bestFit="1" customWidth="1"/>
    <col min="9760" max="9760" width="9.109375" bestFit="1" customWidth="1"/>
    <col min="9761" max="9763" width="16.109375" bestFit="1" customWidth="1"/>
    <col min="9985" max="9985" width="4.109375" customWidth="1"/>
    <col min="9986" max="9986" width="13.33203125" bestFit="1" customWidth="1"/>
    <col min="9987" max="9987" width="11.6640625" bestFit="1" customWidth="1"/>
    <col min="9988" max="9988" width="12.109375" bestFit="1" customWidth="1"/>
    <col min="9989" max="9989" width="23.109375" bestFit="1" customWidth="1"/>
    <col min="9990" max="9990" width="10.88671875" bestFit="1" customWidth="1"/>
    <col min="9991" max="9991" width="13.6640625" bestFit="1" customWidth="1"/>
    <col min="9992" max="9992" width="19.6640625" bestFit="1" customWidth="1"/>
    <col min="9993" max="9993" width="11.5546875" bestFit="1" customWidth="1"/>
    <col min="9994" max="9994" width="13.44140625" customWidth="1"/>
    <col min="9995" max="9995" width="8.33203125" bestFit="1" customWidth="1"/>
    <col min="9996" max="9996" width="12" bestFit="1" customWidth="1"/>
    <col min="9997" max="9997" width="10.33203125" bestFit="1" customWidth="1"/>
    <col min="9998" max="9998" width="9.33203125" bestFit="1" customWidth="1"/>
    <col min="9999" max="9999" width="8.6640625" bestFit="1" customWidth="1"/>
    <col min="10000" max="10000" width="12" bestFit="1" customWidth="1"/>
    <col min="10001" max="10001" width="10.33203125" bestFit="1" customWidth="1"/>
    <col min="10002" max="10002" width="12" bestFit="1" customWidth="1"/>
    <col min="10003" max="10004" width="10.88671875" customWidth="1"/>
    <col min="10005" max="10005" width="10.33203125" bestFit="1" customWidth="1"/>
    <col min="10006" max="10006" width="16.109375" bestFit="1" customWidth="1"/>
    <col min="10007" max="10007" width="12.109375" bestFit="1" customWidth="1"/>
    <col min="10008" max="10008" width="13.33203125" bestFit="1" customWidth="1"/>
    <col min="10009" max="10009" width="12" bestFit="1" customWidth="1"/>
    <col min="10010" max="10010" width="10.33203125" bestFit="1" customWidth="1"/>
    <col min="10011" max="10011" width="14.109375" bestFit="1" customWidth="1"/>
    <col min="10012" max="10012" width="12" bestFit="1" customWidth="1"/>
    <col min="10013" max="10013" width="16.109375" bestFit="1" customWidth="1"/>
    <col min="10014" max="10014" width="14.88671875" bestFit="1" customWidth="1"/>
    <col min="10015" max="10015" width="16.109375" bestFit="1" customWidth="1"/>
    <col min="10016" max="10016" width="9.109375" bestFit="1" customWidth="1"/>
    <col min="10017" max="10019" width="16.109375" bestFit="1" customWidth="1"/>
    <col min="10241" max="10241" width="4.109375" customWidth="1"/>
    <col min="10242" max="10242" width="13.33203125" bestFit="1" customWidth="1"/>
    <col min="10243" max="10243" width="11.6640625" bestFit="1" customWidth="1"/>
    <col min="10244" max="10244" width="12.109375" bestFit="1" customWidth="1"/>
    <col min="10245" max="10245" width="23.109375" bestFit="1" customWidth="1"/>
    <col min="10246" max="10246" width="10.88671875" bestFit="1" customWidth="1"/>
    <col min="10247" max="10247" width="13.6640625" bestFit="1" customWidth="1"/>
    <col min="10248" max="10248" width="19.6640625" bestFit="1" customWidth="1"/>
    <col min="10249" max="10249" width="11.5546875" bestFit="1" customWidth="1"/>
    <col min="10250" max="10250" width="13.44140625" customWidth="1"/>
    <col min="10251" max="10251" width="8.33203125" bestFit="1" customWidth="1"/>
    <col min="10252" max="10252" width="12" bestFit="1" customWidth="1"/>
    <col min="10253" max="10253" width="10.33203125" bestFit="1" customWidth="1"/>
    <col min="10254" max="10254" width="9.33203125" bestFit="1" customWidth="1"/>
    <col min="10255" max="10255" width="8.6640625" bestFit="1" customWidth="1"/>
    <col min="10256" max="10256" width="12" bestFit="1" customWidth="1"/>
    <col min="10257" max="10257" width="10.33203125" bestFit="1" customWidth="1"/>
    <col min="10258" max="10258" width="12" bestFit="1" customWidth="1"/>
    <col min="10259" max="10260" width="10.88671875" customWidth="1"/>
    <col min="10261" max="10261" width="10.33203125" bestFit="1" customWidth="1"/>
    <col min="10262" max="10262" width="16.109375" bestFit="1" customWidth="1"/>
    <col min="10263" max="10263" width="12.109375" bestFit="1" customWidth="1"/>
    <col min="10264" max="10264" width="13.33203125" bestFit="1" customWidth="1"/>
    <col min="10265" max="10265" width="12" bestFit="1" customWidth="1"/>
    <col min="10266" max="10266" width="10.33203125" bestFit="1" customWidth="1"/>
    <col min="10267" max="10267" width="14.109375" bestFit="1" customWidth="1"/>
    <col min="10268" max="10268" width="12" bestFit="1" customWidth="1"/>
    <col min="10269" max="10269" width="16.109375" bestFit="1" customWidth="1"/>
    <col min="10270" max="10270" width="14.88671875" bestFit="1" customWidth="1"/>
    <col min="10271" max="10271" width="16.109375" bestFit="1" customWidth="1"/>
    <col min="10272" max="10272" width="9.109375" bestFit="1" customWidth="1"/>
    <col min="10273" max="10275" width="16.109375" bestFit="1" customWidth="1"/>
    <col min="10497" max="10497" width="4.109375" customWidth="1"/>
    <col min="10498" max="10498" width="13.33203125" bestFit="1" customWidth="1"/>
    <col min="10499" max="10499" width="11.6640625" bestFit="1" customWidth="1"/>
    <col min="10500" max="10500" width="12.109375" bestFit="1" customWidth="1"/>
    <col min="10501" max="10501" width="23.109375" bestFit="1" customWidth="1"/>
    <col min="10502" max="10502" width="10.88671875" bestFit="1" customWidth="1"/>
    <col min="10503" max="10503" width="13.6640625" bestFit="1" customWidth="1"/>
    <col min="10504" max="10504" width="19.6640625" bestFit="1" customWidth="1"/>
    <col min="10505" max="10505" width="11.5546875" bestFit="1" customWidth="1"/>
    <col min="10506" max="10506" width="13.44140625" customWidth="1"/>
    <col min="10507" max="10507" width="8.33203125" bestFit="1" customWidth="1"/>
    <col min="10508" max="10508" width="12" bestFit="1" customWidth="1"/>
    <col min="10509" max="10509" width="10.33203125" bestFit="1" customWidth="1"/>
    <col min="10510" max="10510" width="9.33203125" bestFit="1" customWidth="1"/>
    <col min="10511" max="10511" width="8.6640625" bestFit="1" customWidth="1"/>
    <col min="10512" max="10512" width="12" bestFit="1" customWidth="1"/>
    <col min="10513" max="10513" width="10.33203125" bestFit="1" customWidth="1"/>
    <col min="10514" max="10514" width="12" bestFit="1" customWidth="1"/>
    <col min="10515" max="10516" width="10.88671875" customWidth="1"/>
    <col min="10517" max="10517" width="10.33203125" bestFit="1" customWidth="1"/>
    <col min="10518" max="10518" width="16.109375" bestFit="1" customWidth="1"/>
    <col min="10519" max="10519" width="12.109375" bestFit="1" customWidth="1"/>
    <col min="10520" max="10520" width="13.33203125" bestFit="1" customWidth="1"/>
    <col min="10521" max="10521" width="12" bestFit="1" customWidth="1"/>
    <col min="10522" max="10522" width="10.33203125" bestFit="1" customWidth="1"/>
    <col min="10523" max="10523" width="14.109375" bestFit="1" customWidth="1"/>
    <col min="10524" max="10524" width="12" bestFit="1" customWidth="1"/>
    <col min="10525" max="10525" width="16.109375" bestFit="1" customWidth="1"/>
    <col min="10526" max="10526" width="14.88671875" bestFit="1" customWidth="1"/>
    <col min="10527" max="10527" width="16.109375" bestFit="1" customWidth="1"/>
    <col min="10528" max="10528" width="9.109375" bestFit="1" customWidth="1"/>
    <col min="10529" max="10531" width="16.109375" bestFit="1" customWidth="1"/>
    <col min="10753" max="10753" width="4.109375" customWidth="1"/>
    <col min="10754" max="10754" width="13.33203125" bestFit="1" customWidth="1"/>
    <col min="10755" max="10755" width="11.6640625" bestFit="1" customWidth="1"/>
    <col min="10756" max="10756" width="12.109375" bestFit="1" customWidth="1"/>
    <col min="10757" max="10757" width="23.109375" bestFit="1" customWidth="1"/>
    <col min="10758" max="10758" width="10.88671875" bestFit="1" customWidth="1"/>
    <col min="10759" max="10759" width="13.6640625" bestFit="1" customWidth="1"/>
    <col min="10760" max="10760" width="19.6640625" bestFit="1" customWidth="1"/>
    <col min="10761" max="10761" width="11.5546875" bestFit="1" customWidth="1"/>
    <col min="10762" max="10762" width="13.44140625" customWidth="1"/>
    <col min="10763" max="10763" width="8.33203125" bestFit="1" customWidth="1"/>
    <col min="10764" max="10764" width="12" bestFit="1" customWidth="1"/>
    <col min="10765" max="10765" width="10.33203125" bestFit="1" customWidth="1"/>
    <col min="10766" max="10766" width="9.33203125" bestFit="1" customWidth="1"/>
    <col min="10767" max="10767" width="8.6640625" bestFit="1" customWidth="1"/>
    <col min="10768" max="10768" width="12" bestFit="1" customWidth="1"/>
    <col min="10769" max="10769" width="10.33203125" bestFit="1" customWidth="1"/>
    <col min="10770" max="10770" width="12" bestFit="1" customWidth="1"/>
    <col min="10771" max="10772" width="10.88671875" customWidth="1"/>
    <col min="10773" max="10773" width="10.33203125" bestFit="1" customWidth="1"/>
    <col min="10774" max="10774" width="16.109375" bestFit="1" customWidth="1"/>
    <col min="10775" max="10775" width="12.109375" bestFit="1" customWidth="1"/>
    <col min="10776" max="10776" width="13.33203125" bestFit="1" customWidth="1"/>
    <col min="10777" max="10777" width="12" bestFit="1" customWidth="1"/>
    <col min="10778" max="10778" width="10.33203125" bestFit="1" customWidth="1"/>
    <col min="10779" max="10779" width="14.109375" bestFit="1" customWidth="1"/>
    <col min="10780" max="10780" width="12" bestFit="1" customWidth="1"/>
    <col min="10781" max="10781" width="16.109375" bestFit="1" customWidth="1"/>
    <col min="10782" max="10782" width="14.88671875" bestFit="1" customWidth="1"/>
    <col min="10783" max="10783" width="16.109375" bestFit="1" customWidth="1"/>
    <col min="10784" max="10784" width="9.109375" bestFit="1" customWidth="1"/>
    <col min="10785" max="10787" width="16.109375" bestFit="1" customWidth="1"/>
    <col min="11009" max="11009" width="4.109375" customWidth="1"/>
    <col min="11010" max="11010" width="13.33203125" bestFit="1" customWidth="1"/>
    <col min="11011" max="11011" width="11.6640625" bestFit="1" customWidth="1"/>
    <col min="11012" max="11012" width="12.109375" bestFit="1" customWidth="1"/>
    <col min="11013" max="11013" width="23.109375" bestFit="1" customWidth="1"/>
    <col min="11014" max="11014" width="10.88671875" bestFit="1" customWidth="1"/>
    <col min="11015" max="11015" width="13.6640625" bestFit="1" customWidth="1"/>
    <col min="11016" max="11016" width="19.6640625" bestFit="1" customWidth="1"/>
    <col min="11017" max="11017" width="11.5546875" bestFit="1" customWidth="1"/>
    <col min="11018" max="11018" width="13.44140625" customWidth="1"/>
    <col min="11019" max="11019" width="8.33203125" bestFit="1" customWidth="1"/>
    <col min="11020" max="11020" width="12" bestFit="1" customWidth="1"/>
    <col min="11021" max="11021" width="10.33203125" bestFit="1" customWidth="1"/>
    <col min="11022" max="11022" width="9.33203125" bestFit="1" customWidth="1"/>
    <col min="11023" max="11023" width="8.6640625" bestFit="1" customWidth="1"/>
    <col min="11024" max="11024" width="12" bestFit="1" customWidth="1"/>
    <col min="11025" max="11025" width="10.33203125" bestFit="1" customWidth="1"/>
    <col min="11026" max="11026" width="12" bestFit="1" customWidth="1"/>
    <col min="11027" max="11028" width="10.88671875" customWidth="1"/>
    <col min="11029" max="11029" width="10.33203125" bestFit="1" customWidth="1"/>
    <col min="11030" max="11030" width="16.109375" bestFit="1" customWidth="1"/>
    <col min="11031" max="11031" width="12.109375" bestFit="1" customWidth="1"/>
    <col min="11032" max="11032" width="13.33203125" bestFit="1" customWidth="1"/>
    <col min="11033" max="11033" width="12" bestFit="1" customWidth="1"/>
    <col min="11034" max="11034" width="10.33203125" bestFit="1" customWidth="1"/>
    <col min="11035" max="11035" width="14.109375" bestFit="1" customWidth="1"/>
    <col min="11036" max="11036" width="12" bestFit="1" customWidth="1"/>
    <col min="11037" max="11037" width="16.109375" bestFit="1" customWidth="1"/>
    <col min="11038" max="11038" width="14.88671875" bestFit="1" customWidth="1"/>
    <col min="11039" max="11039" width="16.109375" bestFit="1" customWidth="1"/>
    <col min="11040" max="11040" width="9.109375" bestFit="1" customWidth="1"/>
    <col min="11041" max="11043" width="16.109375" bestFit="1" customWidth="1"/>
    <col min="11265" max="11265" width="4.109375" customWidth="1"/>
    <col min="11266" max="11266" width="13.33203125" bestFit="1" customWidth="1"/>
    <col min="11267" max="11267" width="11.6640625" bestFit="1" customWidth="1"/>
    <col min="11268" max="11268" width="12.109375" bestFit="1" customWidth="1"/>
    <col min="11269" max="11269" width="23.109375" bestFit="1" customWidth="1"/>
    <col min="11270" max="11270" width="10.88671875" bestFit="1" customWidth="1"/>
    <col min="11271" max="11271" width="13.6640625" bestFit="1" customWidth="1"/>
    <col min="11272" max="11272" width="19.6640625" bestFit="1" customWidth="1"/>
    <col min="11273" max="11273" width="11.5546875" bestFit="1" customWidth="1"/>
    <col min="11274" max="11274" width="13.44140625" customWidth="1"/>
    <col min="11275" max="11275" width="8.33203125" bestFit="1" customWidth="1"/>
    <col min="11276" max="11276" width="12" bestFit="1" customWidth="1"/>
    <col min="11277" max="11277" width="10.33203125" bestFit="1" customWidth="1"/>
    <col min="11278" max="11278" width="9.33203125" bestFit="1" customWidth="1"/>
    <col min="11279" max="11279" width="8.6640625" bestFit="1" customWidth="1"/>
    <col min="11280" max="11280" width="12" bestFit="1" customWidth="1"/>
    <col min="11281" max="11281" width="10.33203125" bestFit="1" customWidth="1"/>
    <col min="11282" max="11282" width="12" bestFit="1" customWidth="1"/>
    <col min="11283" max="11284" width="10.88671875" customWidth="1"/>
    <col min="11285" max="11285" width="10.33203125" bestFit="1" customWidth="1"/>
    <col min="11286" max="11286" width="16.109375" bestFit="1" customWidth="1"/>
    <col min="11287" max="11287" width="12.109375" bestFit="1" customWidth="1"/>
    <col min="11288" max="11288" width="13.33203125" bestFit="1" customWidth="1"/>
    <col min="11289" max="11289" width="12" bestFit="1" customWidth="1"/>
    <col min="11290" max="11290" width="10.33203125" bestFit="1" customWidth="1"/>
    <col min="11291" max="11291" width="14.109375" bestFit="1" customWidth="1"/>
    <col min="11292" max="11292" width="12" bestFit="1" customWidth="1"/>
    <col min="11293" max="11293" width="16.109375" bestFit="1" customWidth="1"/>
    <col min="11294" max="11294" width="14.88671875" bestFit="1" customWidth="1"/>
    <col min="11295" max="11295" width="16.109375" bestFit="1" customWidth="1"/>
    <col min="11296" max="11296" width="9.109375" bestFit="1" customWidth="1"/>
    <col min="11297" max="11299" width="16.109375" bestFit="1" customWidth="1"/>
    <col min="11521" max="11521" width="4.109375" customWidth="1"/>
    <col min="11522" max="11522" width="13.33203125" bestFit="1" customWidth="1"/>
    <col min="11523" max="11523" width="11.6640625" bestFit="1" customWidth="1"/>
    <col min="11524" max="11524" width="12.109375" bestFit="1" customWidth="1"/>
    <col min="11525" max="11525" width="23.109375" bestFit="1" customWidth="1"/>
    <col min="11526" max="11526" width="10.88671875" bestFit="1" customWidth="1"/>
    <col min="11527" max="11527" width="13.6640625" bestFit="1" customWidth="1"/>
    <col min="11528" max="11528" width="19.6640625" bestFit="1" customWidth="1"/>
    <col min="11529" max="11529" width="11.5546875" bestFit="1" customWidth="1"/>
    <col min="11530" max="11530" width="13.44140625" customWidth="1"/>
    <col min="11531" max="11531" width="8.33203125" bestFit="1" customWidth="1"/>
    <col min="11532" max="11532" width="12" bestFit="1" customWidth="1"/>
    <col min="11533" max="11533" width="10.33203125" bestFit="1" customWidth="1"/>
    <col min="11534" max="11534" width="9.33203125" bestFit="1" customWidth="1"/>
    <col min="11535" max="11535" width="8.6640625" bestFit="1" customWidth="1"/>
    <col min="11536" max="11536" width="12" bestFit="1" customWidth="1"/>
    <col min="11537" max="11537" width="10.33203125" bestFit="1" customWidth="1"/>
    <col min="11538" max="11538" width="12" bestFit="1" customWidth="1"/>
    <col min="11539" max="11540" width="10.88671875" customWidth="1"/>
    <col min="11541" max="11541" width="10.33203125" bestFit="1" customWidth="1"/>
    <col min="11542" max="11542" width="16.109375" bestFit="1" customWidth="1"/>
    <col min="11543" max="11543" width="12.109375" bestFit="1" customWidth="1"/>
    <col min="11544" max="11544" width="13.33203125" bestFit="1" customWidth="1"/>
    <col min="11545" max="11545" width="12" bestFit="1" customWidth="1"/>
    <col min="11546" max="11546" width="10.33203125" bestFit="1" customWidth="1"/>
    <col min="11547" max="11547" width="14.109375" bestFit="1" customWidth="1"/>
    <col min="11548" max="11548" width="12" bestFit="1" customWidth="1"/>
    <col min="11549" max="11549" width="16.109375" bestFit="1" customWidth="1"/>
    <col min="11550" max="11550" width="14.88671875" bestFit="1" customWidth="1"/>
    <col min="11551" max="11551" width="16.109375" bestFit="1" customWidth="1"/>
    <col min="11552" max="11552" width="9.109375" bestFit="1" customWidth="1"/>
    <col min="11553" max="11555" width="16.109375" bestFit="1" customWidth="1"/>
    <col min="11777" max="11777" width="4.109375" customWidth="1"/>
    <col min="11778" max="11778" width="13.33203125" bestFit="1" customWidth="1"/>
    <col min="11779" max="11779" width="11.6640625" bestFit="1" customWidth="1"/>
    <col min="11780" max="11780" width="12.109375" bestFit="1" customWidth="1"/>
    <col min="11781" max="11781" width="23.109375" bestFit="1" customWidth="1"/>
    <col min="11782" max="11782" width="10.88671875" bestFit="1" customWidth="1"/>
    <col min="11783" max="11783" width="13.6640625" bestFit="1" customWidth="1"/>
    <col min="11784" max="11784" width="19.6640625" bestFit="1" customWidth="1"/>
    <col min="11785" max="11785" width="11.5546875" bestFit="1" customWidth="1"/>
    <col min="11786" max="11786" width="13.44140625" customWidth="1"/>
    <col min="11787" max="11787" width="8.33203125" bestFit="1" customWidth="1"/>
    <col min="11788" max="11788" width="12" bestFit="1" customWidth="1"/>
    <col min="11789" max="11789" width="10.33203125" bestFit="1" customWidth="1"/>
    <col min="11790" max="11790" width="9.33203125" bestFit="1" customWidth="1"/>
    <col min="11791" max="11791" width="8.6640625" bestFit="1" customWidth="1"/>
    <col min="11792" max="11792" width="12" bestFit="1" customWidth="1"/>
    <col min="11793" max="11793" width="10.33203125" bestFit="1" customWidth="1"/>
    <col min="11794" max="11794" width="12" bestFit="1" customWidth="1"/>
    <col min="11795" max="11796" width="10.88671875" customWidth="1"/>
    <col min="11797" max="11797" width="10.33203125" bestFit="1" customWidth="1"/>
    <col min="11798" max="11798" width="16.109375" bestFit="1" customWidth="1"/>
    <col min="11799" max="11799" width="12.109375" bestFit="1" customWidth="1"/>
    <col min="11800" max="11800" width="13.33203125" bestFit="1" customWidth="1"/>
    <col min="11801" max="11801" width="12" bestFit="1" customWidth="1"/>
    <col min="11802" max="11802" width="10.33203125" bestFit="1" customWidth="1"/>
    <col min="11803" max="11803" width="14.109375" bestFit="1" customWidth="1"/>
    <col min="11804" max="11804" width="12" bestFit="1" customWidth="1"/>
    <col min="11805" max="11805" width="16.109375" bestFit="1" customWidth="1"/>
    <col min="11806" max="11806" width="14.88671875" bestFit="1" customWidth="1"/>
    <col min="11807" max="11807" width="16.109375" bestFit="1" customWidth="1"/>
    <col min="11808" max="11808" width="9.109375" bestFit="1" customWidth="1"/>
    <col min="11809" max="11811" width="16.109375" bestFit="1" customWidth="1"/>
    <col min="12033" max="12033" width="4.109375" customWidth="1"/>
    <col min="12034" max="12034" width="13.33203125" bestFit="1" customWidth="1"/>
    <col min="12035" max="12035" width="11.6640625" bestFit="1" customWidth="1"/>
    <col min="12036" max="12036" width="12.109375" bestFit="1" customWidth="1"/>
    <col min="12037" max="12037" width="23.109375" bestFit="1" customWidth="1"/>
    <col min="12038" max="12038" width="10.88671875" bestFit="1" customWidth="1"/>
    <col min="12039" max="12039" width="13.6640625" bestFit="1" customWidth="1"/>
    <col min="12040" max="12040" width="19.6640625" bestFit="1" customWidth="1"/>
    <col min="12041" max="12041" width="11.5546875" bestFit="1" customWidth="1"/>
    <col min="12042" max="12042" width="13.44140625" customWidth="1"/>
    <col min="12043" max="12043" width="8.33203125" bestFit="1" customWidth="1"/>
    <col min="12044" max="12044" width="12" bestFit="1" customWidth="1"/>
    <col min="12045" max="12045" width="10.33203125" bestFit="1" customWidth="1"/>
    <col min="12046" max="12046" width="9.33203125" bestFit="1" customWidth="1"/>
    <col min="12047" max="12047" width="8.6640625" bestFit="1" customWidth="1"/>
    <col min="12048" max="12048" width="12" bestFit="1" customWidth="1"/>
    <col min="12049" max="12049" width="10.33203125" bestFit="1" customWidth="1"/>
    <col min="12050" max="12050" width="12" bestFit="1" customWidth="1"/>
    <col min="12051" max="12052" width="10.88671875" customWidth="1"/>
    <col min="12053" max="12053" width="10.33203125" bestFit="1" customWidth="1"/>
    <col min="12054" max="12054" width="16.109375" bestFit="1" customWidth="1"/>
    <col min="12055" max="12055" width="12.109375" bestFit="1" customWidth="1"/>
    <col min="12056" max="12056" width="13.33203125" bestFit="1" customWidth="1"/>
    <col min="12057" max="12057" width="12" bestFit="1" customWidth="1"/>
    <col min="12058" max="12058" width="10.33203125" bestFit="1" customWidth="1"/>
    <col min="12059" max="12059" width="14.109375" bestFit="1" customWidth="1"/>
    <col min="12060" max="12060" width="12" bestFit="1" customWidth="1"/>
    <col min="12061" max="12061" width="16.109375" bestFit="1" customWidth="1"/>
    <col min="12062" max="12062" width="14.88671875" bestFit="1" customWidth="1"/>
    <col min="12063" max="12063" width="16.109375" bestFit="1" customWidth="1"/>
    <col min="12064" max="12064" width="9.109375" bestFit="1" customWidth="1"/>
    <col min="12065" max="12067" width="16.109375" bestFit="1" customWidth="1"/>
    <col min="12289" max="12289" width="4.109375" customWidth="1"/>
    <col min="12290" max="12290" width="13.33203125" bestFit="1" customWidth="1"/>
    <col min="12291" max="12291" width="11.6640625" bestFit="1" customWidth="1"/>
    <col min="12292" max="12292" width="12.109375" bestFit="1" customWidth="1"/>
    <col min="12293" max="12293" width="23.109375" bestFit="1" customWidth="1"/>
    <col min="12294" max="12294" width="10.88671875" bestFit="1" customWidth="1"/>
    <col min="12295" max="12295" width="13.6640625" bestFit="1" customWidth="1"/>
    <col min="12296" max="12296" width="19.6640625" bestFit="1" customWidth="1"/>
    <col min="12297" max="12297" width="11.5546875" bestFit="1" customWidth="1"/>
    <col min="12298" max="12298" width="13.44140625" customWidth="1"/>
    <col min="12299" max="12299" width="8.33203125" bestFit="1" customWidth="1"/>
    <col min="12300" max="12300" width="12" bestFit="1" customWidth="1"/>
    <col min="12301" max="12301" width="10.33203125" bestFit="1" customWidth="1"/>
    <col min="12302" max="12302" width="9.33203125" bestFit="1" customWidth="1"/>
    <col min="12303" max="12303" width="8.6640625" bestFit="1" customWidth="1"/>
    <col min="12304" max="12304" width="12" bestFit="1" customWidth="1"/>
    <col min="12305" max="12305" width="10.33203125" bestFit="1" customWidth="1"/>
    <col min="12306" max="12306" width="12" bestFit="1" customWidth="1"/>
    <col min="12307" max="12308" width="10.88671875" customWidth="1"/>
    <col min="12309" max="12309" width="10.33203125" bestFit="1" customWidth="1"/>
    <col min="12310" max="12310" width="16.109375" bestFit="1" customWidth="1"/>
    <col min="12311" max="12311" width="12.109375" bestFit="1" customWidth="1"/>
    <col min="12312" max="12312" width="13.33203125" bestFit="1" customWidth="1"/>
    <col min="12313" max="12313" width="12" bestFit="1" customWidth="1"/>
    <col min="12314" max="12314" width="10.33203125" bestFit="1" customWidth="1"/>
    <col min="12315" max="12315" width="14.109375" bestFit="1" customWidth="1"/>
    <col min="12316" max="12316" width="12" bestFit="1" customWidth="1"/>
    <col min="12317" max="12317" width="16.109375" bestFit="1" customWidth="1"/>
    <col min="12318" max="12318" width="14.88671875" bestFit="1" customWidth="1"/>
    <col min="12319" max="12319" width="16.109375" bestFit="1" customWidth="1"/>
    <col min="12320" max="12320" width="9.109375" bestFit="1" customWidth="1"/>
    <col min="12321" max="12323" width="16.109375" bestFit="1" customWidth="1"/>
    <col min="12545" max="12545" width="4.109375" customWidth="1"/>
    <col min="12546" max="12546" width="13.33203125" bestFit="1" customWidth="1"/>
    <col min="12547" max="12547" width="11.6640625" bestFit="1" customWidth="1"/>
    <col min="12548" max="12548" width="12.109375" bestFit="1" customWidth="1"/>
    <col min="12549" max="12549" width="23.109375" bestFit="1" customWidth="1"/>
    <col min="12550" max="12550" width="10.88671875" bestFit="1" customWidth="1"/>
    <col min="12551" max="12551" width="13.6640625" bestFit="1" customWidth="1"/>
    <col min="12552" max="12552" width="19.6640625" bestFit="1" customWidth="1"/>
    <col min="12553" max="12553" width="11.5546875" bestFit="1" customWidth="1"/>
    <col min="12554" max="12554" width="13.44140625" customWidth="1"/>
    <col min="12555" max="12555" width="8.33203125" bestFit="1" customWidth="1"/>
    <col min="12556" max="12556" width="12" bestFit="1" customWidth="1"/>
    <col min="12557" max="12557" width="10.33203125" bestFit="1" customWidth="1"/>
    <col min="12558" max="12558" width="9.33203125" bestFit="1" customWidth="1"/>
    <col min="12559" max="12559" width="8.6640625" bestFit="1" customWidth="1"/>
    <col min="12560" max="12560" width="12" bestFit="1" customWidth="1"/>
    <col min="12561" max="12561" width="10.33203125" bestFit="1" customWidth="1"/>
    <col min="12562" max="12562" width="12" bestFit="1" customWidth="1"/>
    <col min="12563" max="12564" width="10.88671875" customWidth="1"/>
    <col min="12565" max="12565" width="10.33203125" bestFit="1" customWidth="1"/>
    <col min="12566" max="12566" width="16.109375" bestFit="1" customWidth="1"/>
    <col min="12567" max="12567" width="12.109375" bestFit="1" customWidth="1"/>
    <col min="12568" max="12568" width="13.33203125" bestFit="1" customWidth="1"/>
    <col min="12569" max="12569" width="12" bestFit="1" customWidth="1"/>
    <col min="12570" max="12570" width="10.33203125" bestFit="1" customWidth="1"/>
    <col min="12571" max="12571" width="14.109375" bestFit="1" customWidth="1"/>
    <col min="12572" max="12572" width="12" bestFit="1" customWidth="1"/>
    <col min="12573" max="12573" width="16.109375" bestFit="1" customWidth="1"/>
    <col min="12574" max="12574" width="14.88671875" bestFit="1" customWidth="1"/>
    <col min="12575" max="12575" width="16.109375" bestFit="1" customWidth="1"/>
    <col min="12576" max="12576" width="9.109375" bestFit="1" customWidth="1"/>
    <col min="12577" max="12579" width="16.109375" bestFit="1" customWidth="1"/>
    <col min="12801" max="12801" width="4.109375" customWidth="1"/>
    <col min="12802" max="12802" width="13.33203125" bestFit="1" customWidth="1"/>
    <col min="12803" max="12803" width="11.6640625" bestFit="1" customWidth="1"/>
    <col min="12804" max="12804" width="12.109375" bestFit="1" customWidth="1"/>
    <col min="12805" max="12805" width="23.109375" bestFit="1" customWidth="1"/>
    <col min="12806" max="12806" width="10.88671875" bestFit="1" customWidth="1"/>
    <col min="12807" max="12807" width="13.6640625" bestFit="1" customWidth="1"/>
    <col min="12808" max="12808" width="19.6640625" bestFit="1" customWidth="1"/>
    <col min="12809" max="12809" width="11.5546875" bestFit="1" customWidth="1"/>
    <col min="12810" max="12810" width="13.44140625" customWidth="1"/>
    <col min="12811" max="12811" width="8.33203125" bestFit="1" customWidth="1"/>
    <col min="12812" max="12812" width="12" bestFit="1" customWidth="1"/>
    <col min="12813" max="12813" width="10.33203125" bestFit="1" customWidth="1"/>
    <col min="12814" max="12814" width="9.33203125" bestFit="1" customWidth="1"/>
    <col min="12815" max="12815" width="8.6640625" bestFit="1" customWidth="1"/>
    <col min="12816" max="12816" width="12" bestFit="1" customWidth="1"/>
    <col min="12817" max="12817" width="10.33203125" bestFit="1" customWidth="1"/>
    <col min="12818" max="12818" width="12" bestFit="1" customWidth="1"/>
    <col min="12819" max="12820" width="10.88671875" customWidth="1"/>
    <col min="12821" max="12821" width="10.33203125" bestFit="1" customWidth="1"/>
    <col min="12822" max="12822" width="16.109375" bestFit="1" customWidth="1"/>
    <col min="12823" max="12823" width="12.109375" bestFit="1" customWidth="1"/>
    <col min="12824" max="12824" width="13.33203125" bestFit="1" customWidth="1"/>
    <col min="12825" max="12825" width="12" bestFit="1" customWidth="1"/>
    <col min="12826" max="12826" width="10.33203125" bestFit="1" customWidth="1"/>
    <col min="12827" max="12827" width="14.109375" bestFit="1" customWidth="1"/>
    <col min="12828" max="12828" width="12" bestFit="1" customWidth="1"/>
    <col min="12829" max="12829" width="16.109375" bestFit="1" customWidth="1"/>
    <col min="12830" max="12830" width="14.88671875" bestFit="1" customWidth="1"/>
    <col min="12831" max="12831" width="16.109375" bestFit="1" customWidth="1"/>
    <col min="12832" max="12832" width="9.109375" bestFit="1" customWidth="1"/>
    <col min="12833" max="12835" width="16.109375" bestFit="1" customWidth="1"/>
    <col min="13057" max="13057" width="4.109375" customWidth="1"/>
    <col min="13058" max="13058" width="13.33203125" bestFit="1" customWidth="1"/>
    <col min="13059" max="13059" width="11.6640625" bestFit="1" customWidth="1"/>
    <col min="13060" max="13060" width="12.109375" bestFit="1" customWidth="1"/>
    <col min="13061" max="13061" width="23.109375" bestFit="1" customWidth="1"/>
    <col min="13062" max="13062" width="10.88671875" bestFit="1" customWidth="1"/>
    <col min="13063" max="13063" width="13.6640625" bestFit="1" customWidth="1"/>
    <col min="13064" max="13064" width="19.6640625" bestFit="1" customWidth="1"/>
    <col min="13065" max="13065" width="11.5546875" bestFit="1" customWidth="1"/>
    <col min="13066" max="13066" width="13.44140625" customWidth="1"/>
    <col min="13067" max="13067" width="8.33203125" bestFit="1" customWidth="1"/>
    <col min="13068" max="13068" width="12" bestFit="1" customWidth="1"/>
    <col min="13069" max="13069" width="10.33203125" bestFit="1" customWidth="1"/>
    <col min="13070" max="13070" width="9.33203125" bestFit="1" customWidth="1"/>
    <col min="13071" max="13071" width="8.6640625" bestFit="1" customWidth="1"/>
    <col min="13072" max="13072" width="12" bestFit="1" customWidth="1"/>
    <col min="13073" max="13073" width="10.33203125" bestFit="1" customWidth="1"/>
    <col min="13074" max="13074" width="12" bestFit="1" customWidth="1"/>
    <col min="13075" max="13076" width="10.88671875" customWidth="1"/>
    <col min="13077" max="13077" width="10.33203125" bestFit="1" customWidth="1"/>
    <col min="13078" max="13078" width="16.109375" bestFit="1" customWidth="1"/>
    <col min="13079" max="13079" width="12.109375" bestFit="1" customWidth="1"/>
    <col min="13080" max="13080" width="13.33203125" bestFit="1" customWidth="1"/>
    <col min="13081" max="13081" width="12" bestFit="1" customWidth="1"/>
    <col min="13082" max="13082" width="10.33203125" bestFit="1" customWidth="1"/>
    <col min="13083" max="13083" width="14.109375" bestFit="1" customWidth="1"/>
    <col min="13084" max="13084" width="12" bestFit="1" customWidth="1"/>
    <col min="13085" max="13085" width="16.109375" bestFit="1" customWidth="1"/>
    <col min="13086" max="13086" width="14.88671875" bestFit="1" customWidth="1"/>
    <col min="13087" max="13087" width="16.109375" bestFit="1" customWidth="1"/>
    <col min="13088" max="13088" width="9.109375" bestFit="1" customWidth="1"/>
    <col min="13089" max="13091" width="16.109375" bestFit="1" customWidth="1"/>
    <col min="13313" max="13313" width="4.109375" customWidth="1"/>
    <col min="13314" max="13314" width="13.33203125" bestFit="1" customWidth="1"/>
    <col min="13315" max="13315" width="11.6640625" bestFit="1" customWidth="1"/>
    <col min="13316" max="13316" width="12.109375" bestFit="1" customWidth="1"/>
    <col min="13317" max="13317" width="23.109375" bestFit="1" customWidth="1"/>
    <col min="13318" max="13318" width="10.88671875" bestFit="1" customWidth="1"/>
    <col min="13319" max="13319" width="13.6640625" bestFit="1" customWidth="1"/>
    <col min="13320" max="13320" width="19.6640625" bestFit="1" customWidth="1"/>
    <col min="13321" max="13321" width="11.5546875" bestFit="1" customWidth="1"/>
    <col min="13322" max="13322" width="13.44140625" customWidth="1"/>
    <col min="13323" max="13323" width="8.33203125" bestFit="1" customWidth="1"/>
    <col min="13324" max="13324" width="12" bestFit="1" customWidth="1"/>
    <col min="13325" max="13325" width="10.33203125" bestFit="1" customWidth="1"/>
    <col min="13326" max="13326" width="9.33203125" bestFit="1" customWidth="1"/>
    <col min="13327" max="13327" width="8.6640625" bestFit="1" customWidth="1"/>
    <col min="13328" max="13328" width="12" bestFit="1" customWidth="1"/>
    <col min="13329" max="13329" width="10.33203125" bestFit="1" customWidth="1"/>
    <col min="13330" max="13330" width="12" bestFit="1" customWidth="1"/>
    <col min="13331" max="13332" width="10.88671875" customWidth="1"/>
    <col min="13333" max="13333" width="10.33203125" bestFit="1" customWidth="1"/>
    <col min="13334" max="13334" width="16.109375" bestFit="1" customWidth="1"/>
    <col min="13335" max="13335" width="12.109375" bestFit="1" customWidth="1"/>
    <col min="13336" max="13336" width="13.33203125" bestFit="1" customWidth="1"/>
    <col min="13337" max="13337" width="12" bestFit="1" customWidth="1"/>
    <col min="13338" max="13338" width="10.33203125" bestFit="1" customWidth="1"/>
    <col min="13339" max="13339" width="14.109375" bestFit="1" customWidth="1"/>
    <col min="13340" max="13340" width="12" bestFit="1" customWidth="1"/>
    <col min="13341" max="13341" width="16.109375" bestFit="1" customWidth="1"/>
    <col min="13342" max="13342" width="14.88671875" bestFit="1" customWidth="1"/>
    <col min="13343" max="13343" width="16.109375" bestFit="1" customWidth="1"/>
    <col min="13344" max="13344" width="9.109375" bestFit="1" customWidth="1"/>
    <col min="13345" max="13347" width="16.109375" bestFit="1" customWidth="1"/>
    <col min="13569" max="13569" width="4.109375" customWidth="1"/>
    <col min="13570" max="13570" width="13.33203125" bestFit="1" customWidth="1"/>
    <col min="13571" max="13571" width="11.6640625" bestFit="1" customWidth="1"/>
    <col min="13572" max="13572" width="12.109375" bestFit="1" customWidth="1"/>
    <col min="13573" max="13573" width="23.109375" bestFit="1" customWidth="1"/>
    <col min="13574" max="13574" width="10.88671875" bestFit="1" customWidth="1"/>
    <col min="13575" max="13575" width="13.6640625" bestFit="1" customWidth="1"/>
    <col min="13576" max="13576" width="19.6640625" bestFit="1" customWidth="1"/>
    <col min="13577" max="13577" width="11.5546875" bestFit="1" customWidth="1"/>
    <col min="13578" max="13578" width="13.44140625" customWidth="1"/>
    <col min="13579" max="13579" width="8.33203125" bestFit="1" customWidth="1"/>
    <col min="13580" max="13580" width="12" bestFit="1" customWidth="1"/>
    <col min="13581" max="13581" width="10.33203125" bestFit="1" customWidth="1"/>
    <col min="13582" max="13582" width="9.33203125" bestFit="1" customWidth="1"/>
    <col min="13583" max="13583" width="8.6640625" bestFit="1" customWidth="1"/>
    <col min="13584" max="13584" width="12" bestFit="1" customWidth="1"/>
    <col min="13585" max="13585" width="10.33203125" bestFit="1" customWidth="1"/>
    <col min="13586" max="13586" width="12" bestFit="1" customWidth="1"/>
    <col min="13587" max="13588" width="10.88671875" customWidth="1"/>
    <col min="13589" max="13589" width="10.33203125" bestFit="1" customWidth="1"/>
    <col min="13590" max="13590" width="16.109375" bestFit="1" customWidth="1"/>
    <col min="13591" max="13591" width="12.109375" bestFit="1" customWidth="1"/>
    <col min="13592" max="13592" width="13.33203125" bestFit="1" customWidth="1"/>
    <col min="13593" max="13593" width="12" bestFit="1" customWidth="1"/>
    <col min="13594" max="13594" width="10.33203125" bestFit="1" customWidth="1"/>
    <col min="13595" max="13595" width="14.109375" bestFit="1" customWidth="1"/>
    <col min="13596" max="13596" width="12" bestFit="1" customWidth="1"/>
    <col min="13597" max="13597" width="16.109375" bestFit="1" customWidth="1"/>
    <col min="13598" max="13598" width="14.88671875" bestFit="1" customWidth="1"/>
    <col min="13599" max="13599" width="16.109375" bestFit="1" customWidth="1"/>
    <col min="13600" max="13600" width="9.109375" bestFit="1" customWidth="1"/>
    <col min="13601" max="13603" width="16.109375" bestFit="1" customWidth="1"/>
    <col min="13825" max="13825" width="4.109375" customWidth="1"/>
    <col min="13826" max="13826" width="13.33203125" bestFit="1" customWidth="1"/>
    <col min="13827" max="13827" width="11.6640625" bestFit="1" customWidth="1"/>
    <col min="13828" max="13828" width="12.109375" bestFit="1" customWidth="1"/>
    <col min="13829" max="13829" width="23.109375" bestFit="1" customWidth="1"/>
    <col min="13830" max="13830" width="10.88671875" bestFit="1" customWidth="1"/>
    <col min="13831" max="13831" width="13.6640625" bestFit="1" customWidth="1"/>
    <col min="13832" max="13832" width="19.6640625" bestFit="1" customWidth="1"/>
    <col min="13833" max="13833" width="11.5546875" bestFit="1" customWidth="1"/>
    <col min="13834" max="13834" width="13.44140625" customWidth="1"/>
    <col min="13835" max="13835" width="8.33203125" bestFit="1" customWidth="1"/>
    <col min="13836" max="13836" width="12" bestFit="1" customWidth="1"/>
    <col min="13837" max="13837" width="10.33203125" bestFit="1" customWidth="1"/>
    <col min="13838" max="13838" width="9.33203125" bestFit="1" customWidth="1"/>
    <col min="13839" max="13839" width="8.6640625" bestFit="1" customWidth="1"/>
    <col min="13840" max="13840" width="12" bestFit="1" customWidth="1"/>
    <col min="13841" max="13841" width="10.33203125" bestFit="1" customWidth="1"/>
    <col min="13842" max="13842" width="12" bestFit="1" customWidth="1"/>
    <col min="13843" max="13844" width="10.88671875" customWidth="1"/>
    <col min="13845" max="13845" width="10.33203125" bestFit="1" customWidth="1"/>
    <col min="13846" max="13846" width="16.109375" bestFit="1" customWidth="1"/>
    <col min="13847" max="13847" width="12.109375" bestFit="1" customWidth="1"/>
    <col min="13848" max="13848" width="13.33203125" bestFit="1" customWidth="1"/>
    <col min="13849" max="13849" width="12" bestFit="1" customWidth="1"/>
    <col min="13850" max="13850" width="10.33203125" bestFit="1" customWidth="1"/>
    <col min="13851" max="13851" width="14.109375" bestFit="1" customWidth="1"/>
    <col min="13852" max="13852" width="12" bestFit="1" customWidth="1"/>
    <col min="13853" max="13853" width="16.109375" bestFit="1" customWidth="1"/>
    <col min="13854" max="13854" width="14.88671875" bestFit="1" customWidth="1"/>
    <col min="13855" max="13855" width="16.109375" bestFit="1" customWidth="1"/>
    <col min="13856" max="13856" width="9.109375" bestFit="1" customWidth="1"/>
    <col min="13857" max="13859" width="16.109375" bestFit="1" customWidth="1"/>
    <col min="14081" max="14081" width="4.109375" customWidth="1"/>
    <col min="14082" max="14082" width="13.33203125" bestFit="1" customWidth="1"/>
    <col min="14083" max="14083" width="11.6640625" bestFit="1" customWidth="1"/>
    <col min="14084" max="14084" width="12.109375" bestFit="1" customWidth="1"/>
    <col min="14085" max="14085" width="23.109375" bestFit="1" customWidth="1"/>
    <col min="14086" max="14086" width="10.88671875" bestFit="1" customWidth="1"/>
    <col min="14087" max="14087" width="13.6640625" bestFit="1" customWidth="1"/>
    <col min="14088" max="14088" width="19.6640625" bestFit="1" customWidth="1"/>
    <col min="14089" max="14089" width="11.5546875" bestFit="1" customWidth="1"/>
    <col min="14090" max="14090" width="13.44140625" customWidth="1"/>
    <col min="14091" max="14091" width="8.33203125" bestFit="1" customWidth="1"/>
    <col min="14092" max="14092" width="12" bestFit="1" customWidth="1"/>
    <col min="14093" max="14093" width="10.33203125" bestFit="1" customWidth="1"/>
    <col min="14094" max="14094" width="9.33203125" bestFit="1" customWidth="1"/>
    <col min="14095" max="14095" width="8.6640625" bestFit="1" customWidth="1"/>
    <col min="14096" max="14096" width="12" bestFit="1" customWidth="1"/>
    <col min="14097" max="14097" width="10.33203125" bestFit="1" customWidth="1"/>
    <col min="14098" max="14098" width="12" bestFit="1" customWidth="1"/>
    <col min="14099" max="14100" width="10.88671875" customWidth="1"/>
    <col min="14101" max="14101" width="10.33203125" bestFit="1" customWidth="1"/>
    <col min="14102" max="14102" width="16.109375" bestFit="1" customWidth="1"/>
    <col min="14103" max="14103" width="12.109375" bestFit="1" customWidth="1"/>
    <col min="14104" max="14104" width="13.33203125" bestFit="1" customWidth="1"/>
    <col min="14105" max="14105" width="12" bestFit="1" customWidth="1"/>
    <col min="14106" max="14106" width="10.33203125" bestFit="1" customWidth="1"/>
    <col min="14107" max="14107" width="14.109375" bestFit="1" customWidth="1"/>
    <col min="14108" max="14108" width="12" bestFit="1" customWidth="1"/>
    <col min="14109" max="14109" width="16.109375" bestFit="1" customWidth="1"/>
    <col min="14110" max="14110" width="14.88671875" bestFit="1" customWidth="1"/>
    <col min="14111" max="14111" width="16.109375" bestFit="1" customWidth="1"/>
    <col min="14112" max="14112" width="9.109375" bestFit="1" customWidth="1"/>
    <col min="14113" max="14115" width="16.109375" bestFit="1" customWidth="1"/>
    <col min="14337" max="14337" width="4.109375" customWidth="1"/>
    <col min="14338" max="14338" width="13.33203125" bestFit="1" customWidth="1"/>
    <col min="14339" max="14339" width="11.6640625" bestFit="1" customWidth="1"/>
    <col min="14340" max="14340" width="12.109375" bestFit="1" customWidth="1"/>
    <col min="14341" max="14341" width="23.109375" bestFit="1" customWidth="1"/>
    <col min="14342" max="14342" width="10.88671875" bestFit="1" customWidth="1"/>
    <col min="14343" max="14343" width="13.6640625" bestFit="1" customWidth="1"/>
    <col min="14344" max="14344" width="19.6640625" bestFit="1" customWidth="1"/>
    <col min="14345" max="14345" width="11.5546875" bestFit="1" customWidth="1"/>
    <col min="14346" max="14346" width="13.44140625" customWidth="1"/>
    <col min="14347" max="14347" width="8.33203125" bestFit="1" customWidth="1"/>
    <col min="14348" max="14348" width="12" bestFit="1" customWidth="1"/>
    <col min="14349" max="14349" width="10.33203125" bestFit="1" customWidth="1"/>
    <col min="14350" max="14350" width="9.33203125" bestFit="1" customWidth="1"/>
    <col min="14351" max="14351" width="8.6640625" bestFit="1" customWidth="1"/>
    <col min="14352" max="14352" width="12" bestFit="1" customWidth="1"/>
    <col min="14353" max="14353" width="10.33203125" bestFit="1" customWidth="1"/>
    <col min="14354" max="14354" width="12" bestFit="1" customWidth="1"/>
    <col min="14355" max="14356" width="10.88671875" customWidth="1"/>
    <col min="14357" max="14357" width="10.33203125" bestFit="1" customWidth="1"/>
    <col min="14358" max="14358" width="16.109375" bestFit="1" customWidth="1"/>
    <col min="14359" max="14359" width="12.109375" bestFit="1" customWidth="1"/>
    <col min="14360" max="14360" width="13.33203125" bestFit="1" customWidth="1"/>
    <col min="14361" max="14361" width="12" bestFit="1" customWidth="1"/>
    <col min="14362" max="14362" width="10.33203125" bestFit="1" customWidth="1"/>
    <col min="14363" max="14363" width="14.109375" bestFit="1" customWidth="1"/>
    <col min="14364" max="14364" width="12" bestFit="1" customWidth="1"/>
    <col min="14365" max="14365" width="16.109375" bestFit="1" customWidth="1"/>
    <col min="14366" max="14366" width="14.88671875" bestFit="1" customWidth="1"/>
    <col min="14367" max="14367" width="16.109375" bestFit="1" customWidth="1"/>
    <col min="14368" max="14368" width="9.109375" bestFit="1" customWidth="1"/>
    <col min="14369" max="14371" width="16.109375" bestFit="1" customWidth="1"/>
    <col min="14593" max="14593" width="4.109375" customWidth="1"/>
    <col min="14594" max="14594" width="13.33203125" bestFit="1" customWidth="1"/>
    <col min="14595" max="14595" width="11.6640625" bestFit="1" customWidth="1"/>
    <col min="14596" max="14596" width="12.109375" bestFit="1" customWidth="1"/>
    <col min="14597" max="14597" width="23.109375" bestFit="1" customWidth="1"/>
    <col min="14598" max="14598" width="10.88671875" bestFit="1" customWidth="1"/>
    <col min="14599" max="14599" width="13.6640625" bestFit="1" customWidth="1"/>
    <col min="14600" max="14600" width="19.6640625" bestFit="1" customWidth="1"/>
    <col min="14601" max="14601" width="11.5546875" bestFit="1" customWidth="1"/>
    <col min="14602" max="14602" width="13.44140625" customWidth="1"/>
    <col min="14603" max="14603" width="8.33203125" bestFit="1" customWidth="1"/>
    <col min="14604" max="14604" width="12" bestFit="1" customWidth="1"/>
    <col min="14605" max="14605" width="10.33203125" bestFit="1" customWidth="1"/>
    <col min="14606" max="14606" width="9.33203125" bestFit="1" customWidth="1"/>
    <col min="14607" max="14607" width="8.6640625" bestFit="1" customWidth="1"/>
    <col min="14608" max="14608" width="12" bestFit="1" customWidth="1"/>
    <col min="14609" max="14609" width="10.33203125" bestFit="1" customWidth="1"/>
    <col min="14610" max="14610" width="12" bestFit="1" customWidth="1"/>
    <col min="14611" max="14612" width="10.88671875" customWidth="1"/>
    <col min="14613" max="14613" width="10.33203125" bestFit="1" customWidth="1"/>
    <col min="14614" max="14614" width="16.109375" bestFit="1" customWidth="1"/>
    <col min="14615" max="14615" width="12.109375" bestFit="1" customWidth="1"/>
    <col min="14616" max="14616" width="13.33203125" bestFit="1" customWidth="1"/>
    <col min="14617" max="14617" width="12" bestFit="1" customWidth="1"/>
    <col min="14618" max="14618" width="10.33203125" bestFit="1" customWidth="1"/>
    <col min="14619" max="14619" width="14.109375" bestFit="1" customWidth="1"/>
    <col min="14620" max="14620" width="12" bestFit="1" customWidth="1"/>
    <col min="14621" max="14621" width="16.109375" bestFit="1" customWidth="1"/>
    <col min="14622" max="14622" width="14.88671875" bestFit="1" customWidth="1"/>
    <col min="14623" max="14623" width="16.109375" bestFit="1" customWidth="1"/>
    <col min="14624" max="14624" width="9.109375" bestFit="1" customWidth="1"/>
    <col min="14625" max="14627" width="16.109375" bestFit="1" customWidth="1"/>
    <col min="14849" max="14849" width="4.109375" customWidth="1"/>
    <col min="14850" max="14850" width="13.33203125" bestFit="1" customWidth="1"/>
    <col min="14851" max="14851" width="11.6640625" bestFit="1" customWidth="1"/>
    <col min="14852" max="14852" width="12.109375" bestFit="1" customWidth="1"/>
    <col min="14853" max="14853" width="23.109375" bestFit="1" customWidth="1"/>
    <col min="14854" max="14854" width="10.88671875" bestFit="1" customWidth="1"/>
    <col min="14855" max="14855" width="13.6640625" bestFit="1" customWidth="1"/>
    <col min="14856" max="14856" width="19.6640625" bestFit="1" customWidth="1"/>
    <col min="14857" max="14857" width="11.5546875" bestFit="1" customWidth="1"/>
    <col min="14858" max="14858" width="13.44140625" customWidth="1"/>
    <col min="14859" max="14859" width="8.33203125" bestFit="1" customWidth="1"/>
    <col min="14860" max="14860" width="12" bestFit="1" customWidth="1"/>
    <col min="14861" max="14861" width="10.33203125" bestFit="1" customWidth="1"/>
    <col min="14862" max="14862" width="9.33203125" bestFit="1" customWidth="1"/>
    <col min="14863" max="14863" width="8.6640625" bestFit="1" customWidth="1"/>
    <col min="14864" max="14864" width="12" bestFit="1" customWidth="1"/>
    <col min="14865" max="14865" width="10.33203125" bestFit="1" customWidth="1"/>
    <col min="14866" max="14866" width="12" bestFit="1" customWidth="1"/>
    <col min="14867" max="14868" width="10.88671875" customWidth="1"/>
    <col min="14869" max="14869" width="10.33203125" bestFit="1" customWidth="1"/>
    <col min="14870" max="14870" width="16.109375" bestFit="1" customWidth="1"/>
    <col min="14871" max="14871" width="12.109375" bestFit="1" customWidth="1"/>
    <col min="14872" max="14872" width="13.33203125" bestFit="1" customWidth="1"/>
    <col min="14873" max="14873" width="12" bestFit="1" customWidth="1"/>
    <col min="14874" max="14874" width="10.33203125" bestFit="1" customWidth="1"/>
    <col min="14875" max="14875" width="14.109375" bestFit="1" customWidth="1"/>
    <col min="14876" max="14876" width="12" bestFit="1" customWidth="1"/>
    <col min="14877" max="14877" width="16.109375" bestFit="1" customWidth="1"/>
    <col min="14878" max="14878" width="14.88671875" bestFit="1" customWidth="1"/>
    <col min="14879" max="14879" width="16.109375" bestFit="1" customWidth="1"/>
    <col min="14880" max="14880" width="9.109375" bestFit="1" customWidth="1"/>
    <col min="14881" max="14883" width="16.109375" bestFit="1" customWidth="1"/>
    <col min="15105" max="15105" width="4.109375" customWidth="1"/>
    <col min="15106" max="15106" width="13.33203125" bestFit="1" customWidth="1"/>
    <col min="15107" max="15107" width="11.6640625" bestFit="1" customWidth="1"/>
    <col min="15108" max="15108" width="12.109375" bestFit="1" customWidth="1"/>
    <col min="15109" max="15109" width="23.109375" bestFit="1" customWidth="1"/>
    <col min="15110" max="15110" width="10.88671875" bestFit="1" customWidth="1"/>
    <col min="15111" max="15111" width="13.6640625" bestFit="1" customWidth="1"/>
    <col min="15112" max="15112" width="19.6640625" bestFit="1" customWidth="1"/>
    <col min="15113" max="15113" width="11.5546875" bestFit="1" customWidth="1"/>
    <col min="15114" max="15114" width="13.44140625" customWidth="1"/>
    <col min="15115" max="15115" width="8.33203125" bestFit="1" customWidth="1"/>
    <col min="15116" max="15116" width="12" bestFit="1" customWidth="1"/>
    <col min="15117" max="15117" width="10.33203125" bestFit="1" customWidth="1"/>
    <col min="15118" max="15118" width="9.33203125" bestFit="1" customWidth="1"/>
    <col min="15119" max="15119" width="8.6640625" bestFit="1" customWidth="1"/>
    <col min="15120" max="15120" width="12" bestFit="1" customWidth="1"/>
    <col min="15121" max="15121" width="10.33203125" bestFit="1" customWidth="1"/>
    <col min="15122" max="15122" width="12" bestFit="1" customWidth="1"/>
    <col min="15123" max="15124" width="10.88671875" customWidth="1"/>
    <col min="15125" max="15125" width="10.33203125" bestFit="1" customWidth="1"/>
    <col min="15126" max="15126" width="16.109375" bestFit="1" customWidth="1"/>
    <col min="15127" max="15127" width="12.109375" bestFit="1" customWidth="1"/>
    <col min="15128" max="15128" width="13.33203125" bestFit="1" customWidth="1"/>
    <col min="15129" max="15129" width="12" bestFit="1" customWidth="1"/>
    <col min="15130" max="15130" width="10.33203125" bestFit="1" customWidth="1"/>
    <col min="15131" max="15131" width="14.109375" bestFit="1" customWidth="1"/>
    <col min="15132" max="15132" width="12" bestFit="1" customWidth="1"/>
    <col min="15133" max="15133" width="16.109375" bestFit="1" customWidth="1"/>
    <col min="15134" max="15134" width="14.88671875" bestFit="1" customWidth="1"/>
    <col min="15135" max="15135" width="16.109375" bestFit="1" customWidth="1"/>
    <col min="15136" max="15136" width="9.109375" bestFit="1" customWidth="1"/>
    <col min="15137" max="15139" width="16.109375" bestFit="1" customWidth="1"/>
    <col min="15361" max="15361" width="4.109375" customWidth="1"/>
    <col min="15362" max="15362" width="13.33203125" bestFit="1" customWidth="1"/>
    <col min="15363" max="15363" width="11.6640625" bestFit="1" customWidth="1"/>
    <col min="15364" max="15364" width="12.109375" bestFit="1" customWidth="1"/>
    <col min="15365" max="15365" width="23.109375" bestFit="1" customWidth="1"/>
    <col min="15366" max="15366" width="10.88671875" bestFit="1" customWidth="1"/>
    <col min="15367" max="15367" width="13.6640625" bestFit="1" customWidth="1"/>
    <col min="15368" max="15368" width="19.6640625" bestFit="1" customWidth="1"/>
    <col min="15369" max="15369" width="11.5546875" bestFit="1" customWidth="1"/>
    <col min="15370" max="15370" width="13.44140625" customWidth="1"/>
    <col min="15371" max="15371" width="8.33203125" bestFit="1" customWidth="1"/>
    <col min="15372" max="15372" width="12" bestFit="1" customWidth="1"/>
    <col min="15373" max="15373" width="10.33203125" bestFit="1" customWidth="1"/>
    <col min="15374" max="15374" width="9.33203125" bestFit="1" customWidth="1"/>
    <col min="15375" max="15375" width="8.6640625" bestFit="1" customWidth="1"/>
    <col min="15376" max="15376" width="12" bestFit="1" customWidth="1"/>
    <col min="15377" max="15377" width="10.33203125" bestFit="1" customWidth="1"/>
    <col min="15378" max="15378" width="12" bestFit="1" customWidth="1"/>
    <col min="15379" max="15380" width="10.88671875" customWidth="1"/>
    <col min="15381" max="15381" width="10.33203125" bestFit="1" customWidth="1"/>
    <col min="15382" max="15382" width="16.109375" bestFit="1" customWidth="1"/>
    <col min="15383" max="15383" width="12.109375" bestFit="1" customWidth="1"/>
    <col min="15384" max="15384" width="13.33203125" bestFit="1" customWidth="1"/>
    <col min="15385" max="15385" width="12" bestFit="1" customWidth="1"/>
    <col min="15386" max="15386" width="10.33203125" bestFit="1" customWidth="1"/>
    <col min="15387" max="15387" width="14.109375" bestFit="1" customWidth="1"/>
    <col min="15388" max="15388" width="12" bestFit="1" customWidth="1"/>
    <col min="15389" max="15389" width="16.109375" bestFit="1" customWidth="1"/>
    <col min="15390" max="15390" width="14.88671875" bestFit="1" customWidth="1"/>
    <col min="15391" max="15391" width="16.109375" bestFit="1" customWidth="1"/>
    <col min="15392" max="15392" width="9.109375" bestFit="1" customWidth="1"/>
    <col min="15393" max="15395" width="16.109375" bestFit="1" customWidth="1"/>
    <col min="15617" max="15617" width="4.109375" customWidth="1"/>
    <col min="15618" max="15618" width="13.33203125" bestFit="1" customWidth="1"/>
    <col min="15619" max="15619" width="11.6640625" bestFit="1" customWidth="1"/>
    <col min="15620" max="15620" width="12.109375" bestFit="1" customWidth="1"/>
    <col min="15621" max="15621" width="23.109375" bestFit="1" customWidth="1"/>
    <col min="15622" max="15622" width="10.88671875" bestFit="1" customWidth="1"/>
    <col min="15623" max="15623" width="13.6640625" bestFit="1" customWidth="1"/>
    <col min="15624" max="15624" width="19.6640625" bestFit="1" customWidth="1"/>
    <col min="15625" max="15625" width="11.5546875" bestFit="1" customWidth="1"/>
    <col min="15626" max="15626" width="13.44140625" customWidth="1"/>
    <col min="15627" max="15627" width="8.33203125" bestFit="1" customWidth="1"/>
    <col min="15628" max="15628" width="12" bestFit="1" customWidth="1"/>
    <col min="15629" max="15629" width="10.33203125" bestFit="1" customWidth="1"/>
    <col min="15630" max="15630" width="9.33203125" bestFit="1" customWidth="1"/>
    <col min="15631" max="15631" width="8.6640625" bestFit="1" customWidth="1"/>
    <col min="15632" max="15632" width="12" bestFit="1" customWidth="1"/>
    <col min="15633" max="15633" width="10.33203125" bestFit="1" customWidth="1"/>
    <col min="15634" max="15634" width="12" bestFit="1" customWidth="1"/>
    <col min="15635" max="15636" width="10.88671875" customWidth="1"/>
    <col min="15637" max="15637" width="10.33203125" bestFit="1" customWidth="1"/>
    <col min="15638" max="15638" width="16.109375" bestFit="1" customWidth="1"/>
    <col min="15639" max="15639" width="12.109375" bestFit="1" customWidth="1"/>
    <col min="15640" max="15640" width="13.33203125" bestFit="1" customWidth="1"/>
    <col min="15641" max="15641" width="12" bestFit="1" customWidth="1"/>
    <col min="15642" max="15642" width="10.33203125" bestFit="1" customWidth="1"/>
    <col min="15643" max="15643" width="14.109375" bestFit="1" customWidth="1"/>
    <col min="15644" max="15644" width="12" bestFit="1" customWidth="1"/>
    <col min="15645" max="15645" width="16.109375" bestFit="1" customWidth="1"/>
    <col min="15646" max="15646" width="14.88671875" bestFit="1" customWidth="1"/>
    <col min="15647" max="15647" width="16.109375" bestFit="1" customWidth="1"/>
    <col min="15648" max="15648" width="9.109375" bestFit="1" customWidth="1"/>
    <col min="15649" max="15651" width="16.109375" bestFit="1" customWidth="1"/>
    <col min="15873" max="15873" width="4.109375" customWidth="1"/>
    <col min="15874" max="15874" width="13.33203125" bestFit="1" customWidth="1"/>
    <col min="15875" max="15875" width="11.6640625" bestFit="1" customWidth="1"/>
    <col min="15876" max="15876" width="12.109375" bestFit="1" customWidth="1"/>
    <col min="15877" max="15877" width="23.109375" bestFit="1" customWidth="1"/>
    <col min="15878" max="15878" width="10.88671875" bestFit="1" customWidth="1"/>
    <col min="15879" max="15879" width="13.6640625" bestFit="1" customWidth="1"/>
    <col min="15880" max="15880" width="19.6640625" bestFit="1" customWidth="1"/>
    <col min="15881" max="15881" width="11.5546875" bestFit="1" customWidth="1"/>
    <col min="15882" max="15882" width="13.44140625" customWidth="1"/>
    <col min="15883" max="15883" width="8.33203125" bestFit="1" customWidth="1"/>
    <col min="15884" max="15884" width="12" bestFit="1" customWidth="1"/>
    <col min="15885" max="15885" width="10.33203125" bestFit="1" customWidth="1"/>
    <col min="15886" max="15886" width="9.33203125" bestFit="1" customWidth="1"/>
    <col min="15887" max="15887" width="8.6640625" bestFit="1" customWidth="1"/>
    <col min="15888" max="15888" width="12" bestFit="1" customWidth="1"/>
    <col min="15889" max="15889" width="10.33203125" bestFit="1" customWidth="1"/>
    <col min="15890" max="15890" width="12" bestFit="1" customWidth="1"/>
    <col min="15891" max="15892" width="10.88671875" customWidth="1"/>
    <col min="15893" max="15893" width="10.33203125" bestFit="1" customWidth="1"/>
    <col min="15894" max="15894" width="16.109375" bestFit="1" customWidth="1"/>
    <col min="15895" max="15895" width="12.109375" bestFit="1" customWidth="1"/>
    <col min="15896" max="15896" width="13.33203125" bestFit="1" customWidth="1"/>
    <col min="15897" max="15897" width="12" bestFit="1" customWidth="1"/>
    <col min="15898" max="15898" width="10.33203125" bestFit="1" customWidth="1"/>
    <col min="15899" max="15899" width="14.109375" bestFit="1" customWidth="1"/>
    <col min="15900" max="15900" width="12" bestFit="1" customWidth="1"/>
    <col min="15901" max="15901" width="16.109375" bestFit="1" customWidth="1"/>
    <col min="15902" max="15902" width="14.88671875" bestFit="1" customWidth="1"/>
    <col min="15903" max="15903" width="16.109375" bestFit="1" customWidth="1"/>
    <col min="15904" max="15904" width="9.109375" bestFit="1" customWidth="1"/>
    <col min="15905" max="15907" width="16.109375" bestFit="1" customWidth="1"/>
    <col min="16129" max="16129" width="4.109375" customWidth="1"/>
    <col min="16130" max="16130" width="13.33203125" bestFit="1" customWidth="1"/>
    <col min="16131" max="16131" width="11.6640625" bestFit="1" customWidth="1"/>
    <col min="16132" max="16132" width="12.109375" bestFit="1" customWidth="1"/>
    <col min="16133" max="16133" width="23.109375" bestFit="1" customWidth="1"/>
    <col min="16134" max="16134" width="10.88671875" bestFit="1" customWidth="1"/>
    <col min="16135" max="16135" width="13.6640625" bestFit="1" customWidth="1"/>
    <col min="16136" max="16136" width="19.6640625" bestFit="1" customWidth="1"/>
    <col min="16137" max="16137" width="11.5546875" bestFit="1" customWidth="1"/>
    <col min="16138" max="16138" width="13.44140625" customWidth="1"/>
    <col min="16139" max="16139" width="8.33203125" bestFit="1" customWidth="1"/>
    <col min="16140" max="16140" width="12" bestFit="1" customWidth="1"/>
    <col min="16141" max="16141" width="10.33203125" bestFit="1" customWidth="1"/>
    <col min="16142" max="16142" width="9.33203125" bestFit="1" customWidth="1"/>
    <col min="16143" max="16143" width="8.6640625" bestFit="1" customWidth="1"/>
    <col min="16144" max="16144" width="12" bestFit="1" customWidth="1"/>
    <col min="16145" max="16145" width="10.33203125" bestFit="1" customWidth="1"/>
    <col min="16146" max="16146" width="12" bestFit="1" customWidth="1"/>
    <col min="16147" max="16148" width="10.88671875" customWidth="1"/>
    <col min="16149" max="16149" width="10.33203125" bestFit="1" customWidth="1"/>
    <col min="16150" max="16150" width="16.109375" bestFit="1" customWidth="1"/>
    <col min="16151" max="16151" width="12.109375" bestFit="1" customWidth="1"/>
    <col min="16152" max="16152" width="13.33203125" bestFit="1" customWidth="1"/>
    <col min="16153" max="16153" width="12" bestFit="1" customWidth="1"/>
    <col min="16154" max="16154" width="10.33203125" bestFit="1" customWidth="1"/>
    <col min="16155" max="16155" width="14.109375" bestFit="1" customWidth="1"/>
    <col min="16156" max="16156" width="12" bestFit="1" customWidth="1"/>
    <col min="16157" max="16157" width="16.109375" bestFit="1" customWidth="1"/>
    <col min="16158" max="16158" width="14.88671875" bestFit="1" customWidth="1"/>
    <col min="16159" max="16159" width="16.109375" bestFit="1" customWidth="1"/>
    <col min="16160" max="16160" width="9.109375" bestFit="1" customWidth="1"/>
    <col min="16161" max="16163" width="16.109375" bestFit="1" customWidth="1"/>
  </cols>
  <sheetData>
    <row r="1" spans="2:33" ht="15" thickBot="1" x14ac:dyDescent="0.35">
      <c r="B1" s="367" t="s">
        <v>267</v>
      </c>
      <c r="C1" s="368"/>
      <c r="S1" s="198" t="s">
        <v>268</v>
      </c>
      <c r="T1" s="198"/>
      <c r="U1" s="198" t="s">
        <v>269</v>
      </c>
      <c r="V1" s="198"/>
      <c r="AG1" t="s">
        <v>178</v>
      </c>
    </row>
    <row r="2" spans="2:33" s="199" customFormat="1" ht="14.4" x14ac:dyDescent="0.3">
      <c r="B2" s="200" t="s">
        <v>270</v>
      </c>
      <c r="C2" s="200" t="s">
        <v>271</v>
      </c>
      <c r="D2" s="201" t="s">
        <v>272</v>
      </c>
      <c r="E2" s="201" t="s">
        <v>273</v>
      </c>
      <c r="F2" s="201" t="s">
        <v>274</v>
      </c>
      <c r="G2" s="201" t="s">
        <v>275</v>
      </c>
      <c r="H2" s="201" t="s">
        <v>276</v>
      </c>
      <c r="I2" s="201" t="s">
        <v>277</v>
      </c>
      <c r="J2" s="201" t="s">
        <v>278</v>
      </c>
      <c r="K2" s="201" t="s">
        <v>279</v>
      </c>
      <c r="L2" s="202" t="s">
        <v>280</v>
      </c>
      <c r="M2" s="202" t="s">
        <v>281</v>
      </c>
      <c r="N2" s="202" t="s">
        <v>282</v>
      </c>
      <c r="O2" s="202" t="s">
        <v>283</v>
      </c>
      <c r="P2" s="203" t="s">
        <v>284</v>
      </c>
      <c r="Q2" s="202" t="s">
        <v>285</v>
      </c>
      <c r="R2" s="204" t="s">
        <v>286</v>
      </c>
      <c r="S2" s="205" t="s">
        <v>287</v>
      </c>
      <c r="T2" s="206"/>
      <c r="U2" s="205" t="s">
        <v>288</v>
      </c>
      <c r="V2" s="205" t="s">
        <v>289</v>
      </c>
      <c r="W2" s="207" t="s">
        <v>290</v>
      </c>
      <c r="X2" s="208" t="s">
        <v>291</v>
      </c>
      <c r="Y2" s="208" t="s">
        <v>292</v>
      </c>
      <c r="Z2" s="208" t="s">
        <v>293</v>
      </c>
      <c r="AA2" s="206" t="s">
        <v>294</v>
      </c>
      <c r="AB2" s="206" t="s">
        <v>295</v>
      </c>
      <c r="AC2" s="206" t="s">
        <v>296</v>
      </c>
      <c r="AD2" s="202" t="s">
        <v>297</v>
      </c>
      <c r="AE2" s="209" t="s">
        <v>298</v>
      </c>
    </row>
    <row r="3" spans="2:33" s="199" customFormat="1" ht="14.4" x14ac:dyDescent="0.3">
      <c r="B3" s="210" t="s">
        <v>299</v>
      </c>
      <c r="C3" s="211" t="s">
        <v>300</v>
      </c>
      <c r="D3" s="212" t="s">
        <v>301</v>
      </c>
      <c r="E3" s="212" t="s">
        <v>302</v>
      </c>
      <c r="F3" s="210" t="s">
        <v>303</v>
      </c>
      <c r="G3" s="210" t="s">
        <v>304</v>
      </c>
      <c r="H3" s="210" t="s">
        <v>305</v>
      </c>
      <c r="I3" s="213">
        <v>42453</v>
      </c>
      <c r="J3" s="214" t="s">
        <v>306</v>
      </c>
      <c r="K3" s="215">
        <v>30</v>
      </c>
      <c r="L3" s="216">
        <f>593728+(593728*3%)</f>
        <v>611539.84</v>
      </c>
      <c r="M3" s="216">
        <v>0</v>
      </c>
      <c r="N3" s="216">
        <v>85702</v>
      </c>
      <c r="O3" s="216">
        <v>0</v>
      </c>
      <c r="P3" s="217">
        <f t="shared" ref="P3:P13" si="0">SUM(L3:O3)</f>
        <v>697241.84</v>
      </c>
      <c r="Q3" s="218">
        <f>11724+(11724*3%)</f>
        <v>12075.72</v>
      </c>
      <c r="R3" s="219">
        <f t="shared" ref="R3:R13" si="1">Q3+P3</f>
        <v>709317.55999999994</v>
      </c>
      <c r="S3" s="218">
        <f>P3*1.15%</f>
        <v>8018.2811599999995</v>
      </c>
      <c r="T3" s="218"/>
      <c r="U3" s="218">
        <f>P3*2.4%</f>
        <v>16733.80416</v>
      </c>
      <c r="V3" s="218">
        <f>P3*1.29%</f>
        <v>8994.4197359999998</v>
      </c>
      <c r="W3" s="220">
        <f t="shared" ref="W3:W13" si="2">V3+U3+S3+R3</f>
        <v>743064.0650559999</v>
      </c>
      <c r="X3" s="221">
        <f>P3*10.14%</f>
        <v>70700.322576000006</v>
      </c>
      <c r="Y3" s="222" t="s">
        <v>307</v>
      </c>
      <c r="Z3" s="221">
        <f t="shared" ref="Z3:Z13" si="3">P3*7%</f>
        <v>48806.928800000002</v>
      </c>
      <c r="AA3" s="223">
        <v>0</v>
      </c>
      <c r="AB3" s="224">
        <f t="shared" ref="AB3:AB13" si="4">P3-X3-Z3-AA3</f>
        <v>577734.58862399997</v>
      </c>
      <c r="AC3" s="224" t="s">
        <v>308</v>
      </c>
      <c r="AD3" s="221">
        <f>IF(AB3&lt;729608,110546,77383)</f>
        <v>110546</v>
      </c>
      <c r="AE3" s="225">
        <f>W3+AD3</f>
        <v>853610.0650559999</v>
      </c>
    </row>
    <row r="4" spans="2:33" s="199" customFormat="1" ht="14.4" x14ac:dyDescent="0.3">
      <c r="B4" s="226" t="s">
        <v>309</v>
      </c>
      <c r="C4" s="211" t="s">
        <v>310</v>
      </c>
      <c r="D4" s="212" t="s">
        <v>311</v>
      </c>
      <c r="E4" s="212" t="s">
        <v>312</v>
      </c>
      <c r="F4" s="210" t="s">
        <v>303</v>
      </c>
      <c r="G4" s="210" t="s">
        <v>304</v>
      </c>
      <c r="H4" s="210" t="s">
        <v>313</v>
      </c>
      <c r="I4" s="227">
        <v>41694</v>
      </c>
      <c r="J4" s="214" t="s">
        <v>306</v>
      </c>
      <c r="K4" s="215">
        <v>30</v>
      </c>
      <c r="L4" s="216">
        <f>405712+(405712*3%)</f>
        <v>417883.36</v>
      </c>
      <c r="M4" s="216">
        <v>23366</v>
      </c>
      <c r="N4" s="216">
        <v>0</v>
      </c>
      <c r="O4" s="216">
        <v>0</v>
      </c>
      <c r="P4" s="217">
        <f t="shared" si="0"/>
        <v>441249.36</v>
      </c>
      <c r="Q4" s="218">
        <f>12606+(12606*3%)</f>
        <v>12984.18</v>
      </c>
      <c r="R4" s="219">
        <f>Q4+P4</f>
        <v>454233.54</v>
      </c>
      <c r="S4" s="218">
        <f t="shared" ref="S4:S13" si="5">P4*1.15%</f>
        <v>5074.3676399999995</v>
      </c>
      <c r="T4" s="218"/>
      <c r="U4" s="218">
        <f t="shared" ref="U4:U13" si="6">P4*2.4%</f>
        <v>10589.984640000001</v>
      </c>
      <c r="V4" s="218">
        <f t="shared" ref="V4:V13" si="7">P4*1.29%</f>
        <v>5692.1167439999999</v>
      </c>
      <c r="W4" s="220">
        <f t="shared" si="2"/>
        <v>475590.00902399997</v>
      </c>
      <c r="X4" s="221">
        <f>P4*11.54%</f>
        <v>50920.17614399999</v>
      </c>
      <c r="Y4" s="222" t="s">
        <v>314</v>
      </c>
      <c r="Z4" s="221">
        <f t="shared" si="3"/>
        <v>30887.4552</v>
      </c>
      <c r="AA4" s="223">
        <v>0</v>
      </c>
      <c r="AB4" s="224">
        <f t="shared" si="4"/>
        <v>359441.72865599999</v>
      </c>
      <c r="AC4" s="224" t="s">
        <v>315</v>
      </c>
      <c r="AD4" s="221">
        <f t="shared" ref="AD4:AD13" si="8">IF(AB4&lt;729608,110546,77383)</f>
        <v>110546</v>
      </c>
      <c r="AE4" s="225">
        <f t="shared" ref="AE4:AE12" si="9">W4+AD4</f>
        <v>586136.00902400003</v>
      </c>
    </row>
    <row r="5" spans="2:33" s="199" customFormat="1" ht="14.4" x14ac:dyDescent="0.3">
      <c r="B5" s="226" t="s">
        <v>316</v>
      </c>
      <c r="C5" s="211" t="s">
        <v>317</v>
      </c>
      <c r="D5" s="212" t="s">
        <v>318</v>
      </c>
      <c r="E5" s="212" t="s">
        <v>319</v>
      </c>
      <c r="F5" s="210" t="s">
        <v>303</v>
      </c>
      <c r="G5" s="210" t="s">
        <v>304</v>
      </c>
      <c r="H5" s="210" t="s">
        <v>313</v>
      </c>
      <c r="I5" s="213">
        <v>42676</v>
      </c>
      <c r="J5" s="214" t="s">
        <v>306</v>
      </c>
      <c r="K5" s="215">
        <v>30</v>
      </c>
      <c r="L5" s="216">
        <f>352620+(352620*3%)</f>
        <v>363198.6</v>
      </c>
      <c r="M5" s="216">
        <v>0</v>
      </c>
      <c r="N5" s="216">
        <v>0</v>
      </c>
      <c r="O5" s="216">
        <v>0</v>
      </c>
      <c r="P5" s="217">
        <f t="shared" si="0"/>
        <v>363198.6</v>
      </c>
      <c r="Q5" s="218">
        <f>11416+(11416*3%)</f>
        <v>11758.48</v>
      </c>
      <c r="R5" s="219">
        <f t="shared" si="1"/>
        <v>374957.07999999996</v>
      </c>
      <c r="S5" s="218">
        <f t="shared" si="5"/>
        <v>4176.7838999999994</v>
      </c>
      <c r="T5" s="218"/>
      <c r="U5" s="218">
        <f t="shared" si="6"/>
        <v>8716.7664000000004</v>
      </c>
      <c r="V5" s="218">
        <f t="shared" si="7"/>
        <v>4685.2619399999994</v>
      </c>
      <c r="W5" s="220">
        <f t="shared" si="2"/>
        <v>392535.89223999996</v>
      </c>
      <c r="X5" s="221">
        <f>P5*10.14%</f>
        <v>36828.338040000002</v>
      </c>
      <c r="Y5" s="222" t="s">
        <v>307</v>
      </c>
      <c r="Z5" s="221">
        <f t="shared" si="3"/>
        <v>25423.902000000002</v>
      </c>
      <c r="AA5" s="223">
        <v>0</v>
      </c>
      <c r="AB5" s="224">
        <f t="shared" si="4"/>
        <v>300946.35995999997</v>
      </c>
      <c r="AC5" s="224" t="s">
        <v>315</v>
      </c>
      <c r="AD5" s="221">
        <f t="shared" si="8"/>
        <v>110546</v>
      </c>
      <c r="AE5" s="225">
        <f t="shared" si="9"/>
        <v>503081.89223999996</v>
      </c>
    </row>
    <row r="6" spans="2:33" s="198" customFormat="1" ht="14.4" x14ac:dyDescent="0.3">
      <c r="B6" s="228" t="s">
        <v>320</v>
      </c>
      <c r="C6" s="229" t="s">
        <v>321</v>
      </c>
      <c r="D6" s="228" t="s">
        <v>322</v>
      </c>
      <c r="E6" s="228" t="s">
        <v>323</v>
      </c>
      <c r="F6" s="230" t="s">
        <v>303</v>
      </c>
      <c r="G6" s="230" t="s">
        <v>304</v>
      </c>
      <c r="H6" s="230" t="s">
        <v>313</v>
      </c>
      <c r="I6" s="231">
        <v>42531</v>
      </c>
      <c r="J6" s="232" t="s">
        <v>306</v>
      </c>
      <c r="K6" s="233">
        <v>30</v>
      </c>
      <c r="L6" s="234">
        <v>0</v>
      </c>
      <c r="M6" s="234">
        <v>0</v>
      </c>
      <c r="N6" s="234">
        <v>0</v>
      </c>
      <c r="O6" s="234">
        <v>0</v>
      </c>
      <c r="P6" s="235">
        <f t="shared" si="0"/>
        <v>0</v>
      </c>
      <c r="Q6" s="236">
        <v>0</v>
      </c>
      <c r="R6" s="237">
        <v>0</v>
      </c>
      <c r="S6" s="236">
        <f t="shared" si="5"/>
        <v>0</v>
      </c>
      <c r="T6" s="236"/>
      <c r="U6" s="236">
        <f t="shared" si="6"/>
        <v>0</v>
      </c>
      <c r="V6" s="236">
        <f t="shared" si="7"/>
        <v>0</v>
      </c>
      <c r="W6" s="238">
        <f t="shared" si="2"/>
        <v>0</v>
      </c>
      <c r="X6" s="239">
        <f>P6*10.77%</f>
        <v>0</v>
      </c>
      <c r="Y6" s="240" t="s">
        <v>324</v>
      </c>
      <c r="Z6" s="239">
        <f t="shared" si="3"/>
        <v>0</v>
      </c>
      <c r="AA6" s="239">
        <v>0</v>
      </c>
      <c r="AB6" s="241">
        <f t="shared" si="4"/>
        <v>0</v>
      </c>
      <c r="AC6" s="241" t="s">
        <v>315</v>
      </c>
      <c r="AD6" s="239">
        <v>0</v>
      </c>
      <c r="AE6" s="242">
        <f t="shared" si="9"/>
        <v>0</v>
      </c>
    </row>
    <row r="7" spans="2:33" s="199" customFormat="1" ht="14.4" x14ac:dyDescent="0.3">
      <c r="B7" s="226" t="s">
        <v>325</v>
      </c>
      <c r="C7" s="211" t="s">
        <v>321</v>
      </c>
      <c r="D7" s="212" t="s">
        <v>326</v>
      </c>
      <c r="E7" s="212" t="s">
        <v>327</v>
      </c>
      <c r="F7" s="210" t="s">
        <v>303</v>
      </c>
      <c r="G7" s="210" t="s">
        <v>304</v>
      </c>
      <c r="H7" s="210" t="s">
        <v>313</v>
      </c>
      <c r="I7" s="213">
        <v>42461</v>
      </c>
      <c r="J7" s="214" t="s">
        <v>306</v>
      </c>
      <c r="K7" s="215">
        <v>30</v>
      </c>
      <c r="L7" s="216">
        <f>352620+(352620*3%)</f>
        <v>363198.6</v>
      </c>
      <c r="M7" s="216">
        <v>0</v>
      </c>
      <c r="N7" s="216">
        <v>0</v>
      </c>
      <c r="O7" s="216">
        <v>0</v>
      </c>
      <c r="P7" s="217">
        <f t="shared" si="0"/>
        <v>363198.6</v>
      </c>
      <c r="Q7" s="218">
        <f>11724+(11724*3%)</f>
        <v>12075.72</v>
      </c>
      <c r="R7" s="219">
        <f t="shared" si="1"/>
        <v>375274.31999999995</v>
      </c>
      <c r="S7" s="218">
        <f t="shared" si="5"/>
        <v>4176.7838999999994</v>
      </c>
      <c r="T7" s="218"/>
      <c r="U7" s="218">
        <f t="shared" si="6"/>
        <v>8716.7664000000004</v>
      </c>
      <c r="V7" s="218">
        <f t="shared" si="7"/>
        <v>4685.2619399999994</v>
      </c>
      <c r="W7" s="220">
        <f t="shared" si="2"/>
        <v>392853.13223999995</v>
      </c>
      <c r="X7" s="221">
        <f>P7*10.14%</f>
        <v>36828.338040000002</v>
      </c>
      <c r="Y7" s="222" t="s">
        <v>307</v>
      </c>
      <c r="Z7" s="221">
        <f t="shared" si="3"/>
        <v>25423.902000000002</v>
      </c>
      <c r="AA7" s="223">
        <v>0</v>
      </c>
      <c r="AB7" s="224">
        <f t="shared" si="4"/>
        <v>300946.35995999997</v>
      </c>
      <c r="AC7" s="224" t="s">
        <v>315</v>
      </c>
      <c r="AD7" s="221">
        <f t="shared" si="8"/>
        <v>110546</v>
      </c>
      <c r="AE7" s="225">
        <f t="shared" si="9"/>
        <v>503399.13223999995</v>
      </c>
    </row>
    <row r="8" spans="2:33" s="199" customFormat="1" ht="14.4" x14ac:dyDescent="0.3">
      <c r="B8" s="226" t="s">
        <v>328</v>
      </c>
      <c r="C8" s="211" t="s">
        <v>329</v>
      </c>
      <c r="D8" s="212" t="s">
        <v>330</v>
      </c>
      <c r="E8" s="212" t="s">
        <v>331</v>
      </c>
      <c r="F8" s="210" t="s">
        <v>303</v>
      </c>
      <c r="G8" s="210" t="s">
        <v>304</v>
      </c>
      <c r="H8" s="210" t="s">
        <v>313</v>
      </c>
      <c r="I8" s="213">
        <v>42786</v>
      </c>
      <c r="J8" s="243">
        <v>42886</v>
      </c>
      <c r="K8" s="215">
        <v>30</v>
      </c>
      <c r="L8" s="216">
        <f>352620+(352620*3%)</f>
        <v>363198.6</v>
      </c>
      <c r="M8" s="216">
        <v>0</v>
      </c>
      <c r="N8" s="216">
        <v>0</v>
      </c>
      <c r="O8" s="216">
        <v>0</v>
      </c>
      <c r="P8" s="217">
        <f t="shared" si="0"/>
        <v>363198.6</v>
      </c>
      <c r="Q8" s="218">
        <f>11416+(11416*3%)</f>
        <v>11758.48</v>
      </c>
      <c r="R8" s="219">
        <f t="shared" si="1"/>
        <v>374957.07999999996</v>
      </c>
      <c r="S8" s="218">
        <f t="shared" si="5"/>
        <v>4176.7838999999994</v>
      </c>
      <c r="T8" s="218"/>
      <c r="U8" s="218">
        <f t="shared" si="6"/>
        <v>8716.7664000000004</v>
      </c>
      <c r="V8" s="218">
        <f t="shared" si="7"/>
        <v>4685.2619399999994</v>
      </c>
      <c r="W8" s="220">
        <f t="shared" si="2"/>
        <v>392535.89223999996</v>
      </c>
      <c r="X8" s="221">
        <f>P8*10.14%</f>
        <v>36828.338040000002</v>
      </c>
      <c r="Y8" s="222" t="s">
        <v>307</v>
      </c>
      <c r="Z8" s="221">
        <f t="shared" si="3"/>
        <v>25423.902000000002</v>
      </c>
      <c r="AA8" s="223">
        <v>0</v>
      </c>
      <c r="AB8" s="224">
        <f t="shared" si="4"/>
        <v>300946.35995999997</v>
      </c>
      <c r="AC8" s="224" t="s">
        <v>315</v>
      </c>
      <c r="AD8" s="221">
        <f t="shared" si="8"/>
        <v>110546</v>
      </c>
      <c r="AE8" s="225">
        <f t="shared" si="9"/>
        <v>503081.89223999996</v>
      </c>
    </row>
    <row r="9" spans="2:33" s="199" customFormat="1" ht="14.4" x14ac:dyDescent="0.3">
      <c r="B9" s="226" t="s">
        <v>332</v>
      </c>
      <c r="C9" s="211" t="s">
        <v>333</v>
      </c>
      <c r="D9" s="212" t="s">
        <v>334</v>
      </c>
      <c r="E9" s="212" t="s">
        <v>335</v>
      </c>
      <c r="F9" s="210" t="s">
        <v>303</v>
      </c>
      <c r="G9" s="210" t="s">
        <v>304</v>
      </c>
      <c r="H9" s="210" t="s">
        <v>313</v>
      </c>
      <c r="I9" s="213">
        <v>42787</v>
      </c>
      <c r="J9" s="243">
        <v>42886</v>
      </c>
      <c r="K9" s="215">
        <v>30</v>
      </c>
      <c r="L9" s="216">
        <f>352620+(352620*3%)</f>
        <v>363198.6</v>
      </c>
      <c r="M9" s="216">
        <v>0</v>
      </c>
      <c r="N9" s="216">
        <v>0</v>
      </c>
      <c r="O9" s="216">
        <v>0</v>
      </c>
      <c r="P9" s="217">
        <f t="shared" si="0"/>
        <v>363198.6</v>
      </c>
      <c r="Q9" s="218">
        <f>11416+(11416*3%)</f>
        <v>11758.48</v>
      </c>
      <c r="R9" s="219">
        <f t="shared" si="1"/>
        <v>374957.07999999996</v>
      </c>
      <c r="S9" s="218">
        <f t="shared" si="5"/>
        <v>4176.7838999999994</v>
      </c>
      <c r="T9" s="218"/>
      <c r="U9" s="218">
        <f t="shared" si="6"/>
        <v>8716.7664000000004</v>
      </c>
      <c r="V9" s="218">
        <f t="shared" si="7"/>
        <v>4685.2619399999994</v>
      </c>
      <c r="W9" s="220">
        <f t="shared" si="2"/>
        <v>392535.89223999996</v>
      </c>
      <c r="X9" s="221">
        <f>P9*10.14%</f>
        <v>36828.338040000002</v>
      </c>
      <c r="Y9" s="222" t="s">
        <v>307</v>
      </c>
      <c r="Z9" s="221">
        <f t="shared" si="3"/>
        <v>25423.902000000002</v>
      </c>
      <c r="AA9" s="223">
        <v>0</v>
      </c>
      <c r="AB9" s="224">
        <f t="shared" si="4"/>
        <v>300946.35995999997</v>
      </c>
      <c r="AC9" s="224" t="s">
        <v>315</v>
      </c>
      <c r="AD9" s="221">
        <f t="shared" si="8"/>
        <v>110546</v>
      </c>
      <c r="AE9" s="225">
        <f t="shared" si="9"/>
        <v>503081.89223999996</v>
      </c>
    </row>
    <row r="10" spans="2:33" s="199" customFormat="1" ht="14.4" x14ac:dyDescent="0.3">
      <c r="B10" s="226" t="s">
        <v>336</v>
      </c>
      <c r="C10" s="211" t="s">
        <v>337</v>
      </c>
      <c r="D10" s="212" t="s">
        <v>338</v>
      </c>
      <c r="E10" s="212" t="s">
        <v>339</v>
      </c>
      <c r="F10" s="210" t="s">
        <v>303</v>
      </c>
      <c r="G10" s="210" t="s">
        <v>304</v>
      </c>
      <c r="H10" s="210" t="s">
        <v>313</v>
      </c>
      <c r="I10" s="213">
        <v>42787</v>
      </c>
      <c r="J10" s="243">
        <v>42886</v>
      </c>
      <c r="K10" s="215">
        <v>30</v>
      </c>
      <c r="L10" s="216">
        <f>352620+(352620*3%)</f>
        <v>363198.6</v>
      </c>
      <c r="M10" s="216">
        <v>0</v>
      </c>
      <c r="N10" s="216">
        <v>0</v>
      </c>
      <c r="O10" s="216">
        <v>0</v>
      </c>
      <c r="P10" s="217">
        <f t="shared" si="0"/>
        <v>363198.6</v>
      </c>
      <c r="Q10" s="218">
        <f>11416+(11416*3%)</f>
        <v>11758.48</v>
      </c>
      <c r="R10" s="219">
        <f t="shared" si="1"/>
        <v>374957.07999999996</v>
      </c>
      <c r="S10" s="218">
        <f t="shared" si="5"/>
        <v>4176.7838999999994</v>
      </c>
      <c r="T10" s="218"/>
      <c r="U10" s="218">
        <f t="shared" si="6"/>
        <v>8716.7664000000004</v>
      </c>
      <c r="V10" s="218">
        <f t="shared" si="7"/>
        <v>4685.2619399999994</v>
      </c>
      <c r="W10" s="220">
        <f t="shared" si="2"/>
        <v>392535.89223999996</v>
      </c>
      <c r="X10" s="221">
        <f>P10*10.77%</f>
        <v>39116.489219999996</v>
      </c>
      <c r="Y10" s="222" t="s">
        <v>324</v>
      </c>
      <c r="Z10" s="221">
        <f t="shared" si="3"/>
        <v>25423.902000000002</v>
      </c>
      <c r="AA10" s="223">
        <v>0</v>
      </c>
      <c r="AB10" s="224">
        <f t="shared" si="4"/>
        <v>298658.20877999999</v>
      </c>
      <c r="AC10" s="224" t="s">
        <v>315</v>
      </c>
      <c r="AD10" s="221">
        <f t="shared" si="8"/>
        <v>110546</v>
      </c>
      <c r="AE10" s="225">
        <f t="shared" si="9"/>
        <v>503081.89223999996</v>
      </c>
    </row>
    <row r="11" spans="2:33" s="199" customFormat="1" ht="14.4" x14ac:dyDescent="0.3">
      <c r="B11" s="210" t="s">
        <v>340</v>
      </c>
      <c r="C11" s="244" t="s">
        <v>341</v>
      </c>
      <c r="D11" s="226" t="s">
        <v>342</v>
      </c>
      <c r="E11" s="226" t="s">
        <v>343</v>
      </c>
      <c r="F11" s="245" t="s">
        <v>303</v>
      </c>
      <c r="G11" s="245" t="s">
        <v>304</v>
      </c>
      <c r="H11" s="244" t="s">
        <v>344</v>
      </c>
      <c r="I11" s="227">
        <v>41694</v>
      </c>
      <c r="J11" s="246" t="s">
        <v>306</v>
      </c>
      <c r="K11" s="215">
        <v>30</v>
      </c>
      <c r="L11" s="216">
        <f>366313+(366313*3%)</f>
        <v>377302.39</v>
      </c>
      <c r="M11" s="216">
        <v>23366</v>
      </c>
      <c r="N11" s="216">
        <v>0</v>
      </c>
      <c r="O11" s="216">
        <v>0</v>
      </c>
      <c r="P11" s="217">
        <f t="shared" si="0"/>
        <v>400668.39</v>
      </c>
      <c r="Q11" s="218">
        <f>12803+(12803*3%)</f>
        <v>13187.09</v>
      </c>
      <c r="R11" s="219">
        <f t="shared" si="1"/>
        <v>413855.48000000004</v>
      </c>
      <c r="S11" s="218">
        <f t="shared" si="5"/>
        <v>4607.6864850000002</v>
      </c>
      <c r="T11" s="218"/>
      <c r="U11" s="218">
        <f t="shared" si="6"/>
        <v>9616.0413600000011</v>
      </c>
      <c r="V11" s="218">
        <f t="shared" si="7"/>
        <v>5168.6222310000003</v>
      </c>
      <c r="W11" s="220">
        <f t="shared" si="2"/>
        <v>433247.83007600007</v>
      </c>
      <c r="X11" s="221">
        <f>P11*11.27%</f>
        <v>45155.327553000003</v>
      </c>
      <c r="Y11" s="222" t="s">
        <v>345</v>
      </c>
      <c r="Z11" s="221">
        <f t="shared" si="3"/>
        <v>28046.787300000004</v>
      </c>
      <c r="AA11" s="223">
        <v>0</v>
      </c>
      <c r="AB11" s="224">
        <f t="shared" si="4"/>
        <v>327466.27514699998</v>
      </c>
      <c r="AC11" s="224" t="s">
        <v>315</v>
      </c>
      <c r="AD11" s="221">
        <f t="shared" si="8"/>
        <v>110546</v>
      </c>
      <c r="AE11" s="225">
        <f t="shared" si="9"/>
        <v>543793.83007600007</v>
      </c>
    </row>
    <row r="12" spans="2:33" s="199" customFormat="1" ht="14.4" x14ac:dyDescent="0.3">
      <c r="B12" s="226" t="s">
        <v>346</v>
      </c>
      <c r="C12" s="211" t="s">
        <v>347</v>
      </c>
      <c r="D12" s="212" t="s">
        <v>348</v>
      </c>
      <c r="E12" s="212" t="s">
        <v>349</v>
      </c>
      <c r="F12" s="245" t="s">
        <v>303</v>
      </c>
      <c r="G12" s="245" t="s">
        <v>304</v>
      </c>
      <c r="H12" s="244" t="s">
        <v>344</v>
      </c>
      <c r="I12" s="227">
        <v>42324</v>
      </c>
      <c r="J12" s="246" t="s">
        <v>306</v>
      </c>
      <c r="K12" s="215">
        <v>30</v>
      </c>
      <c r="L12" s="216">
        <f>298368+(298368*3%)</f>
        <v>307319.03999999998</v>
      </c>
      <c r="M12" s="216">
        <v>0</v>
      </c>
      <c r="N12" s="216">
        <v>0</v>
      </c>
      <c r="O12" s="216">
        <v>0</v>
      </c>
      <c r="P12" s="217">
        <f t="shared" si="0"/>
        <v>307319.03999999998</v>
      </c>
      <c r="Q12" s="218">
        <f>11416+(11416*3%)</f>
        <v>11758.48</v>
      </c>
      <c r="R12" s="219">
        <f t="shared" si="1"/>
        <v>319077.51999999996</v>
      </c>
      <c r="S12" s="218">
        <f t="shared" si="5"/>
        <v>3534.1689599999995</v>
      </c>
      <c r="T12" s="218"/>
      <c r="U12" s="218">
        <f t="shared" si="6"/>
        <v>7375.6569599999993</v>
      </c>
      <c r="V12" s="218">
        <f t="shared" si="7"/>
        <v>3964.4156159999998</v>
      </c>
      <c r="W12" s="220">
        <f t="shared" si="2"/>
        <v>333951.76153599995</v>
      </c>
      <c r="X12" s="221">
        <f>P12*10.77%</f>
        <v>33098.260607999997</v>
      </c>
      <c r="Y12" s="222" t="s">
        <v>324</v>
      </c>
      <c r="Z12" s="221">
        <f t="shared" si="3"/>
        <v>21512.3328</v>
      </c>
      <c r="AA12" s="223">
        <v>0</v>
      </c>
      <c r="AB12" s="224">
        <f t="shared" si="4"/>
        <v>252708.44659199999</v>
      </c>
      <c r="AC12" s="224" t="s">
        <v>315</v>
      </c>
      <c r="AD12" s="221">
        <f t="shared" si="8"/>
        <v>110546</v>
      </c>
      <c r="AE12" s="225">
        <f t="shared" si="9"/>
        <v>444497.76153599995</v>
      </c>
    </row>
    <row r="13" spans="2:33" s="199" customFormat="1" ht="14.4" x14ac:dyDescent="0.3">
      <c r="B13" s="226" t="s">
        <v>350</v>
      </c>
      <c r="C13" s="244" t="s">
        <v>351</v>
      </c>
      <c r="D13" s="226" t="s">
        <v>352</v>
      </c>
      <c r="E13" s="226" t="s">
        <v>353</v>
      </c>
      <c r="F13" s="210" t="s">
        <v>303</v>
      </c>
      <c r="G13" s="210" t="s">
        <v>304</v>
      </c>
      <c r="H13" s="210" t="s">
        <v>354</v>
      </c>
      <c r="I13" s="227">
        <v>41339</v>
      </c>
      <c r="J13" s="214" t="s">
        <v>306</v>
      </c>
      <c r="K13" s="215">
        <v>30</v>
      </c>
      <c r="L13" s="216">
        <f>286496+(286496*3%)</f>
        <v>295090.88</v>
      </c>
      <c r="M13" s="216">
        <v>29753</v>
      </c>
      <c r="N13" s="216">
        <v>0</v>
      </c>
      <c r="O13" s="216">
        <v>0</v>
      </c>
      <c r="P13" s="217">
        <f t="shared" si="0"/>
        <v>324843.88</v>
      </c>
      <c r="Q13" s="218">
        <f>12992+(12992*3%)</f>
        <v>13381.76</v>
      </c>
      <c r="R13" s="219">
        <f t="shared" si="1"/>
        <v>338225.64</v>
      </c>
      <c r="S13" s="218">
        <f t="shared" si="5"/>
        <v>3735.70462</v>
      </c>
      <c r="T13" s="218"/>
      <c r="U13" s="218">
        <f t="shared" si="6"/>
        <v>7796.2531200000003</v>
      </c>
      <c r="V13" s="218">
        <f t="shared" si="7"/>
        <v>4190.4860520000002</v>
      </c>
      <c r="W13" s="220">
        <f t="shared" si="2"/>
        <v>353948.08379200002</v>
      </c>
      <c r="X13" s="221">
        <f>P13*11.54%</f>
        <v>37486.983752</v>
      </c>
      <c r="Y13" s="222" t="s">
        <v>314</v>
      </c>
      <c r="Z13" s="221">
        <f t="shared" si="3"/>
        <v>22739.071600000003</v>
      </c>
      <c r="AA13" s="223">
        <v>0</v>
      </c>
      <c r="AB13" s="224">
        <f t="shared" si="4"/>
        <v>264617.82464799995</v>
      </c>
      <c r="AC13" s="224" t="s">
        <v>355</v>
      </c>
      <c r="AD13" s="221">
        <f t="shared" si="8"/>
        <v>110546</v>
      </c>
      <c r="AE13" s="225">
        <f>W13+AD13</f>
        <v>464494.08379200002</v>
      </c>
    </row>
    <row r="14" spans="2:33" s="199" customFormat="1" ht="25.8" x14ac:dyDescent="0.5">
      <c r="B14" s="369" t="s">
        <v>356</v>
      </c>
      <c r="C14" s="370"/>
      <c r="D14" s="370"/>
      <c r="E14" s="370"/>
      <c r="F14" s="370"/>
      <c r="G14" s="370"/>
      <c r="H14" s="370"/>
      <c r="I14" s="370"/>
      <c r="J14" s="371"/>
      <c r="K14" s="215"/>
      <c r="L14" s="216">
        <f>SUM(L3:L13)</f>
        <v>3825128.5100000002</v>
      </c>
      <c r="M14" s="216">
        <f t="shared" ref="M14:X14" si="10">SUM(M3:M13)</f>
        <v>76485</v>
      </c>
      <c r="N14" s="216">
        <f t="shared" si="10"/>
        <v>85702</v>
      </c>
      <c r="O14" s="216">
        <f t="shared" si="10"/>
        <v>0</v>
      </c>
      <c r="P14" s="217">
        <f t="shared" si="10"/>
        <v>3987315.5100000002</v>
      </c>
      <c r="Q14" s="216">
        <f t="shared" si="10"/>
        <v>122496.86999999998</v>
      </c>
      <c r="R14" s="219">
        <f t="shared" si="10"/>
        <v>4109812.38</v>
      </c>
      <c r="S14" s="216">
        <f t="shared" si="10"/>
        <v>45854.12836499999</v>
      </c>
      <c r="T14" s="216"/>
      <c r="U14" s="216">
        <f t="shared" si="10"/>
        <v>95695.572239999994</v>
      </c>
      <c r="V14" s="216">
        <f t="shared" si="10"/>
        <v>51436.370078999993</v>
      </c>
      <c r="W14" s="220">
        <f t="shared" si="10"/>
        <v>4302798.4506839998</v>
      </c>
      <c r="X14" s="247">
        <f t="shared" si="10"/>
        <v>423790.91201299999</v>
      </c>
      <c r="Y14" s="216"/>
      <c r="Z14" s="216">
        <f>SUM(Z3:Z13)</f>
        <v>279112.08570000005</v>
      </c>
      <c r="AA14" s="216">
        <f>SUM(AA3:AA13)</f>
        <v>0</v>
      </c>
      <c r="AB14" s="216">
        <f>SUM(AB3:AB13)</f>
        <v>3284412.5122869993</v>
      </c>
      <c r="AC14" s="224"/>
      <c r="AD14" s="276">
        <f>SUM(AD3:AD13)</f>
        <v>1105460</v>
      </c>
      <c r="AE14" s="225">
        <f>SUM(AE3:AE13)</f>
        <v>5408258.4506839998</v>
      </c>
    </row>
    <row r="15" spans="2:33" s="199" customFormat="1" ht="15" thickBot="1" x14ac:dyDescent="0.35">
      <c r="B15" s="248"/>
      <c r="C15" s="248"/>
      <c r="D15" s="248"/>
      <c r="E15" s="248"/>
      <c r="F15" s="248"/>
      <c r="G15" s="248"/>
      <c r="H15" s="248"/>
      <c r="I15" s="248"/>
      <c r="J15" s="248"/>
      <c r="K15" s="249"/>
      <c r="L15" s="250"/>
      <c r="M15" s="250"/>
      <c r="N15" s="250"/>
      <c r="O15" s="250"/>
      <c r="P15" s="250"/>
      <c r="Q15" s="250"/>
      <c r="R15" s="250"/>
      <c r="S15" s="250"/>
      <c r="T15" s="250"/>
      <c r="U15" s="250"/>
      <c r="V15" s="250"/>
      <c r="W15" s="250"/>
      <c r="X15" s="251"/>
      <c r="Y15" s="250"/>
      <c r="Z15" s="250"/>
      <c r="AA15" s="250"/>
      <c r="AB15" s="250"/>
      <c r="AC15" s="252"/>
      <c r="AD15" s="250"/>
      <c r="AE15" s="250"/>
    </row>
    <row r="16" spans="2:33" ht="15" thickBot="1" x14ac:dyDescent="0.35">
      <c r="B16" s="367" t="s">
        <v>357</v>
      </c>
      <c r="C16" s="368"/>
    </row>
    <row r="17" spans="2:33" s="199" customFormat="1" ht="14.4" x14ac:dyDescent="0.3">
      <c r="B17" s="201" t="s">
        <v>270</v>
      </c>
      <c r="C17" s="201" t="s">
        <v>271</v>
      </c>
      <c r="D17" s="201" t="s">
        <v>272</v>
      </c>
      <c r="E17" s="201" t="s">
        <v>273</v>
      </c>
      <c r="F17" s="201" t="s">
        <v>274</v>
      </c>
      <c r="G17" s="201" t="s">
        <v>275</v>
      </c>
      <c r="H17" s="201" t="s">
        <v>276</v>
      </c>
      <c r="I17" s="201" t="s">
        <v>277</v>
      </c>
      <c r="J17" s="201" t="s">
        <v>278</v>
      </c>
      <c r="K17" s="201" t="s">
        <v>279</v>
      </c>
      <c r="L17" s="202" t="s">
        <v>280</v>
      </c>
      <c r="M17" s="202" t="s">
        <v>281</v>
      </c>
      <c r="N17" s="202" t="s">
        <v>282</v>
      </c>
      <c r="O17" s="202" t="s">
        <v>283</v>
      </c>
      <c r="P17" s="203" t="s">
        <v>284</v>
      </c>
      <c r="Q17" s="202" t="s">
        <v>285</v>
      </c>
      <c r="R17" s="253" t="s">
        <v>286</v>
      </c>
      <c r="S17" s="206" t="s">
        <v>287</v>
      </c>
      <c r="T17" s="206"/>
      <c r="U17" s="206" t="s">
        <v>288</v>
      </c>
      <c r="V17" s="206" t="s">
        <v>289</v>
      </c>
      <c r="W17" s="207" t="s">
        <v>290</v>
      </c>
      <c r="X17" s="208" t="s">
        <v>291</v>
      </c>
      <c r="Y17" s="208" t="s">
        <v>292</v>
      </c>
      <c r="Z17" s="208" t="s">
        <v>293</v>
      </c>
      <c r="AA17" s="206" t="s">
        <v>294</v>
      </c>
      <c r="AB17" s="206" t="s">
        <v>295</v>
      </c>
      <c r="AC17" s="209" t="s">
        <v>298</v>
      </c>
    </row>
    <row r="18" spans="2:33" s="199" customFormat="1" ht="14.4" x14ac:dyDescent="0.3">
      <c r="B18" s="210" t="s">
        <v>299</v>
      </c>
      <c r="C18" s="211" t="s">
        <v>300</v>
      </c>
      <c r="D18" s="212" t="s">
        <v>301</v>
      </c>
      <c r="E18" s="212" t="s">
        <v>302</v>
      </c>
      <c r="F18" s="210" t="s">
        <v>303</v>
      </c>
      <c r="G18" s="210" t="s">
        <v>304</v>
      </c>
      <c r="H18" s="210" t="s">
        <v>305</v>
      </c>
      <c r="I18" s="213">
        <v>42453</v>
      </c>
      <c r="J18" s="214" t="s">
        <v>306</v>
      </c>
      <c r="K18" s="215">
        <v>30</v>
      </c>
      <c r="L18" s="216">
        <f>593728+(593728*3.7%)</f>
        <v>615695.93599999999</v>
      </c>
      <c r="M18" s="216">
        <v>0</v>
      </c>
      <c r="N18" s="216">
        <v>85702</v>
      </c>
      <c r="O18" s="216">
        <v>0</v>
      </c>
      <c r="P18" s="217">
        <f t="shared" ref="P18:P28" si="11">SUM(L18:O18)</f>
        <v>701397.93599999999</v>
      </c>
      <c r="Q18" s="218">
        <f>11724+(11724*3.7%)</f>
        <v>12157.788</v>
      </c>
      <c r="R18" s="219">
        <f t="shared" ref="R18:R28" si="12">Q18+P18</f>
        <v>713555.72399999993</v>
      </c>
      <c r="S18" s="218">
        <f t="shared" ref="S18:S28" si="13">P18*1.15%</f>
        <v>8066.0762639999994</v>
      </c>
      <c r="T18" s="218"/>
      <c r="U18" s="218">
        <f>P18*2.4%</f>
        <v>16833.550464</v>
      </c>
      <c r="V18" s="218">
        <f t="shared" ref="V18:V28" si="14">P18*1.29%</f>
        <v>9048.0333744</v>
      </c>
      <c r="W18" s="220">
        <f t="shared" ref="W18:W28" si="15">V18+U18+S18+R18</f>
        <v>747503.38410239993</v>
      </c>
      <c r="X18" s="221">
        <f>P18*10.14%</f>
        <v>71121.750710399996</v>
      </c>
      <c r="Y18" s="222" t="s">
        <v>307</v>
      </c>
      <c r="Z18" s="221">
        <f t="shared" ref="Z18:Z28" si="16">P18*7%</f>
        <v>49097.855520000005</v>
      </c>
      <c r="AA18" s="223">
        <v>0</v>
      </c>
      <c r="AB18" s="224">
        <f t="shared" ref="AB18:AB28" si="17">P18-X18-Z18-AA18</f>
        <v>581178.32976959995</v>
      </c>
      <c r="AC18" s="225">
        <f t="shared" ref="AC18:AC28" si="18">W18</f>
        <v>747503.38410239993</v>
      </c>
      <c r="AE18" s="199">
        <v>4726408</v>
      </c>
      <c r="AF18" s="199" t="s">
        <v>358</v>
      </c>
    </row>
    <row r="19" spans="2:33" s="199" customFormat="1" ht="14.4" x14ac:dyDescent="0.3">
      <c r="B19" s="226" t="s">
        <v>309</v>
      </c>
      <c r="C19" s="211" t="s">
        <v>310</v>
      </c>
      <c r="D19" s="212" t="s">
        <v>311</v>
      </c>
      <c r="E19" s="212" t="s">
        <v>312</v>
      </c>
      <c r="F19" s="210" t="s">
        <v>303</v>
      </c>
      <c r="G19" s="210" t="s">
        <v>304</v>
      </c>
      <c r="H19" s="210" t="s">
        <v>313</v>
      </c>
      <c r="I19" s="227">
        <v>41694</v>
      </c>
      <c r="J19" s="214" t="s">
        <v>306</v>
      </c>
      <c r="K19" s="215">
        <v>30</v>
      </c>
      <c r="L19" s="216">
        <f>405712+(405712*3.7%)</f>
        <v>420723.34399999998</v>
      </c>
      <c r="M19" s="216">
        <v>35049</v>
      </c>
      <c r="N19" s="216">
        <v>0</v>
      </c>
      <c r="O19" s="216">
        <v>0</v>
      </c>
      <c r="P19" s="217">
        <f t="shared" si="11"/>
        <v>455772.34399999998</v>
      </c>
      <c r="Q19" s="218">
        <f>12606+(12606*3.7%)</f>
        <v>13072.422</v>
      </c>
      <c r="R19" s="219">
        <f>Q19+P19</f>
        <v>468844.766</v>
      </c>
      <c r="S19" s="218">
        <f t="shared" si="13"/>
        <v>5241.3819559999993</v>
      </c>
      <c r="T19" s="218"/>
      <c r="U19" s="218">
        <f t="shared" ref="U19:U28" si="19">P19*2.4%</f>
        <v>10938.536255999999</v>
      </c>
      <c r="V19" s="218">
        <f t="shared" si="14"/>
        <v>5879.4632376</v>
      </c>
      <c r="W19" s="220">
        <f t="shared" si="15"/>
        <v>490904.14744959999</v>
      </c>
      <c r="X19" s="221">
        <f>P19*11.54%</f>
        <v>52596.128497599995</v>
      </c>
      <c r="Y19" s="222" t="s">
        <v>314</v>
      </c>
      <c r="Z19" s="221">
        <f t="shared" si="16"/>
        <v>31904.06408</v>
      </c>
      <c r="AA19" s="223">
        <v>0</v>
      </c>
      <c r="AB19" s="224">
        <f t="shared" si="17"/>
        <v>371272.15142240003</v>
      </c>
      <c r="AC19" s="225">
        <f t="shared" si="18"/>
        <v>490904.14744959999</v>
      </c>
      <c r="AE19" s="199">
        <v>4750905</v>
      </c>
    </row>
    <row r="20" spans="2:33" s="199" customFormat="1" ht="14.4" x14ac:dyDescent="0.3">
      <c r="B20" s="226" t="s">
        <v>316</v>
      </c>
      <c r="C20" s="211" t="s">
        <v>317</v>
      </c>
      <c r="D20" s="212" t="s">
        <v>318</v>
      </c>
      <c r="E20" s="212" t="s">
        <v>319</v>
      </c>
      <c r="F20" s="210" t="s">
        <v>303</v>
      </c>
      <c r="G20" s="210" t="s">
        <v>304</v>
      </c>
      <c r="H20" s="210" t="s">
        <v>313</v>
      </c>
      <c r="I20" s="213">
        <v>42676</v>
      </c>
      <c r="J20" s="214" t="s">
        <v>306</v>
      </c>
      <c r="K20" s="215">
        <v>30</v>
      </c>
      <c r="L20" s="216">
        <f t="shared" ref="L20:L25" si="20">352620+(352620*3.7%)</f>
        <v>365666.94</v>
      </c>
      <c r="M20" s="216">
        <v>0</v>
      </c>
      <c r="N20" s="216">
        <v>0</v>
      </c>
      <c r="O20" s="216">
        <v>0</v>
      </c>
      <c r="P20" s="217">
        <f t="shared" si="11"/>
        <v>365666.94</v>
      </c>
      <c r="Q20" s="218">
        <f>11416+(11416*3.7%)</f>
        <v>11838.392</v>
      </c>
      <c r="R20" s="219">
        <f t="shared" si="12"/>
        <v>377505.33199999999</v>
      </c>
      <c r="S20" s="218">
        <f t="shared" si="13"/>
        <v>4205.1698100000003</v>
      </c>
      <c r="T20" s="218"/>
      <c r="U20" s="218">
        <f t="shared" si="19"/>
        <v>8776.0065599999998</v>
      </c>
      <c r="V20" s="218">
        <f t="shared" si="14"/>
        <v>4717.1035259999999</v>
      </c>
      <c r="W20" s="220">
        <f t="shared" si="15"/>
        <v>395203.61189599999</v>
      </c>
      <c r="X20" s="221">
        <f>P20*10.14%</f>
        <v>37078.627716000003</v>
      </c>
      <c r="Y20" s="222" t="s">
        <v>307</v>
      </c>
      <c r="Z20" s="221">
        <f t="shared" si="16"/>
        <v>25596.685800000003</v>
      </c>
      <c r="AA20" s="223">
        <v>0</v>
      </c>
      <c r="AB20" s="224">
        <f t="shared" si="17"/>
        <v>302991.62648400001</v>
      </c>
      <c r="AC20" s="225">
        <f t="shared" si="18"/>
        <v>395203.61189599999</v>
      </c>
      <c r="AE20" s="199">
        <v>4787887</v>
      </c>
    </row>
    <row r="21" spans="2:33" s="198" customFormat="1" ht="14.4" x14ac:dyDescent="0.3">
      <c r="B21" s="228" t="s">
        <v>320</v>
      </c>
      <c r="C21" s="229" t="s">
        <v>321</v>
      </c>
      <c r="D21" s="228" t="s">
        <v>322</v>
      </c>
      <c r="E21" s="228" t="s">
        <v>323</v>
      </c>
      <c r="F21" s="230" t="s">
        <v>303</v>
      </c>
      <c r="G21" s="230" t="s">
        <v>304</v>
      </c>
      <c r="H21" s="230" t="s">
        <v>313</v>
      </c>
      <c r="I21" s="231">
        <v>42531</v>
      </c>
      <c r="J21" s="232" t="s">
        <v>306</v>
      </c>
      <c r="K21" s="233">
        <v>30</v>
      </c>
      <c r="L21" s="234">
        <v>0</v>
      </c>
      <c r="M21" s="234">
        <v>0</v>
      </c>
      <c r="N21" s="234">
        <v>0</v>
      </c>
      <c r="O21" s="234">
        <v>0</v>
      </c>
      <c r="P21" s="235">
        <v>0</v>
      </c>
      <c r="Q21" s="236">
        <v>0</v>
      </c>
      <c r="R21" s="237">
        <v>0</v>
      </c>
      <c r="S21" s="236">
        <v>0</v>
      </c>
      <c r="T21" s="236"/>
      <c r="U21" s="236">
        <v>0</v>
      </c>
      <c r="V21" s="236">
        <v>0</v>
      </c>
      <c r="W21" s="238">
        <v>0</v>
      </c>
      <c r="X21" s="239">
        <v>0</v>
      </c>
      <c r="Y21" s="240" t="s">
        <v>324</v>
      </c>
      <c r="Z21" s="239">
        <v>0</v>
      </c>
      <c r="AA21" s="239">
        <v>0</v>
      </c>
      <c r="AB21" s="241">
        <v>0</v>
      </c>
      <c r="AC21" s="242">
        <f t="shared" si="18"/>
        <v>0</v>
      </c>
      <c r="AE21" s="198">
        <v>4812384</v>
      </c>
    </row>
    <row r="22" spans="2:33" s="199" customFormat="1" ht="14.4" x14ac:dyDescent="0.3">
      <c r="B22" s="226" t="s">
        <v>325</v>
      </c>
      <c r="C22" s="211" t="s">
        <v>321</v>
      </c>
      <c r="D22" s="212" t="s">
        <v>326</v>
      </c>
      <c r="E22" s="212" t="s">
        <v>327</v>
      </c>
      <c r="F22" s="210" t="s">
        <v>303</v>
      </c>
      <c r="G22" s="210" t="s">
        <v>304</v>
      </c>
      <c r="H22" s="210" t="s">
        <v>313</v>
      </c>
      <c r="I22" s="213">
        <v>42461</v>
      </c>
      <c r="J22" s="214" t="s">
        <v>306</v>
      </c>
      <c r="K22" s="215">
        <v>30</v>
      </c>
      <c r="L22" s="216">
        <f t="shared" si="20"/>
        <v>365666.94</v>
      </c>
      <c r="M22" s="216">
        <v>0</v>
      </c>
      <c r="N22" s="216">
        <v>0</v>
      </c>
      <c r="O22" s="216">
        <v>0</v>
      </c>
      <c r="P22" s="217">
        <f t="shared" si="11"/>
        <v>365666.94</v>
      </c>
      <c r="Q22" s="218">
        <f>11724+(11724*3.7%)</f>
        <v>12157.788</v>
      </c>
      <c r="R22" s="219">
        <f t="shared" si="12"/>
        <v>377824.728</v>
      </c>
      <c r="S22" s="218">
        <f t="shared" si="13"/>
        <v>4205.1698100000003</v>
      </c>
      <c r="T22" s="218"/>
      <c r="U22" s="218">
        <f t="shared" si="19"/>
        <v>8776.0065599999998</v>
      </c>
      <c r="V22" s="218">
        <f t="shared" si="14"/>
        <v>4717.1035259999999</v>
      </c>
      <c r="W22" s="220">
        <f t="shared" si="15"/>
        <v>395523.007896</v>
      </c>
      <c r="X22" s="221">
        <f>P22*10.14%</f>
        <v>37078.627716000003</v>
      </c>
      <c r="Y22" s="222" t="s">
        <v>307</v>
      </c>
      <c r="Z22" s="221">
        <f t="shared" si="16"/>
        <v>25596.685800000003</v>
      </c>
      <c r="AA22" s="223">
        <v>0</v>
      </c>
      <c r="AB22" s="224">
        <f t="shared" si="17"/>
        <v>302991.62648400001</v>
      </c>
      <c r="AC22" s="225">
        <f t="shared" si="18"/>
        <v>395523.007896</v>
      </c>
      <c r="AE22" s="199">
        <v>4812384</v>
      </c>
      <c r="AF22" s="199" t="s">
        <v>359</v>
      </c>
    </row>
    <row r="23" spans="2:33" s="199" customFormat="1" ht="14.4" x14ac:dyDescent="0.3">
      <c r="B23" s="226" t="s">
        <v>328</v>
      </c>
      <c r="C23" s="211" t="s">
        <v>329</v>
      </c>
      <c r="D23" s="212" t="s">
        <v>330</v>
      </c>
      <c r="E23" s="212" t="s">
        <v>331</v>
      </c>
      <c r="F23" s="210" t="s">
        <v>303</v>
      </c>
      <c r="G23" s="210" t="s">
        <v>304</v>
      </c>
      <c r="H23" s="210" t="s">
        <v>313</v>
      </c>
      <c r="I23" s="213">
        <v>42786</v>
      </c>
      <c r="J23" s="243">
        <v>42886</v>
      </c>
      <c r="K23" s="215">
        <v>30</v>
      </c>
      <c r="L23" s="216">
        <f t="shared" si="20"/>
        <v>365666.94</v>
      </c>
      <c r="M23" s="216">
        <v>0</v>
      </c>
      <c r="N23" s="216">
        <v>0</v>
      </c>
      <c r="O23" s="216">
        <v>0</v>
      </c>
      <c r="P23" s="217">
        <f t="shared" si="11"/>
        <v>365666.94</v>
      </c>
      <c r="Q23" s="218">
        <f>11416+(11416*3.7%)</f>
        <v>11838.392</v>
      </c>
      <c r="R23" s="219">
        <f t="shared" si="12"/>
        <v>377505.33199999999</v>
      </c>
      <c r="S23" s="218">
        <f t="shared" si="13"/>
        <v>4205.1698100000003</v>
      </c>
      <c r="T23" s="218"/>
      <c r="U23" s="218">
        <f t="shared" si="19"/>
        <v>8776.0065599999998</v>
      </c>
      <c r="V23" s="218">
        <f t="shared" si="14"/>
        <v>4717.1035259999999</v>
      </c>
      <c r="W23" s="220">
        <f t="shared" si="15"/>
        <v>395203.61189599999</v>
      </c>
      <c r="X23" s="221">
        <f>P23*10.14%</f>
        <v>37078.627716000003</v>
      </c>
      <c r="Y23" s="222" t="s">
        <v>307</v>
      </c>
      <c r="Z23" s="221">
        <f t="shared" si="16"/>
        <v>25596.685800000003</v>
      </c>
      <c r="AA23" s="223">
        <v>0</v>
      </c>
      <c r="AB23" s="224">
        <f t="shared" si="17"/>
        <v>302991.62648400001</v>
      </c>
      <c r="AC23" s="225">
        <f t="shared" si="18"/>
        <v>395203.61189599999</v>
      </c>
      <c r="AE23" s="199">
        <v>4836881</v>
      </c>
    </row>
    <row r="24" spans="2:33" s="199" customFormat="1" ht="14.4" x14ac:dyDescent="0.3">
      <c r="B24" s="226" t="s">
        <v>332</v>
      </c>
      <c r="C24" s="211" t="s">
        <v>333</v>
      </c>
      <c r="D24" s="212" t="s">
        <v>334</v>
      </c>
      <c r="E24" s="212" t="s">
        <v>335</v>
      </c>
      <c r="F24" s="210" t="s">
        <v>303</v>
      </c>
      <c r="G24" s="210" t="s">
        <v>304</v>
      </c>
      <c r="H24" s="210" t="s">
        <v>313</v>
      </c>
      <c r="I24" s="213">
        <v>42787</v>
      </c>
      <c r="J24" s="243">
        <v>42886</v>
      </c>
      <c r="K24" s="215">
        <v>30</v>
      </c>
      <c r="L24" s="216">
        <f t="shared" si="20"/>
        <v>365666.94</v>
      </c>
      <c r="M24" s="216">
        <v>0</v>
      </c>
      <c r="N24" s="216">
        <v>0</v>
      </c>
      <c r="O24" s="216">
        <v>0</v>
      </c>
      <c r="P24" s="217">
        <f t="shared" si="11"/>
        <v>365666.94</v>
      </c>
      <c r="Q24" s="218">
        <f>11416+(11416*3.7%)</f>
        <v>11838.392</v>
      </c>
      <c r="R24" s="219">
        <f t="shared" si="12"/>
        <v>377505.33199999999</v>
      </c>
      <c r="S24" s="218">
        <f t="shared" si="13"/>
        <v>4205.1698100000003</v>
      </c>
      <c r="T24" s="218"/>
      <c r="U24" s="218">
        <f t="shared" si="19"/>
        <v>8776.0065599999998</v>
      </c>
      <c r="V24" s="218">
        <f t="shared" si="14"/>
        <v>4717.1035259999999</v>
      </c>
      <c r="W24" s="220">
        <f t="shared" si="15"/>
        <v>395203.61189599999</v>
      </c>
      <c r="X24" s="221">
        <f>P24*10.14%</f>
        <v>37078.627716000003</v>
      </c>
      <c r="Y24" s="222" t="s">
        <v>307</v>
      </c>
      <c r="Z24" s="221">
        <f t="shared" si="16"/>
        <v>25596.685800000003</v>
      </c>
      <c r="AA24" s="223">
        <v>0</v>
      </c>
      <c r="AB24" s="224">
        <f t="shared" si="17"/>
        <v>302991.62648400001</v>
      </c>
      <c r="AC24" s="225">
        <f t="shared" si="18"/>
        <v>395203.61189599999</v>
      </c>
      <c r="AE24" s="199">
        <v>4836881</v>
      </c>
    </row>
    <row r="25" spans="2:33" s="199" customFormat="1" ht="14.4" x14ac:dyDescent="0.3">
      <c r="B25" s="226" t="s">
        <v>336</v>
      </c>
      <c r="C25" s="211" t="s">
        <v>337</v>
      </c>
      <c r="D25" s="212" t="s">
        <v>338</v>
      </c>
      <c r="E25" s="212" t="s">
        <v>339</v>
      </c>
      <c r="F25" s="210" t="s">
        <v>303</v>
      </c>
      <c r="G25" s="210" t="s">
        <v>304</v>
      </c>
      <c r="H25" s="210" t="s">
        <v>313</v>
      </c>
      <c r="I25" s="213">
        <v>42787</v>
      </c>
      <c r="J25" s="243">
        <v>42886</v>
      </c>
      <c r="K25" s="215">
        <v>30</v>
      </c>
      <c r="L25" s="216">
        <f t="shared" si="20"/>
        <v>365666.94</v>
      </c>
      <c r="M25" s="216">
        <v>0</v>
      </c>
      <c r="N25" s="216">
        <v>0</v>
      </c>
      <c r="O25" s="216">
        <v>0</v>
      </c>
      <c r="P25" s="217">
        <f t="shared" si="11"/>
        <v>365666.94</v>
      </c>
      <c r="Q25" s="218">
        <f>11416+(11416*3.7%)</f>
        <v>11838.392</v>
      </c>
      <c r="R25" s="219">
        <f t="shared" si="12"/>
        <v>377505.33199999999</v>
      </c>
      <c r="S25" s="218">
        <f t="shared" si="13"/>
        <v>4205.1698100000003</v>
      </c>
      <c r="T25" s="218"/>
      <c r="U25" s="218">
        <f t="shared" si="19"/>
        <v>8776.0065599999998</v>
      </c>
      <c r="V25" s="218">
        <f t="shared" si="14"/>
        <v>4717.1035259999999</v>
      </c>
      <c r="W25" s="220">
        <f t="shared" si="15"/>
        <v>395203.61189599999</v>
      </c>
      <c r="X25" s="221">
        <f>P25*10.77%</f>
        <v>39382.329437999993</v>
      </c>
      <c r="Y25" s="222" t="s">
        <v>324</v>
      </c>
      <c r="Z25" s="221">
        <f t="shared" si="16"/>
        <v>25596.685800000003</v>
      </c>
      <c r="AA25" s="223">
        <v>0</v>
      </c>
      <c r="AB25" s="224">
        <f t="shared" si="17"/>
        <v>300687.92476200004</v>
      </c>
      <c r="AC25" s="225">
        <f t="shared" si="18"/>
        <v>395203.61189599999</v>
      </c>
      <c r="AE25" s="199">
        <v>4836881</v>
      </c>
    </row>
    <row r="26" spans="2:33" s="199" customFormat="1" ht="14.4" x14ac:dyDescent="0.3">
      <c r="B26" s="210" t="s">
        <v>340</v>
      </c>
      <c r="C26" s="244" t="s">
        <v>341</v>
      </c>
      <c r="D26" s="226" t="s">
        <v>342</v>
      </c>
      <c r="E26" s="226" t="s">
        <v>343</v>
      </c>
      <c r="F26" s="245" t="s">
        <v>303</v>
      </c>
      <c r="G26" s="245" t="s">
        <v>304</v>
      </c>
      <c r="H26" s="244" t="s">
        <v>344</v>
      </c>
      <c r="I26" s="227">
        <v>41694</v>
      </c>
      <c r="J26" s="246" t="s">
        <v>306</v>
      </c>
      <c r="K26" s="215">
        <v>30</v>
      </c>
      <c r="L26" s="216">
        <f>366313+(366313*3.7%)</f>
        <v>379866.58100000001</v>
      </c>
      <c r="M26" s="216">
        <v>35049</v>
      </c>
      <c r="N26" s="216">
        <v>0</v>
      </c>
      <c r="O26" s="216">
        <v>0</v>
      </c>
      <c r="P26" s="217">
        <f t="shared" si="11"/>
        <v>414915.58100000001</v>
      </c>
      <c r="Q26" s="218">
        <f>12803+(12803*3.7%)</f>
        <v>13276.710999999999</v>
      </c>
      <c r="R26" s="219">
        <f t="shared" si="12"/>
        <v>428192.29200000002</v>
      </c>
      <c r="S26" s="218">
        <f t="shared" si="13"/>
        <v>4771.5291815</v>
      </c>
      <c r="T26" s="218"/>
      <c r="U26" s="218">
        <f t="shared" si="19"/>
        <v>9957.9739440000012</v>
      </c>
      <c r="V26" s="218">
        <f t="shared" si="14"/>
        <v>5352.4109949000003</v>
      </c>
      <c r="W26" s="220">
        <f t="shared" si="15"/>
        <v>448274.20612039999</v>
      </c>
      <c r="X26" s="221">
        <f>P26*11.27%</f>
        <v>46760.985978699995</v>
      </c>
      <c r="Y26" s="222" t="s">
        <v>345</v>
      </c>
      <c r="Z26" s="221">
        <f t="shared" si="16"/>
        <v>29044.090670000001</v>
      </c>
      <c r="AA26" s="223">
        <v>0</v>
      </c>
      <c r="AB26" s="224">
        <f t="shared" si="17"/>
        <v>339110.50435130001</v>
      </c>
      <c r="AC26" s="225">
        <f t="shared" si="18"/>
        <v>448274.20612039999</v>
      </c>
      <c r="AE26" s="199">
        <v>4836881</v>
      </c>
    </row>
    <row r="27" spans="2:33" s="199" customFormat="1" ht="14.4" x14ac:dyDescent="0.3">
      <c r="B27" s="226" t="s">
        <v>346</v>
      </c>
      <c r="C27" s="211" t="s">
        <v>347</v>
      </c>
      <c r="D27" s="212" t="s">
        <v>348</v>
      </c>
      <c r="E27" s="212" t="s">
        <v>349</v>
      </c>
      <c r="F27" s="245" t="s">
        <v>303</v>
      </c>
      <c r="G27" s="245" t="s">
        <v>304</v>
      </c>
      <c r="H27" s="244" t="s">
        <v>344</v>
      </c>
      <c r="I27" s="227">
        <v>42324</v>
      </c>
      <c r="J27" s="246" t="s">
        <v>306</v>
      </c>
      <c r="K27" s="215">
        <v>30</v>
      </c>
      <c r="L27" s="216">
        <f>298368+(298368*3.7%)</f>
        <v>309407.61599999998</v>
      </c>
      <c r="M27" s="216">
        <v>0</v>
      </c>
      <c r="N27" s="216">
        <v>0</v>
      </c>
      <c r="O27" s="216">
        <v>0</v>
      </c>
      <c r="P27" s="217">
        <f t="shared" si="11"/>
        <v>309407.61599999998</v>
      </c>
      <c r="Q27" s="218">
        <f>11416+(11416*3.7%)</f>
        <v>11838.392</v>
      </c>
      <c r="R27" s="219">
        <f t="shared" si="12"/>
        <v>321246.00799999997</v>
      </c>
      <c r="S27" s="218">
        <f t="shared" si="13"/>
        <v>3558.1875839999998</v>
      </c>
      <c r="T27" s="218"/>
      <c r="U27" s="218">
        <f t="shared" si="19"/>
        <v>7425.782784</v>
      </c>
      <c r="V27" s="218">
        <f t="shared" si="14"/>
        <v>3991.3582463999996</v>
      </c>
      <c r="W27" s="220">
        <f t="shared" si="15"/>
        <v>336221.33661439997</v>
      </c>
      <c r="X27" s="221">
        <f>P27*10.77%</f>
        <v>33323.200243199994</v>
      </c>
      <c r="Y27" s="222" t="s">
        <v>324</v>
      </c>
      <c r="Z27" s="221">
        <f t="shared" si="16"/>
        <v>21658.53312</v>
      </c>
      <c r="AA27" s="223">
        <v>0</v>
      </c>
      <c r="AB27" s="224">
        <f t="shared" si="17"/>
        <v>254425.88263679997</v>
      </c>
      <c r="AC27" s="225">
        <f t="shared" si="18"/>
        <v>336221.33661439997</v>
      </c>
      <c r="AE27" s="199">
        <v>4836881</v>
      </c>
    </row>
    <row r="28" spans="2:33" s="199" customFormat="1" ht="14.4" x14ac:dyDescent="0.3">
      <c r="B28" s="226" t="s">
        <v>350</v>
      </c>
      <c r="C28" s="244" t="s">
        <v>351</v>
      </c>
      <c r="D28" s="226" t="s">
        <v>352</v>
      </c>
      <c r="E28" s="226" t="s">
        <v>353</v>
      </c>
      <c r="F28" s="210" t="s">
        <v>303</v>
      </c>
      <c r="G28" s="210" t="s">
        <v>304</v>
      </c>
      <c r="H28" s="210" t="s">
        <v>354</v>
      </c>
      <c r="I28" s="227">
        <v>41339</v>
      </c>
      <c r="J28" s="214" t="s">
        <v>306</v>
      </c>
      <c r="K28" s="215">
        <v>30</v>
      </c>
      <c r="L28" s="216">
        <f>286496+(286496*3.7%)</f>
        <v>297096.35200000001</v>
      </c>
      <c r="M28" s="216">
        <v>29753</v>
      </c>
      <c r="N28" s="216">
        <v>0</v>
      </c>
      <c r="O28" s="216">
        <v>0</v>
      </c>
      <c r="P28" s="217">
        <f t="shared" si="11"/>
        <v>326849.35200000001</v>
      </c>
      <c r="Q28" s="218">
        <f>12992+(12992*3.7%)</f>
        <v>13472.704</v>
      </c>
      <c r="R28" s="219">
        <f t="shared" si="12"/>
        <v>340322.05600000004</v>
      </c>
      <c r="S28" s="218">
        <f t="shared" si="13"/>
        <v>3758.7675480000003</v>
      </c>
      <c r="T28" s="218"/>
      <c r="U28" s="218">
        <f t="shared" si="19"/>
        <v>7844.3844480000007</v>
      </c>
      <c r="V28" s="218">
        <f t="shared" si="14"/>
        <v>4216.3566408000006</v>
      </c>
      <c r="W28" s="220">
        <f t="shared" si="15"/>
        <v>356141.56463680003</v>
      </c>
      <c r="X28" s="221">
        <f>P28*11.54%</f>
        <v>37718.415220800001</v>
      </c>
      <c r="Y28" s="222" t="s">
        <v>314</v>
      </c>
      <c r="Z28" s="221">
        <f t="shared" si="16"/>
        <v>22879.454640000004</v>
      </c>
      <c r="AA28" s="223">
        <v>0</v>
      </c>
      <c r="AB28" s="224">
        <f t="shared" si="17"/>
        <v>266251.48213919997</v>
      </c>
      <c r="AC28" s="225">
        <f t="shared" si="18"/>
        <v>356141.56463680003</v>
      </c>
      <c r="AE28" s="199">
        <v>4861378</v>
      </c>
    </row>
    <row r="29" spans="2:33" s="199" customFormat="1" ht="14.4" x14ac:dyDescent="0.3">
      <c r="B29" s="369" t="s">
        <v>356</v>
      </c>
      <c r="C29" s="370"/>
      <c r="D29" s="370"/>
      <c r="E29" s="370"/>
      <c r="F29" s="370"/>
      <c r="G29" s="370"/>
      <c r="H29" s="370"/>
      <c r="I29" s="370"/>
      <c r="J29" s="371"/>
      <c r="K29" s="215"/>
      <c r="L29" s="216">
        <f t="shared" ref="L29:S29" si="21">SUM(L18:L28)</f>
        <v>3851124.5289999996</v>
      </c>
      <c r="M29" s="216">
        <f t="shared" si="21"/>
        <v>99851</v>
      </c>
      <c r="N29" s="216">
        <f t="shared" si="21"/>
        <v>85702</v>
      </c>
      <c r="O29" s="216">
        <f t="shared" si="21"/>
        <v>0</v>
      </c>
      <c r="P29" s="217">
        <f t="shared" si="21"/>
        <v>4036677.5289999996</v>
      </c>
      <c r="Q29" s="216">
        <f t="shared" si="21"/>
        <v>123329.37299999999</v>
      </c>
      <c r="R29" s="219">
        <f t="shared" si="21"/>
        <v>4160006.9019999993</v>
      </c>
      <c r="S29" s="216">
        <f t="shared" si="21"/>
        <v>46421.791583500002</v>
      </c>
      <c r="T29" s="216"/>
      <c r="U29" s="216">
        <f>SUM(U18:U28)</f>
        <v>96880.260695999998</v>
      </c>
      <c r="V29" s="216">
        <f>SUM(V18:V28)</f>
        <v>52073.140124099999</v>
      </c>
      <c r="W29" s="220">
        <f>SUM(W18:W28)</f>
        <v>4355382.0944036003</v>
      </c>
      <c r="X29" s="247">
        <f>SUM(X18:X28)</f>
        <v>429217.32095269999</v>
      </c>
      <c r="Y29" s="216"/>
      <c r="Z29" s="216">
        <f>SUM(Z18:Z28)</f>
        <v>282567.42703000002</v>
      </c>
      <c r="AA29" s="216">
        <f>SUM(AA18:AA28)</f>
        <v>0</v>
      </c>
      <c r="AB29" s="216">
        <f>SUM(AB18:AB28)</f>
        <v>3324892.7810173002</v>
      </c>
      <c r="AC29" s="225">
        <f>SUM(AC18:AC28)</f>
        <v>4355382.0944036003</v>
      </c>
      <c r="AE29" s="199">
        <v>4836881</v>
      </c>
      <c r="AF29" s="199" t="s">
        <v>360</v>
      </c>
    </row>
    <row r="30" spans="2:33" s="199" customFormat="1" ht="15" thickBot="1" x14ac:dyDescent="0.35">
      <c r="B30" s="248"/>
      <c r="C30" s="248"/>
      <c r="D30" s="248"/>
      <c r="E30" s="248"/>
      <c r="F30" s="248"/>
      <c r="G30" s="248"/>
      <c r="H30" s="248"/>
      <c r="I30" s="248"/>
      <c r="J30" s="248"/>
      <c r="K30" s="249"/>
      <c r="L30" s="250"/>
      <c r="M30" s="250"/>
      <c r="N30" s="250"/>
      <c r="O30" s="250"/>
      <c r="P30" s="250"/>
      <c r="Q30" s="250"/>
      <c r="R30" s="250"/>
      <c r="S30" s="250"/>
      <c r="T30" s="250"/>
      <c r="U30" s="250"/>
      <c r="V30" s="250"/>
      <c r="W30" s="250"/>
      <c r="X30" s="251"/>
      <c r="Y30" s="250"/>
      <c r="Z30" s="250"/>
      <c r="AA30" s="250"/>
      <c r="AB30" s="250"/>
      <c r="AC30" s="250"/>
    </row>
    <row r="31" spans="2:33" ht="15" thickBot="1" x14ac:dyDescent="0.35">
      <c r="B31" s="367" t="s">
        <v>361</v>
      </c>
      <c r="C31" s="368"/>
    </row>
    <row r="32" spans="2:33" s="199" customFormat="1" ht="14.4" x14ac:dyDescent="0.3">
      <c r="B32" s="201" t="s">
        <v>270</v>
      </c>
      <c r="C32" s="201" t="s">
        <v>271</v>
      </c>
      <c r="D32" s="201" t="s">
        <v>272</v>
      </c>
      <c r="E32" s="201" t="s">
        <v>273</v>
      </c>
      <c r="F32" s="201" t="s">
        <v>274</v>
      </c>
      <c r="G32" s="201" t="s">
        <v>275</v>
      </c>
      <c r="H32" s="201" t="s">
        <v>276</v>
      </c>
      <c r="I32" s="201" t="s">
        <v>277</v>
      </c>
      <c r="J32" s="201" t="s">
        <v>278</v>
      </c>
      <c r="K32" s="201" t="s">
        <v>279</v>
      </c>
      <c r="L32" s="202" t="s">
        <v>280</v>
      </c>
      <c r="M32" s="202" t="s">
        <v>281</v>
      </c>
      <c r="N32" s="202" t="s">
        <v>282</v>
      </c>
      <c r="O32" s="202" t="s">
        <v>283</v>
      </c>
      <c r="P32" s="203" t="s">
        <v>284</v>
      </c>
      <c r="Q32" s="202" t="s">
        <v>285</v>
      </c>
      <c r="R32" s="253" t="s">
        <v>286</v>
      </c>
      <c r="S32" s="206" t="s">
        <v>287</v>
      </c>
      <c r="T32" s="206"/>
      <c r="U32" s="206" t="s">
        <v>288</v>
      </c>
      <c r="V32" s="206" t="s">
        <v>289</v>
      </c>
      <c r="W32" s="207" t="s">
        <v>290</v>
      </c>
      <c r="X32" s="208" t="s">
        <v>291</v>
      </c>
      <c r="Y32" s="208" t="s">
        <v>292</v>
      </c>
      <c r="Z32" s="208" t="s">
        <v>293</v>
      </c>
      <c r="AA32" s="206" t="s">
        <v>294</v>
      </c>
      <c r="AB32" s="206" t="s">
        <v>295</v>
      </c>
      <c r="AC32" s="209" t="s">
        <v>298</v>
      </c>
      <c r="AG32" s="199" t="s">
        <v>377</v>
      </c>
    </row>
    <row r="33" spans="2:29" s="199" customFormat="1" ht="14.4" x14ac:dyDescent="0.3">
      <c r="B33" s="210" t="s">
        <v>299</v>
      </c>
      <c r="C33" s="211" t="s">
        <v>300</v>
      </c>
      <c r="D33" s="212" t="s">
        <v>301</v>
      </c>
      <c r="E33" s="212" t="s">
        <v>302</v>
      </c>
      <c r="F33" s="210" t="s">
        <v>303</v>
      </c>
      <c r="G33" s="210" t="s">
        <v>304</v>
      </c>
      <c r="H33" s="210" t="s">
        <v>305</v>
      </c>
      <c r="I33" s="213">
        <v>42453</v>
      </c>
      <c r="J33" s="214" t="s">
        <v>306</v>
      </c>
      <c r="K33" s="215">
        <v>30</v>
      </c>
      <c r="L33" s="216">
        <f>593728+(593728*3.7%)</f>
        <v>615695.93599999999</v>
      </c>
      <c r="M33" s="216">
        <v>35275</v>
      </c>
      <c r="N33" s="216">
        <v>85702</v>
      </c>
      <c r="O33" s="216">
        <v>0</v>
      </c>
      <c r="P33" s="217">
        <f t="shared" ref="P33:P43" si="22">SUM(L33:O33)</f>
        <v>736672.93599999999</v>
      </c>
      <c r="Q33" s="218">
        <f>11724+(11724*3.7%)</f>
        <v>12157.788</v>
      </c>
      <c r="R33" s="219">
        <f t="shared" ref="R33:R43" si="23">Q33+P33</f>
        <v>748830.72399999993</v>
      </c>
      <c r="S33" s="218">
        <f t="shared" ref="S33:S43" si="24">P33*1.15%</f>
        <v>8471.7387639999997</v>
      </c>
      <c r="T33" s="218"/>
      <c r="U33" s="218">
        <f>P33*2.4%</f>
        <v>17680.150463999998</v>
      </c>
      <c r="V33" s="218">
        <f t="shared" ref="V33:V43" si="25">P33*1.29%</f>
        <v>9503.0808744000005</v>
      </c>
      <c r="W33" s="220">
        <f t="shared" ref="W33:W43" si="26">V33+U33+S33+R33</f>
        <v>784485.69410239998</v>
      </c>
      <c r="X33" s="221">
        <f>P33*10.14%</f>
        <v>74698.635710400005</v>
      </c>
      <c r="Y33" s="222" t="s">
        <v>307</v>
      </c>
      <c r="Z33" s="221">
        <f t="shared" ref="Z33:Z43" si="27">P33*7%</f>
        <v>51567.105520000005</v>
      </c>
      <c r="AA33" s="223">
        <v>0</v>
      </c>
      <c r="AB33" s="224">
        <f t="shared" ref="AB33:AB43" si="28">P33-X33-Z33-AA33</f>
        <v>610407.19476959994</v>
      </c>
      <c r="AC33" s="225">
        <f t="shared" ref="AC33:AC43" si="29">W33</f>
        <v>784485.69410239998</v>
      </c>
    </row>
    <row r="34" spans="2:29" s="199" customFormat="1" ht="14.4" x14ac:dyDescent="0.3">
      <c r="B34" s="226" t="s">
        <v>309</v>
      </c>
      <c r="C34" s="211" t="s">
        <v>310</v>
      </c>
      <c r="D34" s="212" t="s">
        <v>311</v>
      </c>
      <c r="E34" s="212" t="s">
        <v>312</v>
      </c>
      <c r="F34" s="210" t="s">
        <v>303</v>
      </c>
      <c r="G34" s="210" t="s">
        <v>304</v>
      </c>
      <c r="H34" s="210" t="s">
        <v>313</v>
      </c>
      <c r="I34" s="227">
        <v>41694</v>
      </c>
      <c r="J34" s="214" t="s">
        <v>306</v>
      </c>
      <c r="K34" s="215">
        <v>30</v>
      </c>
      <c r="L34" s="216">
        <f>405712+(405712*3.7%)</f>
        <v>420723.34399999998</v>
      </c>
      <c r="M34" s="216">
        <v>35049</v>
      </c>
      <c r="N34" s="216">
        <v>0</v>
      </c>
      <c r="O34" s="216">
        <v>0</v>
      </c>
      <c r="P34" s="217">
        <f t="shared" si="22"/>
        <v>455772.34399999998</v>
      </c>
      <c r="Q34" s="218">
        <f>12606+(12606*3.7%)</f>
        <v>13072.422</v>
      </c>
      <c r="R34" s="219">
        <f>Q34+P34</f>
        <v>468844.766</v>
      </c>
      <c r="S34" s="218">
        <f t="shared" si="24"/>
        <v>5241.3819559999993</v>
      </c>
      <c r="T34" s="218"/>
      <c r="U34" s="218">
        <f t="shared" ref="U34:U43" si="30">P34*2.4%</f>
        <v>10938.536255999999</v>
      </c>
      <c r="V34" s="218">
        <f t="shared" si="25"/>
        <v>5879.4632376</v>
      </c>
      <c r="W34" s="220">
        <f t="shared" si="26"/>
        <v>490904.14744959999</v>
      </c>
      <c r="X34" s="221">
        <f>P34*11.54%</f>
        <v>52596.128497599995</v>
      </c>
      <c r="Y34" s="222" t="s">
        <v>314</v>
      </c>
      <c r="Z34" s="221">
        <f t="shared" si="27"/>
        <v>31904.06408</v>
      </c>
      <c r="AA34" s="223">
        <v>0</v>
      </c>
      <c r="AB34" s="224">
        <f t="shared" si="28"/>
        <v>371272.15142240003</v>
      </c>
      <c r="AC34" s="225">
        <f t="shared" si="29"/>
        <v>490904.14744959999</v>
      </c>
    </row>
    <row r="35" spans="2:29" s="199" customFormat="1" ht="14.4" x14ac:dyDescent="0.3">
      <c r="B35" s="226" t="s">
        <v>316</v>
      </c>
      <c r="C35" s="211" t="s">
        <v>317</v>
      </c>
      <c r="D35" s="212" t="s">
        <v>318</v>
      </c>
      <c r="E35" s="212" t="s">
        <v>319</v>
      </c>
      <c r="F35" s="210" t="s">
        <v>303</v>
      </c>
      <c r="G35" s="210" t="s">
        <v>304</v>
      </c>
      <c r="H35" s="210" t="s">
        <v>313</v>
      </c>
      <c r="I35" s="213">
        <v>42676</v>
      </c>
      <c r="J35" s="214" t="s">
        <v>306</v>
      </c>
      <c r="K35" s="215">
        <v>30</v>
      </c>
      <c r="L35" s="216">
        <f t="shared" ref="L35:L40" si="31">352620+(352620*3.7%)</f>
        <v>365666.94</v>
      </c>
      <c r="M35" s="216">
        <v>0</v>
      </c>
      <c r="N35" s="216">
        <v>0</v>
      </c>
      <c r="O35" s="216">
        <v>0</v>
      </c>
      <c r="P35" s="217">
        <f t="shared" si="22"/>
        <v>365666.94</v>
      </c>
      <c r="Q35" s="218">
        <f>11416+(11416*3.7%)</f>
        <v>11838.392</v>
      </c>
      <c r="R35" s="219">
        <f t="shared" si="23"/>
        <v>377505.33199999999</v>
      </c>
      <c r="S35" s="218">
        <f t="shared" si="24"/>
        <v>4205.1698100000003</v>
      </c>
      <c r="T35" s="218"/>
      <c r="U35" s="218">
        <f t="shared" si="30"/>
        <v>8776.0065599999998</v>
      </c>
      <c r="V35" s="218">
        <f t="shared" si="25"/>
        <v>4717.1035259999999</v>
      </c>
      <c r="W35" s="220">
        <f t="shared" si="26"/>
        <v>395203.61189599999</v>
      </c>
      <c r="X35" s="221">
        <f>P35*10.14%</f>
        <v>37078.627716000003</v>
      </c>
      <c r="Y35" s="222" t="s">
        <v>307</v>
      </c>
      <c r="Z35" s="221">
        <f t="shared" si="27"/>
        <v>25596.685800000003</v>
      </c>
      <c r="AA35" s="223">
        <v>0</v>
      </c>
      <c r="AB35" s="224">
        <f t="shared" si="28"/>
        <v>302991.62648400001</v>
      </c>
      <c r="AC35" s="225">
        <f t="shared" si="29"/>
        <v>395203.61189599999</v>
      </c>
    </row>
    <row r="36" spans="2:29" s="198" customFormat="1" ht="14.4" x14ac:dyDescent="0.3">
      <c r="B36" s="228" t="s">
        <v>320</v>
      </c>
      <c r="C36" s="229" t="s">
        <v>321</v>
      </c>
      <c r="D36" s="228" t="s">
        <v>322</v>
      </c>
      <c r="E36" s="228" t="s">
        <v>323</v>
      </c>
      <c r="F36" s="230" t="s">
        <v>303</v>
      </c>
      <c r="G36" s="230" t="s">
        <v>304</v>
      </c>
      <c r="H36" s="230" t="s">
        <v>313</v>
      </c>
      <c r="I36" s="231">
        <v>42531</v>
      </c>
      <c r="J36" s="232" t="s">
        <v>306</v>
      </c>
      <c r="K36" s="233">
        <v>30</v>
      </c>
      <c r="L36" s="234">
        <v>0</v>
      </c>
      <c r="M36" s="234">
        <v>0</v>
      </c>
      <c r="N36" s="234">
        <v>0</v>
      </c>
      <c r="O36" s="234">
        <v>0</v>
      </c>
      <c r="P36" s="235">
        <f t="shared" si="22"/>
        <v>0</v>
      </c>
      <c r="Q36" s="236">
        <v>0</v>
      </c>
      <c r="R36" s="237">
        <v>0</v>
      </c>
      <c r="S36" s="236">
        <f t="shared" si="24"/>
        <v>0</v>
      </c>
      <c r="T36" s="236"/>
      <c r="U36" s="236">
        <f t="shared" si="30"/>
        <v>0</v>
      </c>
      <c r="V36" s="236">
        <f t="shared" si="25"/>
        <v>0</v>
      </c>
      <c r="W36" s="238">
        <f t="shared" si="26"/>
        <v>0</v>
      </c>
      <c r="X36" s="239">
        <f>P36*10.77%</f>
        <v>0</v>
      </c>
      <c r="Y36" s="240" t="s">
        <v>324</v>
      </c>
      <c r="Z36" s="239">
        <f t="shared" si="27"/>
        <v>0</v>
      </c>
      <c r="AA36" s="239">
        <v>0</v>
      </c>
      <c r="AB36" s="241">
        <f t="shared" si="28"/>
        <v>0</v>
      </c>
      <c r="AC36" s="242">
        <f t="shared" si="29"/>
        <v>0</v>
      </c>
    </row>
    <row r="37" spans="2:29" s="199" customFormat="1" ht="14.4" x14ac:dyDescent="0.3">
      <c r="B37" s="226" t="s">
        <v>325</v>
      </c>
      <c r="C37" s="211" t="s">
        <v>321</v>
      </c>
      <c r="D37" s="212" t="s">
        <v>326</v>
      </c>
      <c r="E37" s="212" t="s">
        <v>327</v>
      </c>
      <c r="F37" s="210" t="s">
        <v>303</v>
      </c>
      <c r="G37" s="210" t="s">
        <v>304</v>
      </c>
      <c r="H37" s="210" t="s">
        <v>313</v>
      </c>
      <c r="I37" s="213">
        <v>42461</v>
      </c>
      <c r="J37" s="214" t="s">
        <v>306</v>
      </c>
      <c r="K37" s="215">
        <v>30</v>
      </c>
      <c r="L37" s="216">
        <f t="shared" si="31"/>
        <v>365666.94</v>
      </c>
      <c r="M37" s="216">
        <v>0</v>
      </c>
      <c r="N37" s="216">
        <v>0</v>
      </c>
      <c r="O37" s="216">
        <v>0</v>
      </c>
      <c r="P37" s="217">
        <f t="shared" si="22"/>
        <v>365666.94</v>
      </c>
      <c r="Q37" s="218">
        <f>11724+(11724*3.7%)</f>
        <v>12157.788</v>
      </c>
      <c r="R37" s="219">
        <f t="shared" si="23"/>
        <v>377824.728</v>
      </c>
      <c r="S37" s="218">
        <f t="shared" si="24"/>
        <v>4205.1698100000003</v>
      </c>
      <c r="T37" s="218"/>
      <c r="U37" s="218">
        <f t="shared" si="30"/>
        <v>8776.0065599999998</v>
      </c>
      <c r="V37" s="218">
        <f t="shared" si="25"/>
        <v>4717.1035259999999</v>
      </c>
      <c r="W37" s="220">
        <f t="shared" si="26"/>
        <v>395523.007896</v>
      </c>
      <c r="X37" s="221">
        <f>P37*10.14%</f>
        <v>37078.627716000003</v>
      </c>
      <c r="Y37" s="222" t="s">
        <v>307</v>
      </c>
      <c r="Z37" s="221">
        <f t="shared" si="27"/>
        <v>25596.685800000003</v>
      </c>
      <c r="AA37" s="223">
        <v>0</v>
      </c>
      <c r="AB37" s="224">
        <f t="shared" si="28"/>
        <v>302991.62648400001</v>
      </c>
      <c r="AC37" s="225">
        <f t="shared" si="29"/>
        <v>395523.007896</v>
      </c>
    </row>
    <row r="38" spans="2:29" s="199" customFormat="1" ht="14.4" x14ac:dyDescent="0.3">
      <c r="B38" s="226" t="s">
        <v>328</v>
      </c>
      <c r="C38" s="211" t="s">
        <v>329</v>
      </c>
      <c r="D38" s="212" t="s">
        <v>330</v>
      </c>
      <c r="E38" s="212" t="s">
        <v>331</v>
      </c>
      <c r="F38" s="210" t="s">
        <v>303</v>
      </c>
      <c r="G38" s="210" t="s">
        <v>304</v>
      </c>
      <c r="H38" s="210" t="s">
        <v>313</v>
      </c>
      <c r="I38" s="213">
        <v>42786</v>
      </c>
      <c r="J38" s="243">
        <v>42886</v>
      </c>
      <c r="K38" s="215">
        <v>30</v>
      </c>
      <c r="L38" s="216">
        <f t="shared" si="31"/>
        <v>365666.94</v>
      </c>
      <c r="M38" s="216">
        <v>0</v>
      </c>
      <c r="N38" s="216">
        <v>0</v>
      </c>
      <c r="O38" s="216">
        <v>0</v>
      </c>
      <c r="P38" s="217">
        <f t="shared" si="22"/>
        <v>365666.94</v>
      </c>
      <c r="Q38" s="218">
        <f>11416+(11416*3.7%)</f>
        <v>11838.392</v>
      </c>
      <c r="R38" s="219">
        <f t="shared" si="23"/>
        <v>377505.33199999999</v>
      </c>
      <c r="S38" s="218">
        <f t="shared" si="24"/>
        <v>4205.1698100000003</v>
      </c>
      <c r="T38" s="218"/>
      <c r="U38" s="218">
        <f t="shared" si="30"/>
        <v>8776.0065599999998</v>
      </c>
      <c r="V38" s="218">
        <f t="shared" si="25"/>
        <v>4717.1035259999999</v>
      </c>
      <c r="W38" s="220">
        <f t="shared" si="26"/>
        <v>395203.61189599999</v>
      </c>
      <c r="X38" s="221">
        <f>P38*10.14%</f>
        <v>37078.627716000003</v>
      </c>
      <c r="Y38" s="222" t="s">
        <v>307</v>
      </c>
      <c r="Z38" s="221">
        <f t="shared" si="27"/>
        <v>25596.685800000003</v>
      </c>
      <c r="AA38" s="223">
        <v>0</v>
      </c>
      <c r="AB38" s="224">
        <f t="shared" si="28"/>
        <v>302991.62648400001</v>
      </c>
      <c r="AC38" s="225">
        <f t="shared" si="29"/>
        <v>395203.61189599999</v>
      </c>
    </row>
    <row r="39" spans="2:29" s="199" customFormat="1" ht="14.4" x14ac:dyDescent="0.3">
      <c r="B39" s="226" t="s">
        <v>332</v>
      </c>
      <c r="C39" s="211" t="s">
        <v>333</v>
      </c>
      <c r="D39" s="212" t="s">
        <v>334</v>
      </c>
      <c r="E39" s="212" t="s">
        <v>335</v>
      </c>
      <c r="F39" s="210" t="s">
        <v>303</v>
      </c>
      <c r="G39" s="210" t="s">
        <v>304</v>
      </c>
      <c r="H39" s="210" t="s">
        <v>313</v>
      </c>
      <c r="I39" s="213">
        <v>42787</v>
      </c>
      <c r="J39" s="243">
        <v>42886</v>
      </c>
      <c r="K39" s="215">
        <v>30</v>
      </c>
      <c r="L39" s="216">
        <f t="shared" si="31"/>
        <v>365666.94</v>
      </c>
      <c r="M39" s="216">
        <v>0</v>
      </c>
      <c r="N39" s="216">
        <v>0</v>
      </c>
      <c r="O39" s="216">
        <v>0</v>
      </c>
      <c r="P39" s="217">
        <f t="shared" si="22"/>
        <v>365666.94</v>
      </c>
      <c r="Q39" s="218">
        <f>11416+(11416*3.7%)</f>
        <v>11838.392</v>
      </c>
      <c r="R39" s="219">
        <f t="shared" si="23"/>
        <v>377505.33199999999</v>
      </c>
      <c r="S39" s="218">
        <f t="shared" si="24"/>
        <v>4205.1698100000003</v>
      </c>
      <c r="T39" s="218"/>
      <c r="U39" s="218">
        <f t="shared" si="30"/>
        <v>8776.0065599999998</v>
      </c>
      <c r="V39" s="218">
        <f t="shared" si="25"/>
        <v>4717.1035259999999</v>
      </c>
      <c r="W39" s="220">
        <f t="shared" si="26"/>
        <v>395203.61189599999</v>
      </c>
      <c r="X39" s="221">
        <f>P39*10.14%</f>
        <v>37078.627716000003</v>
      </c>
      <c r="Y39" s="222" t="s">
        <v>307</v>
      </c>
      <c r="Z39" s="221">
        <f t="shared" si="27"/>
        <v>25596.685800000003</v>
      </c>
      <c r="AA39" s="223">
        <v>0</v>
      </c>
      <c r="AB39" s="224">
        <f t="shared" si="28"/>
        <v>302991.62648400001</v>
      </c>
      <c r="AC39" s="225">
        <f t="shared" si="29"/>
        <v>395203.61189599999</v>
      </c>
    </row>
    <row r="40" spans="2:29" s="199" customFormat="1" ht="14.4" x14ac:dyDescent="0.3">
      <c r="B40" s="226" t="s">
        <v>336</v>
      </c>
      <c r="C40" s="211" t="s">
        <v>337</v>
      </c>
      <c r="D40" s="212" t="s">
        <v>338</v>
      </c>
      <c r="E40" s="212" t="s">
        <v>339</v>
      </c>
      <c r="F40" s="210" t="s">
        <v>303</v>
      </c>
      <c r="G40" s="210" t="s">
        <v>304</v>
      </c>
      <c r="H40" s="210" t="s">
        <v>313</v>
      </c>
      <c r="I40" s="213">
        <v>42787</v>
      </c>
      <c r="J40" s="243">
        <v>42886</v>
      </c>
      <c r="K40" s="215">
        <v>30</v>
      </c>
      <c r="L40" s="216">
        <f t="shared" si="31"/>
        <v>365666.94</v>
      </c>
      <c r="M40" s="216">
        <v>0</v>
      </c>
      <c r="N40" s="216">
        <v>0</v>
      </c>
      <c r="O40" s="216">
        <v>0</v>
      </c>
      <c r="P40" s="217">
        <f t="shared" si="22"/>
        <v>365666.94</v>
      </c>
      <c r="Q40" s="218">
        <f>11416+(11416*3.7%)</f>
        <v>11838.392</v>
      </c>
      <c r="R40" s="219">
        <f t="shared" si="23"/>
        <v>377505.33199999999</v>
      </c>
      <c r="S40" s="218">
        <f t="shared" si="24"/>
        <v>4205.1698100000003</v>
      </c>
      <c r="T40" s="218"/>
      <c r="U40" s="218">
        <f t="shared" si="30"/>
        <v>8776.0065599999998</v>
      </c>
      <c r="V40" s="218">
        <f t="shared" si="25"/>
        <v>4717.1035259999999</v>
      </c>
      <c r="W40" s="220">
        <f t="shared" si="26"/>
        <v>395203.61189599999</v>
      </c>
      <c r="X40" s="221">
        <f>P40*10.77%</f>
        <v>39382.329437999993</v>
      </c>
      <c r="Y40" s="222" t="s">
        <v>324</v>
      </c>
      <c r="Z40" s="221">
        <f t="shared" si="27"/>
        <v>25596.685800000003</v>
      </c>
      <c r="AA40" s="223">
        <v>0</v>
      </c>
      <c r="AB40" s="224">
        <f t="shared" si="28"/>
        <v>300687.92476200004</v>
      </c>
      <c r="AC40" s="225">
        <f t="shared" si="29"/>
        <v>395203.61189599999</v>
      </c>
    </row>
    <row r="41" spans="2:29" s="199" customFormat="1" ht="14.4" x14ac:dyDescent="0.3">
      <c r="B41" s="210" t="s">
        <v>340</v>
      </c>
      <c r="C41" s="244" t="s">
        <v>341</v>
      </c>
      <c r="D41" s="226" t="s">
        <v>342</v>
      </c>
      <c r="E41" s="226" t="s">
        <v>343</v>
      </c>
      <c r="F41" s="245" t="s">
        <v>303</v>
      </c>
      <c r="G41" s="245" t="s">
        <v>304</v>
      </c>
      <c r="H41" s="244" t="s">
        <v>344</v>
      </c>
      <c r="I41" s="227">
        <v>41694</v>
      </c>
      <c r="J41" s="246" t="s">
        <v>306</v>
      </c>
      <c r="K41" s="215">
        <v>30</v>
      </c>
      <c r="L41" s="216">
        <f>366313+(366313*3.7%)</f>
        <v>379866.58100000001</v>
      </c>
      <c r="M41" s="216">
        <v>35049</v>
      </c>
      <c r="N41" s="216">
        <v>0</v>
      </c>
      <c r="O41" s="216">
        <v>0</v>
      </c>
      <c r="P41" s="217">
        <f t="shared" si="22"/>
        <v>414915.58100000001</v>
      </c>
      <c r="Q41" s="218">
        <f>12803+(12803*3.7%)</f>
        <v>13276.710999999999</v>
      </c>
      <c r="R41" s="219">
        <f t="shared" si="23"/>
        <v>428192.29200000002</v>
      </c>
      <c r="S41" s="218">
        <f t="shared" si="24"/>
        <v>4771.5291815</v>
      </c>
      <c r="T41" s="218"/>
      <c r="U41" s="218">
        <f t="shared" si="30"/>
        <v>9957.9739440000012</v>
      </c>
      <c r="V41" s="218">
        <f t="shared" si="25"/>
        <v>5352.4109949000003</v>
      </c>
      <c r="W41" s="220">
        <f t="shared" si="26"/>
        <v>448274.20612039999</v>
      </c>
      <c r="X41" s="221">
        <f>P41*11.27%</f>
        <v>46760.985978699995</v>
      </c>
      <c r="Y41" s="222" t="s">
        <v>345</v>
      </c>
      <c r="Z41" s="221">
        <f t="shared" si="27"/>
        <v>29044.090670000001</v>
      </c>
      <c r="AA41" s="223">
        <v>0</v>
      </c>
      <c r="AB41" s="224">
        <f t="shared" si="28"/>
        <v>339110.50435130001</v>
      </c>
      <c r="AC41" s="225">
        <f t="shared" si="29"/>
        <v>448274.20612039999</v>
      </c>
    </row>
    <row r="42" spans="2:29" s="199" customFormat="1" ht="14.4" x14ac:dyDescent="0.3">
      <c r="B42" s="226" t="s">
        <v>346</v>
      </c>
      <c r="C42" s="211" t="s">
        <v>347</v>
      </c>
      <c r="D42" s="212" t="s">
        <v>348</v>
      </c>
      <c r="E42" s="212" t="s">
        <v>349</v>
      </c>
      <c r="F42" s="245" t="s">
        <v>303</v>
      </c>
      <c r="G42" s="245" t="s">
        <v>304</v>
      </c>
      <c r="H42" s="244" t="s">
        <v>344</v>
      </c>
      <c r="I42" s="227">
        <v>42324</v>
      </c>
      <c r="J42" s="246" t="s">
        <v>306</v>
      </c>
      <c r="K42" s="215">
        <v>30</v>
      </c>
      <c r="L42" s="216">
        <f>298368+(298368*3.7%)</f>
        <v>309407.61599999998</v>
      </c>
      <c r="M42" s="216">
        <v>0</v>
      </c>
      <c r="N42" s="216">
        <v>0</v>
      </c>
      <c r="O42" s="216">
        <v>0</v>
      </c>
      <c r="P42" s="217">
        <f t="shared" si="22"/>
        <v>309407.61599999998</v>
      </c>
      <c r="Q42" s="218">
        <f>11416+(11416*3.7%)</f>
        <v>11838.392</v>
      </c>
      <c r="R42" s="219">
        <f t="shared" si="23"/>
        <v>321246.00799999997</v>
      </c>
      <c r="S42" s="218">
        <f t="shared" si="24"/>
        <v>3558.1875839999998</v>
      </c>
      <c r="T42" s="218"/>
      <c r="U42" s="218">
        <f t="shared" si="30"/>
        <v>7425.782784</v>
      </c>
      <c r="V42" s="218">
        <f t="shared" si="25"/>
        <v>3991.3582463999996</v>
      </c>
      <c r="W42" s="220">
        <f t="shared" si="26"/>
        <v>336221.33661439997</v>
      </c>
      <c r="X42" s="221">
        <f>P42*10.77%</f>
        <v>33323.200243199994</v>
      </c>
      <c r="Y42" s="222" t="s">
        <v>324</v>
      </c>
      <c r="Z42" s="221">
        <f t="shared" si="27"/>
        <v>21658.53312</v>
      </c>
      <c r="AA42" s="223">
        <v>0</v>
      </c>
      <c r="AB42" s="224">
        <f t="shared" si="28"/>
        <v>254425.88263679997</v>
      </c>
      <c r="AC42" s="225">
        <f t="shared" si="29"/>
        <v>336221.33661439997</v>
      </c>
    </row>
    <row r="43" spans="2:29" s="199" customFormat="1" ht="14.4" x14ac:dyDescent="0.3">
      <c r="B43" s="226" t="s">
        <v>350</v>
      </c>
      <c r="C43" s="244" t="s">
        <v>351</v>
      </c>
      <c r="D43" s="226" t="s">
        <v>352</v>
      </c>
      <c r="E43" s="226" t="s">
        <v>353</v>
      </c>
      <c r="F43" s="210" t="s">
        <v>303</v>
      </c>
      <c r="G43" s="210" t="s">
        <v>304</v>
      </c>
      <c r="H43" s="210" t="s">
        <v>354</v>
      </c>
      <c r="I43" s="227">
        <v>41339</v>
      </c>
      <c r="J43" s="214" t="s">
        <v>306</v>
      </c>
      <c r="K43" s="215">
        <v>30</v>
      </c>
      <c r="L43" s="216">
        <f>286496+(286496*3.7%)</f>
        <v>297096.35200000001</v>
      </c>
      <c r="M43" s="216">
        <v>29753</v>
      </c>
      <c r="N43" s="216">
        <v>0</v>
      </c>
      <c r="O43" s="216">
        <v>0</v>
      </c>
      <c r="P43" s="217">
        <f t="shared" si="22"/>
        <v>326849.35200000001</v>
      </c>
      <c r="Q43" s="218">
        <f>12992+(12992*3.7%)</f>
        <v>13472.704</v>
      </c>
      <c r="R43" s="219">
        <f t="shared" si="23"/>
        <v>340322.05600000004</v>
      </c>
      <c r="S43" s="218">
        <f t="shared" si="24"/>
        <v>3758.7675480000003</v>
      </c>
      <c r="T43" s="218"/>
      <c r="U43" s="218">
        <f t="shared" si="30"/>
        <v>7844.3844480000007</v>
      </c>
      <c r="V43" s="218">
        <f t="shared" si="25"/>
        <v>4216.3566408000006</v>
      </c>
      <c r="W43" s="220">
        <f t="shared" si="26"/>
        <v>356141.56463680003</v>
      </c>
      <c r="X43" s="221">
        <f>P43*11.54%</f>
        <v>37718.415220800001</v>
      </c>
      <c r="Y43" s="222" t="s">
        <v>314</v>
      </c>
      <c r="Z43" s="221">
        <f t="shared" si="27"/>
        <v>22879.454640000004</v>
      </c>
      <c r="AA43" s="223">
        <v>0</v>
      </c>
      <c r="AB43" s="224">
        <f t="shared" si="28"/>
        <v>266251.48213919997</v>
      </c>
      <c r="AC43" s="225">
        <f t="shared" si="29"/>
        <v>356141.56463680003</v>
      </c>
    </row>
    <row r="44" spans="2:29" s="199" customFormat="1" ht="14.4" x14ac:dyDescent="0.3">
      <c r="B44" s="369" t="s">
        <v>356</v>
      </c>
      <c r="C44" s="370"/>
      <c r="D44" s="370"/>
      <c r="E44" s="370"/>
      <c r="F44" s="370"/>
      <c r="G44" s="370"/>
      <c r="H44" s="370"/>
      <c r="I44" s="370"/>
      <c r="J44" s="371"/>
      <c r="K44" s="215"/>
      <c r="L44" s="216">
        <f t="shared" ref="L44:S44" si="32">SUM(L33:L43)</f>
        <v>3851124.5289999996</v>
      </c>
      <c r="M44" s="216">
        <f t="shared" si="32"/>
        <v>135126</v>
      </c>
      <c r="N44" s="216">
        <f t="shared" si="32"/>
        <v>85702</v>
      </c>
      <c r="O44" s="216">
        <f t="shared" si="32"/>
        <v>0</v>
      </c>
      <c r="P44" s="217">
        <f t="shared" si="32"/>
        <v>4071952.5289999996</v>
      </c>
      <c r="Q44" s="216">
        <f t="shared" si="32"/>
        <v>123329.37299999999</v>
      </c>
      <c r="R44" s="219">
        <f t="shared" si="32"/>
        <v>4195281.9019999998</v>
      </c>
      <c r="S44" s="216">
        <f t="shared" si="32"/>
        <v>46827.454083500001</v>
      </c>
      <c r="T44" s="216"/>
      <c r="U44" s="216">
        <f>SUM(U33:U43)</f>
        <v>97726.860695999989</v>
      </c>
      <c r="V44" s="216">
        <f>SUM(V33:V43)</f>
        <v>52528.187624099999</v>
      </c>
      <c r="W44" s="220">
        <f>SUM(W33:W43)</f>
        <v>4392364.4044035999</v>
      </c>
      <c r="X44" s="247">
        <f>SUM(X33:X43)</f>
        <v>432794.20595269999</v>
      </c>
      <c r="Y44" s="216"/>
      <c r="Z44" s="216">
        <f>SUM(Z33:Z43)</f>
        <v>285036.67703000002</v>
      </c>
      <c r="AA44" s="216">
        <f>SUM(AA33:AA43)</f>
        <v>0</v>
      </c>
      <c r="AB44" s="216">
        <f>SUM(AB33:AB43)</f>
        <v>3354121.6460173004</v>
      </c>
      <c r="AC44" s="225">
        <f>SUM(AC33:AC43)</f>
        <v>4392364.4044035999</v>
      </c>
    </row>
    <row r="45" spans="2:29" s="199" customFormat="1" ht="15" thickBot="1" x14ac:dyDescent="0.35">
      <c r="B45" s="248"/>
      <c r="C45" s="248"/>
      <c r="D45" s="248"/>
      <c r="E45" s="248"/>
      <c r="F45" s="248"/>
      <c r="G45" s="248"/>
      <c r="H45" s="248"/>
      <c r="I45" s="248"/>
      <c r="J45" s="248"/>
      <c r="K45" s="249"/>
      <c r="L45" s="250"/>
      <c r="M45" s="250"/>
      <c r="N45" s="250"/>
      <c r="O45" s="250"/>
      <c r="P45" s="250"/>
      <c r="Q45" s="250"/>
      <c r="R45" s="250"/>
      <c r="S45" s="250"/>
      <c r="T45" s="250"/>
      <c r="U45" s="250"/>
      <c r="V45" s="250"/>
      <c r="W45" s="250"/>
      <c r="X45" s="251"/>
      <c r="Y45" s="250"/>
      <c r="Z45" s="250"/>
      <c r="AA45" s="250"/>
      <c r="AB45" s="250"/>
      <c r="AC45" s="250"/>
    </row>
    <row r="46" spans="2:29" ht="15" thickBot="1" x14ac:dyDescent="0.35">
      <c r="B46" s="367" t="s">
        <v>362</v>
      </c>
      <c r="C46" s="368"/>
    </row>
    <row r="47" spans="2:29" s="199" customFormat="1" ht="14.4" x14ac:dyDescent="0.3">
      <c r="B47" s="201" t="s">
        <v>270</v>
      </c>
      <c r="C47" s="201" t="s">
        <v>271</v>
      </c>
      <c r="D47" s="201" t="s">
        <v>272</v>
      </c>
      <c r="E47" s="201" t="s">
        <v>273</v>
      </c>
      <c r="F47" s="201" t="s">
        <v>274</v>
      </c>
      <c r="G47" s="201" t="s">
        <v>275</v>
      </c>
      <c r="H47" s="201" t="s">
        <v>276</v>
      </c>
      <c r="I47" s="201" t="s">
        <v>277</v>
      </c>
      <c r="J47" s="201" t="s">
        <v>278</v>
      </c>
      <c r="K47" s="201" t="s">
        <v>279</v>
      </c>
      <c r="L47" s="202" t="s">
        <v>280</v>
      </c>
      <c r="M47" s="202" t="s">
        <v>281</v>
      </c>
      <c r="N47" s="202" t="s">
        <v>282</v>
      </c>
      <c r="O47" s="202" t="s">
        <v>283</v>
      </c>
      <c r="P47" s="203" t="s">
        <v>284</v>
      </c>
      <c r="Q47" s="202" t="s">
        <v>285</v>
      </c>
      <c r="R47" s="253" t="s">
        <v>286</v>
      </c>
      <c r="S47" s="206" t="s">
        <v>287</v>
      </c>
      <c r="T47" s="206"/>
      <c r="U47" s="206" t="s">
        <v>288</v>
      </c>
      <c r="V47" s="206" t="s">
        <v>289</v>
      </c>
      <c r="W47" s="207" t="s">
        <v>290</v>
      </c>
      <c r="X47" s="208" t="s">
        <v>291</v>
      </c>
      <c r="Y47" s="208" t="s">
        <v>292</v>
      </c>
      <c r="Z47" s="208" t="s">
        <v>293</v>
      </c>
      <c r="AA47" s="206" t="s">
        <v>294</v>
      </c>
      <c r="AB47" s="206" t="s">
        <v>295</v>
      </c>
      <c r="AC47" s="209" t="s">
        <v>298</v>
      </c>
    </row>
    <row r="48" spans="2:29" s="199" customFormat="1" ht="14.4" x14ac:dyDescent="0.3">
      <c r="B48" s="210" t="s">
        <v>299</v>
      </c>
      <c r="C48" s="211" t="s">
        <v>300</v>
      </c>
      <c r="D48" s="212" t="s">
        <v>301</v>
      </c>
      <c r="E48" s="212" t="s">
        <v>302</v>
      </c>
      <c r="F48" s="210" t="s">
        <v>303</v>
      </c>
      <c r="G48" s="210" t="s">
        <v>304</v>
      </c>
      <c r="H48" s="210" t="s">
        <v>305</v>
      </c>
      <c r="I48" s="213">
        <v>42453</v>
      </c>
      <c r="J48" s="214" t="s">
        <v>306</v>
      </c>
      <c r="K48" s="215">
        <v>30</v>
      </c>
      <c r="L48" s="216">
        <f>593728+(593728*3.7%)</f>
        <v>615695.93599999999</v>
      </c>
      <c r="M48" s="216">
        <v>35275</v>
      </c>
      <c r="N48" s="216">
        <v>85702</v>
      </c>
      <c r="O48" s="216">
        <v>0</v>
      </c>
      <c r="P48" s="217">
        <f t="shared" ref="P48:P58" si="33">SUM(L48:O48)</f>
        <v>736672.93599999999</v>
      </c>
      <c r="Q48" s="218">
        <f>11724+(11724*3.7%)</f>
        <v>12157.788</v>
      </c>
      <c r="R48" s="219">
        <f t="shared" ref="R48:R58" si="34">Q48+P48</f>
        <v>748830.72399999993</v>
      </c>
      <c r="S48" s="218">
        <f t="shared" ref="S48:S58" si="35">P48*1.15%</f>
        <v>8471.7387639999997</v>
      </c>
      <c r="T48" s="218"/>
      <c r="U48" s="218">
        <f>P48*2.4%</f>
        <v>17680.150463999998</v>
      </c>
      <c r="V48" s="218">
        <f t="shared" ref="V48:V58" si="36">P48*1.29%</f>
        <v>9503.0808744000005</v>
      </c>
      <c r="W48" s="220">
        <f t="shared" ref="W48:W58" si="37">V48+U48+S48+R48</f>
        <v>784485.69410239998</v>
      </c>
      <c r="X48" s="221">
        <f>P48*10.14%</f>
        <v>74698.635710400005</v>
      </c>
      <c r="Y48" s="222" t="s">
        <v>307</v>
      </c>
      <c r="Z48" s="221">
        <f t="shared" ref="Z48:Z58" si="38">P48*7%</f>
        <v>51567.105520000005</v>
      </c>
      <c r="AA48" s="223">
        <v>0</v>
      </c>
      <c r="AB48" s="224">
        <f t="shared" ref="AB48:AB58" si="39">P48-X48-Z48-AA48</f>
        <v>610407.19476959994</v>
      </c>
      <c r="AC48" s="225">
        <f t="shared" ref="AC48:AC58" si="40">W48</f>
        <v>784485.69410239998</v>
      </c>
    </row>
    <row r="49" spans="2:29" s="199" customFormat="1" ht="14.4" x14ac:dyDescent="0.3">
      <c r="B49" s="226" t="s">
        <v>309</v>
      </c>
      <c r="C49" s="211" t="s">
        <v>310</v>
      </c>
      <c r="D49" s="212" t="s">
        <v>311</v>
      </c>
      <c r="E49" s="212" t="s">
        <v>312</v>
      </c>
      <c r="F49" s="210" t="s">
        <v>303</v>
      </c>
      <c r="G49" s="210" t="s">
        <v>304</v>
      </c>
      <c r="H49" s="210" t="s">
        <v>313</v>
      </c>
      <c r="I49" s="227">
        <v>41694</v>
      </c>
      <c r="J49" s="214" t="s">
        <v>306</v>
      </c>
      <c r="K49" s="215">
        <v>30</v>
      </c>
      <c r="L49" s="216">
        <f>405712+(405712*3.7%)</f>
        <v>420723.34399999998</v>
      </c>
      <c r="M49" s="216">
        <v>35049</v>
      </c>
      <c r="N49" s="216">
        <v>0</v>
      </c>
      <c r="O49" s="216">
        <v>0</v>
      </c>
      <c r="P49" s="217">
        <f t="shared" si="33"/>
        <v>455772.34399999998</v>
      </c>
      <c r="Q49" s="218">
        <f>12606+(12606*3.7%)</f>
        <v>13072.422</v>
      </c>
      <c r="R49" s="219">
        <f>Q49+P49</f>
        <v>468844.766</v>
      </c>
      <c r="S49" s="218">
        <f t="shared" si="35"/>
        <v>5241.3819559999993</v>
      </c>
      <c r="T49" s="218"/>
      <c r="U49" s="218">
        <f t="shared" ref="U49:U58" si="41">P49*2.4%</f>
        <v>10938.536255999999</v>
      </c>
      <c r="V49" s="218">
        <f t="shared" si="36"/>
        <v>5879.4632376</v>
      </c>
      <c r="W49" s="220">
        <f t="shared" si="37"/>
        <v>490904.14744959999</v>
      </c>
      <c r="X49" s="221">
        <f>P49*11.54%</f>
        <v>52596.128497599995</v>
      </c>
      <c r="Y49" s="222" t="s">
        <v>314</v>
      </c>
      <c r="Z49" s="221">
        <f t="shared" si="38"/>
        <v>31904.06408</v>
      </c>
      <c r="AA49" s="223">
        <v>0</v>
      </c>
      <c r="AB49" s="224">
        <f t="shared" si="39"/>
        <v>371272.15142240003</v>
      </c>
      <c r="AC49" s="225">
        <f t="shared" si="40"/>
        <v>490904.14744959999</v>
      </c>
    </row>
    <row r="50" spans="2:29" s="199" customFormat="1" ht="14.4" x14ac:dyDescent="0.3">
      <c r="B50" s="226" t="s">
        <v>316</v>
      </c>
      <c r="C50" s="211" t="s">
        <v>317</v>
      </c>
      <c r="D50" s="212" t="s">
        <v>318</v>
      </c>
      <c r="E50" s="212" t="s">
        <v>319</v>
      </c>
      <c r="F50" s="210" t="s">
        <v>303</v>
      </c>
      <c r="G50" s="210" t="s">
        <v>304</v>
      </c>
      <c r="H50" s="210" t="s">
        <v>313</v>
      </c>
      <c r="I50" s="213">
        <v>42676</v>
      </c>
      <c r="J50" s="214" t="s">
        <v>306</v>
      </c>
      <c r="K50" s="215">
        <v>30</v>
      </c>
      <c r="L50" s="216">
        <f t="shared" ref="L50:L55" si="42">352620+(352620*3.7%)</f>
        <v>365666.94</v>
      </c>
      <c r="M50" s="216">
        <v>0</v>
      </c>
      <c r="N50" s="216">
        <v>0</v>
      </c>
      <c r="O50" s="216">
        <v>0</v>
      </c>
      <c r="P50" s="217">
        <f t="shared" si="33"/>
        <v>365666.94</v>
      </c>
      <c r="Q50" s="218">
        <f>11416+(11416*3.7%)</f>
        <v>11838.392</v>
      </c>
      <c r="R50" s="219">
        <f t="shared" si="34"/>
        <v>377505.33199999999</v>
      </c>
      <c r="S50" s="218">
        <f t="shared" si="35"/>
        <v>4205.1698100000003</v>
      </c>
      <c r="T50" s="218"/>
      <c r="U50" s="218">
        <f t="shared" si="41"/>
        <v>8776.0065599999998</v>
      </c>
      <c r="V50" s="218">
        <f t="shared" si="36"/>
        <v>4717.1035259999999</v>
      </c>
      <c r="W50" s="220">
        <f t="shared" si="37"/>
        <v>395203.61189599999</v>
      </c>
      <c r="X50" s="221">
        <f>P50*10.14%</f>
        <v>37078.627716000003</v>
      </c>
      <c r="Y50" s="222" t="s">
        <v>307</v>
      </c>
      <c r="Z50" s="221">
        <f t="shared" si="38"/>
        <v>25596.685800000003</v>
      </c>
      <c r="AA50" s="223">
        <v>0</v>
      </c>
      <c r="AB50" s="224">
        <f t="shared" si="39"/>
        <v>302991.62648400001</v>
      </c>
      <c r="AC50" s="225">
        <f t="shared" si="40"/>
        <v>395203.61189599999</v>
      </c>
    </row>
    <row r="51" spans="2:29" s="198" customFormat="1" ht="14.4" x14ac:dyDescent="0.3">
      <c r="B51" s="228" t="s">
        <v>320</v>
      </c>
      <c r="C51" s="229" t="s">
        <v>321</v>
      </c>
      <c r="D51" s="228" t="s">
        <v>322</v>
      </c>
      <c r="E51" s="228" t="s">
        <v>323</v>
      </c>
      <c r="F51" s="230" t="s">
        <v>303</v>
      </c>
      <c r="G51" s="230" t="s">
        <v>304</v>
      </c>
      <c r="H51" s="230" t="s">
        <v>313</v>
      </c>
      <c r="I51" s="231">
        <v>42531</v>
      </c>
      <c r="J51" s="232" t="s">
        <v>306</v>
      </c>
      <c r="K51" s="233">
        <v>30</v>
      </c>
      <c r="L51" s="234">
        <v>0</v>
      </c>
      <c r="M51" s="234">
        <v>0</v>
      </c>
      <c r="N51" s="234">
        <v>0</v>
      </c>
      <c r="O51" s="234">
        <v>0</v>
      </c>
      <c r="P51" s="235">
        <v>0</v>
      </c>
      <c r="Q51" s="236">
        <v>0</v>
      </c>
      <c r="R51" s="237">
        <v>0</v>
      </c>
      <c r="S51" s="236">
        <v>0</v>
      </c>
      <c r="T51" s="236"/>
      <c r="U51" s="236">
        <v>0</v>
      </c>
      <c r="V51" s="236">
        <v>0</v>
      </c>
      <c r="W51" s="238">
        <v>0</v>
      </c>
      <c r="X51" s="239">
        <v>0</v>
      </c>
      <c r="Y51" s="240" t="s">
        <v>324</v>
      </c>
      <c r="Z51" s="239">
        <v>0</v>
      </c>
      <c r="AA51" s="239">
        <v>0</v>
      </c>
      <c r="AB51" s="241">
        <v>0</v>
      </c>
      <c r="AC51" s="242">
        <f t="shared" si="40"/>
        <v>0</v>
      </c>
    </row>
    <row r="52" spans="2:29" s="199" customFormat="1" ht="14.4" x14ac:dyDescent="0.3">
      <c r="B52" s="226" t="s">
        <v>325</v>
      </c>
      <c r="C52" s="211" t="s">
        <v>321</v>
      </c>
      <c r="D52" s="212" t="s">
        <v>326</v>
      </c>
      <c r="E52" s="212" t="s">
        <v>327</v>
      </c>
      <c r="F52" s="210" t="s">
        <v>303</v>
      </c>
      <c r="G52" s="210" t="s">
        <v>304</v>
      </c>
      <c r="H52" s="210" t="s">
        <v>313</v>
      </c>
      <c r="I52" s="213">
        <v>42461</v>
      </c>
      <c r="J52" s="214" t="s">
        <v>306</v>
      </c>
      <c r="K52" s="215">
        <v>30</v>
      </c>
      <c r="L52" s="216">
        <f t="shared" si="42"/>
        <v>365666.94</v>
      </c>
      <c r="M52" s="216">
        <v>23366</v>
      </c>
      <c r="N52" s="216">
        <v>0</v>
      </c>
      <c r="O52" s="216">
        <v>0</v>
      </c>
      <c r="P52" s="217">
        <f t="shared" si="33"/>
        <v>389032.94</v>
      </c>
      <c r="Q52" s="218">
        <f>11724+(11724*3.7%)</f>
        <v>12157.788</v>
      </c>
      <c r="R52" s="219">
        <f t="shared" si="34"/>
        <v>401190.728</v>
      </c>
      <c r="S52" s="218">
        <f t="shared" si="35"/>
        <v>4473.8788100000002</v>
      </c>
      <c r="T52" s="218"/>
      <c r="U52" s="218">
        <f t="shared" si="41"/>
        <v>9336.7905599999995</v>
      </c>
      <c r="V52" s="218">
        <f t="shared" si="36"/>
        <v>5018.5249260000001</v>
      </c>
      <c r="W52" s="220">
        <f t="shared" si="37"/>
        <v>420019.922296</v>
      </c>
      <c r="X52" s="221">
        <f>P52*10.14%</f>
        <v>39447.940116000005</v>
      </c>
      <c r="Y52" s="222" t="s">
        <v>307</v>
      </c>
      <c r="Z52" s="221">
        <f t="shared" si="38"/>
        <v>27232.305800000002</v>
      </c>
      <c r="AA52" s="223">
        <v>0</v>
      </c>
      <c r="AB52" s="224">
        <f t="shared" si="39"/>
        <v>322352.69408399996</v>
      </c>
      <c r="AC52" s="225">
        <f t="shared" si="40"/>
        <v>420019.922296</v>
      </c>
    </row>
    <row r="53" spans="2:29" s="199" customFormat="1" ht="14.4" x14ac:dyDescent="0.3">
      <c r="B53" s="226" t="s">
        <v>328</v>
      </c>
      <c r="C53" s="211" t="s">
        <v>329</v>
      </c>
      <c r="D53" s="212" t="s">
        <v>330</v>
      </c>
      <c r="E53" s="212" t="s">
        <v>331</v>
      </c>
      <c r="F53" s="210" t="s">
        <v>303</v>
      </c>
      <c r="G53" s="210" t="s">
        <v>304</v>
      </c>
      <c r="H53" s="210" t="s">
        <v>313</v>
      </c>
      <c r="I53" s="213">
        <v>42786</v>
      </c>
      <c r="J53" s="243">
        <v>42886</v>
      </c>
      <c r="K53" s="215">
        <v>30</v>
      </c>
      <c r="L53" s="216">
        <f t="shared" si="42"/>
        <v>365666.94</v>
      </c>
      <c r="M53" s="216">
        <v>0</v>
      </c>
      <c r="N53" s="216">
        <v>0</v>
      </c>
      <c r="O53" s="216">
        <v>0</v>
      </c>
      <c r="P53" s="217">
        <f t="shared" si="33"/>
        <v>365666.94</v>
      </c>
      <c r="Q53" s="218">
        <f>11416+(11416*3.7%)</f>
        <v>11838.392</v>
      </c>
      <c r="R53" s="219">
        <f t="shared" si="34"/>
        <v>377505.33199999999</v>
      </c>
      <c r="S53" s="218">
        <f t="shared" si="35"/>
        <v>4205.1698100000003</v>
      </c>
      <c r="T53" s="218"/>
      <c r="U53" s="218">
        <f t="shared" si="41"/>
        <v>8776.0065599999998</v>
      </c>
      <c r="V53" s="218">
        <f t="shared" si="36"/>
        <v>4717.1035259999999</v>
      </c>
      <c r="W53" s="220">
        <f t="shared" si="37"/>
        <v>395203.61189599999</v>
      </c>
      <c r="X53" s="221">
        <f>P53*10.14%</f>
        <v>37078.627716000003</v>
      </c>
      <c r="Y53" s="222" t="s">
        <v>307</v>
      </c>
      <c r="Z53" s="221">
        <f t="shared" si="38"/>
        <v>25596.685800000003</v>
      </c>
      <c r="AA53" s="223">
        <v>0</v>
      </c>
      <c r="AB53" s="224">
        <f t="shared" si="39"/>
        <v>302991.62648400001</v>
      </c>
      <c r="AC53" s="225">
        <f t="shared" si="40"/>
        <v>395203.61189599999</v>
      </c>
    </row>
    <row r="54" spans="2:29" s="199" customFormat="1" ht="14.4" x14ac:dyDescent="0.3">
      <c r="B54" s="226" t="s">
        <v>332</v>
      </c>
      <c r="C54" s="211" t="s">
        <v>333</v>
      </c>
      <c r="D54" s="212" t="s">
        <v>334</v>
      </c>
      <c r="E54" s="212" t="s">
        <v>335</v>
      </c>
      <c r="F54" s="210" t="s">
        <v>303</v>
      </c>
      <c r="G54" s="210" t="s">
        <v>304</v>
      </c>
      <c r="H54" s="210" t="s">
        <v>313</v>
      </c>
      <c r="I54" s="213">
        <v>42787</v>
      </c>
      <c r="J54" s="243">
        <v>42886</v>
      </c>
      <c r="K54" s="215">
        <v>30</v>
      </c>
      <c r="L54" s="216">
        <f t="shared" si="42"/>
        <v>365666.94</v>
      </c>
      <c r="M54" s="216">
        <v>0</v>
      </c>
      <c r="N54" s="216">
        <v>0</v>
      </c>
      <c r="O54" s="216">
        <v>0</v>
      </c>
      <c r="P54" s="217">
        <f t="shared" si="33"/>
        <v>365666.94</v>
      </c>
      <c r="Q54" s="218">
        <f>11416+(11416*3.7%)</f>
        <v>11838.392</v>
      </c>
      <c r="R54" s="219">
        <f t="shared" si="34"/>
        <v>377505.33199999999</v>
      </c>
      <c r="S54" s="218">
        <f t="shared" si="35"/>
        <v>4205.1698100000003</v>
      </c>
      <c r="T54" s="218"/>
      <c r="U54" s="218">
        <f t="shared" si="41"/>
        <v>8776.0065599999998</v>
      </c>
      <c r="V54" s="218">
        <f t="shared" si="36"/>
        <v>4717.1035259999999</v>
      </c>
      <c r="W54" s="220">
        <f t="shared" si="37"/>
        <v>395203.61189599999</v>
      </c>
      <c r="X54" s="221">
        <f>P54*10.14%</f>
        <v>37078.627716000003</v>
      </c>
      <c r="Y54" s="222" t="s">
        <v>307</v>
      </c>
      <c r="Z54" s="221">
        <f t="shared" si="38"/>
        <v>25596.685800000003</v>
      </c>
      <c r="AA54" s="223">
        <v>0</v>
      </c>
      <c r="AB54" s="224">
        <f t="shared" si="39"/>
        <v>302991.62648400001</v>
      </c>
      <c r="AC54" s="225">
        <f t="shared" si="40"/>
        <v>395203.61189599999</v>
      </c>
    </row>
    <row r="55" spans="2:29" s="199" customFormat="1" ht="14.4" x14ac:dyDescent="0.3">
      <c r="B55" s="226" t="s">
        <v>336</v>
      </c>
      <c r="C55" s="211" t="s">
        <v>337</v>
      </c>
      <c r="D55" s="212" t="s">
        <v>338</v>
      </c>
      <c r="E55" s="212" t="s">
        <v>339</v>
      </c>
      <c r="F55" s="210" t="s">
        <v>303</v>
      </c>
      <c r="G55" s="210" t="s">
        <v>304</v>
      </c>
      <c r="H55" s="210" t="s">
        <v>313</v>
      </c>
      <c r="I55" s="213">
        <v>42787</v>
      </c>
      <c r="J55" s="243">
        <v>42886</v>
      </c>
      <c r="K55" s="215">
        <v>30</v>
      </c>
      <c r="L55" s="216">
        <f t="shared" si="42"/>
        <v>365666.94</v>
      </c>
      <c r="M55" s="216">
        <v>0</v>
      </c>
      <c r="N55" s="216">
        <v>0</v>
      </c>
      <c r="O55" s="216">
        <v>0</v>
      </c>
      <c r="P55" s="217">
        <f t="shared" si="33"/>
        <v>365666.94</v>
      </c>
      <c r="Q55" s="218">
        <f>11416+(11416*3.7%)</f>
        <v>11838.392</v>
      </c>
      <c r="R55" s="219">
        <f t="shared" si="34"/>
        <v>377505.33199999999</v>
      </c>
      <c r="S55" s="218">
        <f t="shared" si="35"/>
        <v>4205.1698100000003</v>
      </c>
      <c r="T55" s="218"/>
      <c r="U55" s="218">
        <f t="shared" si="41"/>
        <v>8776.0065599999998</v>
      </c>
      <c r="V55" s="218">
        <f t="shared" si="36"/>
        <v>4717.1035259999999</v>
      </c>
      <c r="W55" s="220">
        <f t="shared" si="37"/>
        <v>395203.61189599999</v>
      </c>
      <c r="X55" s="221">
        <f>P55*10.77%</f>
        <v>39382.329437999993</v>
      </c>
      <c r="Y55" s="222" t="s">
        <v>324</v>
      </c>
      <c r="Z55" s="221">
        <f t="shared" si="38"/>
        <v>25596.685800000003</v>
      </c>
      <c r="AA55" s="223">
        <v>0</v>
      </c>
      <c r="AB55" s="224">
        <f t="shared" si="39"/>
        <v>300687.92476200004</v>
      </c>
      <c r="AC55" s="225">
        <f t="shared" si="40"/>
        <v>395203.61189599999</v>
      </c>
    </row>
    <row r="56" spans="2:29" s="199" customFormat="1" ht="14.4" x14ac:dyDescent="0.3">
      <c r="B56" s="210" t="s">
        <v>340</v>
      </c>
      <c r="C56" s="244" t="s">
        <v>341</v>
      </c>
      <c r="D56" s="226" t="s">
        <v>342</v>
      </c>
      <c r="E56" s="226" t="s">
        <v>343</v>
      </c>
      <c r="F56" s="245" t="s">
        <v>303</v>
      </c>
      <c r="G56" s="245" t="s">
        <v>304</v>
      </c>
      <c r="H56" s="244" t="s">
        <v>344</v>
      </c>
      <c r="I56" s="227">
        <v>41694</v>
      </c>
      <c r="J56" s="246" t="s">
        <v>306</v>
      </c>
      <c r="K56" s="215">
        <v>30</v>
      </c>
      <c r="L56" s="216">
        <f>366313+(366313*3.7%)</f>
        <v>379866.58100000001</v>
      </c>
      <c r="M56" s="216">
        <v>35049</v>
      </c>
      <c r="N56" s="216">
        <v>0</v>
      </c>
      <c r="O56" s="216">
        <v>0</v>
      </c>
      <c r="P56" s="217">
        <f t="shared" si="33"/>
        <v>414915.58100000001</v>
      </c>
      <c r="Q56" s="218">
        <f>12803+(12803*3.7%)</f>
        <v>13276.710999999999</v>
      </c>
      <c r="R56" s="219">
        <f t="shared" si="34"/>
        <v>428192.29200000002</v>
      </c>
      <c r="S56" s="218">
        <f t="shared" si="35"/>
        <v>4771.5291815</v>
      </c>
      <c r="T56" s="218"/>
      <c r="U56" s="218">
        <f t="shared" si="41"/>
        <v>9957.9739440000012</v>
      </c>
      <c r="V56" s="218">
        <f t="shared" si="36"/>
        <v>5352.4109949000003</v>
      </c>
      <c r="W56" s="220">
        <f t="shared" si="37"/>
        <v>448274.20612039999</v>
      </c>
      <c r="X56" s="221">
        <f>P56*11.27%</f>
        <v>46760.985978699995</v>
      </c>
      <c r="Y56" s="222" t="s">
        <v>345</v>
      </c>
      <c r="Z56" s="221">
        <f t="shared" si="38"/>
        <v>29044.090670000001</v>
      </c>
      <c r="AA56" s="223">
        <v>0</v>
      </c>
      <c r="AB56" s="224">
        <f t="shared" si="39"/>
        <v>339110.50435130001</v>
      </c>
      <c r="AC56" s="225">
        <f t="shared" si="40"/>
        <v>448274.20612039999</v>
      </c>
    </row>
    <row r="57" spans="2:29" s="199" customFormat="1" ht="14.4" x14ac:dyDescent="0.3">
      <c r="B57" s="226" t="s">
        <v>346</v>
      </c>
      <c r="C57" s="211" t="s">
        <v>347</v>
      </c>
      <c r="D57" s="212" t="s">
        <v>348</v>
      </c>
      <c r="E57" s="212" t="s">
        <v>349</v>
      </c>
      <c r="F57" s="245" t="s">
        <v>303</v>
      </c>
      <c r="G57" s="245" t="s">
        <v>304</v>
      </c>
      <c r="H57" s="244" t="s">
        <v>344</v>
      </c>
      <c r="I57" s="227">
        <v>42324</v>
      </c>
      <c r="J57" s="246" t="s">
        <v>306</v>
      </c>
      <c r="K57" s="215">
        <v>30</v>
      </c>
      <c r="L57" s="216">
        <f>298368+(298368*3.7%)</f>
        <v>309407.61599999998</v>
      </c>
      <c r="M57" s="216">
        <v>0</v>
      </c>
      <c r="N57" s="216">
        <v>0</v>
      </c>
      <c r="O57" s="216">
        <v>0</v>
      </c>
      <c r="P57" s="217">
        <f t="shared" si="33"/>
        <v>309407.61599999998</v>
      </c>
      <c r="Q57" s="218">
        <f>11416+(11416*3.7%)</f>
        <v>11838.392</v>
      </c>
      <c r="R57" s="219">
        <f t="shared" si="34"/>
        <v>321246.00799999997</v>
      </c>
      <c r="S57" s="218">
        <f t="shared" si="35"/>
        <v>3558.1875839999998</v>
      </c>
      <c r="T57" s="218"/>
      <c r="U57" s="218">
        <f t="shared" si="41"/>
        <v>7425.782784</v>
      </c>
      <c r="V57" s="218">
        <f t="shared" si="36"/>
        <v>3991.3582463999996</v>
      </c>
      <c r="W57" s="220">
        <f t="shared" si="37"/>
        <v>336221.33661439997</v>
      </c>
      <c r="X57" s="221">
        <f>P57*10.77%</f>
        <v>33323.200243199994</v>
      </c>
      <c r="Y57" s="222" t="s">
        <v>324</v>
      </c>
      <c r="Z57" s="221">
        <f t="shared" si="38"/>
        <v>21658.53312</v>
      </c>
      <c r="AA57" s="223">
        <v>0</v>
      </c>
      <c r="AB57" s="224">
        <f t="shared" si="39"/>
        <v>254425.88263679997</v>
      </c>
      <c r="AC57" s="225">
        <f t="shared" si="40"/>
        <v>336221.33661439997</v>
      </c>
    </row>
    <row r="58" spans="2:29" s="199" customFormat="1" ht="14.4" x14ac:dyDescent="0.3">
      <c r="B58" s="226" t="s">
        <v>350</v>
      </c>
      <c r="C58" s="244" t="s">
        <v>351</v>
      </c>
      <c r="D58" s="226" t="s">
        <v>352</v>
      </c>
      <c r="E58" s="226" t="s">
        <v>353</v>
      </c>
      <c r="F58" s="210" t="s">
        <v>303</v>
      </c>
      <c r="G58" s="210" t="s">
        <v>304</v>
      </c>
      <c r="H58" s="210" t="s">
        <v>354</v>
      </c>
      <c r="I58" s="227">
        <v>41339</v>
      </c>
      <c r="J58" s="214" t="s">
        <v>306</v>
      </c>
      <c r="K58" s="215">
        <v>30</v>
      </c>
      <c r="L58" s="216">
        <f>286496+(286496*3.7%)</f>
        <v>297096.35200000001</v>
      </c>
      <c r="M58" s="216">
        <v>29753</v>
      </c>
      <c r="N58" s="216">
        <v>0</v>
      </c>
      <c r="O58" s="216">
        <v>0</v>
      </c>
      <c r="P58" s="217">
        <f t="shared" si="33"/>
        <v>326849.35200000001</v>
      </c>
      <c r="Q58" s="218">
        <f>12992+(12992*3.7%)</f>
        <v>13472.704</v>
      </c>
      <c r="R58" s="219">
        <f t="shared" si="34"/>
        <v>340322.05600000004</v>
      </c>
      <c r="S58" s="218">
        <f t="shared" si="35"/>
        <v>3758.7675480000003</v>
      </c>
      <c r="T58" s="218"/>
      <c r="U58" s="218">
        <f t="shared" si="41"/>
        <v>7844.3844480000007</v>
      </c>
      <c r="V58" s="218">
        <f t="shared" si="36"/>
        <v>4216.3566408000006</v>
      </c>
      <c r="W58" s="220">
        <f t="shared" si="37"/>
        <v>356141.56463680003</v>
      </c>
      <c r="X58" s="221">
        <f>P58*11.54%</f>
        <v>37718.415220800001</v>
      </c>
      <c r="Y58" s="222" t="s">
        <v>314</v>
      </c>
      <c r="Z58" s="221">
        <f t="shared" si="38"/>
        <v>22879.454640000004</v>
      </c>
      <c r="AA58" s="223">
        <v>0</v>
      </c>
      <c r="AB58" s="224">
        <f t="shared" si="39"/>
        <v>266251.48213919997</v>
      </c>
      <c r="AC58" s="225">
        <f t="shared" si="40"/>
        <v>356141.56463680003</v>
      </c>
    </row>
    <row r="59" spans="2:29" s="199" customFormat="1" ht="14.4" x14ac:dyDescent="0.3">
      <c r="B59" s="369" t="s">
        <v>356</v>
      </c>
      <c r="C59" s="370"/>
      <c r="D59" s="370"/>
      <c r="E59" s="370"/>
      <c r="F59" s="370"/>
      <c r="G59" s="370"/>
      <c r="H59" s="370"/>
      <c r="I59" s="370"/>
      <c r="J59" s="371"/>
      <c r="K59" s="215"/>
      <c r="L59" s="216">
        <f t="shared" ref="L59:S59" si="43">SUM(L48:L58)</f>
        <v>3851124.5289999996</v>
      </c>
      <c r="M59" s="216">
        <f t="shared" si="43"/>
        <v>158492</v>
      </c>
      <c r="N59" s="216">
        <f t="shared" si="43"/>
        <v>85702</v>
      </c>
      <c r="O59" s="216">
        <f t="shared" si="43"/>
        <v>0</v>
      </c>
      <c r="P59" s="217">
        <f t="shared" si="43"/>
        <v>4095318.5289999996</v>
      </c>
      <c r="Q59" s="216">
        <f t="shared" si="43"/>
        <v>123329.37299999999</v>
      </c>
      <c r="R59" s="219">
        <f t="shared" si="43"/>
        <v>4218647.9019999998</v>
      </c>
      <c r="S59" s="216">
        <f t="shared" si="43"/>
        <v>47096.163083500003</v>
      </c>
      <c r="T59" s="216"/>
      <c r="U59" s="216">
        <f>SUM(U48:U58)</f>
        <v>98287.644695999988</v>
      </c>
      <c r="V59" s="216">
        <f>SUM(V48:V58)</f>
        <v>52829.609024099991</v>
      </c>
      <c r="W59" s="220">
        <f>SUM(W48:W58)</f>
        <v>4416861.3188036</v>
      </c>
      <c r="X59" s="247">
        <f>SUM(X48:X58)</f>
        <v>435163.51835270005</v>
      </c>
      <c r="Y59" s="216"/>
      <c r="Z59" s="216">
        <f>SUM(Z48:Z58)</f>
        <v>286672.29703000007</v>
      </c>
      <c r="AA59" s="216">
        <f>SUM(AA48:AA58)</f>
        <v>0</v>
      </c>
      <c r="AB59" s="216">
        <f>SUM(AB48:AB58)</f>
        <v>3373482.7136173001</v>
      </c>
      <c r="AC59" s="225">
        <f>SUM(AC48:AC58)</f>
        <v>4416861.3188036</v>
      </c>
    </row>
    <row r="60" spans="2:29" s="199" customFormat="1" ht="15" thickBot="1" x14ac:dyDescent="0.35">
      <c r="B60" s="248"/>
      <c r="C60" s="248"/>
      <c r="D60" s="248"/>
      <c r="E60" s="248"/>
      <c r="F60" s="248"/>
      <c r="G60" s="248"/>
      <c r="H60" s="248"/>
      <c r="I60" s="248"/>
      <c r="J60" s="248"/>
      <c r="K60" s="249"/>
      <c r="L60" s="250"/>
      <c r="M60" s="250"/>
      <c r="N60" s="250"/>
      <c r="O60" s="250"/>
      <c r="P60" s="250"/>
      <c r="Q60" s="250"/>
      <c r="R60" s="250"/>
      <c r="S60" s="250"/>
      <c r="T60" s="250"/>
      <c r="U60" s="250"/>
      <c r="V60" s="250"/>
      <c r="W60" s="250"/>
      <c r="X60" s="251"/>
      <c r="Y60" s="250"/>
      <c r="Z60" s="250"/>
      <c r="AA60" s="250"/>
      <c r="AB60" s="250"/>
      <c r="AC60" s="250"/>
    </row>
    <row r="61" spans="2:29" ht="15" thickBot="1" x14ac:dyDescent="0.35">
      <c r="B61" s="367" t="s">
        <v>363</v>
      </c>
      <c r="C61" s="368"/>
    </row>
    <row r="62" spans="2:29" s="199" customFormat="1" ht="14.4" x14ac:dyDescent="0.3">
      <c r="B62" s="201" t="s">
        <v>270</v>
      </c>
      <c r="C62" s="201" t="s">
        <v>271</v>
      </c>
      <c r="D62" s="201" t="s">
        <v>272</v>
      </c>
      <c r="E62" s="201" t="s">
        <v>273</v>
      </c>
      <c r="F62" s="201" t="s">
        <v>274</v>
      </c>
      <c r="G62" s="201" t="s">
        <v>275</v>
      </c>
      <c r="H62" s="201" t="s">
        <v>276</v>
      </c>
      <c r="I62" s="201" t="s">
        <v>277</v>
      </c>
      <c r="J62" s="201" t="s">
        <v>278</v>
      </c>
      <c r="K62" s="201" t="s">
        <v>279</v>
      </c>
      <c r="L62" s="202" t="s">
        <v>280</v>
      </c>
      <c r="M62" s="202" t="s">
        <v>281</v>
      </c>
      <c r="N62" s="202" t="s">
        <v>282</v>
      </c>
      <c r="O62" s="202" t="s">
        <v>283</v>
      </c>
      <c r="P62" s="203" t="s">
        <v>284</v>
      </c>
      <c r="Q62" s="202" t="s">
        <v>285</v>
      </c>
      <c r="R62" s="253" t="s">
        <v>286</v>
      </c>
      <c r="S62" s="206" t="s">
        <v>287</v>
      </c>
      <c r="T62" s="206"/>
      <c r="U62" s="206" t="s">
        <v>288</v>
      </c>
      <c r="V62" s="206" t="s">
        <v>289</v>
      </c>
      <c r="W62" s="207" t="s">
        <v>290</v>
      </c>
      <c r="X62" s="208" t="s">
        <v>291</v>
      </c>
      <c r="Y62" s="208" t="s">
        <v>292</v>
      </c>
      <c r="Z62" s="208" t="s">
        <v>293</v>
      </c>
      <c r="AA62" s="206" t="s">
        <v>294</v>
      </c>
      <c r="AB62" s="206" t="s">
        <v>295</v>
      </c>
      <c r="AC62" s="209" t="s">
        <v>298</v>
      </c>
    </row>
    <row r="63" spans="2:29" s="199" customFormat="1" ht="14.4" x14ac:dyDescent="0.3">
      <c r="B63" s="210" t="s">
        <v>299</v>
      </c>
      <c r="C63" s="211" t="s">
        <v>300</v>
      </c>
      <c r="D63" s="212" t="s">
        <v>301</v>
      </c>
      <c r="E63" s="212" t="s">
        <v>302</v>
      </c>
      <c r="F63" s="210" t="s">
        <v>303</v>
      </c>
      <c r="G63" s="210" t="s">
        <v>304</v>
      </c>
      <c r="H63" s="210" t="s">
        <v>305</v>
      </c>
      <c r="I63" s="213">
        <v>42453</v>
      </c>
      <c r="J63" s="214" t="s">
        <v>306</v>
      </c>
      <c r="K63" s="215">
        <v>30</v>
      </c>
      <c r="L63" s="216">
        <f>593728+(593728*3.7%)</f>
        <v>615695.93599999999</v>
      </c>
      <c r="M63" s="216">
        <v>35275</v>
      </c>
      <c r="N63" s="216">
        <v>85702</v>
      </c>
      <c r="O63" s="216">
        <v>0</v>
      </c>
      <c r="P63" s="217">
        <f t="shared" ref="P63:P73" si="44">SUM(L63:O63)</f>
        <v>736672.93599999999</v>
      </c>
      <c r="Q63" s="218">
        <f>11724+(11724*3.7%)</f>
        <v>12157.788</v>
      </c>
      <c r="R63" s="219">
        <f t="shared" ref="R63:R73" si="45">Q63+P63</f>
        <v>748830.72399999993</v>
      </c>
      <c r="S63" s="218">
        <f t="shared" ref="S63:S73" si="46">P63*1.15%</f>
        <v>8471.7387639999997</v>
      </c>
      <c r="T63" s="218"/>
      <c r="U63" s="218">
        <f>P63*2.4%</f>
        <v>17680.150463999998</v>
      </c>
      <c r="V63" s="218">
        <f t="shared" ref="V63:V73" si="47">P63*1.29%</f>
        <v>9503.0808744000005</v>
      </c>
      <c r="W63" s="220">
        <f t="shared" ref="W63:W73" si="48">V63+U63+S63+R63</f>
        <v>784485.69410239998</v>
      </c>
      <c r="X63" s="221">
        <f>P63*10.14%</f>
        <v>74698.635710400005</v>
      </c>
      <c r="Y63" s="222" t="s">
        <v>307</v>
      </c>
      <c r="Z63" s="221">
        <f t="shared" ref="Z63:Z73" si="49">P63*7%</f>
        <v>51567.105520000005</v>
      </c>
      <c r="AA63" s="223">
        <v>0</v>
      </c>
      <c r="AB63" s="224">
        <f t="shared" ref="AB63:AB73" si="50">P63-X63-Z63-AA63</f>
        <v>610407.19476959994</v>
      </c>
      <c r="AC63" s="225">
        <f t="shared" ref="AC63:AC73" si="51">W63</f>
        <v>784485.69410239998</v>
      </c>
    </row>
    <row r="64" spans="2:29" s="199" customFormat="1" ht="14.4" x14ac:dyDescent="0.3">
      <c r="B64" s="226" t="s">
        <v>309</v>
      </c>
      <c r="C64" s="211" t="s">
        <v>310</v>
      </c>
      <c r="D64" s="212" t="s">
        <v>311</v>
      </c>
      <c r="E64" s="212" t="s">
        <v>312</v>
      </c>
      <c r="F64" s="210" t="s">
        <v>303</v>
      </c>
      <c r="G64" s="210" t="s">
        <v>304</v>
      </c>
      <c r="H64" s="210" t="s">
        <v>313</v>
      </c>
      <c r="I64" s="227">
        <v>41694</v>
      </c>
      <c r="J64" s="214" t="s">
        <v>306</v>
      </c>
      <c r="K64" s="215">
        <v>30</v>
      </c>
      <c r="L64" s="216">
        <f>405712+(405712*3.7%)</f>
        <v>420723.34399999998</v>
      </c>
      <c r="M64" s="216">
        <v>35049</v>
      </c>
      <c r="N64" s="216">
        <v>0</v>
      </c>
      <c r="O64" s="216">
        <v>0</v>
      </c>
      <c r="P64" s="217">
        <f t="shared" si="44"/>
        <v>455772.34399999998</v>
      </c>
      <c r="Q64" s="218">
        <f>12606+(12606*3.7%)</f>
        <v>13072.422</v>
      </c>
      <c r="R64" s="219">
        <f>Q64+P64</f>
        <v>468844.766</v>
      </c>
      <c r="S64" s="218">
        <f t="shared" si="46"/>
        <v>5241.3819559999993</v>
      </c>
      <c r="T64" s="218"/>
      <c r="U64" s="218">
        <f t="shared" ref="U64:U73" si="52">P64*2.4%</f>
        <v>10938.536255999999</v>
      </c>
      <c r="V64" s="218">
        <f t="shared" si="47"/>
        <v>5879.4632376</v>
      </c>
      <c r="W64" s="220">
        <f t="shared" si="48"/>
        <v>490904.14744959999</v>
      </c>
      <c r="X64" s="221">
        <f>P64*11.54%</f>
        <v>52596.128497599995</v>
      </c>
      <c r="Y64" s="222" t="s">
        <v>314</v>
      </c>
      <c r="Z64" s="221">
        <f t="shared" si="49"/>
        <v>31904.06408</v>
      </c>
      <c r="AA64" s="223">
        <v>0</v>
      </c>
      <c r="AB64" s="224">
        <f t="shared" si="50"/>
        <v>371272.15142240003</v>
      </c>
      <c r="AC64" s="225">
        <f t="shared" si="51"/>
        <v>490904.14744959999</v>
      </c>
    </row>
    <row r="65" spans="2:29" s="199" customFormat="1" ht="14.4" x14ac:dyDescent="0.3">
      <c r="B65" s="226" t="s">
        <v>316</v>
      </c>
      <c r="C65" s="211" t="s">
        <v>317</v>
      </c>
      <c r="D65" s="212" t="s">
        <v>318</v>
      </c>
      <c r="E65" s="212" t="s">
        <v>319</v>
      </c>
      <c r="F65" s="210" t="s">
        <v>303</v>
      </c>
      <c r="G65" s="210" t="s">
        <v>304</v>
      </c>
      <c r="H65" s="210" t="s">
        <v>313</v>
      </c>
      <c r="I65" s="213">
        <v>42676</v>
      </c>
      <c r="J65" s="214" t="s">
        <v>306</v>
      </c>
      <c r="K65" s="215">
        <v>30</v>
      </c>
      <c r="L65" s="216">
        <f t="shared" ref="L65:L70" si="53">352620+(352620*3.7%)</f>
        <v>365666.94</v>
      </c>
      <c r="M65" s="216">
        <v>0</v>
      </c>
      <c r="N65" s="216">
        <v>0</v>
      </c>
      <c r="O65" s="216">
        <v>0</v>
      </c>
      <c r="P65" s="217">
        <f t="shared" si="44"/>
        <v>365666.94</v>
      </c>
      <c r="Q65" s="218">
        <f>11416+(11416*3.7%)</f>
        <v>11838.392</v>
      </c>
      <c r="R65" s="219">
        <f t="shared" si="45"/>
        <v>377505.33199999999</v>
      </c>
      <c r="S65" s="218">
        <f t="shared" si="46"/>
        <v>4205.1698100000003</v>
      </c>
      <c r="T65" s="218"/>
      <c r="U65" s="218">
        <f t="shared" si="52"/>
        <v>8776.0065599999998</v>
      </c>
      <c r="V65" s="218">
        <f t="shared" si="47"/>
        <v>4717.1035259999999</v>
      </c>
      <c r="W65" s="220">
        <f t="shared" si="48"/>
        <v>395203.61189599999</v>
      </c>
      <c r="X65" s="221">
        <f>P65*10.14%</f>
        <v>37078.627716000003</v>
      </c>
      <c r="Y65" s="222" t="s">
        <v>307</v>
      </c>
      <c r="Z65" s="221">
        <f t="shared" si="49"/>
        <v>25596.685800000003</v>
      </c>
      <c r="AA65" s="223">
        <v>0</v>
      </c>
      <c r="AB65" s="224">
        <f t="shared" si="50"/>
        <v>302991.62648400001</v>
      </c>
      <c r="AC65" s="225">
        <f t="shared" si="51"/>
        <v>395203.61189599999</v>
      </c>
    </row>
    <row r="66" spans="2:29" s="198" customFormat="1" ht="14.4" x14ac:dyDescent="0.3">
      <c r="B66" s="228" t="s">
        <v>320</v>
      </c>
      <c r="C66" s="229" t="s">
        <v>321</v>
      </c>
      <c r="D66" s="228" t="s">
        <v>322</v>
      </c>
      <c r="E66" s="228" t="s">
        <v>323</v>
      </c>
      <c r="F66" s="230" t="s">
        <v>303</v>
      </c>
      <c r="G66" s="230" t="s">
        <v>304</v>
      </c>
      <c r="H66" s="230" t="s">
        <v>313</v>
      </c>
      <c r="I66" s="231">
        <v>42531</v>
      </c>
      <c r="J66" s="232" t="s">
        <v>306</v>
      </c>
      <c r="K66" s="233">
        <v>30</v>
      </c>
      <c r="L66" s="234">
        <v>0</v>
      </c>
      <c r="M66" s="234">
        <v>0</v>
      </c>
      <c r="N66" s="234">
        <v>0</v>
      </c>
      <c r="O66" s="234">
        <v>0</v>
      </c>
      <c r="P66" s="235">
        <f t="shared" si="44"/>
        <v>0</v>
      </c>
      <c r="Q66" s="236">
        <v>0</v>
      </c>
      <c r="R66" s="237">
        <f>Q66+P66</f>
        <v>0</v>
      </c>
      <c r="S66" s="236">
        <f t="shared" si="46"/>
        <v>0</v>
      </c>
      <c r="T66" s="236"/>
      <c r="U66" s="236">
        <f t="shared" si="52"/>
        <v>0</v>
      </c>
      <c r="V66" s="236">
        <f t="shared" si="47"/>
        <v>0</v>
      </c>
      <c r="W66" s="238">
        <f t="shared" si="48"/>
        <v>0</v>
      </c>
      <c r="X66" s="239">
        <f>P66*10.77%</f>
        <v>0</v>
      </c>
      <c r="Y66" s="240" t="s">
        <v>324</v>
      </c>
      <c r="Z66" s="239">
        <f t="shared" si="49"/>
        <v>0</v>
      </c>
      <c r="AA66" s="239">
        <v>0</v>
      </c>
      <c r="AB66" s="241">
        <f t="shared" si="50"/>
        <v>0</v>
      </c>
      <c r="AC66" s="242">
        <f t="shared" si="51"/>
        <v>0</v>
      </c>
    </row>
    <row r="67" spans="2:29" s="199" customFormat="1" ht="14.4" x14ac:dyDescent="0.3">
      <c r="B67" s="226" t="s">
        <v>325</v>
      </c>
      <c r="C67" s="211" t="s">
        <v>321</v>
      </c>
      <c r="D67" s="212" t="s">
        <v>326</v>
      </c>
      <c r="E67" s="212" t="s">
        <v>327</v>
      </c>
      <c r="F67" s="210" t="s">
        <v>303</v>
      </c>
      <c r="G67" s="210" t="s">
        <v>304</v>
      </c>
      <c r="H67" s="210" t="s">
        <v>313</v>
      </c>
      <c r="I67" s="213">
        <v>42461</v>
      </c>
      <c r="J67" s="214" t="s">
        <v>306</v>
      </c>
      <c r="K67" s="215">
        <v>30</v>
      </c>
      <c r="L67" s="216">
        <f t="shared" si="53"/>
        <v>365666.94</v>
      </c>
      <c r="M67" s="216">
        <v>23366</v>
      </c>
      <c r="N67" s="216">
        <v>0</v>
      </c>
      <c r="O67" s="216">
        <v>0</v>
      </c>
      <c r="P67" s="217">
        <f t="shared" si="44"/>
        <v>389032.94</v>
      </c>
      <c r="Q67" s="218">
        <f>11724+(11724*3.7%)</f>
        <v>12157.788</v>
      </c>
      <c r="R67" s="219">
        <f t="shared" si="45"/>
        <v>401190.728</v>
      </c>
      <c r="S67" s="218">
        <f t="shared" si="46"/>
        <v>4473.8788100000002</v>
      </c>
      <c r="T67" s="218"/>
      <c r="U67" s="218">
        <f t="shared" si="52"/>
        <v>9336.7905599999995</v>
      </c>
      <c r="V67" s="218">
        <f t="shared" si="47"/>
        <v>5018.5249260000001</v>
      </c>
      <c r="W67" s="220">
        <f t="shared" si="48"/>
        <v>420019.922296</v>
      </c>
      <c r="X67" s="221">
        <f>P67*10.14%</f>
        <v>39447.940116000005</v>
      </c>
      <c r="Y67" s="222" t="s">
        <v>307</v>
      </c>
      <c r="Z67" s="221">
        <f t="shared" si="49"/>
        <v>27232.305800000002</v>
      </c>
      <c r="AA67" s="223">
        <v>0</v>
      </c>
      <c r="AB67" s="224">
        <f t="shared" si="50"/>
        <v>322352.69408399996</v>
      </c>
      <c r="AC67" s="225">
        <f t="shared" si="51"/>
        <v>420019.922296</v>
      </c>
    </row>
    <row r="68" spans="2:29" s="199" customFormat="1" ht="14.4" x14ac:dyDescent="0.3">
      <c r="B68" s="226" t="s">
        <v>328</v>
      </c>
      <c r="C68" s="211" t="s">
        <v>329</v>
      </c>
      <c r="D68" s="212" t="s">
        <v>330</v>
      </c>
      <c r="E68" s="212" t="s">
        <v>331</v>
      </c>
      <c r="F68" s="210" t="s">
        <v>303</v>
      </c>
      <c r="G68" s="210" t="s">
        <v>304</v>
      </c>
      <c r="H68" s="210" t="s">
        <v>313</v>
      </c>
      <c r="I68" s="213">
        <v>42786</v>
      </c>
      <c r="J68" s="243">
        <v>42886</v>
      </c>
      <c r="K68" s="215">
        <v>30</v>
      </c>
      <c r="L68" s="216">
        <f t="shared" si="53"/>
        <v>365666.94</v>
      </c>
      <c r="M68" s="216">
        <v>0</v>
      </c>
      <c r="N68" s="216">
        <v>0</v>
      </c>
      <c r="O68" s="216">
        <v>0</v>
      </c>
      <c r="P68" s="217">
        <f t="shared" si="44"/>
        <v>365666.94</v>
      </c>
      <c r="Q68" s="218">
        <f>11416+(11416*3.7%)</f>
        <v>11838.392</v>
      </c>
      <c r="R68" s="219">
        <f t="shared" si="45"/>
        <v>377505.33199999999</v>
      </c>
      <c r="S68" s="218">
        <f t="shared" si="46"/>
        <v>4205.1698100000003</v>
      </c>
      <c r="T68" s="218"/>
      <c r="U68" s="218">
        <f t="shared" si="52"/>
        <v>8776.0065599999998</v>
      </c>
      <c r="V68" s="218">
        <f t="shared" si="47"/>
        <v>4717.1035259999999</v>
      </c>
      <c r="W68" s="220">
        <f t="shared" si="48"/>
        <v>395203.61189599999</v>
      </c>
      <c r="X68" s="221">
        <f>P68*10.14%</f>
        <v>37078.627716000003</v>
      </c>
      <c r="Y68" s="222" t="s">
        <v>307</v>
      </c>
      <c r="Z68" s="221">
        <f t="shared" si="49"/>
        <v>25596.685800000003</v>
      </c>
      <c r="AA68" s="223">
        <v>0</v>
      </c>
      <c r="AB68" s="224">
        <f t="shared" si="50"/>
        <v>302991.62648400001</v>
      </c>
      <c r="AC68" s="225">
        <f t="shared" si="51"/>
        <v>395203.61189599999</v>
      </c>
    </row>
    <row r="69" spans="2:29" s="199" customFormat="1" ht="14.4" x14ac:dyDescent="0.3">
      <c r="B69" s="226" t="s">
        <v>332</v>
      </c>
      <c r="C69" s="211" t="s">
        <v>333</v>
      </c>
      <c r="D69" s="212" t="s">
        <v>334</v>
      </c>
      <c r="E69" s="212" t="s">
        <v>335</v>
      </c>
      <c r="F69" s="210" t="s">
        <v>303</v>
      </c>
      <c r="G69" s="210" t="s">
        <v>304</v>
      </c>
      <c r="H69" s="210" t="s">
        <v>313</v>
      </c>
      <c r="I69" s="213">
        <v>42787</v>
      </c>
      <c r="J69" s="243">
        <v>42886</v>
      </c>
      <c r="K69" s="215">
        <v>30</v>
      </c>
      <c r="L69" s="216">
        <f t="shared" si="53"/>
        <v>365666.94</v>
      </c>
      <c r="M69" s="216">
        <v>0</v>
      </c>
      <c r="N69" s="216">
        <v>0</v>
      </c>
      <c r="O69" s="216">
        <v>0</v>
      </c>
      <c r="P69" s="217">
        <f t="shared" si="44"/>
        <v>365666.94</v>
      </c>
      <c r="Q69" s="218">
        <f>11416+(11416*3.7%)</f>
        <v>11838.392</v>
      </c>
      <c r="R69" s="219">
        <f t="shared" si="45"/>
        <v>377505.33199999999</v>
      </c>
      <c r="S69" s="218">
        <f t="shared" si="46"/>
        <v>4205.1698100000003</v>
      </c>
      <c r="T69" s="218"/>
      <c r="U69" s="218">
        <f t="shared" si="52"/>
        <v>8776.0065599999998</v>
      </c>
      <c r="V69" s="218">
        <f t="shared" si="47"/>
        <v>4717.1035259999999</v>
      </c>
      <c r="W69" s="220">
        <f t="shared" si="48"/>
        <v>395203.61189599999</v>
      </c>
      <c r="X69" s="221">
        <f>P69*10.14%</f>
        <v>37078.627716000003</v>
      </c>
      <c r="Y69" s="222" t="s">
        <v>307</v>
      </c>
      <c r="Z69" s="221">
        <f t="shared" si="49"/>
        <v>25596.685800000003</v>
      </c>
      <c r="AA69" s="223">
        <v>0</v>
      </c>
      <c r="AB69" s="224">
        <f t="shared" si="50"/>
        <v>302991.62648400001</v>
      </c>
      <c r="AC69" s="225">
        <f t="shared" si="51"/>
        <v>395203.61189599999</v>
      </c>
    </row>
    <row r="70" spans="2:29" s="199" customFormat="1" ht="14.4" x14ac:dyDescent="0.3">
      <c r="B70" s="226" t="s">
        <v>336</v>
      </c>
      <c r="C70" s="211" t="s">
        <v>337</v>
      </c>
      <c r="D70" s="212" t="s">
        <v>338</v>
      </c>
      <c r="E70" s="212" t="s">
        <v>339</v>
      </c>
      <c r="F70" s="210" t="s">
        <v>303</v>
      </c>
      <c r="G70" s="210" t="s">
        <v>304</v>
      </c>
      <c r="H70" s="210" t="s">
        <v>313</v>
      </c>
      <c r="I70" s="213">
        <v>42787</v>
      </c>
      <c r="J70" s="243">
        <v>42886</v>
      </c>
      <c r="K70" s="215">
        <v>30</v>
      </c>
      <c r="L70" s="216">
        <f t="shared" si="53"/>
        <v>365666.94</v>
      </c>
      <c r="M70" s="216">
        <v>0</v>
      </c>
      <c r="N70" s="216">
        <v>0</v>
      </c>
      <c r="O70" s="216">
        <v>0</v>
      </c>
      <c r="P70" s="217">
        <f t="shared" si="44"/>
        <v>365666.94</v>
      </c>
      <c r="Q70" s="218">
        <f>11416+(11416*3.7%)</f>
        <v>11838.392</v>
      </c>
      <c r="R70" s="219">
        <f t="shared" si="45"/>
        <v>377505.33199999999</v>
      </c>
      <c r="S70" s="218">
        <f t="shared" si="46"/>
        <v>4205.1698100000003</v>
      </c>
      <c r="T70" s="218"/>
      <c r="U70" s="218">
        <f t="shared" si="52"/>
        <v>8776.0065599999998</v>
      </c>
      <c r="V70" s="218">
        <f t="shared" si="47"/>
        <v>4717.1035259999999</v>
      </c>
      <c r="W70" s="220">
        <f t="shared" si="48"/>
        <v>395203.61189599999</v>
      </c>
      <c r="X70" s="221">
        <f>P70*10.77%</f>
        <v>39382.329437999993</v>
      </c>
      <c r="Y70" s="222" t="s">
        <v>324</v>
      </c>
      <c r="Z70" s="221">
        <f t="shared" si="49"/>
        <v>25596.685800000003</v>
      </c>
      <c r="AA70" s="223">
        <v>0</v>
      </c>
      <c r="AB70" s="224">
        <f t="shared" si="50"/>
        <v>300687.92476200004</v>
      </c>
      <c r="AC70" s="225">
        <f t="shared" si="51"/>
        <v>395203.61189599999</v>
      </c>
    </row>
    <row r="71" spans="2:29" s="199" customFormat="1" ht="14.4" x14ac:dyDescent="0.3">
      <c r="B71" s="210" t="s">
        <v>340</v>
      </c>
      <c r="C71" s="244" t="s">
        <v>341</v>
      </c>
      <c r="D71" s="226" t="s">
        <v>342</v>
      </c>
      <c r="E71" s="226" t="s">
        <v>343</v>
      </c>
      <c r="F71" s="245" t="s">
        <v>303</v>
      </c>
      <c r="G71" s="245" t="s">
        <v>304</v>
      </c>
      <c r="H71" s="244" t="s">
        <v>344</v>
      </c>
      <c r="I71" s="227">
        <v>41694</v>
      </c>
      <c r="J71" s="246" t="s">
        <v>306</v>
      </c>
      <c r="K71" s="215">
        <v>30</v>
      </c>
      <c r="L71" s="216">
        <f>366313+(366313*3.7%)</f>
        <v>379866.58100000001</v>
      </c>
      <c r="M71" s="216">
        <v>35049</v>
      </c>
      <c r="N71" s="216">
        <v>0</v>
      </c>
      <c r="O71" s="216">
        <v>0</v>
      </c>
      <c r="P71" s="217">
        <f t="shared" si="44"/>
        <v>414915.58100000001</v>
      </c>
      <c r="Q71" s="218">
        <f>12803+(12803*3.7%)</f>
        <v>13276.710999999999</v>
      </c>
      <c r="R71" s="219">
        <f t="shared" si="45"/>
        <v>428192.29200000002</v>
      </c>
      <c r="S71" s="218">
        <f t="shared" si="46"/>
        <v>4771.5291815</v>
      </c>
      <c r="T71" s="218"/>
      <c r="U71" s="218">
        <f t="shared" si="52"/>
        <v>9957.9739440000012</v>
      </c>
      <c r="V71" s="218">
        <f t="shared" si="47"/>
        <v>5352.4109949000003</v>
      </c>
      <c r="W71" s="220">
        <f t="shared" si="48"/>
        <v>448274.20612039999</v>
      </c>
      <c r="X71" s="221">
        <f>P71*11.27%</f>
        <v>46760.985978699995</v>
      </c>
      <c r="Y71" s="222" t="s">
        <v>345</v>
      </c>
      <c r="Z71" s="221">
        <f t="shared" si="49"/>
        <v>29044.090670000001</v>
      </c>
      <c r="AA71" s="223">
        <v>0</v>
      </c>
      <c r="AB71" s="224">
        <f t="shared" si="50"/>
        <v>339110.50435130001</v>
      </c>
      <c r="AC71" s="225">
        <f t="shared" si="51"/>
        <v>448274.20612039999</v>
      </c>
    </row>
    <row r="72" spans="2:29" s="199" customFormat="1" ht="14.4" x14ac:dyDescent="0.3">
      <c r="B72" s="226" t="s">
        <v>346</v>
      </c>
      <c r="C72" s="211" t="s">
        <v>347</v>
      </c>
      <c r="D72" s="212" t="s">
        <v>348</v>
      </c>
      <c r="E72" s="212" t="s">
        <v>349</v>
      </c>
      <c r="F72" s="245" t="s">
        <v>303</v>
      </c>
      <c r="G72" s="245" t="s">
        <v>304</v>
      </c>
      <c r="H72" s="244" t="s">
        <v>344</v>
      </c>
      <c r="I72" s="227">
        <v>42324</v>
      </c>
      <c r="J72" s="246" t="s">
        <v>306</v>
      </c>
      <c r="K72" s="215">
        <v>30</v>
      </c>
      <c r="L72" s="216">
        <f>298368+(298368*3.7%)</f>
        <v>309407.61599999998</v>
      </c>
      <c r="M72" s="216">
        <v>0</v>
      </c>
      <c r="N72" s="216">
        <v>0</v>
      </c>
      <c r="O72" s="216">
        <v>0</v>
      </c>
      <c r="P72" s="217">
        <f t="shared" si="44"/>
        <v>309407.61599999998</v>
      </c>
      <c r="Q72" s="218">
        <f>11416+(11416*3.7%)</f>
        <v>11838.392</v>
      </c>
      <c r="R72" s="219">
        <f t="shared" si="45"/>
        <v>321246.00799999997</v>
      </c>
      <c r="S72" s="218">
        <f t="shared" si="46"/>
        <v>3558.1875839999998</v>
      </c>
      <c r="T72" s="218"/>
      <c r="U72" s="218">
        <f t="shared" si="52"/>
        <v>7425.782784</v>
      </c>
      <c r="V72" s="218">
        <f t="shared" si="47"/>
        <v>3991.3582463999996</v>
      </c>
      <c r="W72" s="220">
        <f t="shared" si="48"/>
        <v>336221.33661439997</v>
      </c>
      <c r="X72" s="221">
        <f>P72*10.77%</f>
        <v>33323.200243199994</v>
      </c>
      <c r="Y72" s="222" t="s">
        <v>324</v>
      </c>
      <c r="Z72" s="221">
        <f t="shared" si="49"/>
        <v>21658.53312</v>
      </c>
      <c r="AA72" s="223">
        <v>0</v>
      </c>
      <c r="AB72" s="224">
        <f t="shared" si="50"/>
        <v>254425.88263679997</v>
      </c>
      <c r="AC72" s="225">
        <f t="shared" si="51"/>
        <v>336221.33661439997</v>
      </c>
    </row>
    <row r="73" spans="2:29" s="199" customFormat="1" ht="14.4" x14ac:dyDescent="0.3">
      <c r="B73" s="226" t="s">
        <v>350</v>
      </c>
      <c r="C73" s="244" t="s">
        <v>351</v>
      </c>
      <c r="D73" s="226" t="s">
        <v>352</v>
      </c>
      <c r="E73" s="226" t="s">
        <v>353</v>
      </c>
      <c r="F73" s="210" t="s">
        <v>303</v>
      </c>
      <c r="G73" s="210" t="s">
        <v>304</v>
      </c>
      <c r="H73" s="210" t="s">
        <v>354</v>
      </c>
      <c r="I73" s="227">
        <v>41339</v>
      </c>
      <c r="J73" s="214" t="s">
        <v>306</v>
      </c>
      <c r="K73" s="215">
        <v>30</v>
      </c>
      <c r="L73" s="216">
        <f>286496+(286496*3.7%)</f>
        <v>297096.35200000001</v>
      </c>
      <c r="M73" s="216">
        <v>29753</v>
      </c>
      <c r="N73" s="216">
        <v>0</v>
      </c>
      <c r="O73" s="216">
        <v>0</v>
      </c>
      <c r="P73" s="217">
        <f t="shared" si="44"/>
        <v>326849.35200000001</v>
      </c>
      <c r="Q73" s="218">
        <f>12992+(12992*3.7%)</f>
        <v>13472.704</v>
      </c>
      <c r="R73" s="219">
        <f t="shared" si="45"/>
        <v>340322.05600000004</v>
      </c>
      <c r="S73" s="218">
        <f t="shared" si="46"/>
        <v>3758.7675480000003</v>
      </c>
      <c r="T73" s="218"/>
      <c r="U73" s="218">
        <f t="shared" si="52"/>
        <v>7844.3844480000007</v>
      </c>
      <c r="V73" s="218">
        <f t="shared" si="47"/>
        <v>4216.3566408000006</v>
      </c>
      <c r="W73" s="220">
        <f t="shared" si="48"/>
        <v>356141.56463680003</v>
      </c>
      <c r="X73" s="221">
        <f>P73*11.54%</f>
        <v>37718.415220800001</v>
      </c>
      <c r="Y73" s="222" t="s">
        <v>314</v>
      </c>
      <c r="Z73" s="221">
        <f t="shared" si="49"/>
        <v>22879.454640000004</v>
      </c>
      <c r="AA73" s="223">
        <v>0</v>
      </c>
      <c r="AB73" s="224">
        <f t="shared" si="50"/>
        <v>266251.48213919997</v>
      </c>
      <c r="AC73" s="225">
        <f t="shared" si="51"/>
        <v>356141.56463680003</v>
      </c>
    </row>
    <row r="74" spans="2:29" s="199" customFormat="1" ht="14.4" x14ac:dyDescent="0.3">
      <c r="B74" s="369" t="s">
        <v>356</v>
      </c>
      <c r="C74" s="370"/>
      <c r="D74" s="370"/>
      <c r="E74" s="370"/>
      <c r="F74" s="370"/>
      <c r="G74" s="370"/>
      <c r="H74" s="370"/>
      <c r="I74" s="370"/>
      <c r="J74" s="371"/>
      <c r="K74" s="215"/>
      <c r="L74" s="216">
        <f t="shared" ref="L74:S74" si="54">SUM(L63:L73)</f>
        <v>3851124.5289999996</v>
      </c>
      <c r="M74" s="216">
        <f t="shared" si="54"/>
        <v>158492</v>
      </c>
      <c r="N74" s="216">
        <f t="shared" si="54"/>
        <v>85702</v>
      </c>
      <c r="O74" s="216">
        <f t="shared" si="54"/>
        <v>0</v>
      </c>
      <c r="P74" s="217">
        <f t="shared" si="54"/>
        <v>4095318.5289999996</v>
      </c>
      <c r="Q74" s="216">
        <f t="shared" si="54"/>
        <v>123329.37299999999</v>
      </c>
      <c r="R74" s="219">
        <f t="shared" si="54"/>
        <v>4218647.9019999998</v>
      </c>
      <c r="S74" s="216">
        <f t="shared" si="54"/>
        <v>47096.163083500003</v>
      </c>
      <c r="T74" s="216"/>
      <c r="U74" s="216">
        <f>SUM(U63:U73)</f>
        <v>98287.644695999988</v>
      </c>
      <c r="V74" s="216">
        <f>SUM(V63:V73)</f>
        <v>52829.609024099991</v>
      </c>
      <c r="W74" s="220">
        <f>SUM(W63:W73)</f>
        <v>4416861.3188036</v>
      </c>
      <c r="X74" s="247">
        <f>SUM(X63:X73)</f>
        <v>435163.51835270005</v>
      </c>
      <c r="Y74" s="216"/>
      <c r="Z74" s="216">
        <f>SUM(Z63:Z73)</f>
        <v>286672.29703000007</v>
      </c>
      <c r="AA74" s="216">
        <f>SUM(AA63:AA73)</f>
        <v>0</v>
      </c>
      <c r="AB74" s="216">
        <f>SUM(AB63:AB73)</f>
        <v>3373482.7136173001</v>
      </c>
      <c r="AC74" s="225">
        <f>SUM(AC63:AC73)</f>
        <v>4416861.3188036</v>
      </c>
    </row>
    <row r="75" spans="2:29" s="199" customFormat="1" ht="15" thickBot="1" x14ac:dyDescent="0.35">
      <c r="B75" s="248"/>
      <c r="C75" s="248"/>
      <c r="D75" s="248"/>
      <c r="E75" s="248"/>
      <c r="F75" s="248"/>
      <c r="G75" s="248"/>
      <c r="H75" s="248"/>
      <c r="I75" s="248"/>
      <c r="J75" s="248"/>
      <c r="K75" s="249"/>
      <c r="L75" s="250"/>
      <c r="M75" s="250"/>
      <c r="N75" s="250"/>
      <c r="O75" s="250"/>
      <c r="P75" s="250"/>
      <c r="Q75" s="250"/>
      <c r="R75" s="250"/>
      <c r="S75" s="250"/>
      <c r="T75" s="250"/>
      <c r="U75" s="250"/>
      <c r="V75" s="250"/>
      <c r="W75" s="250"/>
      <c r="X75" s="251"/>
      <c r="Y75" s="250"/>
      <c r="Z75" s="250"/>
      <c r="AA75" s="250"/>
      <c r="AB75" s="250"/>
      <c r="AC75" s="250"/>
    </row>
    <row r="76" spans="2:29" ht="15" thickBot="1" x14ac:dyDescent="0.35">
      <c r="B76" s="367" t="s">
        <v>364</v>
      </c>
      <c r="C76" s="368"/>
    </row>
    <row r="77" spans="2:29" s="199" customFormat="1" ht="14.4" x14ac:dyDescent="0.3">
      <c r="B77" s="201" t="s">
        <v>270</v>
      </c>
      <c r="C77" s="201" t="s">
        <v>271</v>
      </c>
      <c r="D77" s="201" t="s">
        <v>272</v>
      </c>
      <c r="E77" s="201" t="s">
        <v>273</v>
      </c>
      <c r="F77" s="201" t="s">
        <v>274</v>
      </c>
      <c r="G77" s="201" t="s">
        <v>275</v>
      </c>
      <c r="H77" s="201" t="s">
        <v>276</v>
      </c>
      <c r="I77" s="201" t="s">
        <v>277</v>
      </c>
      <c r="J77" s="201" t="s">
        <v>278</v>
      </c>
      <c r="K77" s="201" t="s">
        <v>279</v>
      </c>
      <c r="L77" s="202" t="s">
        <v>280</v>
      </c>
      <c r="M77" s="202" t="s">
        <v>281</v>
      </c>
      <c r="N77" s="202" t="s">
        <v>282</v>
      </c>
      <c r="O77" s="202" t="s">
        <v>283</v>
      </c>
      <c r="P77" s="203" t="s">
        <v>284</v>
      </c>
      <c r="Q77" s="202" t="s">
        <v>285</v>
      </c>
      <c r="R77" s="253" t="s">
        <v>286</v>
      </c>
      <c r="S77" s="206" t="s">
        <v>287</v>
      </c>
      <c r="T77" s="206"/>
      <c r="U77" s="206" t="s">
        <v>288</v>
      </c>
      <c r="V77" s="206" t="s">
        <v>289</v>
      </c>
      <c r="W77" s="207" t="s">
        <v>290</v>
      </c>
      <c r="X77" s="208" t="s">
        <v>291</v>
      </c>
      <c r="Y77" s="208" t="s">
        <v>292</v>
      </c>
      <c r="Z77" s="208" t="s">
        <v>293</v>
      </c>
      <c r="AA77" s="206" t="s">
        <v>294</v>
      </c>
      <c r="AB77" s="206" t="s">
        <v>295</v>
      </c>
      <c r="AC77" s="209" t="s">
        <v>298</v>
      </c>
    </row>
    <row r="78" spans="2:29" s="199" customFormat="1" ht="14.4" x14ac:dyDescent="0.3">
      <c r="B78" s="210" t="s">
        <v>299</v>
      </c>
      <c r="C78" s="211" t="s">
        <v>300</v>
      </c>
      <c r="D78" s="212" t="s">
        <v>301</v>
      </c>
      <c r="E78" s="212" t="s">
        <v>302</v>
      </c>
      <c r="F78" s="210" t="s">
        <v>303</v>
      </c>
      <c r="G78" s="210" t="s">
        <v>304</v>
      </c>
      <c r="H78" s="210" t="s">
        <v>305</v>
      </c>
      <c r="I78" s="213">
        <v>42453</v>
      </c>
      <c r="J78" s="214" t="s">
        <v>306</v>
      </c>
      <c r="K78" s="215">
        <v>30</v>
      </c>
      <c r="L78" s="216">
        <f>593728+(593728*3.7%)</f>
        <v>615695.93599999999</v>
      </c>
      <c r="M78" s="216">
        <v>35275</v>
      </c>
      <c r="N78" s="216">
        <v>85702</v>
      </c>
      <c r="O78" s="216">
        <v>0</v>
      </c>
      <c r="P78" s="217">
        <f t="shared" ref="P78:P88" si="55">SUM(L78:O78)</f>
        <v>736672.93599999999</v>
      </c>
      <c r="Q78" s="218">
        <f>11724+(11724*3.7%)</f>
        <v>12157.788</v>
      </c>
      <c r="R78" s="219">
        <f t="shared" ref="R78:R88" si="56">Q78+P78</f>
        <v>748830.72399999993</v>
      </c>
      <c r="S78" s="218">
        <f t="shared" ref="S78:S88" si="57">P78*1.15%</f>
        <v>8471.7387639999997</v>
      </c>
      <c r="T78" s="218"/>
      <c r="U78" s="218">
        <f>P78*2.4%</f>
        <v>17680.150463999998</v>
      </c>
      <c r="V78" s="218">
        <f t="shared" ref="V78:V88" si="58">P78*1.29%</f>
        <v>9503.0808744000005</v>
      </c>
      <c r="W78" s="220">
        <f t="shared" ref="W78:W88" si="59">V78+U78+S78+R78</f>
        <v>784485.69410239998</v>
      </c>
      <c r="X78" s="221">
        <f>P78*10.14%</f>
        <v>74698.635710400005</v>
      </c>
      <c r="Y78" s="222" t="s">
        <v>307</v>
      </c>
      <c r="Z78" s="221">
        <f t="shared" ref="Z78:Z88" si="60">P78*7%</f>
        <v>51567.105520000005</v>
      </c>
      <c r="AA78" s="223">
        <v>0</v>
      </c>
      <c r="AB78" s="224">
        <f t="shared" ref="AB78:AB88" si="61">P78-X78-Z78-AA78</f>
        <v>610407.19476959994</v>
      </c>
      <c r="AC78" s="225">
        <f>W78</f>
        <v>784485.69410239998</v>
      </c>
    </row>
    <row r="79" spans="2:29" s="199" customFormat="1" ht="14.4" x14ac:dyDescent="0.3">
      <c r="B79" s="226" t="s">
        <v>309</v>
      </c>
      <c r="C79" s="211" t="s">
        <v>310</v>
      </c>
      <c r="D79" s="212" t="s">
        <v>311</v>
      </c>
      <c r="E79" s="212" t="s">
        <v>312</v>
      </c>
      <c r="F79" s="210" t="s">
        <v>303</v>
      </c>
      <c r="G79" s="210" t="s">
        <v>304</v>
      </c>
      <c r="H79" s="210" t="s">
        <v>313</v>
      </c>
      <c r="I79" s="227">
        <v>41694</v>
      </c>
      <c r="J79" s="214" t="s">
        <v>306</v>
      </c>
      <c r="K79" s="215">
        <v>30</v>
      </c>
      <c r="L79" s="216">
        <f>405712+(405712*3.7%)</f>
        <v>420723.34399999998</v>
      </c>
      <c r="M79" s="216">
        <v>35049</v>
      </c>
      <c r="N79" s="216">
        <v>0</v>
      </c>
      <c r="O79" s="216">
        <v>0</v>
      </c>
      <c r="P79" s="217">
        <f t="shared" si="55"/>
        <v>455772.34399999998</v>
      </c>
      <c r="Q79" s="218">
        <f>12606+(12606*3.7%)</f>
        <v>13072.422</v>
      </c>
      <c r="R79" s="219">
        <f>Q79+P79</f>
        <v>468844.766</v>
      </c>
      <c r="S79" s="218">
        <f t="shared" si="57"/>
        <v>5241.3819559999993</v>
      </c>
      <c r="T79" s="218"/>
      <c r="U79" s="218">
        <f t="shared" ref="U79:U88" si="62">P79*2.4%</f>
        <v>10938.536255999999</v>
      </c>
      <c r="V79" s="218">
        <f t="shared" si="58"/>
        <v>5879.4632376</v>
      </c>
      <c r="W79" s="220">
        <f t="shared" si="59"/>
        <v>490904.14744959999</v>
      </c>
      <c r="X79" s="221">
        <f>P79*11.54%</f>
        <v>52596.128497599995</v>
      </c>
      <c r="Y79" s="222" t="s">
        <v>314</v>
      </c>
      <c r="Z79" s="221">
        <f t="shared" si="60"/>
        <v>31904.06408</v>
      </c>
      <c r="AA79" s="223">
        <v>0</v>
      </c>
      <c r="AB79" s="224">
        <f t="shared" si="61"/>
        <v>371272.15142240003</v>
      </c>
      <c r="AC79" s="225">
        <f t="shared" ref="AC79:AC88" si="63">W79</f>
        <v>490904.14744959999</v>
      </c>
    </row>
    <row r="80" spans="2:29" s="199" customFormat="1" ht="14.4" x14ac:dyDescent="0.3">
      <c r="B80" s="226" t="s">
        <v>316</v>
      </c>
      <c r="C80" s="211" t="s">
        <v>317</v>
      </c>
      <c r="D80" s="212" t="s">
        <v>318</v>
      </c>
      <c r="E80" s="212" t="s">
        <v>319</v>
      </c>
      <c r="F80" s="210" t="s">
        <v>303</v>
      </c>
      <c r="G80" s="210" t="s">
        <v>304</v>
      </c>
      <c r="H80" s="210" t="s">
        <v>313</v>
      </c>
      <c r="I80" s="213">
        <v>42676</v>
      </c>
      <c r="J80" s="214" t="s">
        <v>306</v>
      </c>
      <c r="K80" s="215">
        <v>30</v>
      </c>
      <c r="L80" s="216">
        <f t="shared" ref="L80:L85" si="64">352620+(352620*3.7%)</f>
        <v>365666.94</v>
      </c>
      <c r="M80" s="216">
        <v>0</v>
      </c>
      <c r="N80" s="216">
        <v>0</v>
      </c>
      <c r="O80" s="216">
        <v>0</v>
      </c>
      <c r="P80" s="217">
        <f t="shared" si="55"/>
        <v>365666.94</v>
      </c>
      <c r="Q80" s="218">
        <f>11416+(11416*3.7%)</f>
        <v>11838.392</v>
      </c>
      <c r="R80" s="219">
        <f t="shared" si="56"/>
        <v>377505.33199999999</v>
      </c>
      <c r="S80" s="218">
        <f t="shared" si="57"/>
        <v>4205.1698100000003</v>
      </c>
      <c r="T80" s="218"/>
      <c r="U80" s="218">
        <f t="shared" si="62"/>
        <v>8776.0065599999998</v>
      </c>
      <c r="V80" s="218">
        <f t="shared" si="58"/>
        <v>4717.1035259999999</v>
      </c>
      <c r="W80" s="220">
        <f t="shared" si="59"/>
        <v>395203.61189599999</v>
      </c>
      <c r="X80" s="221">
        <f>P80*10.14%</f>
        <v>37078.627716000003</v>
      </c>
      <c r="Y80" s="222" t="s">
        <v>307</v>
      </c>
      <c r="Z80" s="221">
        <f t="shared" si="60"/>
        <v>25596.685800000003</v>
      </c>
      <c r="AA80" s="223">
        <v>0</v>
      </c>
      <c r="AB80" s="224">
        <f t="shared" si="61"/>
        <v>302991.62648400001</v>
      </c>
      <c r="AC80" s="225">
        <f t="shared" si="63"/>
        <v>395203.61189599999</v>
      </c>
    </row>
    <row r="81" spans="2:29" s="198" customFormat="1" ht="14.4" x14ac:dyDescent="0.3">
      <c r="B81" s="228" t="s">
        <v>320</v>
      </c>
      <c r="C81" s="229" t="s">
        <v>321</v>
      </c>
      <c r="D81" s="228" t="s">
        <v>322</v>
      </c>
      <c r="E81" s="228" t="s">
        <v>323</v>
      </c>
      <c r="F81" s="230" t="s">
        <v>303</v>
      </c>
      <c r="G81" s="230" t="s">
        <v>304</v>
      </c>
      <c r="H81" s="230" t="s">
        <v>313</v>
      </c>
      <c r="I81" s="231">
        <v>42531</v>
      </c>
      <c r="J81" s="232" t="s">
        <v>306</v>
      </c>
      <c r="K81" s="233">
        <v>30</v>
      </c>
      <c r="L81" s="234">
        <v>0</v>
      </c>
      <c r="M81" s="234">
        <v>0</v>
      </c>
      <c r="N81" s="234">
        <v>0</v>
      </c>
      <c r="O81" s="234">
        <v>0</v>
      </c>
      <c r="P81" s="235">
        <v>0</v>
      </c>
      <c r="Q81" s="236">
        <v>0</v>
      </c>
      <c r="R81" s="237">
        <v>0</v>
      </c>
      <c r="S81" s="236">
        <v>0</v>
      </c>
      <c r="T81" s="236"/>
      <c r="U81" s="236">
        <v>0</v>
      </c>
      <c r="V81" s="236">
        <v>0</v>
      </c>
      <c r="W81" s="238">
        <v>0</v>
      </c>
      <c r="X81" s="239">
        <v>0</v>
      </c>
      <c r="Y81" s="240" t="s">
        <v>324</v>
      </c>
      <c r="Z81" s="239">
        <v>0</v>
      </c>
      <c r="AA81" s="239">
        <v>0</v>
      </c>
      <c r="AB81" s="241">
        <v>0</v>
      </c>
      <c r="AC81" s="242">
        <f t="shared" si="63"/>
        <v>0</v>
      </c>
    </row>
    <row r="82" spans="2:29" s="199" customFormat="1" ht="14.4" x14ac:dyDescent="0.3">
      <c r="B82" s="226" t="s">
        <v>325</v>
      </c>
      <c r="C82" s="211" t="s">
        <v>321</v>
      </c>
      <c r="D82" s="212" t="s">
        <v>326</v>
      </c>
      <c r="E82" s="212" t="s">
        <v>327</v>
      </c>
      <c r="F82" s="210" t="s">
        <v>303</v>
      </c>
      <c r="G82" s="210" t="s">
        <v>304</v>
      </c>
      <c r="H82" s="210" t="s">
        <v>313</v>
      </c>
      <c r="I82" s="213">
        <v>42461</v>
      </c>
      <c r="J82" s="214" t="s">
        <v>306</v>
      </c>
      <c r="K82" s="215">
        <v>30</v>
      </c>
      <c r="L82" s="216">
        <f t="shared" si="64"/>
        <v>365666.94</v>
      </c>
      <c r="M82" s="216">
        <v>23366</v>
      </c>
      <c r="N82" s="216">
        <v>0</v>
      </c>
      <c r="O82" s="216">
        <v>0</v>
      </c>
      <c r="P82" s="217">
        <f t="shared" si="55"/>
        <v>389032.94</v>
      </c>
      <c r="Q82" s="218">
        <f>11724+(11724*3.7%)</f>
        <v>12157.788</v>
      </c>
      <c r="R82" s="219">
        <f t="shared" si="56"/>
        <v>401190.728</v>
      </c>
      <c r="S82" s="218">
        <f t="shared" si="57"/>
        <v>4473.8788100000002</v>
      </c>
      <c r="T82" s="218"/>
      <c r="U82" s="218">
        <f t="shared" si="62"/>
        <v>9336.7905599999995</v>
      </c>
      <c r="V82" s="218">
        <f t="shared" si="58"/>
        <v>5018.5249260000001</v>
      </c>
      <c r="W82" s="220">
        <f t="shared" si="59"/>
        <v>420019.922296</v>
      </c>
      <c r="X82" s="221">
        <f>P82*10.14%</f>
        <v>39447.940116000005</v>
      </c>
      <c r="Y82" s="222" t="s">
        <v>307</v>
      </c>
      <c r="Z82" s="221">
        <f t="shared" si="60"/>
        <v>27232.305800000002</v>
      </c>
      <c r="AA82" s="223">
        <v>0</v>
      </c>
      <c r="AB82" s="224">
        <f t="shared" si="61"/>
        <v>322352.69408399996</v>
      </c>
      <c r="AC82" s="225">
        <f t="shared" si="63"/>
        <v>420019.922296</v>
      </c>
    </row>
    <row r="83" spans="2:29" s="199" customFormat="1" ht="14.4" x14ac:dyDescent="0.3">
      <c r="B83" s="226" t="s">
        <v>328</v>
      </c>
      <c r="C83" s="211" t="s">
        <v>329</v>
      </c>
      <c r="D83" s="212" t="s">
        <v>330</v>
      </c>
      <c r="E83" s="212" t="s">
        <v>331</v>
      </c>
      <c r="F83" s="210" t="s">
        <v>303</v>
      </c>
      <c r="G83" s="210" t="s">
        <v>304</v>
      </c>
      <c r="H83" s="210" t="s">
        <v>313</v>
      </c>
      <c r="I83" s="213">
        <v>42786</v>
      </c>
      <c r="J83" s="243">
        <v>42886</v>
      </c>
      <c r="K83" s="215">
        <v>30</v>
      </c>
      <c r="L83" s="216">
        <f t="shared" si="64"/>
        <v>365666.94</v>
      </c>
      <c r="M83" s="216">
        <v>0</v>
      </c>
      <c r="N83" s="216">
        <v>0</v>
      </c>
      <c r="O83" s="216">
        <v>0</v>
      </c>
      <c r="P83" s="217">
        <f t="shared" si="55"/>
        <v>365666.94</v>
      </c>
      <c r="Q83" s="218">
        <f>11416+(11416*3.7%)</f>
        <v>11838.392</v>
      </c>
      <c r="R83" s="219">
        <f t="shared" si="56"/>
        <v>377505.33199999999</v>
      </c>
      <c r="S83" s="218">
        <f t="shared" si="57"/>
        <v>4205.1698100000003</v>
      </c>
      <c r="T83" s="218"/>
      <c r="U83" s="218">
        <f t="shared" si="62"/>
        <v>8776.0065599999998</v>
      </c>
      <c r="V83" s="218">
        <f t="shared" si="58"/>
        <v>4717.1035259999999</v>
      </c>
      <c r="W83" s="220">
        <f t="shared" si="59"/>
        <v>395203.61189599999</v>
      </c>
      <c r="X83" s="221">
        <f>P83*10.14%</f>
        <v>37078.627716000003</v>
      </c>
      <c r="Y83" s="222" t="s">
        <v>307</v>
      </c>
      <c r="Z83" s="221">
        <f t="shared" si="60"/>
        <v>25596.685800000003</v>
      </c>
      <c r="AA83" s="223">
        <v>0</v>
      </c>
      <c r="AB83" s="224">
        <f t="shared" si="61"/>
        <v>302991.62648400001</v>
      </c>
      <c r="AC83" s="225">
        <f t="shared" si="63"/>
        <v>395203.61189599999</v>
      </c>
    </row>
    <row r="84" spans="2:29" s="199" customFormat="1" ht="14.4" x14ac:dyDescent="0.3">
      <c r="B84" s="226" t="s">
        <v>332</v>
      </c>
      <c r="C84" s="211" t="s">
        <v>333</v>
      </c>
      <c r="D84" s="212" t="s">
        <v>334</v>
      </c>
      <c r="E84" s="212" t="s">
        <v>335</v>
      </c>
      <c r="F84" s="210" t="s">
        <v>303</v>
      </c>
      <c r="G84" s="210" t="s">
        <v>304</v>
      </c>
      <c r="H84" s="210" t="s">
        <v>313</v>
      </c>
      <c r="I84" s="213">
        <v>42787</v>
      </c>
      <c r="J84" s="243">
        <v>42886</v>
      </c>
      <c r="K84" s="215">
        <v>30</v>
      </c>
      <c r="L84" s="216">
        <f t="shared" si="64"/>
        <v>365666.94</v>
      </c>
      <c r="M84" s="216">
        <v>0</v>
      </c>
      <c r="N84" s="216">
        <v>0</v>
      </c>
      <c r="O84" s="216">
        <v>0</v>
      </c>
      <c r="P84" s="217">
        <f t="shared" si="55"/>
        <v>365666.94</v>
      </c>
      <c r="Q84" s="218">
        <f>11416+(11416*3.7%)</f>
        <v>11838.392</v>
      </c>
      <c r="R84" s="219">
        <f t="shared" si="56"/>
        <v>377505.33199999999</v>
      </c>
      <c r="S84" s="218">
        <f t="shared" si="57"/>
        <v>4205.1698100000003</v>
      </c>
      <c r="T84" s="218"/>
      <c r="U84" s="218">
        <f t="shared" si="62"/>
        <v>8776.0065599999998</v>
      </c>
      <c r="V84" s="218">
        <f t="shared" si="58"/>
        <v>4717.1035259999999</v>
      </c>
      <c r="W84" s="220">
        <f t="shared" si="59"/>
        <v>395203.61189599999</v>
      </c>
      <c r="X84" s="221">
        <f>P84*10.14%</f>
        <v>37078.627716000003</v>
      </c>
      <c r="Y84" s="222" t="s">
        <v>307</v>
      </c>
      <c r="Z84" s="221">
        <f t="shared" si="60"/>
        <v>25596.685800000003</v>
      </c>
      <c r="AA84" s="223">
        <v>0</v>
      </c>
      <c r="AB84" s="224">
        <f t="shared" si="61"/>
        <v>302991.62648400001</v>
      </c>
      <c r="AC84" s="225">
        <f t="shared" si="63"/>
        <v>395203.61189599999</v>
      </c>
    </row>
    <row r="85" spans="2:29" s="199" customFormat="1" ht="14.4" x14ac:dyDescent="0.3">
      <c r="B85" s="226" t="s">
        <v>336</v>
      </c>
      <c r="C85" s="211" t="s">
        <v>337</v>
      </c>
      <c r="D85" s="212" t="s">
        <v>338</v>
      </c>
      <c r="E85" s="212" t="s">
        <v>339</v>
      </c>
      <c r="F85" s="210" t="s">
        <v>303</v>
      </c>
      <c r="G85" s="210" t="s">
        <v>304</v>
      </c>
      <c r="H85" s="210" t="s">
        <v>313</v>
      </c>
      <c r="I85" s="213">
        <v>42787</v>
      </c>
      <c r="J85" s="243">
        <v>42886</v>
      </c>
      <c r="K85" s="215">
        <v>30</v>
      </c>
      <c r="L85" s="216">
        <f t="shared" si="64"/>
        <v>365666.94</v>
      </c>
      <c r="M85" s="216">
        <v>0</v>
      </c>
      <c r="N85" s="216">
        <v>0</v>
      </c>
      <c r="O85" s="216">
        <v>0</v>
      </c>
      <c r="P85" s="217">
        <f t="shared" si="55"/>
        <v>365666.94</v>
      </c>
      <c r="Q85" s="218">
        <f>11416+(11416*3.7%)</f>
        <v>11838.392</v>
      </c>
      <c r="R85" s="219">
        <f t="shared" si="56"/>
        <v>377505.33199999999</v>
      </c>
      <c r="S85" s="218">
        <f t="shared" si="57"/>
        <v>4205.1698100000003</v>
      </c>
      <c r="T85" s="218"/>
      <c r="U85" s="218">
        <f t="shared" si="62"/>
        <v>8776.0065599999998</v>
      </c>
      <c r="V85" s="218">
        <f t="shared" si="58"/>
        <v>4717.1035259999999</v>
      </c>
      <c r="W85" s="220">
        <f t="shared" si="59"/>
        <v>395203.61189599999</v>
      </c>
      <c r="X85" s="221">
        <f>P85*10.77%</f>
        <v>39382.329437999993</v>
      </c>
      <c r="Y85" s="222" t="s">
        <v>324</v>
      </c>
      <c r="Z85" s="221">
        <f t="shared" si="60"/>
        <v>25596.685800000003</v>
      </c>
      <c r="AA85" s="223">
        <v>0</v>
      </c>
      <c r="AB85" s="224">
        <f t="shared" si="61"/>
        <v>300687.92476200004</v>
      </c>
      <c r="AC85" s="225">
        <f t="shared" si="63"/>
        <v>395203.61189599999</v>
      </c>
    </row>
    <row r="86" spans="2:29" s="199" customFormat="1" ht="14.4" x14ac:dyDescent="0.3">
      <c r="B86" s="210" t="s">
        <v>340</v>
      </c>
      <c r="C86" s="244" t="s">
        <v>341</v>
      </c>
      <c r="D86" s="226" t="s">
        <v>342</v>
      </c>
      <c r="E86" s="226" t="s">
        <v>343</v>
      </c>
      <c r="F86" s="245" t="s">
        <v>303</v>
      </c>
      <c r="G86" s="245" t="s">
        <v>304</v>
      </c>
      <c r="H86" s="244" t="s">
        <v>344</v>
      </c>
      <c r="I86" s="227">
        <v>41694</v>
      </c>
      <c r="J86" s="246" t="s">
        <v>306</v>
      </c>
      <c r="K86" s="215">
        <v>30</v>
      </c>
      <c r="L86" s="216">
        <f>366313+(366313*3.7%)</f>
        <v>379866.58100000001</v>
      </c>
      <c r="M86" s="216">
        <v>35049</v>
      </c>
      <c r="N86" s="216">
        <v>0</v>
      </c>
      <c r="O86" s="216">
        <v>0</v>
      </c>
      <c r="P86" s="217">
        <f t="shared" si="55"/>
        <v>414915.58100000001</v>
      </c>
      <c r="Q86" s="218">
        <f>12803+(12803*3.7%)</f>
        <v>13276.710999999999</v>
      </c>
      <c r="R86" s="219">
        <f t="shared" si="56"/>
        <v>428192.29200000002</v>
      </c>
      <c r="S86" s="218">
        <f t="shared" si="57"/>
        <v>4771.5291815</v>
      </c>
      <c r="T86" s="218"/>
      <c r="U86" s="218">
        <f t="shared" si="62"/>
        <v>9957.9739440000012</v>
      </c>
      <c r="V86" s="218">
        <f t="shared" si="58"/>
        <v>5352.4109949000003</v>
      </c>
      <c r="W86" s="220">
        <f t="shared" si="59"/>
        <v>448274.20612039999</v>
      </c>
      <c r="X86" s="221">
        <f>P86*11.27%</f>
        <v>46760.985978699995</v>
      </c>
      <c r="Y86" s="222" t="s">
        <v>345</v>
      </c>
      <c r="Z86" s="221">
        <f t="shared" si="60"/>
        <v>29044.090670000001</v>
      </c>
      <c r="AA86" s="223">
        <v>0</v>
      </c>
      <c r="AB86" s="224">
        <f t="shared" si="61"/>
        <v>339110.50435130001</v>
      </c>
      <c r="AC86" s="225">
        <f t="shared" si="63"/>
        <v>448274.20612039999</v>
      </c>
    </row>
    <row r="87" spans="2:29" s="199" customFormat="1" ht="14.4" x14ac:dyDescent="0.3">
      <c r="B87" s="226" t="s">
        <v>346</v>
      </c>
      <c r="C87" s="211" t="s">
        <v>347</v>
      </c>
      <c r="D87" s="212" t="s">
        <v>348</v>
      </c>
      <c r="E87" s="212" t="s">
        <v>349</v>
      </c>
      <c r="F87" s="245" t="s">
        <v>303</v>
      </c>
      <c r="G87" s="245" t="s">
        <v>304</v>
      </c>
      <c r="H87" s="244" t="s">
        <v>344</v>
      </c>
      <c r="I87" s="227">
        <v>42324</v>
      </c>
      <c r="J87" s="246" t="s">
        <v>306</v>
      </c>
      <c r="K87" s="215">
        <v>30</v>
      </c>
      <c r="L87" s="216">
        <f>298368+(298368*3.7%)</f>
        <v>309407.61599999998</v>
      </c>
      <c r="M87" s="216">
        <v>0</v>
      </c>
      <c r="N87" s="216">
        <v>0</v>
      </c>
      <c r="O87" s="216">
        <v>0</v>
      </c>
      <c r="P87" s="217">
        <f t="shared" si="55"/>
        <v>309407.61599999998</v>
      </c>
      <c r="Q87" s="218">
        <f>11416+(11416*3.7%)</f>
        <v>11838.392</v>
      </c>
      <c r="R87" s="219">
        <f t="shared" si="56"/>
        <v>321246.00799999997</v>
      </c>
      <c r="S87" s="218">
        <f t="shared" si="57"/>
        <v>3558.1875839999998</v>
      </c>
      <c r="T87" s="218"/>
      <c r="U87" s="218">
        <f t="shared" si="62"/>
        <v>7425.782784</v>
      </c>
      <c r="V87" s="218">
        <f t="shared" si="58"/>
        <v>3991.3582463999996</v>
      </c>
      <c r="W87" s="220">
        <f t="shared" si="59"/>
        <v>336221.33661439997</v>
      </c>
      <c r="X87" s="221">
        <f>P87*10.77%</f>
        <v>33323.200243199994</v>
      </c>
      <c r="Y87" s="222" t="s">
        <v>324</v>
      </c>
      <c r="Z87" s="221">
        <f t="shared" si="60"/>
        <v>21658.53312</v>
      </c>
      <c r="AA87" s="223">
        <v>0</v>
      </c>
      <c r="AB87" s="224">
        <f t="shared" si="61"/>
        <v>254425.88263679997</v>
      </c>
      <c r="AC87" s="225">
        <f t="shared" si="63"/>
        <v>336221.33661439997</v>
      </c>
    </row>
    <row r="88" spans="2:29" s="199" customFormat="1" ht="14.4" x14ac:dyDescent="0.3">
      <c r="B88" s="226" t="s">
        <v>350</v>
      </c>
      <c r="C88" s="244" t="s">
        <v>351</v>
      </c>
      <c r="D88" s="226" t="s">
        <v>352</v>
      </c>
      <c r="E88" s="226" t="s">
        <v>353</v>
      </c>
      <c r="F88" s="210" t="s">
        <v>303</v>
      </c>
      <c r="G88" s="210" t="s">
        <v>304</v>
      </c>
      <c r="H88" s="210" t="s">
        <v>354</v>
      </c>
      <c r="I88" s="227">
        <v>41339</v>
      </c>
      <c r="J88" s="214" t="s">
        <v>306</v>
      </c>
      <c r="K88" s="215">
        <v>30</v>
      </c>
      <c r="L88" s="216">
        <f>286496+(286496*3.7%)</f>
        <v>297096.35200000001</v>
      </c>
      <c r="M88" s="216">
        <v>29753</v>
      </c>
      <c r="N88" s="216">
        <v>0</v>
      </c>
      <c r="O88" s="216">
        <v>0</v>
      </c>
      <c r="P88" s="217">
        <f t="shared" si="55"/>
        <v>326849.35200000001</v>
      </c>
      <c r="Q88" s="218">
        <f>12992+(12992*3.7%)</f>
        <v>13472.704</v>
      </c>
      <c r="R88" s="219">
        <f t="shared" si="56"/>
        <v>340322.05600000004</v>
      </c>
      <c r="S88" s="218">
        <f t="shared" si="57"/>
        <v>3758.7675480000003</v>
      </c>
      <c r="T88" s="218"/>
      <c r="U88" s="218">
        <f t="shared" si="62"/>
        <v>7844.3844480000007</v>
      </c>
      <c r="V88" s="218">
        <f t="shared" si="58"/>
        <v>4216.3566408000006</v>
      </c>
      <c r="W88" s="220">
        <f t="shared" si="59"/>
        <v>356141.56463680003</v>
      </c>
      <c r="X88" s="221">
        <f>P88*11.54%</f>
        <v>37718.415220800001</v>
      </c>
      <c r="Y88" s="222" t="s">
        <v>314</v>
      </c>
      <c r="Z88" s="221">
        <f t="shared" si="60"/>
        <v>22879.454640000004</v>
      </c>
      <c r="AA88" s="223">
        <v>0</v>
      </c>
      <c r="AB88" s="224">
        <f t="shared" si="61"/>
        <v>266251.48213919997</v>
      </c>
      <c r="AC88" s="225">
        <f t="shared" si="63"/>
        <v>356141.56463680003</v>
      </c>
    </row>
    <row r="89" spans="2:29" s="199" customFormat="1" ht="14.4" x14ac:dyDescent="0.3">
      <c r="B89" s="369" t="s">
        <v>356</v>
      </c>
      <c r="C89" s="370"/>
      <c r="D89" s="370"/>
      <c r="E89" s="370"/>
      <c r="F89" s="370"/>
      <c r="G89" s="370"/>
      <c r="H89" s="370"/>
      <c r="I89" s="370"/>
      <c r="J89" s="371"/>
      <c r="K89" s="215"/>
      <c r="L89" s="216">
        <f t="shared" ref="L89:S89" si="65">SUM(L78:L88)</f>
        <v>3851124.5289999996</v>
      </c>
      <c r="M89" s="216">
        <f t="shared" si="65"/>
        <v>158492</v>
      </c>
      <c r="N89" s="216">
        <f t="shared" si="65"/>
        <v>85702</v>
      </c>
      <c r="O89" s="216">
        <f t="shared" si="65"/>
        <v>0</v>
      </c>
      <c r="P89" s="217">
        <f t="shared" si="65"/>
        <v>4095318.5289999996</v>
      </c>
      <c r="Q89" s="216">
        <f t="shared" si="65"/>
        <v>123329.37299999999</v>
      </c>
      <c r="R89" s="219">
        <f t="shared" si="65"/>
        <v>4218647.9019999998</v>
      </c>
      <c r="S89" s="216">
        <f t="shared" si="65"/>
        <v>47096.163083500003</v>
      </c>
      <c r="T89" s="216"/>
      <c r="U89" s="216">
        <f>SUM(U78:U88)</f>
        <v>98287.644695999988</v>
      </c>
      <c r="V89" s="216">
        <f>SUM(V78:V88)</f>
        <v>52829.609024099991</v>
      </c>
      <c r="W89" s="220">
        <f>SUM(W78:W88)</f>
        <v>4416861.3188036</v>
      </c>
      <c r="X89" s="247">
        <f>SUM(X78:X88)</f>
        <v>435163.51835270005</v>
      </c>
      <c r="Y89" s="216"/>
      <c r="Z89" s="216">
        <f>SUM(Z78:Z88)</f>
        <v>286672.29703000007</v>
      </c>
      <c r="AA89" s="216">
        <f>SUM(AA78:AA88)</f>
        <v>0</v>
      </c>
      <c r="AB89" s="216">
        <f>SUM(AB78:AB88)</f>
        <v>3373482.7136173001</v>
      </c>
      <c r="AC89" s="225">
        <f>SUM(AC78:AC88)</f>
        <v>4416861.3188036</v>
      </c>
    </row>
    <row r="90" spans="2:29" s="199" customFormat="1" ht="15" thickBot="1" x14ac:dyDescent="0.35">
      <c r="B90" s="248"/>
      <c r="C90" s="248"/>
      <c r="D90" s="248"/>
      <c r="E90" s="248"/>
      <c r="F90" s="248"/>
      <c r="G90" s="248"/>
      <c r="H90" s="248"/>
      <c r="I90" s="248"/>
      <c r="J90" s="248"/>
      <c r="K90" s="249"/>
      <c r="L90" s="250"/>
      <c r="M90" s="250"/>
      <c r="N90" s="250"/>
      <c r="O90" s="250"/>
      <c r="P90" s="250"/>
      <c r="Q90" s="250"/>
      <c r="R90" s="250"/>
      <c r="S90" s="250"/>
      <c r="T90" s="250"/>
      <c r="U90" s="250"/>
      <c r="V90" s="250"/>
      <c r="W90" s="250"/>
      <c r="X90" s="251"/>
      <c r="Y90" s="250"/>
      <c r="Z90" s="250"/>
      <c r="AA90" s="250"/>
      <c r="AB90" s="250"/>
      <c r="AC90" s="250"/>
    </row>
    <row r="91" spans="2:29" ht="15" thickBot="1" x14ac:dyDescent="0.35">
      <c r="B91" s="367" t="s">
        <v>365</v>
      </c>
      <c r="C91" s="368"/>
    </row>
    <row r="92" spans="2:29" s="199" customFormat="1" ht="14.4" x14ac:dyDescent="0.3">
      <c r="B92" s="201" t="s">
        <v>270</v>
      </c>
      <c r="C92" s="201" t="s">
        <v>271</v>
      </c>
      <c r="D92" s="201" t="s">
        <v>272</v>
      </c>
      <c r="E92" s="201" t="s">
        <v>273</v>
      </c>
      <c r="F92" s="201" t="s">
        <v>274</v>
      </c>
      <c r="G92" s="201" t="s">
        <v>275</v>
      </c>
      <c r="H92" s="201" t="s">
        <v>276</v>
      </c>
      <c r="I92" s="201" t="s">
        <v>277</v>
      </c>
      <c r="J92" s="201" t="s">
        <v>278</v>
      </c>
      <c r="K92" s="201" t="s">
        <v>279</v>
      </c>
      <c r="L92" s="202" t="s">
        <v>280</v>
      </c>
      <c r="M92" s="202" t="s">
        <v>281</v>
      </c>
      <c r="N92" s="202" t="s">
        <v>282</v>
      </c>
      <c r="O92" s="202" t="s">
        <v>283</v>
      </c>
      <c r="P92" s="203" t="s">
        <v>284</v>
      </c>
      <c r="Q92" s="202" t="s">
        <v>285</v>
      </c>
      <c r="R92" s="253" t="s">
        <v>286</v>
      </c>
      <c r="S92" s="206" t="s">
        <v>287</v>
      </c>
      <c r="T92" s="206"/>
      <c r="U92" s="206" t="s">
        <v>288</v>
      </c>
      <c r="V92" s="206" t="s">
        <v>289</v>
      </c>
      <c r="W92" s="207" t="s">
        <v>290</v>
      </c>
      <c r="X92" s="208" t="s">
        <v>291</v>
      </c>
      <c r="Y92" s="208" t="s">
        <v>292</v>
      </c>
      <c r="Z92" s="208" t="s">
        <v>293</v>
      </c>
      <c r="AA92" s="206" t="s">
        <v>294</v>
      </c>
      <c r="AB92" s="206" t="s">
        <v>295</v>
      </c>
      <c r="AC92" s="209" t="s">
        <v>298</v>
      </c>
    </row>
    <row r="93" spans="2:29" s="199" customFormat="1" ht="14.4" x14ac:dyDescent="0.3">
      <c r="B93" s="210" t="s">
        <v>299</v>
      </c>
      <c r="C93" s="211" t="s">
        <v>300</v>
      </c>
      <c r="D93" s="212" t="s">
        <v>301</v>
      </c>
      <c r="E93" s="212" t="s">
        <v>302</v>
      </c>
      <c r="F93" s="210" t="s">
        <v>303</v>
      </c>
      <c r="G93" s="210" t="s">
        <v>304</v>
      </c>
      <c r="H93" s="210" t="s">
        <v>305</v>
      </c>
      <c r="I93" s="213">
        <v>42453</v>
      </c>
      <c r="J93" s="214" t="s">
        <v>306</v>
      </c>
      <c r="K93" s="215">
        <v>30</v>
      </c>
      <c r="L93" s="216">
        <f>593728+(593728*3.7%)</f>
        <v>615695.93599999999</v>
      </c>
      <c r="M93" s="216">
        <v>35275</v>
      </c>
      <c r="N93" s="216">
        <v>85702</v>
      </c>
      <c r="O93" s="216">
        <v>0</v>
      </c>
      <c r="P93" s="217">
        <f t="shared" ref="P93:P103" si="66">SUM(L93:O93)</f>
        <v>736672.93599999999</v>
      </c>
      <c r="Q93" s="218">
        <f>11724+(11724*3.7%)</f>
        <v>12157.788</v>
      </c>
      <c r="R93" s="219">
        <f t="shared" ref="R93:R103" si="67">Q93+P93</f>
        <v>748830.72399999993</v>
      </c>
      <c r="S93" s="218">
        <f t="shared" ref="S93:S103" si="68">P93*1.15%</f>
        <v>8471.7387639999997</v>
      </c>
      <c r="T93" s="218"/>
      <c r="U93" s="218">
        <f>P93*2.4%</f>
        <v>17680.150463999998</v>
      </c>
      <c r="V93" s="218">
        <f t="shared" ref="V93:V103" si="69">P93*1.29%</f>
        <v>9503.0808744000005</v>
      </c>
      <c r="W93" s="220">
        <f t="shared" ref="W93:W103" si="70">V93+U93+S93+R93</f>
        <v>784485.69410239998</v>
      </c>
      <c r="X93" s="221">
        <f>P93*10.14%</f>
        <v>74698.635710400005</v>
      </c>
      <c r="Y93" s="222" t="s">
        <v>307</v>
      </c>
      <c r="Z93" s="221">
        <f t="shared" ref="Z93:Z103" si="71">P93*7%</f>
        <v>51567.105520000005</v>
      </c>
      <c r="AA93" s="223">
        <v>0</v>
      </c>
      <c r="AB93" s="224">
        <f t="shared" ref="AB93:AB103" si="72">P93-X93-Z93-AA93</f>
        <v>610407.19476959994</v>
      </c>
      <c r="AC93" s="225">
        <f t="shared" ref="AC93:AC103" si="73">W93</f>
        <v>784485.69410239998</v>
      </c>
    </row>
    <row r="94" spans="2:29" s="199" customFormat="1" ht="14.4" x14ac:dyDescent="0.3">
      <c r="B94" s="226" t="s">
        <v>309</v>
      </c>
      <c r="C94" s="211" t="s">
        <v>310</v>
      </c>
      <c r="D94" s="212" t="s">
        <v>311</v>
      </c>
      <c r="E94" s="212" t="s">
        <v>312</v>
      </c>
      <c r="F94" s="210" t="s">
        <v>303</v>
      </c>
      <c r="G94" s="210" t="s">
        <v>304</v>
      </c>
      <c r="H94" s="210" t="s">
        <v>313</v>
      </c>
      <c r="I94" s="227">
        <v>41694</v>
      </c>
      <c r="J94" s="214" t="s">
        <v>306</v>
      </c>
      <c r="K94" s="215">
        <v>30</v>
      </c>
      <c r="L94" s="216">
        <f>405712+(405712*3.7%)</f>
        <v>420723.34399999998</v>
      </c>
      <c r="M94" s="216">
        <v>35049</v>
      </c>
      <c r="N94" s="216">
        <v>0</v>
      </c>
      <c r="O94" s="216">
        <v>0</v>
      </c>
      <c r="P94" s="217">
        <f t="shared" si="66"/>
        <v>455772.34399999998</v>
      </c>
      <c r="Q94" s="218">
        <f>12606+(12606*3.7%)</f>
        <v>13072.422</v>
      </c>
      <c r="R94" s="219">
        <f>Q94+P94</f>
        <v>468844.766</v>
      </c>
      <c r="S94" s="218">
        <f t="shared" si="68"/>
        <v>5241.3819559999993</v>
      </c>
      <c r="T94" s="218"/>
      <c r="U94" s="218">
        <f t="shared" ref="U94:U103" si="74">P94*2.4%</f>
        <v>10938.536255999999</v>
      </c>
      <c r="V94" s="218">
        <f t="shared" si="69"/>
        <v>5879.4632376</v>
      </c>
      <c r="W94" s="220">
        <f t="shared" si="70"/>
        <v>490904.14744959999</v>
      </c>
      <c r="X94" s="221">
        <f>P94*11.54%</f>
        <v>52596.128497599995</v>
      </c>
      <c r="Y94" s="222" t="s">
        <v>314</v>
      </c>
      <c r="Z94" s="221">
        <f t="shared" si="71"/>
        <v>31904.06408</v>
      </c>
      <c r="AA94" s="223">
        <v>0</v>
      </c>
      <c r="AB94" s="224">
        <f t="shared" si="72"/>
        <v>371272.15142240003</v>
      </c>
      <c r="AC94" s="225">
        <f t="shared" si="73"/>
        <v>490904.14744959999</v>
      </c>
    </row>
    <row r="95" spans="2:29" s="199" customFormat="1" ht="14.4" x14ac:dyDescent="0.3">
      <c r="B95" s="226" t="s">
        <v>316</v>
      </c>
      <c r="C95" s="211" t="s">
        <v>317</v>
      </c>
      <c r="D95" s="212" t="s">
        <v>318</v>
      </c>
      <c r="E95" s="212" t="s">
        <v>319</v>
      </c>
      <c r="F95" s="210" t="s">
        <v>303</v>
      </c>
      <c r="G95" s="210" t="s">
        <v>304</v>
      </c>
      <c r="H95" s="210" t="s">
        <v>313</v>
      </c>
      <c r="I95" s="213">
        <v>42676</v>
      </c>
      <c r="J95" s="214" t="s">
        <v>306</v>
      </c>
      <c r="K95" s="215">
        <v>30</v>
      </c>
      <c r="L95" s="216">
        <f t="shared" ref="L95:L100" si="75">352620+(352620*3.7%)</f>
        <v>365666.94</v>
      </c>
      <c r="M95" s="216">
        <v>0</v>
      </c>
      <c r="N95" s="216">
        <v>0</v>
      </c>
      <c r="O95" s="216">
        <v>0</v>
      </c>
      <c r="P95" s="217">
        <f t="shared" si="66"/>
        <v>365666.94</v>
      </c>
      <c r="Q95" s="218">
        <f>11416+(11416*3.7%)</f>
        <v>11838.392</v>
      </c>
      <c r="R95" s="219">
        <f t="shared" si="67"/>
        <v>377505.33199999999</v>
      </c>
      <c r="S95" s="218">
        <f t="shared" si="68"/>
        <v>4205.1698100000003</v>
      </c>
      <c r="T95" s="218"/>
      <c r="U95" s="218">
        <f t="shared" si="74"/>
        <v>8776.0065599999998</v>
      </c>
      <c r="V95" s="218">
        <f t="shared" si="69"/>
        <v>4717.1035259999999</v>
      </c>
      <c r="W95" s="220">
        <f t="shared" si="70"/>
        <v>395203.61189599999</v>
      </c>
      <c r="X95" s="221">
        <f>P95*10.14%</f>
        <v>37078.627716000003</v>
      </c>
      <c r="Y95" s="222" t="s">
        <v>307</v>
      </c>
      <c r="Z95" s="221">
        <f t="shared" si="71"/>
        <v>25596.685800000003</v>
      </c>
      <c r="AA95" s="223">
        <v>0</v>
      </c>
      <c r="AB95" s="224">
        <f t="shared" si="72"/>
        <v>302991.62648400001</v>
      </c>
      <c r="AC95" s="225">
        <f t="shared" si="73"/>
        <v>395203.61189599999</v>
      </c>
    </row>
    <row r="96" spans="2:29" s="198" customFormat="1" ht="14.4" x14ac:dyDescent="0.3">
      <c r="B96" s="228" t="s">
        <v>320</v>
      </c>
      <c r="C96" s="229" t="s">
        <v>321</v>
      </c>
      <c r="D96" s="228" t="s">
        <v>322</v>
      </c>
      <c r="E96" s="228" t="s">
        <v>323</v>
      </c>
      <c r="F96" s="230" t="s">
        <v>303</v>
      </c>
      <c r="G96" s="230" t="s">
        <v>304</v>
      </c>
      <c r="H96" s="230" t="s">
        <v>313</v>
      </c>
      <c r="I96" s="231">
        <v>42531</v>
      </c>
      <c r="J96" s="232" t="s">
        <v>306</v>
      </c>
      <c r="K96" s="233">
        <v>30</v>
      </c>
      <c r="L96" s="234">
        <v>0</v>
      </c>
      <c r="M96" s="234">
        <v>0</v>
      </c>
      <c r="N96" s="234">
        <v>0</v>
      </c>
      <c r="O96" s="234">
        <v>0</v>
      </c>
      <c r="P96" s="235">
        <f t="shared" si="66"/>
        <v>0</v>
      </c>
      <c r="Q96" s="236">
        <f>11724+(11724*3.7%)</f>
        <v>12157.788</v>
      </c>
      <c r="R96" s="237">
        <v>0</v>
      </c>
      <c r="S96" s="236">
        <f t="shared" si="68"/>
        <v>0</v>
      </c>
      <c r="T96" s="236"/>
      <c r="U96" s="236">
        <f t="shared" si="74"/>
        <v>0</v>
      </c>
      <c r="V96" s="236">
        <f t="shared" si="69"/>
        <v>0</v>
      </c>
      <c r="W96" s="238">
        <f t="shared" si="70"/>
        <v>0</v>
      </c>
      <c r="X96" s="239">
        <f>P96*10.77%</f>
        <v>0</v>
      </c>
      <c r="Y96" s="240" t="s">
        <v>324</v>
      </c>
      <c r="Z96" s="239">
        <f t="shared" si="71"/>
        <v>0</v>
      </c>
      <c r="AA96" s="239">
        <v>0</v>
      </c>
      <c r="AB96" s="241">
        <f t="shared" si="72"/>
        <v>0</v>
      </c>
      <c r="AC96" s="242">
        <f t="shared" si="73"/>
        <v>0</v>
      </c>
    </row>
    <row r="97" spans="2:29" s="199" customFormat="1" ht="14.4" x14ac:dyDescent="0.3">
      <c r="B97" s="226" t="s">
        <v>325</v>
      </c>
      <c r="C97" s="211" t="s">
        <v>321</v>
      </c>
      <c r="D97" s="212" t="s">
        <v>326</v>
      </c>
      <c r="E97" s="212" t="s">
        <v>327</v>
      </c>
      <c r="F97" s="210" t="s">
        <v>303</v>
      </c>
      <c r="G97" s="210" t="s">
        <v>304</v>
      </c>
      <c r="H97" s="210" t="s">
        <v>313</v>
      </c>
      <c r="I97" s="213">
        <v>42461</v>
      </c>
      <c r="J97" s="214" t="s">
        <v>306</v>
      </c>
      <c r="K97" s="215">
        <v>30</v>
      </c>
      <c r="L97" s="216">
        <f t="shared" si="75"/>
        <v>365666.94</v>
      </c>
      <c r="M97" s="216">
        <v>23366</v>
      </c>
      <c r="N97" s="216">
        <v>0</v>
      </c>
      <c r="O97" s="216">
        <v>0</v>
      </c>
      <c r="P97" s="217">
        <f t="shared" si="66"/>
        <v>389032.94</v>
      </c>
      <c r="Q97" s="218">
        <f>11724+(11724*3.7%)</f>
        <v>12157.788</v>
      </c>
      <c r="R97" s="219">
        <f t="shared" si="67"/>
        <v>401190.728</v>
      </c>
      <c r="S97" s="218">
        <f t="shared" si="68"/>
        <v>4473.8788100000002</v>
      </c>
      <c r="T97" s="218"/>
      <c r="U97" s="218">
        <f t="shared" si="74"/>
        <v>9336.7905599999995</v>
      </c>
      <c r="V97" s="218">
        <f t="shared" si="69"/>
        <v>5018.5249260000001</v>
      </c>
      <c r="W97" s="220">
        <f t="shared" si="70"/>
        <v>420019.922296</v>
      </c>
      <c r="X97" s="221">
        <f>P97*10.14%</f>
        <v>39447.940116000005</v>
      </c>
      <c r="Y97" s="222" t="s">
        <v>307</v>
      </c>
      <c r="Z97" s="221">
        <f t="shared" si="71"/>
        <v>27232.305800000002</v>
      </c>
      <c r="AA97" s="223">
        <v>0</v>
      </c>
      <c r="AB97" s="224">
        <f t="shared" si="72"/>
        <v>322352.69408399996</v>
      </c>
      <c r="AC97" s="225">
        <f t="shared" si="73"/>
        <v>420019.922296</v>
      </c>
    </row>
    <row r="98" spans="2:29" s="199" customFormat="1" ht="14.4" x14ac:dyDescent="0.3">
      <c r="B98" s="226" t="s">
        <v>328</v>
      </c>
      <c r="C98" s="211" t="s">
        <v>329</v>
      </c>
      <c r="D98" s="212" t="s">
        <v>330</v>
      </c>
      <c r="E98" s="212" t="s">
        <v>331</v>
      </c>
      <c r="F98" s="210" t="s">
        <v>303</v>
      </c>
      <c r="G98" s="210" t="s">
        <v>304</v>
      </c>
      <c r="H98" s="210" t="s">
        <v>313</v>
      </c>
      <c r="I98" s="213">
        <v>42786</v>
      </c>
      <c r="J98" s="243">
        <v>42886</v>
      </c>
      <c r="K98" s="215">
        <v>30</v>
      </c>
      <c r="L98" s="216">
        <f t="shared" si="75"/>
        <v>365666.94</v>
      </c>
      <c r="M98" s="216">
        <v>0</v>
      </c>
      <c r="N98" s="216">
        <v>0</v>
      </c>
      <c r="O98" s="216">
        <v>0</v>
      </c>
      <c r="P98" s="217">
        <f t="shared" si="66"/>
        <v>365666.94</v>
      </c>
      <c r="Q98" s="218">
        <f>11416+(11416*3.7%)</f>
        <v>11838.392</v>
      </c>
      <c r="R98" s="219">
        <f t="shared" si="67"/>
        <v>377505.33199999999</v>
      </c>
      <c r="S98" s="218">
        <f t="shared" si="68"/>
        <v>4205.1698100000003</v>
      </c>
      <c r="T98" s="218"/>
      <c r="U98" s="218">
        <f t="shared" si="74"/>
        <v>8776.0065599999998</v>
      </c>
      <c r="V98" s="218">
        <f t="shared" si="69"/>
        <v>4717.1035259999999</v>
      </c>
      <c r="W98" s="220">
        <f t="shared" si="70"/>
        <v>395203.61189599999</v>
      </c>
      <c r="X98" s="221">
        <f>P98*10.14%</f>
        <v>37078.627716000003</v>
      </c>
      <c r="Y98" s="222" t="s">
        <v>307</v>
      </c>
      <c r="Z98" s="221">
        <f t="shared" si="71"/>
        <v>25596.685800000003</v>
      </c>
      <c r="AA98" s="223">
        <v>0</v>
      </c>
      <c r="AB98" s="224">
        <f t="shared" si="72"/>
        <v>302991.62648400001</v>
      </c>
      <c r="AC98" s="225">
        <f t="shared" si="73"/>
        <v>395203.61189599999</v>
      </c>
    </row>
    <row r="99" spans="2:29" s="199" customFormat="1" ht="14.4" x14ac:dyDescent="0.3">
      <c r="B99" s="226" t="s">
        <v>332</v>
      </c>
      <c r="C99" s="211" t="s">
        <v>333</v>
      </c>
      <c r="D99" s="212" t="s">
        <v>334</v>
      </c>
      <c r="E99" s="212" t="s">
        <v>335</v>
      </c>
      <c r="F99" s="210" t="s">
        <v>303</v>
      </c>
      <c r="G99" s="210" t="s">
        <v>304</v>
      </c>
      <c r="H99" s="210" t="s">
        <v>313</v>
      </c>
      <c r="I99" s="213">
        <v>42787</v>
      </c>
      <c r="J99" s="243">
        <v>42886</v>
      </c>
      <c r="K99" s="215">
        <v>30</v>
      </c>
      <c r="L99" s="216">
        <f t="shared" si="75"/>
        <v>365666.94</v>
      </c>
      <c r="M99" s="216">
        <v>0</v>
      </c>
      <c r="N99" s="216">
        <v>0</v>
      </c>
      <c r="O99" s="216">
        <v>0</v>
      </c>
      <c r="P99" s="217">
        <f t="shared" si="66"/>
        <v>365666.94</v>
      </c>
      <c r="Q99" s="218">
        <f>11416+(11416*3.7%)</f>
        <v>11838.392</v>
      </c>
      <c r="R99" s="219">
        <f t="shared" si="67"/>
        <v>377505.33199999999</v>
      </c>
      <c r="S99" s="218">
        <f t="shared" si="68"/>
        <v>4205.1698100000003</v>
      </c>
      <c r="T99" s="218"/>
      <c r="U99" s="218">
        <f t="shared" si="74"/>
        <v>8776.0065599999998</v>
      </c>
      <c r="V99" s="218">
        <f t="shared" si="69"/>
        <v>4717.1035259999999</v>
      </c>
      <c r="W99" s="220">
        <f t="shared" si="70"/>
        <v>395203.61189599999</v>
      </c>
      <c r="X99" s="221">
        <f>P99*10.14%</f>
        <v>37078.627716000003</v>
      </c>
      <c r="Y99" s="222" t="s">
        <v>307</v>
      </c>
      <c r="Z99" s="221">
        <f t="shared" si="71"/>
        <v>25596.685800000003</v>
      </c>
      <c r="AA99" s="223">
        <v>0</v>
      </c>
      <c r="AB99" s="224">
        <f t="shared" si="72"/>
        <v>302991.62648400001</v>
      </c>
      <c r="AC99" s="225">
        <f t="shared" si="73"/>
        <v>395203.61189599999</v>
      </c>
    </row>
    <row r="100" spans="2:29" s="199" customFormat="1" ht="14.4" x14ac:dyDescent="0.3">
      <c r="B100" s="226" t="s">
        <v>336</v>
      </c>
      <c r="C100" s="211" t="s">
        <v>337</v>
      </c>
      <c r="D100" s="212" t="s">
        <v>338</v>
      </c>
      <c r="E100" s="212" t="s">
        <v>339</v>
      </c>
      <c r="F100" s="210" t="s">
        <v>303</v>
      </c>
      <c r="G100" s="210" t="s">
        <v>304</v>
      </c>
      <c r="H100" s="210" t="s">
        <v>313</v>
      </c>
      <c r="I100" s="213">
        <v>42787</v>
      </c>
      <c r="J100" s="243">
        <v>42886</v>
      </c>
      <c r="K100" s="215">
        <v>30</v>
      </c>
      <c r="L100" s="216">
        <f t="shared" si="75"/>
        <v>365666.94</v>
      </c>
      <c r="M100" s="216">
        <v>0</v>
      </c>
      <c r="N100" s="216">
        <v>0</v>
      </c>
      <c r="O100" s="216">
        <v>0</v>
      </c>
      <c r="P100" s="217">
        <f t="shared" si="66"/>
        <v>365666.94</v>
      </c>
      <c r="Q100" s="218">
        <f>11416+(11416*3.7%)</f>
        <v>11838.392</v>
      </c>
      <c r="R100" s="219">
        <f t="shared" si="67"/>
        <v>377505.33199999999</v>
      </c>
      <c r="S100" s="218">
        <f t="shared" si="68"/>
        <v>4205.1698100000003</v>
      </c>
      <c r="T100" s="218"/>
      <c r="U100" s="218">
        <f t="shared" si="74"/>
        <v>8776.0065599999998</v>
      </c>
      <c r="V100" s="218">
        <f t="shared" si="69"/>
        <v>4717.1035259999999</v>
      </c>
      <c r="W100" s="220">
        <f t="shared" si="70"/>
        <v>395203.61189599999</v>
      </c>
      <c r="X100" s="221">
        <f>P100*10.77%</f>
        <v>39382.329437999993</v>
      </c>
      <c r="Y100" s="222" t="s">
        <v>324</v>
      </c>
      <c r="Z100" s="221">
        <f t="shared" si="71"/>
        <v>25596.685800000003</v>
      </c>
      <c r="AA100" s="223">
        <v>0</v>
      </c>
      <c r="AB100" s="224">
        <f t="shared" si="72"/>
        <v>300687.92476200004</v>
      </c>
      <c r="AC100" s="225">
        <f t="shared" si="73"/>
        <v>395203.61189599999</v>
      </c>
    </row>
    <row r="101" spans="2:29" s="199" customFormat="1" ht="14.4" x14ac:dyDescent="0.3">
      <c r="B101" s="210" t="s">
        <v>340</v>
      </c>
      <c r="C101" s="244" t="s">
        <v>341</v>
      </c>
      <c r="D101" s="226" t="s">
        <v>342</v>
      </c>
      <c r="E101" s="226" t="s">
        <v>343</v>
      </c>
      <c r="F101" s="245" t="s">
        <v>303</v>
      </c>
      <c r="G101" s="245" t="s">
        <v>304</v>
      </c>
      <c r="H101" s="244" t="s">
        <v>344</v>
      </c>
      <c r="I101" s="227">
        <v>41694</v>
      </c>
      <c r="J101" s="246" t="s">
        <v>306</v>
      </c>
      <c r="K101" s="215">
        <v>30</v>
      </c>
      <c r="L101" s="216">
        <f>366313+(366313*3.7%)</f>
        <v>379866.58100000001</v>
      </c>
      <c r="M101" s="216">
        <v>35049</v>
      </c>
      <c r="N101" s="216">
        <v>0</v>
      </c>
      <c r="O101" s="216">
        <v>0</v>
      </c>
      <c r="P101" s="217">
        <f t="shared" si="66"/>
        <v>414915.58100000001</v>
      </c>
      <c r="Q101" s="218">
        <f>12803+(12803*3.7%)</f>
        <v>13276.710999999999</v>
      </c>
      <c r="R101" s="219">
        <f t="shared" si="67"/>
        <v>428192.29200000002</v>
      </c>
      <c r="S101" s="218">
        <f t="shared" si="68"/>
        <v>4771.5291815</v>
      </c>
      <c r="T101" s="218"/>
      <c r="U101" s="218">
        <f t="shared" si="74"/>
        <v>9957.9739440000012</v>
      </c>
      <c r="V101" s="218">
        <f t="shared" si="69"/>
        <v>5352.4109949000003</v>
      </c>
      <c r="W101" s="220">
        <f t="shared" si="70"/>
        <v>448274.20612039999</v>
      </c>
      <c r="X101" s="221">
        <f>P101*11.27%</f>
        <v>46760.985978699995</v>
      </c>
      <c r="Y101" s="222" t="s">
        <v>345</v>
      </c>
      <c r="Z101" s="221">
        <f t="shared" si="71"/>
        <v>29044.090670000001</v>
      </c>
      <c r="AA101" s="223">
        <v>0</v>
      </c>
      <c r="AB101" s="224">
        <f t="shared" si="72"/>
        <v>339110.50435130001</v>
      </c>
      <c r="AC101" s="225">
        <f t="shared" si="73"/>
        <v>448274.20612039999</v>
      </c>
    </row>
    <row r="102" spans="2:29" s="199" customFormat="1" ht="14.4" x14ac:dyDescent="0.3">
      <c r="B102" s="226" t="s">
        <v>346</v>
      </c>
      <c r="C102" s="211" t="s">
        <v>347</v>
      </c>
      <c r="D102" s="212" t="s">
        <v>348</v>
      </c>
      <c r="E102" s="212" t="s">
        <v>349</v>
      </c>
      <c r="F102" s="245" t="s">
        <v>303</v>
      </c>
      <c r="G102" s="245" t="s">
        <v>304</v>
      </c>
      <c r="H102" s="244" t="s">
        <v>344</v>
      </c>
      <c r="I102" s="227">
        <v>42324</v>
      </c>
      <c r="J102" s="246" t="s">
        <v>306</v>
      </c>
      <c r="K102" s="215">
        <v>30</v>
      </c>
      <c r="L102" s="216">
        <f>298368+(298368*3.7%)</f>
        <v>309407.61599999998</v>
      </c>
      <c r="M102" s="216">
        <v>0</v>
      </c>
      <c r="N102" s="216">
        <v>0</v>
      </c>
      <c r="O102" s="216">
        <v>0</v>
      </c>
      <c r="P102" s="217">
        <f t="shared" si="66"/>
        <v>309407.61599999998</v>
      </c>
      <c r="Q102" s="218">
        <f>11416+(11416*3.7%)</f>
        <v>11838.392</v>
      </c>
      <c r="R102" s="219">
        <f t="shared" si="67"/>
        <v>321246.00799999997</v>
      </c>
      <c r="S102" s="218">
        <f t="shared" si="68"/>
        <v>3558.1875839999998</v>
      </c>
      <c r="T102" s="218"/>
      <c r="U102" s="218">
        <f t="shared" si="74"/>
        <v>7425.782784</v>
      </c>
      <c r="V102" s="218">
        <f t="shared" si="69"/>
        <v>3991.3582463999996</v>
      </c>
      <c r="W102" s="220">
        <f t="shared" si="70"/>
        <v>336221.33661439997</v>
      </c>
      <c r="X102" s="221">
        <f>P102*10.77%</f>
        <v>33323.200243199994</v>
      </c>
      <c r="Y102" s="222" t="s">
        <v>324</v>
      </c>
      <c r="Z102" s="221">
        <f t="shared" si="71"/>
        <v>21658.53312</v>
      </c>
      <c r="AA102" s="223">
        <v>0</v>
      </c>
      <c r="AB102" s="224">
        <f t="shared" si="72"/>
        <v>254425.88263679997</v>
      </c>
      <c r="AC102" s="225">
        <f t="shared" si="73"/>
        <v>336221.33661439997</v>
      </c>
    </row>
    <row r="103" spans="2:29" s="199" customFormat="1" ht="14.4" x14ac:dyDescent="0.3">
      <c r="B103" s="226" t="s">
        <v>350</v>
      </c>
      <c r="C103" s="244" t="s">
        <v>351</v>
      </c>
      <c r="D103" s="226" t="s">
        <v>352</v>
      </c>
      <c r="E103" s="226" t="s">
        <v>353</v>
      </c>
      <c r="F103" s="210" t="s">
        <v>303</v>
      </c>
      <c r="G103" s="210" t="s">
        <v>304</v>
      </c>
      <c r="H103" s="210" t="s">
        <v>354</v>
      </c>
      <c r="I103" s="227">
        <v>41339</v>
      </c>
      <c r="J103" s="214" t="s">
        <v>306</v>
      </c>
      <c r="K103" s="215">
        <v>30</v>
      </c>
      <c r="L103" s="216">
        <f>286496+(286496*3.7%)</f>
        <v>297096.35200000001</v>
      </c>
      <c r="M103" s="216">
        <v>29753</v>
      </c>
      <c r="N103" s="216">
        <v>0</v>
      </c>
      <c r="O103" s="216">
        <v>0</v>
      </c>
      <c r="P103" s="217">
        <f t="shared" si="66"/>
        <v>326849.35200000001</v>
      </c>
      <c r="Q103" s="218">
        <f>12992+(12992*3.7%)</f>
        <v>13472.704</v>
      </c>
      <c r="R103" s="219">
        <f t="shared" si="67"/>
        <v>340322.05600000004</v>
      </c>
      <c r="S103" s="218">
        <f t="shared" si="68"/>
        <v>3758.7675480000003</v>
      </c>
      <c r="T103" s="218"/>
      <c r="U103" s="218">
        <f t="shared" si="74"/>
        <v>7844.3844480000007</v>
      </c>
      <c r="V103" s="218">
        <f t="shared" si="69"/>
        <v>4216.3566408000006</v>
      </c>
      <c r="W103" s="220">
        <f t="shared" si="70"/>
        <v>356141.56463680003</v>
      </c>
      <c r="X103" s="221">
        <f>P103*11.54%</f>
        <v>37718.415220800001</v>
      </c>
      <c r="Y103" s="222" t="s">
        <v>314</v>
      </c>
      <c r="Z103" s="221">
        <f t="shared" si="71"/>
        <v>22879.454640000004</v>
      </c>
      <c r="AA103" s="223">
        <v>0</v>
      </c>
      <c r="AB103" s="224">
        <f t="shared" si="72"/>
        <v>266251.48213919997</v>
      </c>
      <c r="AC103" s="225">
        <f t="shared" si="73"/>
        <v>356141.56463680003</v>
      </c>
    </row>
    <row r="104" spans="2:29" s="199" customFormat="1" ht="14.4" x14ac:dyDescent="0.3">
      <c r="B104" s="369" t="s">
        <v>356</v>
      </c>
      <c r="C104" s="370"/>
      <c r="D104" s="370"/>
      <c r="E104" s="370"/>
      <c r="F104" s="370"/>
      <c r="G104" s="370"/>
      <c r="H104" s="370"/>
      <c r="I104" s="370"/>
      <c r="J104" s="371"/>
      <c r="K104" s="215"/>
      <c r="L104" s="216">
        <f t="shared" ref="L104:S104" si="76">SUM(L93:L103)</f>
        <v>3851124.5289999996</v>
      </c>
      <c r="M104" s="216">
        <f t="shared" si="76"/>
        <v>158492</v>
      </c>
      <c r="N104" s="216">
        <f t="shared" si="76"/>
        <v>85702</v>
      </c>
      <c r="O104" s="216">
        <f t="shared" si="76"/>
        <v>0</v>
      </c>
      <c r="P104" s="217">
        <f t="shared" si="76"/>
        <v>4095318.5289999996</v>
      </c>
      <c r="Q104" s="216">
        <f t="shared" si="76"/>
        <v>135487.16099999999</v>
      </c>
      <c r="R104" s="219">
        <f t="shared" si="76"/>
        <v>4218647.9019999998</v>
      </c>
      <c r="S104" s="216">
        <f t="shared" si="76"/>
        <v>47096.163083500003</v>
      </c>
      <c r="T104" s="216"/>
      <c r="U104" s="216">
        <f>SUM(U93:U103)</f>
        <v>98287.644695999988</v>
      </c>
      <c r="V104" s="216">
        <f>SUM(V93:V103)</f>
        <v>52829.609024099991</v>
      </c>
      <c r="W104" s="220">
        <f>SUM(W93:W103)</f>
        <v>4416861.3188036</v>
      </c>
      <c r="X104" s="247">
        <f>SUM(X93:X103)</f>
        <v>435163.51835270005</v>
      </c>
      <c r="Y104" s="216"/>
      <c r="Z104" s="216">
        <f>SUM(Z93:Z103)</f>
        <v>286672.29703000007</v>
      </c>
      <c r="AA104" s="216">
        <f>SUM(AA93:AA103)</f>
        <v>0</v>
      </c>
      <c r="AB104" s="216">
        <f>SUM(AB93:AB103)</f>
        <v>3373482.7136173001</v>
      </c>
      <c r="AC104" s="225">
        <f>SUM(AC93:AC103)</f>
        <v>4416861.3188036</v>
      </c>
    </row>
    <row r="105" spans="2:29" s="199" customFormat="1" ht="15" thickBot="1" x14ac:dyDescent="0.35">
      <c r="B105" s="248"/>
      <c r="C105" s="248"/>
      <c r="D105" s="248"/>
      <c r="E105" s="248"/>
      <c r="F105" s="248"/>
      <c r="G105" s="248"/>
      <c r="H105" s="248"/>
      <c r="I105" s="248"/>
      <c r="J105" s="248"/>
      <c r="K105" s="249"/>
      <c r="L105" s="250"/>
      <c r="M105" s="250"/>
      <c r="N105" s="250"/>
      <c r="O105" s="250"/>
      <c r="P105" s="250"/>
      <c r="Q105" s="250"/>
      <c r="R105" s="250"/>
      <c r="S105" s="250"/>
      <c r="T105" s="250"/>
      <c r="U105" s="250"/>
      <c r="V105" s="250"/>
      <c r="W105" s="250"/>
      <c r="X105" s="251"/>
      <c r="Y105" s="250"/>
      <c r="Z105" s="250"/>
      <c r="AA105" s="250"/>
      <c r="AB105" s="250"/>
      <c r="AC105" s="250"/>
    </row>
    <row r="106" spans="2:29" ht="15" thickBot="1" x14ac:dyDescent="0.35">
      <c r="B106" s="367" t="s">
        <v>366</v>
      </c>
      <c r="C106" s="368"/>
    </row>
    <row r="107" spans="2:29" s="199" customFormat="1" ht="14.4" x14ac:dyDescent="0.3">
      <c r="B107" s="201" t="s">
        <v>270</v>
      </c>
      <c r="C107" s="201" t="s">
        <v>271</v>
      </c>
      <c r="D107" s="201" t="s">
        <v>272</v>
      </c>
      <c r="E107" s="201" t="s">
        <v>273</v>
      </c>
      <c r="F107" s="201" t="s">
        <v>274</v>
      </c>
      <c r="G107" s="201" t="s">
        <v>275</v>
      </c>
      <c r="H107" s="201" t="s">
        <v>276</v>
      </c>
      <c r="I107" s="201" t="s">
        <v>277</v>
      </c>
      <c r="J107" s="201" t="s">
        <v>278</v>
      </c>
      <c r="K107" s="201" t="s">
        <v>279</v>
      </c>
      <c r="L107" s="202" t="s">
        <v>280</v>
      </c>
      <c r="M107" s="202" t="s">
        <v>281</v>
      </c>
      <c r="N107" s="202" t="s">
        <v>282</v>
      </c>
      <c r="O107" s="202" t="s">
        <v>283</v>
      </c>
      <c r="P107" s="203" t="s">
        <v>284</v>
      </c>
      <c r="Q107" s="202" t="s">
        <v>285</v>
      </c>
      <c r="R107" s="253" t="s">
        <v>286</v>
      </c>
      <c r="S107" s="206" t="s">
        <v>287</v>
      </c>
      <c r="T107" s="206"/>
      <c r="U107" s="206" t="s">
        <v>288</v>
      </c>
      <c r="V107" s="206" t="s">
        <v>289</v>
      </c>
      <c r="W107" s="207" t="s">
        <v>290</v>
      </c>
      <c r="X107" s="208" t="s">
        <v>291</v>
      </c>
      <c r="Y107" s="208" t="s">
        <v>292</v>
      </c>
      <c r="Z107" s="208" t="s">
        <v>293</v>
      </c>
      <c r="AA107" s="206" t="s">
        <v>294</v>
      </c>
      <c r="AB107" s="206" t="s">
        <v>295</v>
      </c>
      <c r="AC107" s="209" t="s">
        <v>298</v>
      </c>
    </row>
    <row r="108" spans="2:29" s="199" customFormat="1" ht="14.4" x14ac:dyDescent="0.3">
      <c r="B108" s="210" t="s">
        <v>299</v>
      </c>
      <c r="C108" s="211" t="s">
        <v>300</v>
      </c>
      <c r="D108" s="212" t="s">
        <v>301</v>
      </c>
      <c r="E108" s="212" t="s">
        <v>302</v>
      </c>
      <c r="F108" s="210" t="s">
        <v>303</v>
      </c>
      <c r="G108" s="210" t="s">
        <v>304</v>
      </c>
      <c r="H108" s="210" t="s">
        <v>305</v>
      </c>
      <c r="I108" s="213">
        <v>42453</v>
      </c>
      <c r="J108" s="214" t="s">
        <v>306</v>
      </c>
      <c r="K108" s="215">
        <v>30</v>
      </c>
      <c r="L108" s="216">
        <f>593728+(593728*3.7%)</f>
        <v>615695.93599999999</v>
      </c>
      <c r="M108" s="216">
        <v>35275</v>
      </c>
      <c r="N108" s="216">
        <v>85702</v>
      </c>
      <c r="O108" s="216">
        <v>0</v>
      </c>
      <c r="P108" s="217">
        <f t="shared" ref="P108:P118" si="77">SUM(L108:O108)</f>
        <v>736672.93599999999</v>
      </c>
      <c r="Q108" s="218">
        <f>11724+(11724*3.7%)</f>
        <v>12157.788</v>
      </c>
      <c r="R108" s="219">
        <f t="shared" ref="R108:R118" si="78">Q108+P108</f>
        <v>748830.72399999993</v>
      </c>
      <c r="S108" s="218">
        <f t="shared" ref="S108:S118" si="79">P108*1.15%</f>
        <v>8471.7387639999997</v>
      </c>
      <c r="T108" s="218"/>
      <c r="U108" s="218">
        <f>P108*2.4%</f>
        <v>17680.150463999998</v>
      </c>
      <c r="V108" s="218">
        <f t="shared" ref="V108:V118" si="80">P108*1.29%</f>
        <v>9503.0808744000005</v>
      </c>
      <c r="W108" s="220">
        <f t="shared" ref="W108:W118" si="81">V108+U108+S108+R108</f>
        <v>784485.69410239998</v>
      </c>
      <c r="X108" s="221">
        <f>P108*10.14%</f>
        <v>74698.635710400005</v>
      </c>
      <c r="Y108" s="222" t="s">
        <v>307</v>
      </c>
      <c r="Z108" s="221">
        <f t="shared" ref="Z108:Z118" si="82">P108*7%</f>
        <v>51567.105520000005</v>
      </c>
      <c r="AA108" s="223">
        <v>0</v>
      </c>
      <c r="AB108" s="224">
        <f t="shared" ref="AB108:AB118" si="83">P108-X108-Z108-AA108</f>
        <v>610407.19476959994</v>
      </c>
      <c r="AC108" s="225">
        <f t="shared" ref="AC108:AC118" si="84">W108</f>
        <v>784485.69410239998</v>
      </c>
    </row>
    <row r="109" spans="2:29" s="199" customFormat="1" ht="14.4" x14ac:dyDescent="0.3">
      <c r="B109" s="226" t="s">
        <v>309</v>
      </c>
      <c r="C109" s="211" t="s">
        <v>310</v>
      </c>
      <c r="D109" s="212" t="s">
        <v>311</v>
      </c>
      <c r="E109" s="212" t="s">
        <v>312</v>
      </c>
      <c r="F109" s="210" t="s">
        <v>303</v>
      </c>
      <c r="G109" s="210" t="s">
        <v>304</v>
      </c>
      <c r="H109" s="210" t="s">
        <v>313</v>
      </c>
      <c r="I109" s="227">
        <v>41694</v>
      </c>
      <c r="J109" s="214" t="s">
        <v>306</v>
      </c>
      <c r="K109" s="215">
        <v>30</v>
      </c>
      <c r="L109" s="216">
        <f>405712+(405712*3.7%)</f>
        <v>420723.34399999998</v>
      </c>
      <c r="M109" s="216">
        <v>35049</v>
      </c>
      <c r="N109" s="216">
        <v>0</v>
      </c>
      <c r="O109" s="216">
        <v>0</v>
      </c>
      <c r="P109" s="217">
        <f t="shared" si="77"/>
        <v>455772.34399999998</v>
      </c>
      <c r="Q109" s="218">
        <f>12606+(12606*3.7%)</f>
        <v>13072.422</v>
      </c>
      <c r="R109" s="219">
        <f>Q109+P109</f>
        <v>468844.766</v>
      </c>
      <c r="S109" s="218">
        <f t="shared" si="79"/>
        <v>5241.3819559999993</v>
      </c>
      <c r="T109" s="218"/>
      <c r="U109" s="218">
        <f t="shared" ref="U109:U118" si="85">P109*2.4%</f>
        <v>10938.536255999999</v>
      </c>
      <c r="V109" s="218">
        <f t="shared" si="80"/>
        <v>5879.4632376</v>
      </c>
      <c r="W109" s="220">
        <f t="shared" si="81"/>
        <v>490904.14744959999</v>
      </c>
      <c r="X109" s="221">
        <f>P109*11.54%</f>
        <v>52596.128497599995</v>
      </c>
      <c r="Y109" s="222" t="s">
        <v>314</v>
      </c>
      <c r="Z109" s="221">
        <f t="shared" si="82"/>
        <v>31904.06408</v>
      </c>
      <c r="AA109" s="223">
        <v>0</v>
      </c>
      <c r="AB109" s="224">
        <f t="shared" si="83"/>
        <v>371272.15142240003</v>
      </c>
      <c r="AC109" s="225">
        <f t="shared" si="84"/>
        <v>490904.14744959999</v>
      </c>
    </row>
    <row r="110" spans="2:29" s="199" customFormat="1" ht="14.4" x14ac:dyDescent="0.3">
      <c r="B110" s="226" t="s">
        <v>316</v>
      </c>
      <c r="C110" s="211" t="s">
        <v>317</v>
      </c>
      <c r="D110" s="212" t="s">
        <v>318</v>
      </c>
      <c r="E110" s="212" t="s">
        <v>319</v>
      </c>
      <c r="F110" s="210" t="s">
        <v>303</v>
      </c>
      <c r="G110" s="210" t="s">
        <v>304</v>
      </c>
      <c r="H110" s="210" t="s">
        <v>313</v>
      </c>
      <c r="I110" s="213">
        <v>42676</v>
      </c>
      <c r="J110" s="214" t="s">
        <v>306</v>
      </c>
      <c r="K110" s="215">
        <v>30</v>
      </c>
      <c r="L110" s="216">
        <f t="shared" ref="L110:L115" si="86">352620+(352620*3.7%)</f>
        <v>365666.94</v>
      </c>
      <c r="M110" s="216">
        <v>0</v>
      </c>
      <c r="N110" s="216">
        <v>0</v>
      </c>
      <c r="O110" s="216">
        <v>0</v>
      </c>
      <c r="P110" s="217">
        <f t="shared" si="77"/>
        <v>365666.94</v>
      </c>
      <c r="Q110" s="218">
        <f>11416+(11416*3.7%)</f>
        <v>11838.392</v>
      </c>
      <c r="R110" s="219">
        <f t="shared" si="78"/>
        <v>377505.33199999999</v>
      </c>
      <c r="S110" s="218">
        <f t="shared" si="79"/>
        <v>4205.1698100000003</v>
      </c>
      <c r="T110" s="218"/>
      <c r="U110" s="218">
        <f t="shared" si="85"/>
        <v>8776.0065599999998</v>
      </c>
      <c r="V110" s="218">
        <f t="shared" si="80"/>
        <v>4717.1035259999999</v>
      </c>
      <c r="W110" s="220">
        <f t="shared" si="81"/>
        <v>395203.61189599999</v>
      </c>
      <c r="X110" s="221">
        <f>P110*10.14%</f>
        <v>37078.627716000003</v>
      </c>
      <c r="Y110" s="222" t="s">
        <v>307</v>
      </c>
      <c r="Z110" s="221">
        <f t="shared" si="82"/>
        <v>25596.685800000003</v>
      </c>
      <c r="AA110" s="223">
        <v>0</v>
      </c>
      <c r="AB110" s="224">
        <f t="shared" si="83"/>
        <v>302991.62648400001</v>
      </c>
      <c r="AC110" s="225">
        <f t="shared" si="84"/>
        <v>395203.61189599999</v>
      </c>
    </row>
    <row r="111" spans="2:29" s="198" customFormat="1" ht="14.4" x14ac:dyDescent="0.3">
      <c r="B111" s="228" t="s">
        <v>320</v>
      </c>
      <c r="C111" s="229" t="s">
        <v>321</v>
      </c>
      <c r="D111" s="228" t="s">
        <v>322</v>
      </c>
      <c r="E111" s="228" t="s">
        <v>323</v>
      </c>
      <c r="F111" s="230" t="s">
        <v>303</v>
      </c>
      <c r="G111" s="230" t="s">
        <v>304</v>
      </c>
      <c r="H111" s="230" t="s">
        <v>313</v>
      </c>
      <c r="I111" s="231">
        <v>42531</v>
      </c>
      <c r="J111" s="232" t="s">
        <v>306</v>
      </c>
      <c r="K111" s="233">
        <v>30</v>
      </c>
      <c r="L111" s="234"/>
      <c r="M111" s="234"/>
      <c r="N111" s="234">
        <v>0</v>
      </c>
      <c r="O111" s="234">
        <v>0</v>
      </c>
      <c r="P111" s="235">
        <f t="shared" si="77"/>
        <v>0</v>
      </c>
      <c r="Q111" s="236"/>
      <c r="R111" s="237"/>
      <c r="S111" s="236">
        <f t="shared" si="79"/>
        <v>0</v>
      </c>
      <c r="T111" s="236"/>
      <c r="U111" s="236">
        <f t="shared" si="85"/>
        <v>0</v>
      </c>
      <c r="V111" s="236">
        <f t="shared" si="80"/>
        <v>0</v>
      </c>
      <c r="W111" s="238">
        <f t="shared" si="81"/>
        <v>0</v>
      </c>
      <c r="X111" s="239">
        <f>P111*10.77%</f>
        <v>0</v>
      </c>
      <c r="Y111" s="240" t="s">
        <v>324</v>
      </c>
      <c r="Z111" s="239">
        <f t="shared" si="82"/>
        <v>0</v>
      </c>
      <c r="AA111" s="239">
        <v>0</v>
      </c>
      <c r="AB111" s="241">
        <f t="shared" si="83"/>
        <v>0</v>
      </c>
      <c r="AC111" s="242">
        <f t="shared" si="84"/>
        <v>0</v>
      </c>
    </row>
    <row r="112" spans="2:29" s="199" customFormat="1" ht="14.4" x14ac:dyDescent="0.3">
      <c r="B112" s="226" t="s">
        <v>325</v>
      </c>
      <c r="C112" s="211" t="s">
        <v>321</v>
      </c>
      <c r="D112" s="212" t="s">
        <v>326</v>
      </c>
      <c r="E112" s="212" t="s">
        <v>327</v>
      </c>
      <c r="F112" s="210" t="s">
        <v>303</v>
      </c>
      <c r="G112" s="210" t="s">
        <v>304</v>
      </c>
      <c r="H112" s="210" t="s">
        <v>313</v>
      </c>
      <c r="I112" s="213">
        <v>42461</v>
      </c>
      <c r="J112" s="214" t="s">
        <v>306</v>
      </c>
      <c r="K112" s="215">
        <v>30</v>
      </c>
      <c r="L112" s="216">
        <f t="shared" si="86"/>
        <v>365666.94</v>
      </c>
      <c r="M112" s="216">
        <v>23366</v>
      </c>
      <c r="N112" s="216">
        <v>0</v>
      </c>
      <c r="O112" s="216">
        <v>0</v>
      </c>
      <c r="P112" s="217">
        <f t="shared" si="77"/>
        <v>389032.94</v>
      </c>
      <c r="Q112" s="218">
        <f>11724+(11724*3.7%)</f>
        <v>12157.788</v>
      </c>
      <c r="R112" s="219">
        <f t="shared" si="78"/>
        <v>401190.728</v>
      </c>
      <c r="S112" s="218">
        <f t="shared" si="79"/>
        <v>4473.8788100000002</v>
      </c>
      <c r="T112" s="218"/>
      <c r="U112" s="218">
        <f t="shared" si="85"/>
        <v>9336.7905599999995</v>
      </c>
      <c r="V112" s="218">
        <f t="shared" si="80"/>
        <v>5018.5249260000001</v>
      </c>
      <c r="W112" s="220">
        <f t="shared" si="81"/>
        <v>420019.922296</v>
      </c>
      <c r="X112" s="221">
        <f>P112*10.14%</f>
        <v>39447.940116000005</v>
      </c>
      <c r="Y112" s="222" t="s">
        <v>307</v>
      </c>
      <c r="Z112" s="221">
        <f t="shared" si="82"/>
        <v>27232.305800000002</v>
      </c>
      <c r="AA112" s="223">
        <v>0</v>
      </c>
      <c r="AB112" s="224">
        <f t="shared" si="83"/>
        <v>322352.69408399996</v>
      </c>
      <c r="AC112" s="225">
        <f t="shared" si="84"/>
        <v>420019.922296</v>
      </c>
    </row>
    <row r="113" spans="2:34" s="199" customFormat="1" ht="14.4" x14ac:dyDescent="0.3">
      <c r="B113" s="226" t="s">
        <v>328</v>
      </c>
      <c r="C113" s="211" t="s">
        <v>329</v>
      </c>
      <c r="D113" s="212" t="s">
        <v>330</v>
      </c>
      <c r="E113" s="212" t="s">
        <v>331</v>
      </c>
      <c r="F113" s="210" t="s">
        <v>303</v>
      </c>
      <c r="G113" s="210" t="s">
        <v>304</v>
      </c>
      <c r="H113" s="210" t="s">
        <v>313</v>
      </c>
      <c r="I113" s="213">
        <v>42786</v>
      </c>
      <c r="J113" s="243">
        <v>42886</v>
      </c>
      <c r="K113" s="215">
        <v>30</v>
      </c>
      <c r="L113" s="216">
        <f t="shared" si="86"/>
        <v>365666.94</v>
      </c>
      <c r="M113" s="216">
        <v>0</v>
      </c>
      <c r="N113" s="216">
        <v>0</v>
      </c>
      <c r="O113" s="216">
        <v>0</v>
      </c>
      <c r="P113" s="217">
        <f t="shared" si="77"/>
        <v>365666.94</v>
      </c>
      <c r="Q113" s="218">
        <f>11416+(11416*3.7%)</f>
        <v>11838.392</v>
      </c>
      <c r="R113" s="219">
        <f t="shared" si="78"/>
        <v>377505.33199999999</v>
      </c>
      <c r="S113" s="218">
        <f t="shared" si="79"/>
        <v>4205.1698100000003</v>
      </c>
      <c r="T113" s="218"/>
      <c r="U113" s="218">
        <f t="shared" si="85"/>
        <v>8776.0065599999998</v>
      </c>
      <c r="V113" s="218">
        <f t="shared" si="80"/>
        <v>4717.1035259999999</v>
      </c>
      <c r="W113" s="220">
        <f t="shared" si="81"/>
        <v>395203.61189599999</v>
      </c>
      <c r="X113" s="221">
        <f>P113*10.14%</f>
        <v>37078.627716000003</v>
      </c>
      <c r="Y113" s="222" t="s">
        <v>307</v>
      </c>
      <c r="Z113" s="221">
        <f t="shared" si="82"/>
        <v>25596.685800000003</v>
      </c>
      <c r="AA113" s="223">
        <v>0</v>
      </c>
      <c r="AB113" s="224">
        <f t="shared" si="83"/>
        <v>302991.62648400001</v>
      </c>
      <c r="AC113" s="225">
        <f t="shared" si="84"/>
        <v>395203.61189599999</v>
      </c>
    </row>
    <row r="114" spans="2:34" s="199" customFormat="1" ht="14.4" x14ac:dyDescent="0.3">
      <c r="B114" s="226" t="s">
        <v>332</v>
      </c>
      <c r="C114" s="211" t="s">
        <v>333</v>
      </c>
      <c r="D114" s="212" t="s">
        <v>334</v>
      </c>
      <c r="E114" s="212" t="s">
        <v>335</v>
      </c>
      <c r="F114" s="210" t="s">
        <v>303</v>
      </c>
      <c r="G114" s="210" t="s">
        <v>304</v>
      </c>
      <c r="H114" s="210" t="s">
        <v>313</v>
      </c>
      <c r="I114" s="213">
        <v>42787</v>
      </c>
      <c r="J114" s="243">
        <v>42886</v>
      </c>
      <c r="K114" s="215">
        <v>30</v>
      </c>
      <c r="L114" s="216">
        <f t="shared" si="86"/>
        <v>365666.94</v>
      </c>
      <c r="M114" s="216">
        <v>0</v>
      </c>
      <c r="N114" s="216">
        <v>0</v>
      </c>
      <c r="O114" s="216">
        <v>0</v>
      </c>
      <c r="P114" s="217">
        <f t="shared" si="77"/>
        <v>365666.94</v>
      </c>
      <c r="Q114" s="218">
        <f>11416+(11416*3.7%)</f>
        <v>11838.392</v>
      </c>
      <c r="R114" s="219">
        <f t="shared" si="78"/>
        <v>377505.33199999999</v>
      </c>
      <c r="S114" s="218">
        <f t="shared" si="79"/>
        <v>4205.1698100000003</v>
      </c>
      <c r="T114" s="218"/>
      <c r="U114" s="218">
        <f t="shared" si="85"/>
        <v>8776.0065599999998</v>
      </c>
      <c r="V114" s="218">
        <f t="shared" si="80"/>
        <v>4717.1035259999999</v>
      </c>
      <c r="W114" s="220">
        <f t="shared" si="81"/>
        <v>395203.61189599999</v>
      </c>
      <c r="X114" s="221">
        <f>P114*10.14%</f>
        <v>37078.627716000003</v>
      </c>
      <c r="Y114" s="222" t="s">
        <v>307</v>
      </c>
      <c r="Z114" s="221">
        <f t="shared" si="82"/>
        <v>25596.685800000003</v>
      </c>
      <c r="AA114" s="223">
        <v>0</v>
      </c>
      <c r="AB114" s="224">
        <f t="shared" si="83"/>
        <v>302991.62648400001</v>
      </c>
      <c r="AC114" s="225">
        <f t="shared" si="84"/>
        <v>395203.61189599999</v>
      </c>
    </row>
    <row r="115" spans="2:34" s="199" customFormat="1" ht="14.4" x14ac:dyDescent="0.3">
      <c r="B115" s="226" t="s">
        <v>336</v>
      </c>
      <c r="C115" s="211" t="s">
        <v>337</v>
      </c>
      <c r="D115" s="212" t="s">
        <v>338</v>
      </c>
      <c r="E115" s="212" t="s">
        <v>339</v>
      </c>
      <c r="F115" s="210" t="s">
        <v>303</v>
      </c>
      <c r="G115" s="210" t="s">
        <v>304</v>
      </c>
      <c r="H115" s="210" t="s">
        <v>313</v>
      </c>
      <c r="I115" s="213">
        <v>42787</v>
      </c>
      <c r="J115" s="243">
        <v>42886</v>
      </c>
      <c r="K115" s="215">
        <v>30</v>
      </c>
      <c r="L115" s="216">
        <f t="shared" si="86"/>
        <v>365666.94</v>
      </c>
      <c r="M115" s="216">
        <v>0</v>
      </c>
      <c r="N115" s="216">
        <v>0</v>
      </c>
      <c r="O115" s="216">
        <v>0</v>
      </c>
      <c r="P115" s="217">
        <f t="shared" si="77"/>
        <v>365666.94</v>
      </c>
      <c r="Q115" s="218">
        <f>11416+(11416*3.7%)</f>
        <v>11838.392</v>
      </c>
      <c r="R115" s="219">
        <f t="shared" si="78"/>
        <v>377505.33199999999</v>
      </c>
      <c r="S115" s="218">
        <f t="shared" si="79"/>
        <v>4205.1698100000003</v>
      </c>
      <c r="T115" s="218"/>
      <c r="U115" s="218">
        <f t="shared" si="85"/>
        <v>8776.0065599999998</v>
      </c>
      <c r="V115" s="218">
        <f t="shared" si="80"/>
        <v>4717.1035259999999</v>
      </c>
      <c r="W115" s="220">
        <f t="shared" si="81"/>
        <v>395203.61189599999</v>
      </c>
      <c r="X115" s="221">
        <f>P115*10.77%</f>
        <v>39382.329437999993</v>
      </c>
      <c r="Y115" s="222" t="s">
        <v>324</v>
      </c>
      <c r="Z115" s="221">
        <f t="shared" si="82"/>
        <v>25596.685800000003</v>
      </c>
      <c r="AA115" s="223">
        <v>0</v>
      </c>
      <c r="AB115" s="224">
        <f t="shared" si="83"/>
        <v>300687.92476200004</v>
      </c>
      <c r="AC115" s="225">
        <f t="shared" si="84"/>
        <v>395203.61189599999</v>
      </c>
    </row>
    <row r="116" spans="2:34" s="199" customFormat="1" ht="14.4" x14ac:dyDescent="0.3">
      <c r="B116" s="210" t="s">
        <v>340</v>
      </c>
      <c r="C116" s="244" t="s">
        <v>341</v>
      </c>
      <c r="D116" s="226" t="s">
        <v>342</v>
      </c>
      <c r="E116" s="226" t="s">
        <v>343</v>
      </c>
      <c r="F116" s="245" t="s">
        <v>303</v>
      </c>
      <c r="G116" s="245" t="s">
        <v>304</v>
      </c>
      <c r="H116" s="244" t="s">
        <v>344</v>
      </c>
      <c r="I116" s="227">
        <v>41694</v>
      </c>
      <c r="J116" s="246" t="s">
        <v>306</v>
      </c>
      <c r="K116" s="215">
        <v>30</v>
      </c>
      <c r="L116" s="216">
        <f>366313+(366313*3.7%)</f>
        <v>379866.58100000001</v>
      </c>
      <c r="M116" s="216">
        <v>35049</v>
      </c>
      <c r="N116" s="216">
        <v>0</v>
      </c>
      <c r="O116" s="216">
        <v>0</v>
      </c>
      <c r="P116" s="217">
        <f t="shared" si="77"/>
        <v>414915.58100000001</v>
      </c>
      <c r="Q116" s="218">
        <f>12803+(12803*3.7%)</f>
        <v>13276.710999999999</v>
      </c>
      <c r="R116" s="219">
        <f t="shared" si="78"/>
        <v>428192.29200000002</v>
      </c>
      <c r="S116" s="218">
        <f t="shared" si="79"/>
        <v>4771.5291815</v>
      </c>
      <c r="T116" s="218"/>
      <c r="U116" s="218">
        <f t="shared" si="85"/>
        <v>9957.9739440000012</v>
      </c>
      <c r="V116" s="218">
        <f t="shared" si="80"/>
        <v>5352.4109949000003</v>
      </c>
      <c r="W116" s="220">
        <f t="shared" si="81"/>
        <v>448274.20612039999</v>
      </c>
      <c r="X116" s="221">
        <f>P116*11.27%</f>
        <v>46760.985978699995</v>
      </c>
      <c r="Y116" s="222" t="s">
        <v>345</v>
      </c>
      <c r="Z116" s="221">
        <f t="shared" si="82"/>
        <v>29044.090670000001</v>
      </c>
      <c r="AA116" s="223">
        <v>0</v>
      </c>
      <c r="AB116" s="224">
        <f t="shared" si="83"/>
        <v>339110.50435130001</v>
      </c>
      <c r="AC116" s="225">
        <f t="shared" si="84"/>
        <v>448274.20612039999</v>
      </c>
    </row>
    <row r="117" spans="2:34" s="199" customFormat="1" ht="14.4" x14ac:dyDescent="0.3">
      <c r="B117" s="226" t="s">
        <v>346</v>
      </c>
      <c r="C117" s="211" t="s">
        <v>347</v>
      </c>
      <c r="D117" s="212" t="s">
        <v>348</v>
      </c>
      <c r="E117" s="212" t="s">
        <v>349</v>
      </c>
      <c r="F117" s="245" t="s">
        <v>303</v>
      </c>
      <c r="G117" s="245" t="s">
        <v>304</v>
      </c>
      <c r="H117" s="244" t="s">
        <v>344</v>
      </c>
      <c r="I117" s="227">
        <v>42324</v>
      </c>
      <c r="J117" s="246" t="s">
        <v>306</v>
      </c>
      <c r="K117" s="215">
        <v>30</v>
      </c>
      <c r="L117" s="216">
        <f>298368+(298368*3.7%)</f>
        <v>309407.61599999998</v>
      </c>
      <c r="M117" s="216">
        <v>0</v>
      </c>
      <c r="N117" s="216">
        <v>0</v>
      </c>
      <c r="O117" s="216">
        <v>0</v>
      </c>
      <c r="P117" s="217">
        <f t="shared" si="77"/>
        <v>309407.61599999998</v>
      </c>
      <c r="Q117" s="218">
        <f>11416+(11416*3.7%)</f>
        <v>11838.392</v>
      </c>
      <c r="R117" s="219">
        <f t="shared" si="78"/>
        <v>321246.00799999997</v>
      </c>
      <c r="S117" s="218">
        <f t="shared" si="79"/>
        <v>3558.1875839999998</v>
      </c>
      <c r="T117" s="218"/>
      <c r="U117" s="218">
        <f t="shared" si="85"/>
        <v>7425.782784</v>
      </c>
      <c r="V117" s="218">
        <f t="shared" si="80"/>
        <v>3991.3582463999996</v>
      </c>
      <c r="W117" s="220">
        <f t="shared" si="81"/>
        <v>336221.33661439997</v>
      </c>
      <c r="X117" s="221">
        <f>P117*10.77%</f>
        <v>33323.200243199994</v>
      </c>
      <c r="Y117" s="222" t="s">
        <v>324</v>
      </c>
      <c r="Z117" s="221">
        <f t="shared" si="82"/>
        <v>21658.53312</v>
      </c>
      <c r="AA117" s="223">
        <v>0</v>
      </c>
      <c r="AB117" s="224">
        <f t="shared" si="83"/>
        <v>254425.88263679997</v>
      </c>
      <c r="AC117" s="225">
        <f t="shared" si="84"/>
        <v>336221.33661439997</v>
      </c>
    </row>
    <row r="118" spans="2:34" s="199" customFormat="1" ht="14.4" x14ac:dyDescent="0.3">
      <c r="B118" s="226" t="s">
        <v>350</v>
      </c>
      <c r="C118" s="244" t="s">
        <v>351</v>
      </c>
      <c r="D118" s="226" t="s">
        <v>352</v>
      </c>
      <c r="E118" s="226" t="s">
        <v>353</v>
      </c>
      <c r="F118" s="210" t="s">
        <v>303</v>
      </c>
      <c r="G118" s="210" t="s">
        <v>304</v>
      </c>
      <c r="H118" s="210" t="s">
        <v>354</v>
      </c>
      <c r="I118" s="227">
        <v>41339</v>
      </c>
      <c r="J118" s="214" t="s">
        <v>306</v>
      </c>
      <c r="K118" s="215">
        <v>30</v>
      </c>
      <c r="L118" s="216">
        <f>286496+(286496*3.7%)</f>
        <v>297096.35200000001</v>
      </c>
      <c r="M118" s="216">
        <v>29753</v>
      </c>
      <c r="N118" s="216">
        <v>0</v>
      </c>
      <c r="O118" s="216">
        <v>0</v>
      </c>
      <c r="P118" s="217">
        <f t="shared" si="77"/>
        <v>326849.35200000001</v>
      </c>
      <c r="Q118" s="218">
        <f>12992+(12992*3.7%)</f>
        <v>13472.704</v>
      </c>
      <c r="R118" s="219">
        <f t="shared" si="78"/>
        <v>340322.05600000004</v>
      </c>
      <c r="S118" s="218">
        <f t="shared" si="79"/>
        <v>3758.7675480000003</v>
      </c>
      <c r="T118" s="218"/>
      <c r="U118" s="218">
        <f t="shared" si="85"/>
        <v>7844.3844480000007</v>
      </c>
      <c r="V118" s="218">
        <f t="shared" si="80"/>
        <v>4216.3566408000006</v>
      </c>
      <c r="W118" s="220">
        <f t="shared" si="81"/>
        <v>356141.56463680003</v>
      </c>
      <c r="X118" s="221">
        <f>P118*11.54%</f>
        <v>37718.415220800001</v>
      </c>
      <c r="Y118" s="222" t="s">
        <v>314</v>
      </c>
      <c r="Z118" s="221">
        <f t="shared" si="82"/>
        <v>22879.454640000004</v>
      </c>
      <c r="AA118" s="223">
        <v>0</v>
      </c>
      <c r="AB118" s="224">
        <f t="shared" si="83"/>
        <v>266251.48213919997</v>
      </c>
      <c r="AC118" s="225">
        <f t="shared" si="84"/>
        <v>356141.56463680003</v>
      </c>
    </row>
    <row r="119" spans="2:34" s="199" customFormat="1" ht="14.4" x14ac:dyDescent="0.3">
      <c r="B119" s="369" t="s">
        <v>356</v>
      </c>
      <c r="C119" s="370"/>
      <c r="D119" s="370"/>
      <c r="E119" s="370"/>
      <c r="F119" s="370"/>
      <c r="G119" s="370"/>
      <c r="H119" s="370"/>
      <c r="I119" s="370"/>
      <c r="J119" s="371"/>
      <c r="K119" s="215"/>
      <c r="L119" s="216">
        <f t="shared" ref="L119:S119" si="87">SUM(L108:L118)</f>
        <v>3851124.5289999996</v>
      </c>
      <c r="M119" s="216">
        <f t="shared" si="87"/>
        <v>158492</v>
      </c>
      <c r="N119" s="216">
        <f t="shared" si="87"/>
        <v>85702</v>
      </c>
      <c r="O119" s="216">
        <f t="shared" si="87"/>
        <v>0</v>
      </c>
      <c r="P119" s="217">
        <f t="shared" si="87"/>
        <v>4095318.5289999996</v>
      </c>
      <c r="Q119" s="216">
        <f t="shared" si="87"/>
        <v>123329.37299999999</v>
      </c>
      <c r="R119" s="219">
        <f t="shared" si="87"/>
        <v>4218647.9019999998</v>
      </c>
      <c r="S119" s="216">
        <f t="shared" si="87"/>
        <v>47096.163083500003</v>
      </c>
      <c r="T119" s="216"/>
      <c r="U119" s="216">
        <f>SUM(U108:U118)</f>
        <v>98287.644695999988</v>
      </c>
      <c r="V119" s="216">
        <f>SUM(V108:V118)</f>
        <v>52829.609024099991</v>
      </c>
      <c r="W119" s="220">
        <f>SUM(W108:W118)</f>
        <v>4416861.3188036</v>
      </c>
      <c r="X119" s="247">
        <f>SUM(X108:X118)</f>
        <v>435163.51835270005</v>
      </c>
      <c r="Y119" s="216"/>
      <c r="Z119" s="216">
        <f>SUM(Z108:Z118)</f>
        <v>286672.29703000007</v>
      </c>
      <c r="AA119" s="216">
        <f>SUM(AA108:AA118)</f>
        <v>0</v>
      </c>
      <c r="AB119" s="216">
        <f>SUM(AB108:AB118)</f>
        <v>3373482.7136173001</v>
      </c>
      <c r="AC119" s="225">
        <f>SUM(AC108:AC118)</f>
        <v>4416861.3188036</v>
      </c>
    </row>
    <row r="120" spans="2:34" s="199" customFormat="1" ht="15" thickBot="1" x14ac:dyDescent="0.35">
      <c r="B120" s="248"/>
      <c r="C120" s="248"/>
      <c r="D120" s="248"/>
      <c r="E120" s="248"/>
      <c r="F120" s="248"/>
      <c r="G120" s="248"/>
      <c r="H120" s="248"/>
      <c r="I120" s="248"/>
      <c r="J120" s="248"/>
      <c r="K120" s="249"/>
      <c r="L120" s="250"/>
      <c r="M120" s="250"/>
      <c r="N120" s="250"/>
      <c r="O120" s="250"/>
      <c r="P120" s="250"/>
      <c r="Q120" s="250"/>
      <c r="R120" s="250"/>
      <c r="S120" s="250"/>
      <c r="T120" s="250"/>
      <c r="U120" s="250"/>
      <c r="V120" s="250"/>
      <c r="W120" s="250"/>
      <c r="X120" s="251"/>
      <c r="Y120" s="250"/>
      <c r="Z120" s="250"/>
      <c r="AA120" s="250"/>
      <c r="AB120" s="250"/>
      <c r="AC120" s="250"/>
    </row>
    <row r="121" spans="2:34" ht="15" thickBot="1" x14ac:dyDescent="0.35">
      <c r="B121" s="367" t="s">
        <v>367</v>
      </c>
      <c r="C121" s="368"/>
    </row>
    <row r="122" spans="2:34" s="199" customFormat="1" ht="14.4" x14ac:dyDescent="0.3">
      <c r="B122" s="201" t="s">
        <v>270</v>
      </c>
      <c r="C122" s="201" t="s">
        <v>271</v>
      </c>
      <c r="D122" s="201" t="s">
        <v>272</v>
      </c>
      <c r="E122" s="201" t="s">
        <v>273</v>
      </c>
      <c r="F122" s="201" t="s">
        <v>274</v>
      </c>
      <c r="G122" s="201" t="s">
        <v>275</v>
      </c>
      <c r="H122" s="201" t="s">
        <v>276</v>
      </c>
      <c r="I122" s="201" t="s">
        <v>277</v>
      </c>
      <c r="J122" s="201" t="s">
        <v>278</v>
      </c>
      <c r="K122" s="201" t="s">
        <v>279</v>
      </c>
      <c r="L122" s="202" t="s">
        <v>280</v>
      </c>
      <c r="M122" s="202" t="s">
        <v>281</v>
      </c>
      <c r="N122" s="202" t="s">
        <v>282</v>
      </c>
      <c r="O122" s="202" t="s">
        <v>283</v>
      </c>
      <c r="P122" s="203" t="s">
        <v>284</v>
      </c>
      <c r="Q122" s="202" t="s">
        <v>285</v>
      </c>
      <c r="R122" s="253" t="s">
        <v>286</v>
      </c>
      <c r="S122" s="206" t="s">
        <v>287</v>
      </c>
      <c r="T122" s="206"/>
      <c r="U122" s="206" t="s">
        <v>288</v>
      </c>
      <c r="V122" s="206" t="s">
        <v>289</v>
      </c>
      <c r="W122" s="207" t="s">
        <v>290</v>
      </c>
      <c r="X122" s="208" t="s">
        <v>291</v>
      </c>
      <c r="Y122" s="208" t="s">
        <v>292</v>
      </c>
      <c r="Z122" s="208" t="s">
        <v>293</v>
      </c>
      <c r="AA122" s="206" t="s">
        <v>294</v>
      </c>
      <c r="AB122" s="206" t="s">
        <v>295</v>
      </c>
      <c r="AC122" s="206" t="s">
        <v>296</v>
      </c>
      <c r="AD122" s="206" t="s">
        <v>368</v>
      </c>
      <c r="AE122" s="206" t="s">
        <v>287</v>
      </c>
      <c r="AF122" s="206" t="s">
        <v>288</v>
      </c>
      <c r="AG122" s="206" t="s">
        <v>289</v>
      </c>
      <c r="AH122" s="209" t="s">
        <v>298</v>
      </c>
    </row>
    <row r="123" spans="2:34" s="199" customFormat="1" ht="14.4" x14ac:dyDescent="0.3">
      <c r="B123" s="210" t="s">
        <v>299</v>
      </c>
      <c r="C123" s="211" t="s">
        <v>300</v>
      </c>
      <c r="D123" s="212" t="s">
        <v>301</v>
      </c>
      <c r="E123" s="212" t="s">
        <v>302</v>
      </c>
      <c r="F123" s="210" t="s">
        <v>303</v>
      </c>
      <c r="G123" s="210" t="s">
        <v>304</v>
      </c>
      <c r="H123" s="210" t="s">
        <v>305</v>
      </c>
      <c r="I123" s="213">
        <v>42453</v>
      </c>
      <c r="J123" s="214" t="s">
        <v>306</v>
      </c>
      <c r="K123" s="215">
        <v>30</v>
      </c>
      <c r="L123" s="216">
        <f>593728+(593728*3.7%)</f>
        <v>615695.93599999999</v>
      </c>
      <c r="M123" s="216">
        <v>35275</v>
      </c>
      <c r="N123" s="216">
        <v>85702</v>
      </c>
      <c r="O123" s="216">
        <v>0</v>
      </c>
      <c r="P123" s="217">
        <f t="shared" ref="P123:P133" si="88">SUM(L123:O123)</f>
        <v>736672.93599999999</v>
      </c>
      <c r="Q123" s="218">
        <f>11724+(11724*3.7%)</f>
        <v>12157.788</v>
      </c>
      <c r="R123" s="219">
        <f t="shared" ref="R123:R133" si="89">Q123+P123</f>
        <v>748830.72399999993</v>
      </c>
      <c r="S123" s="218">
        <f t="shared" ref="S123:S133" si="90">P123*1.15%</f>
        <v>8471.7387639999997</v>
      </c>
      <c r="T123" s="218"/>
      <c r="U123" s="218">
        <f>P123*2.4%</f>
        <v>17680.150463999998</v>
      </c>
      <c r="V123" s="218">
        <f t="shared" ref="V123:V133" si="91">P123*1.29%</f>
        <v>9503.0808744000005</v>
      </c>
      <c r="W123" s="220">
        <f t="shared" ref="W123:W133" si="92">V123+U123+S123+R123</f>
        <v>784485.69410239998</v>
      </c>
      <c r="X123" s="221">
        <f>P123*10.14%</f>
        <v>74698.635710400005</v>
      </c>
      <c r="Y123" s="222" t="s">
        <v>307</v>
      </c>
      <c r="Z123" s="221">
        <f t="shared" ref="Z123:Z133" si="93">P123*7%</f>
        <v>51567.105520000005</v>
      </c>
      <c r="AA123" s="223">
        <v>0</v>
      </c>
      <c r="AB123" s="224">
        <f t="shared" ref="AB123:AB133" si="94">P123-X123-Z123-AA123</f>
        <v>610407.19476959994</v>
      </c>
      <c r="AC123" s="224" t="s">
        <v>308</v>
      </c>
      <c r="AD123" s="223">
        <v>57322</v>
      </c>
      <c r="AE123" s="218">
        <f t="shared" ref="AE123:AE133" si="95">AD123*1.15%</f>
        <v>659.20299999999997</v>
      </c>
      <c r="AF123" s="218">
        <f>AD123*2.4%</f>
        <v>1375.7280000000001</v>
      </c>
      <c r="AG123" s="218">
        <f>AD123*1.29%</f>
        <v>739.4538</v>
      </c>
      <c r="AH123" s="225">
        <f t="shared" ref="AH123:AH133" si="96">W123+AD123+AE123+AF123+AG123</f>
        <v>844582.07890239998</v>
      </c>
    </row>
    <row r="124" spans="2:34" s="199" customFormat="1" ht="14.4" x14ac:dyDescent="0.3">
      <c r="B124" s="226" t="s">
        <v>309</v>
      </c>
      <c r="C124" s="211" t="s">
        <v>310</v>
      </c>
      <c r="D124" s="212" t="s">
        <v>311</v>
      </c>
      <c r="E124" s="212" t="s">
        <v>312</v>
      </c>
      <c r="F124" s="210" t="s">
        <v>303</v>
      </c>
      <c r="G124" s="210" t="s">
        <v>304</v>
      </c>
      <c r="H124" s="210" t="s">
        <v>313</v>
      </c>
      <c r="I124" s="227">
        <v>41694</v>
      </c>
      <c r="J124" s="214" t="s">
        <v>306</v>
      </c>
      <c r="K124" s="215">
        <v>30</v>
      </c>
      <c r="L124" s="216">
        <f>405712+(405712*3.7%)</f>
        <v>420723.34399999998</v>
      </c>
      <c r="M124" s="216">
        <v>35049</v>
      </c>
      <c r="N124" s="216">
        <v>0</v>
      </c>
      <c r="O124" s="216">
        <v>0</v>
      </c>
      <c r="P124" s="217">
        <f t="shared" si="88"/>
        <v>455772.34399999998</v>
      </c>
      <c r="Q124" s="218">
        <f>12606+(12606*3.7%)</f>
        <v>13072.422</v>
      </c>
      <c r="R124" s="219">
        <f>Q124+P124</f>
        <v>468844.766</v>
      </c>
      <c r="S124" s="218">
        <f t="shared" si="90"/>
        <v>5241.3819559999993</v>
      </c>
      <c r="T124" s="218"/>
      <c r="U124" s="218">
        <f t="shared" ref="U124:U133" si="97">P124*2.4%</f>
        <v>10938.536255999999</v>
      </c>
      <c r="V124" s="218">
        <f t="shared" si="91"/>
        <v>5879.4632376</v>
      </c>
      <c r="W124" s="220">
        <f t="shared" si="92"/>
        <v>490904.14744959999</v>
      </c>
      <c r="X124" s="221">
        <f>P124*11.54%</f>
        <v>52596.128497599995</v>
      </c>
      <c r="Y124" s="222" t="s">
        <v>314</v>
      </c>
      <c r="Z124" s="221">
        <f t="shared" si="93"/>
        <v>31904.06408</v>
      </c>
      <c r="AA124" s="223">
        <v>0</v>
      </c>
      <c r="AB124" s="224">
        <f t="shared" si="94"/>
        <v>371272.15142240003</v>
      </c>
      <c r="AC124" s="224" t="s">
        <v>315</v>
      </c>
      <c r="AD124" s="223">
        <v>58415</v>
      </c>
      <c r="AE124" s="218">
        <f t="shared" si="95"/>
        <v>671.77250000000004</v>
      </c>
      <c r="AF124" s="218">
        <f t="shared" ref="AF124:AF133" si="98">AD124*2.4%</f>
        <v>1401.96</v>
      </c>
      <c r="AG124" s="218">
        <f t="shared" ref="AG124:AG133" si="99">AD124*1.29%</f>
        <v>753.55349999999999</v>
      </c>
      <c r="AH124" s="225">
        <f t="shared" si="96"/>
        <v>552146.43344960001</v>
      </c>
    </row>
    <row r="125" spans="2:34" s="199" customFormat="1" ht="14.4" x14ac:dyDescent="0.3">
      <c r="B125" s="226" t="s">
        <v>316</v>
      </c>
      <c r="C125" s="211" t="s">
        <v>317</v>
      </c>
      <c r="D125" s="212" t="s">
        <v>318</v>
      </c>
      <c r="E125" s="212" t="s">
        <v>319</v>
      </c>
      <c r="F125" s="210" t="s">
        <v>303</v>
      </c>
      <c r="G125" s="210" t="s">
        <v>304</v>
      </c>
      <c r="H125" s="210" t="s">
        <v>313</v>
      </c>
      <c r="I125" s="213">
        <v>42676</v>
      </c>
      <c r="J125" s="214" t="s">
        <v>306</v>
      </c>
      <c r="K125" s="215">
        <v>30</v>
      </c>
      <c r="L125" s="216">
        <f t="shared" ref="L125:L130" si="100">352620+(352620*3.7%)</f>
        <v>365666.94</v>
      </c>
      <c r="M125" s="216">
        <v>0</v>
      </c>
      <c r="N125" s="216">
        <v>0</v>
      </c>
      <c r="O125" s="216">
        <v>0</v>
      </c>
      <c r="P125" s="217">
        <f t="shared" si="88"/>
        <v>365666.94</v>
      </c>
      <c r="Q125" s="218">
        <f>11416+(11416*3.7%)</f>
        <v>11838.392</v>
      </c>
      <c r="R125" s="219">
        <f t="shared" si="89"/>
        <v>377505.33199999999</v>
      </c>
      <c r="S125" s="218">
        <f t="shared" si="90"/>
        <v>4205.1698100000003</v>
      </c>
      <c r="T125" s="218"/>
      <c r="U125" s="218">
        <f t="shared" si="97"/>
        <v>8776.0065599999998</v>
      </c>
      <c r="V125" s="218">
        <f t="shared" si="91"/>
        <v>4717.1035259999999</v>
      </c>
      <c r="W125" s="220">
        <f t="shared" si="92"/>
        <v>395203.61189599999</v>
      </c>
      <c r="X125" s="221">
        <f>P125*10.14%</f>
        <v>37078.627716000003</v>
      </c>
      <c r="Y125" s="222" t="s">
        <v>307</v>
      </c>
      <c r="Z125" s="221">
        <f t="shared" si="93"/>
        <v>25596.685800000003</v>
      </c>
      <c r="AA125" s="223">
        <v>0</v>
      </c>
      <c r="AB125" s="224">
        <f t="shared" si="94"/>
        <v>302991.62648400001</v>
      </c>
      <c r="AC125" s="224" t="s">
        <v>315</v>
      </c>
      <c r="AD125" s="223">
        <v>58415</v>
      </c>
      <c r="AE125" s="218">
        <f t="shared" si="95"/>
        <v>671.77250000000004</v>
      </c>
      <c r="AF125" s="218">
        <f t="shared" si="98"/>
        <v>1401.96</v>
      </c>
      <c r="AG125" s="218">
        <f t="shared" si="99"/>
        <v>753.55349999999999</v>
      </c>
      <c r="AH125" s="225">
        <f t="shared" si="96"/>
        <v>456445.89789600001</v>
      </c>
    </row>
    <row r="126" spans="2:34" s="198" customFormat="1" ht="14.4" x14ac:dyDescent="0.3">
      <c r="B126" s="228" t="s">
        <v>320</v>
      </c>
      <c r="C126" s="229" t="s">
        <v>321</v>
      </c>
      <c r="D126" s="228" t="s">
        <v>322</v>
      </c>
      <c r="E126" s="228" t="s">
        <v>323</v>
      </c>
      <c r="F126" s="230" t="s">
        <v>303</v>
      </c>
      <c r="G126" s="230" t="s">
        <v>304</v>
      </c>
      <c r="H126" s="230" t="s">
        <v>313</v>
      </c>
      <c r="I126" s="231">
        <v>42531</v>
      </c>
      <c r="J126" s="232" t="s">
        <v>306</v>
      </c>
      <c r="K126" s="233">
        <v>30</v>
      </c>
      <c r="L126" s="234"/>
      <c r="M126" s="234"/>
      <c r="N126" s="234">
        <v>0</v>
      </c>
      <c r="O126" s="234">
        <v>0</v>
      </c>
      <c r="P126" s="235">
        <f t="shared" si="88"/>
        <v>0</v>
      </c>
      <c r="Q126" s="236"/>
      <c r="R126" s="237"/>
      <c r="S126" s="236">
        <f t="shared" si="90"/>
        <v>0</v>
      </c>
      <c r="T126" s="236"/>
      <c r="U126" s="236">
        <f t="shared" si="97"/>
        <v>0</v>
      </c>
      <c r="V126" s="236">
        <f t="shared" si="91"/>
        <v>0</v>
      </c>
      <c r="W126" s="238">
        <f t="shared" si="92"/>
        <v>0</v>
      </c>
      <c r="X126" s="239">
        <f>P126*10.77%</f>
        <v>0</v>
      </c>
      <c r="Y126" s="240" t="s">
        <v>324</v>
      </c>
      <c r="Z126" s="239">
        <f t="shared" si="93"/>
        <v>0</v>
      </c>
      <c r="AA126" s="239">
        <v>0</v>
      </c>
      <c r="AB126" s="241">
        <f t="shared" si="94"/>
        <v>0</v>
      </c>
      <c r="AC126" s="241" t="s">
        <v>315</v>
      </c>
      <c r="AD126" s="239">
        <v>0</v>
      </c>
      <c r="AE126" s="236">
        <f t="shared" si="95"/>
        <v>0</v>
      </c>
      <c r="AF126" s="236">
        <f t="shared" si="98"/>
        <v>0</v>
      </c>
      <c r="AG126" s="236">
        <f t="shared" si="99"/>
        <v>0</v>
      </c>
      <c r="AH126" s="242">
        <f t="shared" si="96"/>
        <v>0</v>
      </c>
    </row>
    <row r="127" spans="2:34" s="199" customFormat="1" ht="14.4" x14ac:dyDescent="0.3">
      <c r="B127" s="226" t="s">
        <v>325</v>
      </c>
      <c r="C127" s="211" t="s">
        <v>321</v>
      </c>
      <c r="D127" s="212" t="s">
        <v>326</v>
      </c>
      <c r="E127" s="212" t="s">
        <v>327</v>
      </c>
      <c r="F127" s="210" t="s">
        <v>303</v>
      </c>
      <c r="G127" s="210" t="s">
        <v>304</v>
      </c>
      <c r="H127" s="210" t="s">
        <v>313</v>
      </c>
      <c r="I127" s="213">
        <v>42461</v>
      </c>
      <c r="J127" s="214" t="s">
        <v>306</v>
      </c>
      <c r="K127" s="215">
        <v>30</v>
      </c>
      <c r="L127" s="216">
        <f t="shared" si="100"/>
        <v>365666.94</v>
      </c>
      <c r="M127" s="216">
        <v>23366</v>
      </c>
      <c r="N127" s="216">
        <v>0</v>
      </c>
      <c r="O127" s="216">
        <v>0</v>
      </c>
      <c r="P127" s="217">
        <f t="shared" si="88"/>
        <v>389032.94</v>
      </c>
      <c r="Q127" s="218">
        <f>11724+(11724*3.7%)</f>
        <v>12157.788</v>
      </c>
      <c r="R127" s="219">
        <f t="shared" si="89"/>
        <v>401190.728</v>
      </c>
      <c r="S127" s="218">
        <f t="shared" si="90"/>
        <v>4473.8788100000002</v>
      </c>
      <c r="T127" s="218"/>
      <c r="U127" s="218">
        <f t="shared" si="97"/>
        <v>9336.7905599999995</v>
      </c>
      <c r="V127" s="218">
        <f t="shared" si="91"/>
        <v>5018.5249260000001</v>
      </c>
      <c r="W127" s="220">
        <f t="shared" si="92"/>
        <v>420019.922296</v>
      </c>
      <c r="X127" s="221">
        <f>P127*10.14%</f>
        <v>39447.940116000005</v>
      </c>
      <c r="Y127" s="222" t="s">
        <v>307</v>
      </c>
      <c r="Z127" s="221">
        <f t="shared" si="93"/>
        <v>27232.305800000002</v>
      </c>
      <c r="AA127" s="223">
        <v>0</v>
      </c>
      <c r="AB127" s="224">
        <f t="shared" si="94"/>
        <v>322352.69408399996</v>
      </c>
      <c r="AC127" s="224" t="s">
        <v>315</v>
      </c>
      <c r="AD127" s="223">
        <v>58415</v>
      </c>
      <c r="AE127" s="218">
        <f t="shared" si="95"/>
        <v>671.77250000000004</v>
      </c>
      <c r="AF127" s="218">
        <f t="shared" si="98"/>
        <v>1401.96</v>
      </c>
      <c r="AG127" s="218">
        <f t="shared" si="99"/>
        <v>753.55349999999999</v>
      </c>
      <c r="AH127" s="225">
        <f t="shared" si="96"/>
        <v>481262.20829600003</v>
      </c>
    </row>
    <row r="128" spans="2:34" s="199" customFormat="1" ht="14.4" x14ac:dyDescent="0.3">
      <c r="B128" s="226" t="s">
        <v>328</v>
      </c>
      <c r="C128" s="211" t="s">
        <v>329</v>
      </c>
      <c r="D128" s="212" t="s">
        <v>330</v>
      </c>
      <c r="E128" s="212" t="s">
        <v>331</v>
      </c>
      <c r="F128" s="210" t="s">
        <v>303</v>
      </c>
      <c r="G128" s="210" t="s">
        <v>304</v>
      </c>
      <c r="H128" s="210" t="s">
        <v>313</v>
      </c>
      <c r="I128" s="213">
        <v>42786</v>
      </c>
      <c r="J128" s="243">
        <v>42886</v>
      </c>
      <c r="K128" s="215">
        <v>30</v>
      </c>
      <c r="L128" s="216">
        <f t="shared" si="100"/>
        <v>365666.94</v>
      </c>
      <c r="M128" s="216">
        <v>0</v>
      </c>
      <c r="N128" s="216">
        <v>0</v>
      </c>
      <c r="O128" s="216">
        <v>0</v>
      </c>
      <c r="P128" s="217">
        <f t="shared" si="88"/>
        <v>365666.94</v>
      </c>
      <c r="Q128" s="218">
        <f>11416+(11416*3.7%)</f>
        <v>11838.392</v>
      </c>
      <c r="R128" s="219">
        <f t="shared" si="89"/>
        <v>377505.33199999999</v>
      </c>
      <c r="S128" s="218">
        <f t="shared" si="90"/>
        <v>4205.1698100000003</v>
      </c>
      <c r="T128" s="218"/>
      <c r="U128" s="218">
        <f t="shared" si="97"/>
        <v>8776.0065599999998</v>
      </c>
      <c r="V128" s="218">
        <f t="shared" si="91"/>
        <v>4717.1035259999999</v>
      </c>
      <c r="W128" s="220">
        <f t="shared" si="92"/>
        <v>395203.61189599999</v>
      </c>
      <c r="X128" s="221">
        <f>P128*10.14%</f>
        <v>37078.627716000003</v>
      </c>
      <c r="Y128" s="222" t="s">
        <v>307</v>
      </c>
      <c r="Z128" s="221">
        <f t="shared" si="93"/>
        <v>25596.685800000003</v>
      </c>
      <c r="AA128" s="223">
        <v>0</v>
      </c>
      <c r="AB128" s="224">
        <f t="shared" si="94"/>
        <v>302991.62648400001</v>
      </c>
      <c r="AC128" s="224" t="s">
        <v>315</v>
      </c>
      <c r="AD128" s="223">
        <v>58415</v>
      </c>
      <c r="AE128" s="218">
        <f t="shared" si="95"/>
        <v>671.77250000000004</v>
      </c>
      <c r="AF128" s="218">
        <f t="shared" si="98"/>
        <v>1401.96</v>
      </c>
      <c r="AG128" s="218">
        <f t="shared" si="99"/>
        <v>753.55349999999999</v>
      </c>
      <c r="AH128" s="225">
        <f t="shared" si="96"/>
        <v>456445.89789600001</v>
      </c>
    </row>
    <row r="129" spans="2:34" s="199" customFormat="1" ht="14.4" x14ac:dyDescent="0.3">
      <c r="B129" s="226" t="s">
        <v>332</v>
      </c>
      <c r="C129" s="211" t="s">
        <v>333</v>
      </c>
      <c r="D129" s="212" t="s">
        <v>334</v>
      </c>
      <c r="E129" s="212" t="s">
        <v>335</v>
      </c>
      <c r="F129" s="210" t="s">
        <v>303</v>
      </c>
      <c r="G129" s="210" t="s">
        <v>304</v>
      </c>
      <c r="H129" s="210" t="s">
        <v>313</v>
      </c>
      <c r="I129" s="213">
        <v>42787</v>
      </c>
      <c r="J129" s="243">
        <v>42886</v>
      </c>
      <c r="K129" s="215">
        <v>30</v>
      </c>
      <c r="L129" s="216">
        <f t="shared" si="100"/>
        <v>365666.94</v>
      </c>
      <c r="M129" s="216">
        <v>0</v>
      </c>
      <c r="N129" s="216">
        <v>0</v>
      </c>
      <c r="O129" s="216">
        <v>0</v>
      </c>
      <c r="P129" s="217">
        <f t="shared" si="88"/>
        <v>365666.94</v>
      </c>
      <c r="Q129" s="218">
        <f>11416+(11416*3.7%)</f>
        <v>11838.392</v>
      </c>
      <c r="R129" s="219">
        <f t="shared" si="89"/>
        <v>377505.33199999999</v>
      </c>
      <c r="S129" s="218">
        <f t="shared" si="90"/>
        <v>4205.1698100000003</v>
      </c>
      <c r="T129" s="218"/>
      <c r="U129" s="218">
        <f t="shared" si="97"/>
        <v>8776.0065599999998</v>
      </c>
      <c r="V129" s="218">
        <f t="shared" si="91"/>
        <v>4717.1035259999999</v>
      </c>
      <c r="W129" s="220">
        <f t="shared" si="92"/>
        <v>395203.61189599999</v>
      </c>
      <c r="X129" s="221">
        <f>P129*10.14%</f>
        <v>37078.627716000003</v>
      </c>
      <c r="Y129" s="222" t="s">
        <v>307</v>
      </c>
      <c r="Z129" s="221">
        <f t="shared" si="93"/>
        <v>25596.685800000003</v>
      </c>
      <c r="AA129" s="223">
        <v>0</v>
      </c>
      <c r="AB129" s="224">
        <f t="shared" si="94"/>
        <v>302991.62648400001</v>
      </c>
      <c r="AC129" s="224" t="s">
        <v>315</v>
      </c>
      <c r="AD129" s="223">
        <v>58415</v>
      </c>
      <c r="AE129" s="218">
        <f t="shared" si="95"/>
        <v>671.77250000000004</v>
      </c>
      <c r="AF129" s="218">
        <f t="shared" si="98"/>
        <v>1401.96</v>
      </c>
      <c r="AG129" s="218">
        <f t="shared" si="99"/>
        <v>753.55349999999999</v>
      </c>
      <c r="AH129" s="225">
        <f t="shared" si="96"/>
        <v>456445.89789600001</v>
      </c>
    </row>
    <row r="130" spans="2:34" s="199" customFormat="1" ht="14.4" x14ac:dyDescent="0.3">
      <c r="B130" s="226" t="s">
        <v>336</v>
      </c>
      <c r="C130" s="211" t="s">
        <v>337</v>
      </c>
      <c r="D130" s="212" t="s">
        <v>338</v>
      </c>
      <c r="E130" s="212" t="s">
        <v>339</v>
      </c>
      <c r="F130" s="210" t="s">
        <v>303</v>
      </c>
      <c r="G130" s="210" t="s">
        <v>304</v>
      </c>
      <c r="H130" s="210" t="s">
        <v>313</v>
      </c>
      <c r="I130" s="213">
        <v>42787</v>
      </c>
      <c r="J130" s="243">
        <v>42886</v>
      </c>
      <c r="K130" s="215">
        <v>30</v>
      </c>
      <c r="L130" s="216">
        <f t="shared" si="100"/>
        <v>365666.94</v>
      </c>
      <c r="M130" s="216">
        <v>0</v>
      </c>
      <c r="N130" s="216">
        <v>0</v>
      </c>
      <c r="O130" s="216">
        <v>0</v>
      </c>
      <c r="P130" s="217">
        <f t="shared" si="88"/>
        <v>365666.94</v>
      </c>
      <c r="Q130" s="218">
        <f>11416+(11416*3.7%)</f>
        <v>11838.392</v>
      </c>
      <c r="R130" s="219">
        <f t="shared" si="89"/>
        <v>377505.33199999999</v>
      </c>
      <c r="S130" s="218">
        <f t="shared" si="90"/>
        <v>4205.1698100000003</v>
      </c>
      <c r="T130" s="218"/>
      <c r="U130" s="218">
        <f t="shared" si="97"/>
        <v>8776.0065599999998</v>
      </c>
      <c r="V130" s="218">
        <f t="shared" si="91"/>
        <v>4717.1035259999999</v>
      </c>
      <c r="W130" s="220">
        <f t="shared" si="92"/>
        <v>395203.61189599999</v>
      </c>
      <c r="X130" s="221">
        <f>P130*10.77%</f>
        <v>39382.329437999993</v>
      </c>
      <c r="Y130" s="222" t="s">
        <v>324</v>
      </c>
      <c r="Z130" s="221">
        <f t="shared" si="93"/>
        <v>25596.685800000003</v>
      </c>
      <c r="AA130" s="223">
        <v>0</v>
      </c>
      <c r="AB130" s="224">
        <f t="shared" si="94"/>
        <v>300687.92476200004</v>
      </c>
      <c r="AC130" s="224" t="s">
        <v>315</v>
      </c>
      <c r="AD130" s="223">
        <v>58415</v>
      </c>
      <c r="AE130" s="218">
        <f t="shared" si="95"/>
        <v>671.77250000000004</v>
      </c>
      <c r="AF130" s="218">
        <f t="shared" si="98"/>
        <v>1401.96</v>
      </c>
      <c r="AG130" s="218">
        <f t="shared" si="99"/>
        <v>753.55349999999999</v>
      </c>
      <c r="AH130" s="225">
        <f t="shared" si="96"/>
        <v>456445.89789600001</v>
      </c>
    </row>
    <row r="131" spans="2:34" s="199" customFormat="1" ht="14.4" x14ac:dyDescent="0.3">
      <c r="B131" s="210" t="s">
        <v>340</v>
      </c>
      <c r="C131" s="244" t="s">
        <v>341</v>
      </c>
      <c r="D131" s="226" t="s">
        <v>342</v>
      </c>
      <c r="E131" s="226" t="s">
        <v>343</v>
      </c>
      <c r="F131" s="245" t="s">
        <v>303</v>
      </c>
      <c r="G131" s="245" t="s">
        <v>304</v>
      </c>
      <c r="H131" s="244" t="s">
        <v>344</v>
      </c>
      <c r="I131" s="227">
        <v>41694</v>
      </c>
      <c r="J131" s="246" t="s">
        <v>306</v>
      </c>
      <c r="K131" s="215">
        <v>30</v>
      </c>
      <c r="L131" s="216">
        <f>366313+(366313*3.7%)</f>
        <v>379866.58100000001</v>
      </c>
      <c r="M131" s="216">
        <v>35049</v>
      </c>
      <c r="N131" s="216">
        <v>0</v>
      </c>
      <c r="O131" s="216">
        <v>0</v>
      </c>
      <c r="P131" s="217">
        <f t="shared" si="88"/>
        <v>414915.58100000001</v>
      </c>
      <c r="Q131" s="218">
        <f>12803+(12803*3.7%)</f>
        <v>13276.710999999999</v>
      </c>
      <c r="R131" s="219">
        <f t="shared" si="89"/>
        <v>428192.29200000002</v>
      </c>
      <c r="S131" s="218">
        <f t="shared" si="90"/>
        <v>4771.5291815</v>
      </c>
      <c r="T131" s="218"/>
      <c r="U131" s="218">
        <f t="shared" si="97"/>
        <v>9957.9739440000012</v>
      </c>
      <c r="V131" s="218">
        <f t="shared" si="91"/>
        <v>5352.4109949000003</v>
      </c>
      <c r="W131" s="220">
        <f t="shared" si="92"/>
        <v>448274.20612039999</v>
      </c>
      <c r="X131" s="221">
        <f>P131*11.27%</f>
        <v>46760.985978699995</v>
      </c>
      <c r="Y131" s="222" t="s">
        <v>345</v>
      </c>
      <c r="Z131" s="221">
        <f t="shared" si="93"/>
        <v>29044.090670000001</v>
      </c>
      <c r="AA131" s="223">
        <v>0</v>
      </c>
      <c r="AB131" s="224">
        <f t="shared" si="94"/>
        <v>339110.50435130001</v>
      </c>
      <c r="AC131" s="224" t="s">
        <v>315</v>
      </c>
      <c r="AD131" s="223">
        <v>58415</v>
      </c>
      <c r="AE131" s="218">
        <f t="shared" si="95"/>
        <v>671.77250000000004</v>
      </c>
      <c r="AF131" s="218">
        <f t="shared" si="98"/>
        <v>1401.96</v>
      </c>
      <c r="AG131" s="218">
        <f t="shared" si="99"/>
        <v>753.55349999999999</v>
      </c>
      <c r="AH131" s="225">
        <f t="shared" si="96"/>
        <v>509516.49212040001</v>
      </c>
    </row>
    <row r="132" spans="2:34" s="199" customFormat="1" ht="14.4" x14ac:dyDescent="0.3">
      <c r="B132" s="226" t="s">
        <v>346</v>
      </c>
      <c r="C132" s="211" t="s">
        <v>347</v>
      </c>
      <c r="D132" s="212" t="s">
        <v>348</v>
      </c>
      <c r="E132" s="212" t="s">
        <v>349</v>
      </c>
      <c r="F132" s="245" t="s">
        <v>303</v>
      </c>
      <c r="G132" s="245" t="s">
        <v>304</v>
      </c>
      <c r="H132" s="244" t="s">
        <v>344</v>
      </c>
      <c r="I132" s="227">
        <v>42324</v>
      </c>
      <c r="J132" s="246" t="s">
        <v>306</v>
      </c>
      <c r="K132" s="215">
        <v>30</v>
      </c>
      <c r="L132" s="216">
        <f>298368+(298368*3.7%)</f>
        <v>309407.61599999998</v>
      </c>
      <c r="M132" s="216">
        <v>0</v>
      </c>
      <c r="N132" s="216">
        <v>0</v>
      </c>
      <c r="O132" s="216">
        <v>0</v>
      </c>
      <c r="P132" s="217">
        <f t="shared" si="88"/>
        <v>309407.61599999998</v>
      </c>
      <c r="Q132" s="218">
        <f>11416+(11416*3.7%)</f>
        <v>11838.392</v>
      </c>
      <c r="R132" s="219">
        <f t="shared" si="89"/>
        <v>321246.00799999997</v>
      </c>
      <c r="S132" s="218">
        <f t="shared" si="90"/>
        <v>3558.1875839999998</v>
      </c>
      <c r="T132" s="218"/>
      <c r="U132" s="218">
        <f t="shared" si="97"/>
        <v>7425.782784</v>
      </c>
      <c r="V132" s="218">
        <f t="shared" si="91"/>
        <v>3991.3582463999996</v>
      </c>
      <c r="W132" s="220">
        <f t="shared" si="92"/>
        <v>336221.33661439997</v>
      </c>
      <c r="X132" s="221">
        <f>P132*10.77%</f>
        <v>33323.200243199994</v>
      </c>
      <c r="Y132" s="222" t="s">
        <v>324</v>
      </c>
      <c r="Z132" s="221">
        <f t="shared" si="93"/>
        <v>21658.53312</v>
      </c>
      <c r="AA132" s="223">
        <v>0</v>
      </c>
      <c r="AB132" s="224">
        <f t="shared" si="94"/>
        <v>254425.88263679997</v>
      </c>
      <c r="AC132" s="224" t="s">
        <v>315</v>
      </c>
      <c r="AD132" s="223">
        <v>58415</v>
      </c>
      <c r="AE132" s="218">
        <f t="shared" si="95"/>
        <v>671.77250000000004</v>
      </c>
      <c r="AF132" s="218">
        <f t="shared" si="98"/>
        <v>1401.96</v>
      </c>
      <c r="AG132" s="218">
        <f t="shared" si="99"/>
        <v>753.55349999999999</v>
      </c>
      <c r="AH132" s="225">
        <f t="shared" si="96"/>
        <v>397463.6226144</v>
      </c>
    </row>
    <row r="133" spans="2:34" s="199" customFormat="1" ht="14.4" x14ac:dyDescent="0.3">
      <c r="B133" s="226" t="s">
        <v>350</v>
      </c>
      <c r="C133" s="244" t="s">
        <v>351</v>
      </c>
      <c r="D133" s="226" t="s">
        <v>352</v>
      </c>
      <c r="E133" s="226" t="s">
        <v>353</v>
      </c>
      <c r="F133" s="210" t="s">
        <v>303</v>
      </c>
      <c r="G133" s="210" t="s">
        <v>304</v>
      </c>
      <c r="H133" s="210" t="s">
        <v>354</v>
      </c>
      <c r="I133" s="227">
        <v>41339</v>
      </c>
      <c r="J133" s="214" t="s">
        <v>306</v>
      </c>
      <c r="K133" s="215">
        <v>30</v>
      </c>
      <c r="L133" s="216">
        <f>286496+(286496*3.7%)</f>
        <v>297096.35200000001</v>
      </c>
      <c r="M133" s="216">
        <v>29753</v>
      </c>
      <c r="N133" s="216">
        <v>0</v>
      </c>
      <c r="O133" s="216">
        <v>0</v>
      </c>
      <c r="P133" s="217">
        <f t="shared" si="88"/>
        <v>326849.35200000001</v>
      </c>
      <c r="Q133" s="218">
        <f>12992+(12992*3.7%)</f>
        <v>13472.704</v>
      </c>
      <c r="R133" s="219">
        <f t="shared" si="89"/>
        <v>340322.05600000004</v>
      </c>
      <c r="S133" s="218">
        <f t="shared" si="90"/>
        <v>3758.7675480000003</v>
      </c>
      <c r="T133" s="218"/>
      <c r="U133" s="218">
        <f t="shared" si="97"/>
        <v>7844.3844480000007</v>
      </c>
      <c r="V133" s="218">
        <f t="shared" si="91"/>
        <v>4216.3566408000006</v>
      </c>
      <c r="W133" s="220">
        <f t="shared" si="92"/>
        <v>356141.56463680003</v>
      </c>
      <c r="X133" s="221">
        <f>P133*11.54%</f>
        <v>37718.415220800001</v>
      </c>
      <c r="Y133" s="222" t="s">
        <v>314</v>
      </c>
      <c r="Z133" s="221">
        <f t="shared" si="93"/>
        <v>22879.454640000004</v>
      </c>
      <c r="AA133" s="223">
        <v>0</v>
      </c>
      <c r="AB133" s="224">
        <f t="shared" si="94"/>
        <v>266251.48213919997</v>
      </c>
      <c r="AC133" s="224" t="s">
        <v>355</v>
      </c>
      <c r="AD133" s="223">
        <v>57026</v>
      </c>
      <c r="AE133" s="218">
        <f t="shared" si="95"/>
        <v>655.79899999999998</v>
      </c>
      <c r="AF133" s="218">
        <f t="shared" si="98"/>
        <v>1368.624</v>
      </c>
      <c r="AG133" s="218">
        <f t="shared" si="99"/>
        <v>735.6354</v>
      </c>
      <c r="AH133" s="225">
        <f t="shared" si="96"/>
        <v>415927.62303680007</v>
      </c>
    </row>
    <row r="134" spans="2:34" s="199" customFormat="1" ht="14.4" x14ac:dyDescent="0.3">
      <c r="B134" s="369" t="s">
        <v>356</v>
      </c>
      <c r="C134" s="370"/>
      <c r="D134" s="370"/>
      <c r="E134" s="370"/>
      <c r="F134" s="370"/>
      <c r="G134" s="370"/>
      <c r="H134" s="370"/>
      <c r="I134" s="370"/>
      <c r="J134" s="371"/>
      <c r="K134" s="215"/>
      <c r="L134" s="216">
        <f t="shared" ref="L134:S134" si="101">SUM(L123:L133)</f>
        <v>3851124.5289999996</v>
      </c>
      <c r="M134" s="216">
        <f t="shared" si="101"/>
        <v>158492</v>
      </c>
      <c r="N134" s="216">
        <f t="shared" si="101"/>
        <v>85702</v>
      </c>
      <c r="O134" s="216">
        <f t="shared" si="101"/>
        <v>0</v>
      </c>
      <c r="P134" s="217">
        <f t="shared" si="101"/>
        <v>4095318.5289999996</v>
      </c>
      <c r="Q134" s="216">
        <f t="shared" si="101"/>
        <v>123329.37299999999</v>
      </c>
      <c r="R134" s="219">
        <f t="shared" si="101"/>
        <v>4218647.9019999998</v>
      </c>
      <c r="S134" s="216">
        <f t="shared" si="101"/>
        <v>47096.163083500003</v>
      </c>
      <c r="T134" s="216"/>
      <c r="U134" s="216">
        <f>SUM(U123:U133)</f>
        <v>98287.644695999988</v>
      </c>
      <c r="V134" s="216">
        <f>SUM(V123:V133)</f>
        <v>52829.609024099991</v>
      </c>
      <c r="W134" s="220">
        <f>SUM(W123:W133)</f>
        <v>4416861.3188036</v>
      </c>
      <c r="X134" s="247">
        <f>SUM(X123:X133)</f>
        <v>435163.51835270005</v>
      </c>
      <c r="Y134" s="216"/>
      <c r="Z134" s="216">
        <f>SUM(Z123:Z133)</f>
        <v>286672.29703000007</v>
      </c>
      <c r="AA134" s="216">
        <f>SUM(AA123:AA133)</f>
        <v>0</v>
      </c>
      <c r="AB134" s="216">
        <f>SUM(AB123:AB133)</f>
        <v>3373482.7136173001</v>
      </c>
      <c r="AC134" s="224"/>
      <c r="AD134" s="216">
        <f>SUM(AD123:AD133)</f>
        <v>581668</v>
      </c>
      <c r="AE134" s="216">
        <f>SUM(AE123:AE133)</f>
        <v>6689.1819999999998</v>
      </c>
      <c r="AF134" s="216">
        <f>SUM(AF123:AF133)</f>
        <v>13960.031999999999</v>
      </c>
      <c r="AG134" s="216">
        <f>SUM(AG123:AG133)</f>
        <v>7503.5172000000002</v>
      </c>
      <c r="AH134" s="225">
        <f>SUM(AH123:AH133)</f>
        <v>5026682.0500036012</v>
      </c>
    </row>
    <row r="135" spans="2:34" s="199" customFormat="1" ht="15" thickBot="1" x14ac:dyDescent="0.35">
      <c r="B135" s="248"/>
      <c r="C135" s="248"/>
      <c r="D135" s="248"/>
      <c r="E135" s="248"/>
      <c r="F135" s="248"/>
      <c r="G135" s="248"/>
      <c r="H135" s="248"/>
      <c r="I135" s="248"/>
      <c r="J135" s="248"/>
      <c r="K135" s="249"/>
      <c r="L135" s="250"/>
      <c r="M135" s="250"/>
      <c r="N135" s="250"/>
      <c r="O135" s="250"/>
      <c r="P135" s="250"/>
      <c r="Q135" s="250"/>
      <c r="R135" s="250"/>
      <c r="S135" s="250"/>
      <c r="T135" s="250"/>
      <c r="U135" s="250"/>
      <c r="V135" s="250"/>
      <c r="W135" s="250"/>
      <c r="X135" s="251"/>
      <c r="Y135" s="250"/>
      <c r="Z135" s="250"/>
      <c r="AA135" s="250"/>
      <c r="AB135" s="250"/>
      <c r="AC135" s="252"/>
      <c r="AD135" s="275">
        <f>SUM(AD123:AD134)</f>
        <v>1163336</v>
      </c>
      <c r="AE135" s="250"/>
      <c r="AF135" s="250"/>
      <c r="AG135" s="250"/>
      <c r="AH135" s="250"/>
    </row>
    <row r="136" spans="2:34" ht="15" thickBot="1" x14ac:dyDescent="0.35">
      <c r="B136" s="367" t="s">
        <v>369</v>
      </c>
      <c r="C136" s="368"/>
    </row>
    <row r="137" spans="2:34" s="199" customFormat="1" ht="14.4" x14ac:dyDescent="0.3">
      <c r="B137" s="201" t="s">
        <v>270</v>
      </c>
      <c r="C137" s="201" t="s">
        <v>271</v>
      </c>
      <c r="D137" s="201" t="s">
        <v>272</v>
      </c>
      <c r="E137" s="201" t="s">
        <v>273</v>
      </c>
      <c r="F137" s="201" t="s">
        <v>274</v>
      </c>
      <c r="G137" s="201" t="s">
        <v>275</v>
      </c>
      <c r="H137" s="201" t="s">
        <v>276</v>
      </c>
      <c r="I137" s="201" t="s">
        <v>277</v>
      </c>
      <c r="J137" s="201" t="s">
        <v>278</v>
      </c>
      <c r="K137" s="201" t="s">
        <v>279</v>
      </c>
      <c r="L137" s="202" t="s">
        <v>280</v>
      </c>
      <c r="M137" s="202" t="s">
        <v>281</v>
      </c>
      <c r="N137" s="202" t="s">
        <v>282</v>
      </c>
      <c r="O137" s="202" t="s">
        <v>283</v>
      </c>
      <c r="P137" s="203" t="s">
        <v>284</v>
      </c>
      <c r="Q137" s="202" t="s">
        <v>285</v>
      </c>
      <c r="R137" s="253" t="s">
        <v>286</v>
      </c>
      <c r="S137" s="206" t="s">
        <v>287</v>
      </c>
      <c r="T137" s="206"/>
      <c r="U137" s="206" t="s">
        <v>288</v>
      </c>
      <c r="V137" s="206" t="s">
        <v>289</v>
      </c>
      <c r="W137" s="207" t="s">
        <v>290</v>
      </c>
      <c r="X137" s="208" t="s">
        <v>291</v>
      </c>
      <c r="Y137" s="208" t="s">
        <v>292</v>
      </c>
      <c r="Z137" s="208" t="s">
        <v>293</v>
      </c>
      <c r="AA137" s="206" t="s">
        <v>294</v>
      </c>
      <c r="AB137" s="206" t="s">
        <v>295</v>
      </c>
      <c r="AC137" s="209" t="s">
        <v>298</v>
      </c>
    </row>
    <row r="138" spans="2:34" s="199" customFormat="1" ht="14.4" x14ac:dyDescent="0.3">
      <c r="B138" s="210" t="s">
        <v>299</v>
      </c>
      <c r="C138" s="211" t="s">
        <v>300</v>
      </c>
      <c r="D138" s="212" t="s">
        <v>301</v>
      </c>
      <c r="E138" s="212" t="s">
        <v>302</v>
      </c>
      <c r="F138" s="210" t="s">
        <v>303</v>
      </c>
      <c r="G138" s="210" t="s">
        <v>304</v>
      </c>
      <c r="H138" s="210" t="s">
        <v>305</v>
      </c>
      <c r="I138" s="213">
        <v>42453</v>
      </c>
      <c r="J138" s="214" t="s">
        <v>306</v>
      </c>
      <c r="K138" s="215">
        <v>30</v>
      </c>
      <c r="L138" s="216">
        <f>593728+(593728*3.7%)</f>
        <v>615695.93599999999</v>
      </c>
      <c r="M138" s="216">
        <v>35275</v>
      </c>
      <c r="N138" s="216">
        <v>85702</v>
      </c>
      <c r="O138" s="216">
        <v>0</v>
      </c>
      <c r="P138" s="217">
        <f t="shared" ref="P138:P151" si="102">SUM(L138:O138)</f>
        <v>736672.93599999999</v>
      </c>
      <c r="Q138" s="218">
        <f>11724+(11724*3.7%)</f>
        <v>12157.788</v>
      </c>
      <c r="R138" s="219">
        <f t="shared" ref="R138:R151" si="103">Q138+P138</f>
        <v>748830.72399999993</v>
      </c>
      <c r="S138" s="218">
        <f t="shared" ref="S138:S151" si="104">P138*1.15%</f>
        <v>8471.7387639999997</v>
      </c>
      <c r="T138" s="218"/>
      <c r="U138" s="218">
        <f>P138*2.4%</f>
        <v>17680.150463999998</v>
      </c>
      <c r="V138" s="218">
        <f t="shared" ref="V138:V151" si="105">P138*1.29%</f>
        <v>9503.0808744000005</v>
      </c>
      <c r="W138" s="220">
        <f>V138+U138+S138+R138</f>
        <v>784485.69410239998</v>
      </c>
      <c r="X138" s="221">
        <f>P138*10.14%</f>
        <v>74698.635710400005</v>
      </c>
      <c r="Y138" s="222" t="s">
        <v>307</v>
      </c>
      <c r="Z138" s="221">
        <f t="shared" ref="Z138:Z151" si="106">P138*7%</f>
        <v>51567.105520000005</v>
      </c>
      <c r="AA138" s="223">
        <v>0</v>
      </c>
      <c r="AB138" s="224">
        <f t="shared" ref="AB138:AB151" si="107">P138-X138-Z138-AA138</f>
        <v>610407.19476959994</v>
      </c>
      <c r="AC138" s="225">
        <f t="shared" ref="AC138:AC151" si="108">W138</f>
        <v>784485.69410239998</v>
      </c>
    </row>
    <row r="139" spans="2:34" s="199" customFormat="1" ht="14.4" x14ac:dyDescent="0.3">
      <c r="B139" s="210"/>
      <c r="C139" s="211"/>
      <c r="D139" s="212"/>
      <c r="E139" s="212"/>
      <c r="F139" s="210"/>
      <c r="G139" s="210"/>
      <c r="H139" s="210"/>
      <c r="I139" s="213"/>
      <c r="J139" s="214"/>
      <c r="K139" s="215"/>
      <c r="L139" s="216"/>
      <c r="M139" s="216"/>
      <c r="N139" s="216"/>
      <c r="O139" s="216"/>
      <c r="P139" s="217"/>
      <c r="Q139" s="218"/>
      <c r="R139" s="219"/>
      <c r="S139" s="218"/>
      <c r="T139" s="218"/>
      <c r="U139" s="218"/>
      <c r="V139" s="218"/>
      <c r="W139" s="220"/>
      <c r="X139" s="221"/>
      <c r="Y139" s="222"/>
      <c r="Z139" s="221"/>
      <c r="AA139" s="223"/>
      <c r="AB139" s="224"/>
      <c r="AC139" s="225"/>
    </row>
    <row r="140" spans="2:34" s="199" customFormat="1" ht="13.95" customHeight="1" x14ac:dyDescent="0.3">
      <c r="B140" s="226" t="s">
        <v>309</v>
      </c>
      <c r="C140" s="211" t="s">
        <v>310</v>
      </c>
      <c r="D140" s="212" t="s">
        <v>311</v>
      </c>
      <c r="E140" s="212" t="s">
        <v>312</v>
      </c>
      <c r="F140" s="210" t="s">
        <v>303</v>
      </c>
      <c r="G140" s="210" t="s">
        <v>304</v>
      </c>
      <c r="H140" s="210" t="s">
        <v>313</v>
      </c>
      <c r="I140" s="227">
        <v>41694</v>
      </c>
      <c r="J140" s="214" t="s">
        <v>306</v>
      </c>
      <c r="K140" s="215">
        <v>30</v>
      </c>
      <c r="L140" s="216">
        <f>405712+(405712*3.7%)</f>
        <v>420723.34399999998</v>
      </c>
      <c r="M140" s="216">
        <v>35049</v>
      </c>
      <c r="N140" s="216">
        <v>0</v>
      </c>
      <c r="O140" s="216">
        <v>0</v>
      </c>
      <c r="P140" s="217">
        <f t="shared" si="102"/>
        <v>455772.34399999998</v>
      </c>
      <c r="Q140" s="218">
        <f>12606+(12606*3.7%)</f>
        <v>13072.422</v>
      </c>
      <c r="R140" s="219">
        <f>Q140+P140</f>
        <v>468844.766</v>
      </c>
      <c r="S140" s="218">
        <f t="shared" si="104"/>
        <v>5241.3819559999993</v>
      </c>
      <c r="T140" s="218"/>
      <c r="U140" s="218">
        <f t="shared" ref="U140:U151" si="109">P140*2.4%</f>
        <v>10938.536255999999</v>
      </c>
      <c r="V140" s="218">
        <f t="shared" si="105"/>
        <v>5879.4632376</v>
      </c>
      <c r="W140" s="220">
        <f t="shared" ref="W140:W151" si="110">V140+U140+S140+R140</f>
        <v>490904.14744959999</v>
      </c>
      <c r="X140" s="221">
        <f>P140*11.54%</f>
        <v>52596.128497599995</v>
      </c>
      <c r="Y140" s="222" t="s">
        <v>314</v>
      </c>
      <c r="Z140" s="221">
        <f t="shared" si="106"/>
        <v>31904.06408</v>
      </c>
      <c r="AA140" s="223">
        <v>0</v>
      </c>
      <c r="AB140" s="224">
        <f t="shared" si="107"/>
        <v>371272.15142240003</v>
      </c>
      <c r="AC140" s="225">
        <f t="shared" si="108"/>
        <v>490904.14744959999</v>
      </c>
    </row>
    <row r="141" spans="2:34" s="199" customFormat="1" ht="14.4" x14ac:dyDescent="0.3">
      <c r="B141" s="226" t="s">
        <v>316</v>
      </c>
      <c r="C141" s="211" t="s">
        <v>317</v>
      </c>
      <c r="D141" s="212" t="s">
        <v>318</v>
      </c>
      <c r="E141" s="212" t="s">
        <v>319</v>
      </c>
      <c r="F141" s="210" t="s">
        <v>303</v>
      </c>
      <c r="G141" s="210" t="s">
        <v>304</v>
      </c>
      <c r="H141" s="210" t="s">
        <v>313</v>
      </c>
      <c r="I141" s="213">
        <v>42676</v>
      </c>
      <c r="J141" s="214" t="s">
        <v>306</v>
      </c>
      <c r="K141" s="215">
        <v>30</v>
      </c>
      <c r="L141" s="216">
        <f t="shared" ref="L141:L146" si="111">352620+(352620*3.7%)</f>
        <v>365666.94</v>
      </c>
      <c r="M141" s="216">
        <v>0</v>
      </c>
      <c r="N141" s="216">
        <v>0</v>
      </c>
      <c r="O141" s="216">
        <v>0</v>
      </c>
      <c r="P141" s="217">
        <f t="shared" si="102"/>
        <v>365666.94</v>
      </c>
      <c r="Q141" s="218">
        <f>11416+(11416*3.7%)</f>
        <v>11838.392</v>
      </c>
      <c r="R141" s="219">
        <f t="shared" si="103"/>
        <v>377505.33199999999</v>
      </c>
      <c r="S141" s="218">
        <f t="shared" si="104"/>
        <v>4205.1698100000003</v>
      </c>
      <c r="T141" s="218"/>
      <c r="U141" s="218">
        <f t="shared" si="109"/>
        <v>8776.0065599999998</v>
      </c>
      <c r="V141" s="218">
        <f t="shared" si="105"/>
        <v>4717.1035259999999</v>
      </c>
      <c r="W141" s="220">
        <f t="shared" si="110"/>
        <v>395203.61189599999</v>
      </c>
      <c r="X141" s="221">
        <f>P141*10.14%</f>
        <v>37078.627716000003</v>
      </c>
      <c r="Y141" s="222" t="s">
        <v>307</v>
      </c>
      <c r="Z141" s="221">
        <f t="shared" si="106"/>
        <v>25596.685800000003</v>
      </c>
      <c r="AA141" s="223">
        <v>0</v>
      </c>
      <c r="AB141" s="224">
        <f t="shared" si="107"/>
        <v>302991.62648400001</v>
      </c>
      <c r="AC141" s="225">
        <f t="shared" si="108"/>
        <v>395203.61189599999</v>
      </c>
    </row>
    <row r="142" spans="2:34" s="198" customFormat="1" ht="14.4" x14ac:dyDescent="0.3">
      <c r="B142" s="228" t="s">
        <v>320</v>
      </c>
      <c r="C142" s="229" t="s">
        <v>321</v>
      </c>
      <c r="D142" s="228" t="s">
        <v>322</v>
      </c>
      <c r="E142" s="228" t="s">
        <v>323</v>
      </c>
      <c r="F142" s="230" t="s">
        <v>303</v>
      </c>
      <c r="G142" s="230" t="s">
        <v>304</v>
      </c>
      <c r="H142" s="230" t="s">
        <v>313</v>
      </c>
      <c r="I142" s="231">
        <v>42531</v>
      </c>
      <c r="J142" s="232" t="s">
        <v>306</v>
      </c>
      <c r="K142" s="233">
        <v>30</v>
      </c>
      <c r="L142" s="234"/>
      <c r="M142" s="234"/>
      <c r="N142" s="234"/>
      <c r="O142" s="234">
        <v>0</v>
      </c>
      <c r="P142" s="235">
        <f t="shared" si="102"/>
        <v>0</v>
      </c>
      <c r="Q142" s="236">
        <f>11724+(11724*3.7%)</f>
        <v>12157.788</v>
      </c>
      <c r="R142" s="237"/>
      <c r="S142" s="236"/>
      <c r="T142" s="236"/>
      <c r="U142" s="236">
        <f t="shared" si="109"/>
        <v>0</v>
      </c>
      <c r="V142" s="236">
        <f t="shared" si="105"/>
        <v>0</v>
      </c>
      <c r="W142" s="238">
        <f t="shared" si="110"/>
        <v>0</v>
      </c>
      <c r="X142" s="239">
        <f>P142*10.77%</f>
        <v>0</v>
      </c>
      <c r="Y142" s="240" t="s">
        <v>324</v>
      </c>
      <c r="Z142" s="239">
        <f t="shared" si="106"/>
        <v>0</v>
      </c>
      <c r="AA142" s="239">
        <v>0</v>
      </c>
      <c r="AB142" s="241">
        <f t="shared" si="107"/>
        <v>0</v>
      </c>
      <c r="AC142" s="242">
        <f t="shared" si="108"/>
        <v>0</v>
      </c>
    </row>
    <row r="143" spans="2:34" s="199" customFormat="1" ht="14.4" x14ac:dyDescent="0.3">
      <c r="B143" s="226" t="s">
        <v>325</v>
      </c>
      <c r="C143" s="211" t="s">
        <v>321</v>
      </c>
      <c r="D143" s="212" t="s">
        <v>326</v>
      </c>
      <c r="E143" s="212" t="s">
        <v>327</v>
      </c>
      <c r="F143" s="210" t="s">
        <v>303</v>
      </c>
      <c r="G143" s="210" t="s">
        <v>304</v>
      </c>
      <c r="H143" s="210" t="s">
        <v>313</v>
      </c>
      <c r="I143" s="213">
        <v>42461</v>
      </c>
      <c r="J143" s="214" t="s">
        <v>306</v>
      </c>
      <c r="K143" s="215">
        <v>30</v>
      </c>
      <c r="L143" s="216">
        <f t="shared" si="111"/>
        <v>365666.94</v>
      </c>
      <c r="M143" s="216">
        <v>23366</v>
      </c>
      <c r="N143" s="216">
        <v>0</v>
      </c>
      <c r="O143" s="216">
        <v>0</v>
      </c>
      <c r="P143" s="217">
        <f t="shared" si="102"/>
        <v>389032.94</v>
      </c>
      <c r="Q143" s="218">
        <f>11724+(11724*3.7%)</f>
        <v>12157.788</v>
      </c>
      <c r="R143" s="219">
        <f t="shared" si="103"/>
        <v>401190.728</v>
      </c>
      <c r="S143" s="218">
        <f t="shared" si="104"/>
        <v>4473.8788100000002</v>
      </c>
      <c r="T143" s="218"/>
      <c r="U143" s="218">
        <f t="shared" si="109"/>
        <v>9336.7905599999995</v>
      </c>
      <c r="V143" s="218">
        <f t="shared" si="105"/>
        <v>5018.5249260000001</v>
      </c>
      <c r="W143" s="220">
        <f t="shared" si="110"/>
        <v>420019.922296</v>
      </c>
      <c r="X143" s="221">
        <f>P143*10.14%</f>
        <v>39447.940116000005</v>
      </c>
      <c r="Y143" s="222" t="s">
        <v>307</v>
      </c>
      <c r="Z143" s="221">
        <f t="shared" si="106"/>
        <v>27232.305800000002</v>
      </c>
      <c r="AA143" s="223">
        <v>0</v>
      </c>
      <c r="AB143" s="224">
        <f t="shared" si="107"/>
        <v>322352.69408399996</v>
      </c>
      <c r="AC143" s="225">
        <f t="shared" si="108"/>
        <v>420019.922296</v>
      </c>
    </row>
    <row r="144" spans="2:34" s="199" customFormat="1" ht="14.4" x14ac:dyDescent="0.3">
      <c r="B144" s="226" t="s">
        <v>328</v>
      </c>
      <c r="C144" s="211" t="s">
        <v>329</v>
      </c>
      <c r="D144" s="212" t="s">
        <v>330</v>
      </c>
      <c r="E144" s="212" t="s">
        <v>331</v>
      </c>
      <c r="F144" s="210" t="s">
        <v>303</v>
      </c>
      <c r="G144" s="210" t="s">
        <v>304</v>
      </c>
      <c r="H144" s="210" t="s">
        <v>313</v>
      </c>
      <c r="I144" s="213">
        <v>42786</v>
      </c>
      <c r="J144" s="243">
        <v>42886</v>
      </c>
      <c r="K144" s="215">
        <v>30</v>
      </c>
      <c r="L144" s="216">
        <f t="shared" si="111"/>
        <v>365666.94</v>
      </c>
      <c r="M144" s="216">
        <v>0</v>
      </c>
      <c r="N144" s="216">
        <v>0</v>
      </c>
      <c r="O144" s="216">
        <v>0</v>
      </c>
      <c r="P144" s="217">
        <f t="shared" si="102"/>
        <v>365666.94</v>
      </c>
      <c r="Q144" s="218">
        <f>11416+(11416*3.7%)</f>
        <v>11838.392</v>
      </c>
      <c r="R144" s="219">
        <f t="shared" si="103"/>
        <v>377505.33199999999</v>
      </c>
      <c r="S144" s="218">
        <f t="shared" si="104"/>
        <v>4205.1698100000003</v>
      </c>
      <c r="T144" s="218"/>
      <c r="U144" s="218">
        <f t="shared" si="109"/>
        <v>8776.0065599999998</v>
      </c>
      <c r="V144" s="218">
        <f t="shared" si="105"/>
        <v>4717.1035259999999</v>
      </c>
      <c r="W144" s="220">
        <f t="shared" si="110"/>
        <v>395203.61189599999</v>
      </c>
      <c r="X144" s="221">
        <f>P144*10.14%</f>
        <v>37078.627716000003</v>
      </c>
      <c r="Y144" s="222" t="s">
        <v>307</v>
      </c>
      <c r="Z144" s="221">
        <f t="shared" si="106"/>
        <v>25596.685800000003</v>
      </c>
      <c r="AA144" s="223">
        <v>0</v>
      </c>
      <c r="AB144" s="224">
        <f t="shared" si="107"/>
        <v>302991.62648400001</v>
      </c>
      <c r="AC144" s="225">
        <f t="shared" si="108"/>
        <v>395203.61189599999</v>
      </c>
    </row>
    <row r="145" spans="2:29" s="199" customFormat="1" ht="14.4" x14ac:dyDescent="0.3">
      <c r="B145" s="226" t="s">
        <v>332</v>
      </c>
      <c r="C145" s="211" t="s">
        <v>333</v>
      </c>
      <c r="D145" s="212" t="s">
        <v>334</v>
      </c>
      <c r="E145" s="212" t="s">
        <v>335</v>
      </c>
      <c r="F145" s="210" t="s">
        <v>303</v>
      </c>
      <c r="G145" s="210" t="s">
        <v>304</v>
      </c>
      <c r="H145" s="210" t="s">
        <v>313</v>
      </c>
      <c r="I145" s="213">
        <v>42787</v>
      </c>
      <c r="J145" s="243">
        <v>42886</v>
      </c>
      <c r="K145" s="215">
        <v>30</v>
      </c>
      <c r="L145" s="216">
        <f t="shared" si="111"/>
        <v>365666.94</v>
      </c>
      <c r="M145" s="216">
        <v>0</v>
      </c>
      <c r="N145" s="216">
        <v>0</v>
      </c>
      <c r="O145" s="216">
        <v>0</v>
      </c>
      <c r="P145" s="217">
        <f t="shared" si="102"/>
        <v>365666.94</v>
      </c>
      <c r="Q145" s="218">
        <f>11416+(11416*3.7%)</f>
        <v>11838.392</v>
      </c>
      <c r="R145" s="219">
        <f t="shared" si="103"/>
        <v>377505.33199999999</v>
      </c>
      <c r="S145" s="218">
        <f t="shared" si="104"/>
        <v>4205.1698100000003</v>
      </c>
      <c r="T145" s="218"/>
      <c r="U145" s="218">
        <f t="shared" si="109"/>
        <v>8776.0065599999998</v>
      </c>
      <c r="V145" s="218">
        <f t="shared" si="105"/>
        <v>4717.1035259999999</v>
      </c>
      <c r="W145" s="220">
        <f t="shared" si="110"/>
        <v>395203.61189599999</v>
      </c>
      <c r="X145" s="221">
        <f>P145*10.14%</f>
        <v>37078.627716000003</v>
      </c>
      <c r="Y145" s="222" t="s">
        <v>307</v>
      </c>
      <c r="Z145" s="221">
        <f t="shared" si="106"/>
        <v>25596.685800000003</v>
      </c>
      <c r="AA145" s="223">
        <v>0</v>
      </c>
      <c r="AB145" s="224">
        <f t="shared" si="107"/>
        <v>302991.62648400001</v>
      </c>
      <c r="AC145" s="225">
        <f t="shared" si="108"/>
        <v>395203.61189599999</v>
      </c>
    </row>
    <row r="146" spans="2:29" s="199" customFormat="1" ht="14.4" x14ac:dyDescent="0.3">
      <c r="B146" s="226" t="s">
        <v>336</v>
      </c>
      <c r="C146" s="211" t="s">
        <v>337</v>
      </c>
      <c r="D146" s="212" t="s">
        <v>338</v>
      </c>
      <c r="E146" s="212" t="s">
        <v>339</v>
      </c>
      <c r="F146" s="210" t="s">
        <v>303</v>
      </c>
      <c r="G146" s="210" t="s">
        <v>304</v>
      </c>
      <c r="H146" s="210" t="s">
        <v>313</v>
      </c>
      <c r="I146" s="213">
        <v>42787</v>
      </c>
      <c r="J146" s="243">
        <v>42886</v>
      </c>
      <c r="K146" s="215">
        <v>30</v>
      </c>
      <c r="L146" s="216">
        <f t="shared" si="111"/>
        <v>365666.94</v>
      </c>
      <c r="M146" s="216">
        <v>0</v>
      </c>
      <c r="N146" s="216">
        <v>0</v>
      </c>
      <c r="O146" s="216">
        <v>0</v>
      </c>
      <c r="P146" s="217">
        <f t="shared" si="102"/>
        <v>365666.94</v>
      </c>
      <c r="Q146" s="218">
        <f>11416+(11416*3.7%)</f>
        <v>11838.392</v>
      </c>
      <c r="R146" s="219">
        <f t="shared" si="103"/>
        <v>377505.33199999999</v>
      </c>
      <c r="S146" s="218">
        <f t="shared" si="104"/>
        <v>4205.1698100000003</v>
      </c>
      <c r="T146" s="218"/>
      <c r="U146" s="218">
        <f t="shared" si="109"/>
        <v>8776.0065599999998</v>
      </c>
      <c r="V146" s="218">
        <f t="shared" si="105"/>
        <v>4717.1035259999999</v>
      </c>
      <c r="W146" s="220">
        <f t="shared" si="110"/>
        <v>395203.61189599999</v>
      </c>
      <c r="X146" s="221">
        <f>P146*10.77%</f>
        <v>39382.329437999993</v>
      </c>
      <c r="Y146" s="222" t="s">
        <v>324</v>
      </c>
      <c r="Z146" s="221">
        <f t="shared" si="106"/>
        <v>25596.685800000003</v>
      </c>
      <c r="AA146" s="223">
        <v>0</v>
      </c>
      <c r="AB146" s="224">
        <f t="shared" si="107"/>
        <v>300687.92476200004</v>
      </c>
      <c r="AC146" s="225">
        <f t="shared" si="108"/>
        <v>395203.61189599999</v>
      </c>
    </row>
    <row r="147" spans="2:29" s="199" customFormat="1" ht="14.4" x14ac:dyDescent="0.3">
      <c r="B147" s="226"/>
      <c r="C147" s="211"/>
      <c r="D147" s="212"/>
      <c r="E147" s="212"/>
      <c r="F147" s="210"/>
      <c r="G147" s="210"/>
      <c r="H147" s="210"/>
      <c r="I147" s="213"/>
      <c r="J147" s="243"/>
      <c r="K147" s="215"/>
      <c r="L147" s="216"/>
      <c r="M147" s="216"/>
      <c r="N147" s="216"/>
      <c r="O147" s="216"/>
      <c r="P147" s="217"/>
      <c r="Q147" s="218"/>
      <c r="R147" s="219"/>
      <c r="S147" s="218"/>
      <c r="T147" s="218"/>
      <c r="U147" s="218"/>
      <c r="V147" s="218"/>
      <c r="W147" s="217">
        <f>SUM(W140:W146)</f>
        <v>2491738.5173295997</v>
      </c>
      <c r="X147" s="221"/>
      <c r="Y147" s="222"/>
      <c r="Z147" s="221"/>
      <c r="AA147" s="223"/>
      <c r="AB147" s="224"/>
      <c r="AC147" s="225">
        <f t="shared" si="108"/>
        <v>2491738.5173295997</v>
      </c>
    </row>
    <row r="148" spans="2:29" s="199" customFormat="1" ht="14.4" x14ac:dyDescent="0.3">
      <c r="B148" s="210" t="s">
        <v>340</v>
      </c>
      <c r="C148" s="244" t="s">
        <v>341</v>
      </c>
      <c r="D148" s="226" t="s">
        <v>342</v>
      </c>
      <c r="E148" s="226" t="s">
        <v>343</v>
      </c>
      <c r="F148" s="245" t="s">
        <v>303</v>
      </c>
      <c r="G148" s="245" t="s">
        <v>304</v>
      </c>
      <c r="H148" s="244" t="s">
        <v>344</v>
      </c>
      <c r="I148" s="227">
        <v>41694</v>
      </c>
      <c r="J148" s="246" t="s">
        <v>306</v>
      </c>
      <c r="K148" s="215">
        <v>30</v>
      </c>
      <c r="L148" s="216">
        <f>366313+(366313*3.7%)</f>
        <v>379866.58100000001</v>
      </c>
      <c r="M148" s="216">
        <v>35049</v>
      </c>
      <c r="N148" s="216">
        <v>0</v>
      </c>
      <c r="O148" s="216">
        <v>0</v>
      </c>
      <c r="P148" s="217">
        <f t="shared" si="102"/>
        <v>414915.58100000001</v>
      </c>
      <c r="Q148" s="218">
        <f>12803+(12803*3.7%)</f>
        <v>13276.710999999999</v>
      </c>
      <c r="R148" s="219">
        <f t="shared" si="103"/>
        <v>428192.29200000002</v>
      </c>
      <c r="S148" s="218">
        <f t="shared" si="104"/>
        <v>4771.5291815</v>
      </c>
      <c r="T148" s="218"/>
      <c r="U148" s="218">
        <f t="shared" si="109"/>
        <v>9957.9739440000012</v>
      </c>
      <c r="V148" s="218">
        <f t="shared" si="105"/>
        <v>5352.4109949000003</v>
      </c>
      <c r="W148" s="220">
        <f t="shared" si="110"/>
        <v>448274.20612039999</v>
      </c>
      <c r="X148" s="221">
        <f>P148*11.27%</f>
        <v>46760.985978699995</v>
      </c>
      <c r="Y148" s="222" t="s">
        <v>345</v>
      </c>
      <c r="Z148" s="221">
        <f t="shared" si="106"/>
        <v>29044.090670000001</v>
      </c>
      <c r="AA148" s="223">
        <v>0</v>
      </c>
      <c r="AB148" s="224">
        <f t="shared" si="107"/>
        <v>339110.50435130001</v>
      </c>
      <c r="AC148" s="225">
        <f t="shared" si="108"/>
        <v>448274.20612039999</v>
      </c>
    </row>
    <row r="149" spans="2:29" s="199" customFormat="1" ht="14.4" x14ac:dyDescent="0.3">
      <c r="B149" s="226" t="s">
        <v>346</v>
      </c>
      <c r="C149" s="211" t="s">
        <v>347</v>
      </c>
      <c r="D149" s="212" t="s">
        <v>348</v>
      </c>
      <c r="E149" s="212" t="s">
        <v>349</v>
      </c>
      <c r="F149" s="245" t="s">
        <v>303</v>
      </c>
      <c r="G149" s="245" t="s">
        <v>304</v>
      </c>
      <c r="H149" s="244" t="s">
        <v>344</v>
      </c>
      <c r="I149" s="227">
        <v>42324</v>
      </c>
      <c r="J149" s="246" t="s">
        <v>306</v>
      </c>
      <c r="K149" s="215">
        <v>30</v>
      </c>
      <c r="L149" s="216">
        <f>298368+(298368*3.7%)</f>
        <v>309407.61599999998</v>
      </c>
      <c r="M149" s="216">
        <v>0</v>
      </c>
      <c r="N149" s="216">
        <v>0</v>
      </c>
      <c r="O149" s="216">
        <v>0</v>
      </c>
      <c r="P149" s="217">
        <f t="shared" si="102"/>
        <v>309407.61599999998</v>
      </c>
      <c r="Q149" s="218">
        <f>11416+(11416*3.7%)</f>
        <v>11838.392</v>
      </c>
      <c r="R149" s="219">
        <f t="shared" si="103"/>
        <v>321246.00799999997</v>
      </c>
      <c r="S149" s="218">
        <f t="shared" si="104"/>
        <v>3558.1875839999998</v>
      </c>
      <c r="T149" s="218"/>
      <c r="U149" s="218">
        <f t="shared" si="109"/>
        <v>7425.782784</v>
      </c>
      <c r="V149" s="218">
        <f t="shared" si="105"/>
        <v>3991.3582463999996</v>
      </c>
      <c r="W149" s="220">
        <f t="shared" si="110"/>
        <v>336221.33661439997</v>
      </c>
      <c r="X149" s="221">
        <f>P149*10.77%</f>
        <v>33323.200243199994</v>
      </c>
      <c r="Y149" s="222" t="s">
        <v>324</v>
      </c>
      <c r="Z149" s="221">
        <f t="shared" si="106"/>
        <v>21658.53312</v>
      </c>
      <c r="AA149" s="223">
        <v>0</v>
      </c>
      <c r="AB149" s="224">
        <f t="shared" si="107"/>
        <v>254425.88263679997</v>
      </c>
      <c r="AC149" s="225">
        <f t="shared" si="108"/>
        <v>336221.33661439997</v>
      </c>
    </row>
    <row r="150" spans="2:29" s="199" customFormat="1" ht="14.4" x14ac:dyDescent="0.3">
      <c r="B150" s="226"/>
      <c r="C150" s="211"/>
      <c r="D150" s="212"/>
      <c r="E150" s="212"/>
      <c r="F150" s="245"/>
      <c r="G150" s="245"/>
      <c r="H150" s="244"/>
      <c r="I150" s="227"/>
      <c r="J150" s="246"/>
      <c r="K150" s="215"/>
      <c r="L150" s="216"/>
      <c r="M150" s="216"/>
      <c r="N150" s="216"/>
      <c r="O150" s="216"/>
      <c r="P150" s="217"/>
      <c r="Q150" s="218"/>
      <c r="R150" s="219"/>
      <c r="S150" s="218"/>
      <c r="T150" s="218"/>
      <c r="U150" s="218"/>
      <c r="V150" s="218"/>
      <c r="W150" s="217">
        <f>SUM(W148:W149)</f>
        <v>784495.54273479991</v>
      </c>
      <c r="X150" s="221"/>
      <c r="Y150" s="222"/>
      <c r="Z150" s="221"/>
      <c r="AA150" s="223"/>
      <c r="AB150" s="224"/>
      <c r="AC150" s="225"/>
    </row>
    <row r="151" spans="2:29" s="199" customFormat="1" ht="14.4" x14ac:dyDescent="0.3">
      <c r="B151" s="226" t="s">
        <v>350</v>
      </c>
      <c r="C151" s="244" t="s">
        <v>351</v>
      </c>
      <c r="D151" s="226" t="s">
        <v>352</v>
      </c>
      <c r="E151" s="226" t="s">
        <v>353</v>
      </c>
      <c r="F151" s="210" t="s">
        <v>303</v>
      </c>
      <c r="G151" s="210" t="s">
        <v>304</v>
      </c>
      <c r="H151" s="210" t="s">
        <v>354</v>
      </c>
      <c r="I151" s="227">
        <v>41339</v>
      </c>
      <c r="J151" s="214" t="s">
        <v>306</v>
      </c>
      <c r="K151" s="215">
        <v>30</v>
      </c>
      <c r="L151" s="216">
        <f>286496+(286496*3.7%)</f>
        <v>297096.35200000001</v>
      </c>
      <c r="M151" s="216">
        <v>29753</v>
      </c>
      <c r="N151" s="216">
        <v>0</v>
      </c>
      <c r="O151" s="216">
        <v>0</v>
      </c>
      <c r="P151" s="217">
        <f t="shared" si="102"/>
        <v>326849.35200000001</v>
      </c>
      <c r="Q151" s="218">
        <f>12992+(12992*3.7%)</f>
        <v>13472.704</v>
      </c>
      <c r="R151" s="219">
        <f t="shared" si="103"/>
        <v>340322.05600000004</v>
      </c>
      <c r="S151" s="218">
        <f t="shared" si="104"/>
        <v>3758.7675480000003</v>
      </c>
      <c r="T151" s="218"/>
      <c r="U151" s="218">
        <f t="shared" si="109"/>
        <v>7844.3844480000007</v>
      </c>
      <c r="V151" s="218">
        <f t="shared" si="105"/>
        <v>4216.3566408000006</v>
      </c>
      <c r="W151" s="220">
        <f t="shared" si="110"/>
        <v>356141.56463680003</v>
      </c>
      <c r="X151" s="221">
        <f>P151*11.54%</f>
        <v>37718.415220800001</v>
      </c>
      <c r="Y151" s="222" t="s">
        <v>314</v>
      </c>
      <c r="Z151" s="221">
        <f t="shared" si="106"/>
        <v>22879.454640000004</v>
      </c>
      <c r="AA151" s="223">
        <v>0</v>
      </c>
      <c r="AB151" s="224">
        <f t="shared" si="107"/>
        <v>266251.48213919997</v>
      </c>
      <c r="AC151" s="225">
        <f t="shared" si="108"/>
        <v>356141.56463680003</v>
      </c>
    </row>
    <row r="152" spans="2:29" s="199" customFormat="1" ht="14.4" x14ac:dyDescent="0.3">
      <c r="B152" s="369" t="s">
        <v>356</v>
      </c>
      <c r="C152" s="370"/>
      <c r="D152" s="370"/>
      <c r="E152" s="370"/>
      <c r="F152" s="370"/>
      <c r="G152" s="370"/>
      <c r="H152" s="370"/>
      <c r="I152" s="370"/>
      <c r="J152" s="371"/>
      <c r="K152" s="215"/>
      <c r="L152" s="216">
        <f t="shared" ref="L152:S152" si="112">SUM(L138:L151)</f>
        <v>3851124.5289999996</v>
      </c>
      <c r="M152" s="216">
        <f t="shared" si="112"/>
        <v>158492</v>
      </c>
      <c r="N152" s="216">
        <f t="shared" si="112"/>
        <v>85702</v>
      </c>
      <c r="O152" s="216">
        <f t="shared" si="112"/>
        <v>0</v>
      </c>
      <c r="P152" s="217">
        <f t="shared" si="112"/>
        <v>4095318.5289999996</v>
      </c>
      <c r="Q152" s="216">
        <f t="shared" si="112"/>
        <v>135487.16099999999</v>
      </c>
      <c r="R152" s="219">
        <f t="shared" si="112"/>
        <v>4218647.9019999998</v>
      </c>
      <c r="S152" s="216">
        <f t="shared" si="112"/>
        <v>47096.163083500003</v>
      </c>
      <c r="T152" s="216"/>
      <c r="U152" s="216">
        <f>SUM(U138:U151)</f>
        <v>98287.644695999988</v>
      </c>
      <c r="V152" s="216">
        <f>SUM(V138:V151)</f>
        <v>52829.609024099991</v>
      </c>
      <c r="W152" s="220">
        <f>SUM(W138:W151)</f>
        <v>7693095.3788679997</v>
      </c>
      <c r="X152" s="247">
        <f>SUM(X138:X151)</f>
        <v>435163.51835270005</v>
      </c>
      <c r="Y152" s="216"/>
      <c r="Z152" s="216">
        <f>SUM(Z138:Z151)</f>
        <v>286672.29703000007</v>
      </c>
      <c r="AA152" s="216">
        <f>SUM(AA138:AA151)</f>
        <v>0</v>
      </c>
      <c r="AB152" s="216">
        <f>SUM(AB138:AB151)</f>
        <v>3373482.7136173001</v>
      </c>
      <c r="AC152" s="225">
        <f>SUM(AC138:AC151)</f>
        <v>6908599.8361331997</v>
      </c>
    </row>
    <row r="153" spans="2:29" s="199" customFormat="1" ht="15" thickBot="1" x14ac:dyDescent="0.35">
      <c r="B153" s="248"/>
      <c r="C153" s="248"/>
      <c r="D153" s="248"/>
      <c r="E153" s="248"/>
      <c r="F153" s="248"/>
      <c r="G153" s="248"/>
      <c r="H153" s="248"/>
      <c r="I153" s="248"/>
      <c r="J153" s="248"/>
      <c r="K153" s="249"/>
      <c r="L153" s="250"/>
      <c r="M153" s="250"/>
      <c r="N153" s="250"/>
      <c r="O153" s="250"/>
      <c r="P153" s="250"/>
      <c r="Q153" s="250"/>
      <c r="R153" s="250"/>
      <c r="S153" s="250"/>
      <c r="T153" s="250"/>
      <c r="U153" s="250"/>
      <c r="V153" s="250"/>
      <c r="W153" s="250"/>
      <c r="X153" s="251"/>
      <c r="Y153" s="250"/>
      <c r="Z153" s="250"/>
      <c r="AA153" s="250"/>
      <c r="AB153" s="250"/>
      <c r="AC153" s="250"/>
    </row>
    <row r="154" spans="2:29" ht="15" thickBot="1" x14ac:dyDescent="0.35">
      <c r="B154" s="367" t="s">
        <v>370</v>
      </c>
      <c r="C154" s="368"/>
    </row>
    <row r="155" spans="2:29" s="199" customFormat="1" ht="14.4" x14ac:dyDescent="0.3">
      <c r="B155" s="201" t="s">
        <v>270</v>
      </c>
      <c r="C155" s="201" t="s">
        <v>271</v>
      </c>
      <c r="D155" s="201" t="s">
        <v>272</v>
      </c>
      <c r="E155" s="201" t="s">
        <v>273</v>
      </c>
      <c r="F155" s="201" t="s">
        <v>274</v>
      </c>
      <c r="G155" s="201" t="s">
        <v>275</v>
      </c>
      <c r="H155" s="201" t="s">
        <v>276</v>
      </c>
      <c r="I155" s="201" t="s">
        <v>277</v>
      </c>
      <c r="J155" s="201" t="s">
        <v>278</v>
      </c>
      <c r="K155" s="201" t="s">
        <v>279</v>
      </c>
      <c r="L155" s="202" t="s">
        <v>280</v>
      </c>
      <c r="M155" s="202" t="s">
        <v>281</v>
      </c>
      <c r="N155" s="202" t="s">
        <v>282</v>
      </c>
      <c r="O155" s="202" t="s">
        <v>283</v>
      </c>
      <c r="P155" s="203" t="s">
        <v>284</v>
      </c>
      <c r="Q155" s="202" t="s">
        <v>285</v>
      </c>
      <c r="R155" s="253" t="s">
        <v>286</v>
      </c>
      <c r="S155" s="206" t="s">
        <v>287</v>
      </c>
      <c r="T155" s="206"/>
      <c r="U155" s="206" t="s">
        <v>288</v>
      </c>
      <c r="V155" s="206" t="s">
        <v>289</v>
      </c>
      <c r="W155" s="207" t="s">
        <v>290</v>
      </c>
      <c r="X155" s="208" t="s">
        <v>291</v>
      </c>
      <c r="Y155" s="208" t="s">
        <v>292</v>
      </c>
      <c r="Z155" s="208" t="s">
        <v>293</v>
      </c>
      <c r="AA155" s="206" t="s">
        <v>294</v>
      </c>
      <c r="AB155" s="206" t="s">
        <v>295</v>
      </c>
      <c r="AC155" s="209" t="s">
        <v>298</v>
      </c>
    </row>
    <row r="156" spans="2:29" s="199" customFormat="1" ht="14.4" x14ac:dyDescent="0.3">
      <c r="B156" s="210" t="s">
        <v>299</v>
      </c>
      <c r="C156" s="211" t="s">
        <v>300</v>
      </c>
      <c r="D156" s="212" t="s">
        <v>301</v>
      </c>
      <c r="E156" s="212" t="s">
        <v>302</v>
      </c>
      <c r="F156" s="210" t="s">
        <v>303</v>
      </c>
      <c r="G156" s="210" t="s">
        <v>304</v>
      </c>
      <c r="H156" s="210" t="s">
        <v>305</v>
      </c>
      <c r="I156" s="213">
        <v>42453</v>
      </c>
      <c r="J156" s="214" t="s">
        <v>306</v>
      </c>
      <c r="K156" s="215">
        <v>30</v>
      </c>
      <c r="L156" s="216">
        <f>593728+(593728*3.7%)</f>
        <v>615695.93599999999</v>
      </c>
      <c r="M156" s="216">
        <v>35275</v>
      </c>
      <c r="N156" s="216">
        <v>85702</v>
      </c>
      <c r="O156" s="216">
        <v>0</v>
      </c>
      <c r="P156" s="217">
        <f t="shared" ref="P156:P169" si="113">SUM(L156:O156)</f>
        <v>736672.93599999999</v>
      </c>
      <c r="Q156" s="218">
        <f>11724+(11724*3.7%)</f>
        <v>12157.788</v>
      </c>
      <c r="R156" s="219">
        <f t="shared" ref="R156:R169" si="114">Q156+P156</f>
        <v>748830.72399999993</v>
      </c>
      <c r="S156" s="218">
        <f t="shared" ref="S156:S169" si="115">P156*1.15%</f>
        <v>8471.7387639999997</v>
      </c>
      <c r="T156" s="218"/>
      <c r="U156" s="218">
        <f>P156*2.4%</f>
        <v>17680.150463999998</v>
      </c>
      <c r="V156" s="218">
        <f t="shared" ref="V156:V169" si="116">P156*1.29%</f>
        <v>9503.0808744000005</v>
      </c>
      <c r="W156" s="220">
        <f t="shared" ref="W156:W169" si="117">V156+U156+S156+R156</f>
        <v>784485.69410239998</v>
      </c>
      <c r="X156" s="221">
        <f>P156*10.14%</f>
        <v>74698.635710400005</v>
      </c>
      <c r="Y156" s="222" t="s">
        <v>307</v>
      </c>
      <c r="Z156" s="221">
        <f t="shared" ref="Z156:Z169" si="118">P156*7%</f>
        <v>51567.105520000005</v>
      </c>
      <c r="AA156" s="223">
        <v>0</v>
      </c>
      <c r="AB156" s="224">
        <f t="shared" ref="AB156:AB169" si="119">P156-X156-Z156-AA156</f>
        <v>610407.19476959994</v>
      </c>
      <c r="AC156" s="225">
        <f t="shared" ref="AC156:AC169" si="120">W156</f>
        <v>784485.69410239998</v>
      </c>
    </row>
    <row r="157" spans="2:29" s="199" customFormat="1" ht="14.4" x14ac:dyDescent="0.3">
      <c r="B157" s="210"/>
      <c r="C157" s="211"/>
      <c r="D157" s="212"/>
      <c r="E157" s="212"/>
      <c r="F157" s="210"/>
      <c r="G157" s="210"/>
      <c r="H157" s="210"/>
      <c r="I157" s="213"/>
      <c r="J157" s="214"/>
      <c r="K157" s="215"/>
      <c r="L157" s="216"/>
      <c r="M157" s="216"/>
      <c r="N157" s="216"/>
      <c r="O157" s="216"/>
      <c r="P157" s="217"/>
      <c r="Q157" s="218"/>
      <c r="R157" s="219"/>
      <c r="S157" s="218"/>
      <c r="T157" s="218"/>
      <c r="U157" s="218"/>
      <c r="V157" s="218"/>
      <c r="W157" s="220"/>
      <c r="X157" s="221"/>
      <c r="Y157" s="222"/>
      <c r="Z157" s="221"/>
      <c r="AA157" s="223"/>
      <c r="AB157" s="224"/>
      <c r="AC157" s="225"/>
    </row>
    <row r="158" spans="2:29" s="199" customFormat="1" ht="14.4" x14ac:dyDescent="0.3">
      <c r="B158" s="226" t="s">
        <v>309</v>
      </c>
      <c r="C158" s="211" t="s">
        <v>310</v>
      </c>
      <c r="D158" s="212" t="s">
        <v>311</v>
      </c>
      <c r="E158" s="212" t="s">
        <v>312</v>
      </c>
      <c r="F158" s="210" t="s">
        <v>303</v>
      </c>
      <c r="G158" s="210" t="s">
        <v>304</v>
      </c>
      <c r="H158" s="210" t="s">
        <v>313</v>
      </c>
      <c r="I158" s="227">
        <v>41694</v>
      </c>
      <c r="J158" s="214" t="s">
        <v>306</v>
      </c>
      <c r="K158" s="215">
        <v>30</v>
      </c>
      <c r="L158" s="216">
        <f>405712+(405712*3.7%)</f>
        <v>420723.34399999998</v>
      </c>
      <c r="M158" s="216">
        <v>35049</v>
      </c>
      <c r="N158" s="216">
        <v>0</v>
      </c>
      <c r="O158" s="216">
        <v>0</v>
      </c>
      <c r="P158" s="217">
        <f t="shared" si="113"/>
        <v>455772.34399999998</v>
      </c>
      <c r="Q158" s="218">
        <f>12606+(12606*3.7%)</f>
        <v>13072.422</v>
      </c>
      <c r="R158" s="219">
        <f>Q158+P158</f>
        <v>468844.766</v>
      </c>
      <c r="S158" s="218">
        <f t="shared" si="115"/>
        <v>5241.3819559999993</v>
      </c>
      <c r="T158" s="218"/>
      <c r="U158" s="218">
        <f t="shared" ref="U158:U169" si="121">P158*2.4%</f>
        <v>10938.536255999999</v>
      </c>
      <c r="V158" s="218">
        <f t="shared" si="116"/>
        <v>5879.4632376</v>
      </c>
      <c r="W158" s="220">
        <f t="shared" si="117"/>
        <v>490904.14744959999</v>
      </c>
      <c r="X158" s="221">
        <f>P158*11.54%</f>
        <v>52596.128497599995</v>
      </c>
      <c r="Y158" s="222" t="s">
        <v>314</v>
      </c>
      <c r="Z158" s="221">
        <f t="shared" si="118"/>
        <v>31904.06408</v>
      </c>
      <c r="AA158" s="223">
        <v>0</v>
      </c>
      <c r="AB158" s="224">
        <f t="shared" si="119"/>
        <v>371272.15142240003</v>
      </c>
      <c r="AC158" s="225">
        <f t="shared" si="120"/>
        <v>490904.14744959999</v>
      </c>
    </row>
    <row r="159" spans="2:29" s="254" customFormat="1" ht="14.4" x14ac:dyDescent="0.3">
      <c r="B159" s="255" t="s">
        <v>316</v>
      </c>
      <c r="C159" s="256" t="s">
        <v>317</v>
      </c>
      <c r="D159" s="255" t="s">
        <v>318</v>
      </c>
      <c r="E159" s="255" t="s">
        <v>319</v>
      </c>
      <c r="F159" s="257" t="s">
        <v>303</v>
      </c>
      <c r="G159" s="257" t="s">
        <v>304</v>
      </c>
      <c r="H159" s="257" t="s">
        <v>313</v>
      </c>
      <c r="I159" s="258">
        <v>42676</v>
      </c>
      <c r="J159" s="259" t="s">
        <v>306</v>
      </c>
      <c r="K159" s="260">
        <v>30</v>
      </c>
      <c r="L159" s="261">
        <f t="shared" ref="L159:L164" si="122">352620+(352620*3.7%)</f>
        <v>365666.94</v>
      </c>
      <c r="M159" s="261">
        <v>0</v>
      </c>
      <c r="N159" s="261">
        <v>0</v>
      </c>
      <c r="O159" s="261">
        <v>0</v>
      </c>
      <c r="P159" s="262">
        <f t="shared" si="113"/>
        <v>365666.94</v>
      </c>
      <c r="Q159" s="263">
        <f>11416+(11416*3.7%)</f>
        <v>11838.392</v>
      </c>
      <c r="R159" s="264">
        <f t="shared" si="114"/>
        <v>377505.33199999999</v>
      </c>
      <c r="S159" s="263">
        <f t="shared" si="115"/>
        <v>4205.1698100000003</v>
      </c>
      <c r="T159" s="263"/>
      <c r="U159" s="263">
        <f t="shared" si="121"/>
        <v>8776.0065599999998</v>
      </c>
      <c r="V159" s="263">
        <f t="shared" si="116"/>
        <v>4717.1035259999999</v>
      </c>
      <c r="W159" s="265">
        <f t="shared" si="117"/>
        <v>395203.61189599999</v>
      </c>
      <c r="X159" s="266">
        <f>P159*10.14%</f>
        <v>37078.627716000003</v>
      </c>
      <c r="Y159" s="267" t="s">
        <v>307</v>
      </c>
      <c r="Z159" s="266">
        <f t="shared" si="118"/>
        <v>25596.685800000003</v>
      </c>
      <c r="AA159" s="266">
        <v>0</v>
      </c>
      <c r="AB159" s="268">
        <f t="shared" si="119"/>
        <v>302991.62648400001</v>
      </c>
      <c r="AC159" s="269">
        <f t="shared" si="120"/>
        <v>395203.61189599999</v>
      </c>
    </row>
    <row r="160" spans="2:29" s="198" customFormat="1" ht="14.4" x14ac:dyDescent="0.3">
      <c r="B160" s="228" t="s">
        <v>320</v>
      </c>
      <c r="C160" s="229" t="s">
        <v>321</v>
      </c>
      <c r="D160" s="228" t="s">
        <v>322</v>
      </c>
      <c r="E160" s="228" t="s">
        <v>323</v>
      </c>
      <c r="F160" s="230" t="s">
        <v>303</v>
      </c>
      <c r="G160" s="230" t="s">
        <v>304</v>
      </c>
      <c r="H160" s="230" t="s">
        <v>313</v>
      </c>
      <c r="I160" s="231">
        <v>42531</v>
      </c>
      <c r="J160" s="232" t="s">
        <v>306</v>
      </c>
      <c r="K160" s="233">
        <v>30</v>
      </c>
      <c r="L160" s="234"/>
      <c r="M160" s="234"/>
      <c r="N160" s="234">
        <v>0</v>
      </c>
      <c r="O160" s="234">
        <v>0</v>
      </c>
      <c r="P160" s="235"/>
      <c r="Q160" s="236"/>
      <c r="R160" s="237"/>
      <c r="S160" s="236"/>
      <c r="T160" s="236"/>
      <c r="U160" s="236"/>
      <c r="V160" s="236"/>
      <c r="W160" s="238"/>
      <c r="X160" s="239"/>
      <c r="Y160" s="240" t="s">
        <v>324</v>
      </c>
      <c r="Z160" s="239"/>
      <c r="AA160" s="239">
        <v>0</v>
      </c>
      <c r="AB160" s="241"/>
      <c r="AC160" s="242">
        <f t="shared" si="120"/>
        <v>0</v>
      </c>
    </row>
    <row r="161" spans="2:35" s="199" customFormat="1" ht="14.4" x14ac:dyDescent="0.3">
      <c r="B161" s="226" t="s">
        <v>325</v>
      </c>
      <c r="C161" s="211" t="s">
        <v>321</v>
      </c>
      <c r="D161" s="212" t="s">
        <v>326</v>
      </c>
      <c r="E161" s="212" t="s">
        <v>327</v>
      </c>
      <c r="F161" s="210" t="s">
        <v>303</v>
      </c>
      <c r="G161" s="210" t="s">
        <v>304</v>
      </c>
      <c r="H161" s="210" t="s">
        <v>313</v>
      </c>
      <c r="I161" s="213">
        <v>42461</v>
      </c>
      <c r="J161" s="214" t="s">
        <v>306</v>
      </c>
      <c r="K161" s="215">
        <v>30</v>
      </c>
      <c r="L161" s="216">
        <f t="shared" si="122"/>
        <v>365666.94</v>
      </c>
      <c r="M161" s="216">
        <v>23366</v>
      </c>
      <c r="N161" s="216">
        <v>0</v>
      </c>
      <c r="O161" s="216">
        <v>0</v>
      </c>
      <c r="P161" s="217">
        <f t="shared" si="113"/>
        <v>389032.94</v>
      </c>
      <c r="Q161" s="218">
        <f>11724+(11724*3.7%)</f>
        <v>12157.788</v>
      </c>
      <c r="R161" s="219">
        <f t="shared" si="114"/>
        <v>401190.728</v>
      </c>
      <c r="S161" s="218">
        <f t="shared" si="115"/>
        <v>4473.8788100000002</v>
      </c>
      <c r="T161" s="218"/>
      <c r="U161" s="218">
        <f t="shared" si="121"/>
        <v>9336.7905599999995</v>
      </c>
      <c r="V161" s="218">
        <f t="shared" si="116"/>
        <v>5018.5249260000001</v>
      </c>
      <c r="W161" s="220">
        <f t="shared" si="117"/>
        <v>420019.922296</v>
      </c>
      <c r="X161" s="221">
        <f>P161*10.14%</f>
        <v>39447.940116000005</v>
      </c>
      <c r="Y161" s="222" t="s">
        <v>307</v>
      </c>
      <c r="Z161" s="221">
        <f t="shared" si="118"/>
        <v>27232.305800000002</v>
      </c>
      <c r="AA161" s="223">
        <v>0</v>
      </c>
      <c r="AB161" s="224">
        <f t="shared" si="119"/>
        <v>322352.69408399996</v>
      </c>
      <c r="AC161" s="225">
        <f t="shared" si="120"/>
        <v>420019.922296</v>
      </c>
    </row>
    <row r="162" spans="2:35" s="199" customFormat="1" ht="14.4" x14ac:dyDescent="0.3">
      <c r="B162" s="226" t="s">
        <v>328</v>
      </c>
      <c r="C162" s="211" t="s">
        <v>329</v>
      </c>
      <c r="D162" s="212" t="s">
        <v>330</v>
      </c>
      <c r="E162" s="212" t="s">
        <v>331</v>
      </c>
      <c r="F162" s="210" t="s">
        <v>303</v>
      </c>
      <c r="G162" s="210" t="s">
        <v>304</v>
      </c>
      <c r="H162" s="210" t="s">
        <v>313</v>
      </c>
      <c r="I162" s="213">
        <v>42786</v>
      </c>
      <c r="J162" s="243">
        <v>42886</v>
      </c>
      <c r="K162" s="215">
        <v>30</v>
      </c>
      <c r="L162" s="216">
        <f t="shared" si="122"/>
        <v>365666.94</v>
      </c>
      <c r="M162" s="216">
        <v>0</v>
      </c>
      <c r="N162" s="216">
        <v>0</v>
      </c>
      <c r="O162" s="216">
        <v>0</v>
      </c>
      <c r="P162" s="217">
        <f t="shared" si="113"/>
        <v>365666.94</v>
      </c>
      <c r="Q162" s="218">
        <f>11416+(11416*3.7%)</f>
        <v>11838.392</v>
      </c>
      <c r="R162" s="219">
        <f t="shared" si="114"/>
        <v>377505.33199999999</v>
      </c>
      <c r="S162" s="218">
        <f t="shared" si="115"/>
        <v>4205.1698100000003</v>
      </c>
      <c r="T162" s="218"/>
      <c r="U162" s="218">
        <f t="shared" si="121"/>
        <v>8776.0065599999998</v>
      </c>
      <c r="V162" s="218">
        <f t="shared" si="116"/>
        <v>4717.1035259999999</v>
      </c>
      <c r="W162" s="220">
        <f t="shared" si="117"/>
        <v>395203.61189599999</v>
      </c>
      <c r="X162" s="221">
        <f>P162*10.14%</f>
        <v>37078.627716000003</v>
      </c>
      <c r="Y162" s="222" t="s">
        <v>307</v>
      </c>
      <c r="Z162" s="221">
        <f t="shared" si="118"/>
        <v>25596.685800000003</v>
      </c>
      <c r="AA162" s="223">
        <v>0</v>
      </c>
      <c r="AB162" s="224">
        <f t="shared" si="119"/>
        <v>302991.62648400001</v>
      </c>
      <c r="AC162" s="225">
        <f t="shared" si="120"/>
        <v>395203.61189599999</v>
      </c>
    </row>
    <row r="163" spans="2:35" s="199" customFormat="1" ht="14.4" x14ac:dyDescent="0.3">
      <c r="B163" s="226" t="s">
        <v>332</v>
      </c>
      <c r="C163" s="211" t="s">
        <v>333</v>
      </c>
      <c r="D163" s="212" t="s">
        <v>334</v>
      </c>
      <c r="E163" s="212" t="s">
        <v>335</v>
      </c>
      <c r="F163" s="210" t="s">
        <v>303</v>
      </c>
      <c r="G163" s="210" t="s">
        <v>304</v>
      </c>
      <c r="H163" s="210" t="s">
        <v>313</v>
      </c>
      <c r="I163" s="213">
        <v>42787</v>
      </c>
      <c r="J163" s="243">
        <v>42886</v>
      </c>
      <c r="K163" s="215">
        <v>30</v>
      </c>
      <c r="L163" s="216">
        <f t="shared" si="122"/>
        <v>365666.94</v>
      </c>
      <c r="M163" s="216">
        <v>0</v>
      </c>
      <c r="N163" s="216">
        <v>0</v>
      </c>
      <c r="O163" s="216">
        <v>0</v>
      </c>
      <c r="P163" s="217">
        <f t="shared" si="113"/>
        <v>365666.94</v>
      </c>
      <c r="Q163" s="218">
        <f>11416+(11416*3.7%)</f>
        <v>11838.392</v>
      </c>
      <c r="R163" s="219">
        <f t="shared" si="114"/>
        <v>377505.33199999999</v>
      </c>
      <c r="S163" s="218">
        <f t="shared" si="115"/>
        <v>4205.1698100000003</v>
      </c>
      <c r="T163" s="218"/>
      <c r="U163" s="218">
        <f t="shared" si="121"/>
        <v>8776.0065599999998</v>
      </c>
      <c r="V163" s="218">
        <f t="shared" si="116"/>
        <v>4717.1035259999999</v>
      </c>
      <c r="W163" s="220">
        <f t="shared" si="117"/>
        <v>395203.61189599999</v>
      </c>
      <c r="X163" s="221">
        <f>P163*10.14%</f>
        <v>37078.627716000003</v>
      </c>
      <c r="Y163" s="222" t="s">
        <v>307</v>
      </c>
      <c r="Z163" s="221">
        <f t="shared" si="118"/>
        <v>25596.685800000003</v>
      </c>
      <c r="AA163" s="223">
        <v>0</v>
      </c>
      <c r="AB163" s="224">
        <f t="shared" si="119"/>
        <v>302991.62648400001</v>
      </c>
      <c r="AC163" s="225">
        <f t="shared" si="120"/>
        <v>395203.61189599999</v>
      </c>
    </row>
    <row r="164" spans="2:35" s="199" customFormat="1" ht="14.4" x14ac:dyDescent="0.3">
      <c r="B164" s="226" t="s">
        <v>336</v>
      </c>
      <c r="C164" s="211" t="s">
        <v>337</v>
      </c>
      <c r="D164" s="212" t="s">
        <v>338</v>
      </c>
      <c r="E164" s="212" t="s">
        <v>339</v>
      </c>
      <c r="F164" s="210" t="s">
        <v>303</v>
      </c>
      <c r="G164" s="210" t="s">
        <v>304</v>
      </c>
      <c r="H164" s="210" t="s">
        <v>313</v>
      </c>
      <c r="I164" s="213">
        <v>42787</v>
      </c>
      <c r="J164" s="243">
        <v>42886</v>
      </c>
      <c r="K164" s="215">
        <v>30</v>
      </c>
      <c r="L164" s="216">
        <f t="shared" si="122"/>
        <v>365666.94</v>
      </c>
      <c r="M164" s="216">
        <v>0</v>
      </c>
      <c r="N164" s="216">
        <v>0</v>
      </c>
      <c r="O164" s="216">
        <v>0</v>
      </c>
      <c r="P164" s="217">
        <f t="shared" si="113"/>
        <v>365666.94</v>
      </c>
      <c r="Q164" s="218">
        <f>11416+(11416*3.7%)</f>
        <v>11838.392</v>
      </c>
      <c r="R164" s="219">
        <f t="shared" si="114"/>
        <v>377505.33199999999</v>
      </c>
      <c r="S164" s="218">
        <f t="shared" si="115"/>
        <v>4205.1698100000003</v>
      </c>
      <c r="T164" s="218"/>
      <c r="U164" s="218">
        <f t="shared" si="121"/>
        <v>8776.0065599999998</v>
      </c>
      <c r="V164" s="218">
        <f t="shared" si="116"/>
        <v>4717.1035259999999</v>
      </c>
      <c r="W164" s="220">
        <f t="shared" si="117"/>
        <v>395203.61189599999</v>
      </c>
      <c r="X164" s="221">
        <f>P164*10.77%</f>
        <v>39382.329437999993</v>
      </c>
      <c r="Y164" s="222" t="s">
        <v>324</v>
      </c>
      <c r="Z164" s="221">
        <f t="shared" si="118"/>
        <v>25596.685800000003</v>
      </c>
      <c r="AA164" s="223">
        <v>0</v>
      </c>
      <c r="AB164" s="224">
        <f t="shared" si="119"/>
        <v>300687.92476200004</v>
      </c>
      <c r="AC164" s="225">
        <f t="shared" si="120"/>
        <v>395203.61189599999</v>
      </c>
    </row>
    <row r="165" spans="2:35" s="199" customFormat="1" ht="14.4" x14ac:dyDescent="0.3">
      <c r="B165" s="226"/>
      <c r="C165" s="211"/>
      <c r="D165" s="212"/>
      <c r="E165" s="212"/>
      <c r="F165" s="210"/>
      <c r="G165" s="210"/>
      <c r="H165" s="210"/>
      <c r="I165" s="213"/>
      <c r="J165" s="243"/>
      <c r="K165" s="215"/>
      <c r="L165" s="216"/>
      <c r="M165" s="216"/>
      <c r="N165" s="216"/>
      <c r="O165" s="216"/>
      <c r="P165" s="217"/>
      <c r="Q165" s="218"/>
      <c r="R165" s="219"/>
      <c r="S165" s="218"/>
      <c r="T165" s="218"/>
      <c r="U165" s="218"/>
      <c r="V165" s="218"/>
      <c r="W165" s="217">
        <f>SUM(W158:W164)</f>
        <v>2491738.5173295997</v>
      </c>
      <c r="X165" s="221"/>
      <c r="Y165" s="222"/>
      <c r="Z165" s="221"/>
      <c r="AA165" s="223"/>
      <c r="AB165" s="224"/>
      <c r="AC165" s="225">
        <f t="shared" si="120"/>
        <v>2491738.5173295997</v>
      </c>
    </row>
    <row r="166" spans="2:35" s="199" customFormat="1" ht="14.4" x14ac:dyDescent="0.3">
      <c r="B166" s="210" t="s">
        <v>340</v>
      </c>
      <c r="C166" s="244" t="s">
        <v>341</v>
      </c>
      <c r="D166" s="226" t="s">
        <v>342</v>
      </c>
      <c r="E166" s="226" t="s">
        <v>343</v>
      </c>
      <c r="F166" s="245" t="s">
        <v>303</v>
      </c>
      <c r="G166" s="245" t="s">
        <v>304</v>
      </c>
      <c r="H166" s="244" t="s">
        <v>344</v>
      </c>
      <c r="I166" s="227">
        <v>41694</v>
      </c>
      <c r="J166" s="246" t="s">
        <v>306</v>
      </c>
      <c r="K166" s="215">
        <v>30</v>
      </c>
      <c r="L166" s="216">
        <f>366313+(366313*3.7%)</f>
        <v>379866.58100000001</v>
      </c>
      <c r="M166" s="216">
        <v>35049</v>
      </c>
      <c r="N166" s="216">
        <v>0</v>
      </c>
      <c r="O166" s="216">
        <v>0</v>
      </c>
      <c r="P166" s="217">
        <f t="shared" si="113"/>
        <v>414915.58100000001</v>
      </c>
      <c r="Q166" s="218">
        <f>12803+(12803*3.7%)</f>
        <v>13276.710999999999</v>
      </c>
      <c r="R166" s="219">
        <f t="shared" si="114"/>
        <v>428192.29200000002</v>
      </c>
      <c r="S166" s="218">
        <f t="shared" si="115"/>
        <v>4771.5291815</v>
      </c>
      <c r="T166" s="218"/>
      <c r="U166" s="218">
        <f t="shared" si="121"/>
        <v>9957.9739440000012</v>
      </c>
      <c r="V166" s="218">
        <f t="shared" si="116"/>
        <v>5352.4109949000003</v>
      </c>
      <c r="W166" s="220">
        <f t="shared" si="117"/>
        <v>448274.20612039999</v>
      </c>
      <c r="X166" s="221">
        <f>P166*11.27%</f>
        <v>46760.985978699995</v>
      </c>
      <c r="Y166" s="222" t="s">
        <v>345</v>
      </c>
      <c r="Z166" s="221">
        <f t="shared" si="118"/>
        <v>29044.090670000001</v>
      </c>
      <c r="AA166" s="223">
        <v>0</v>
      </c>
      <c r="AB166" s="224">
        <f t="shared" si="119"/>
        <v>339110.50435130001</v>
      </c>
      <c r="AC166" s="225">
        <f t="shared" si="120"/>
        <v>448274.20612039999</v>
      </c>
    </row>
    <row r="167" spans="2:35" s="199" customFormat="1" ht="14.4" x14ac:dyDescent="0.3">
      <c r="B167" s="226" t="s">
        <v>346</v>
      </c>
      <c r="C167" s="211" t="s">
        <v>347</v>
      </c>
      <c r="D167" s="212" t="s">
        <v>348</v>
      </c>
      <c r="E167" s="212" t="s">
        <v>349</v>
      </c>
      <c r="F167" s="245" t="s">
        <v>303</v>
      </c>
      <c r="G167" s="245" t="s">
        <v>304</v>
      </c>
      <c r="H167" s="244" t="s">
        <v>344</v>
      </c>
      <c r="I167" s="227">
        <v>42324</v>
      </c>
      <c r="J167" s="246" t="s">
        <v>306</v>
      </c>
      <c r="K167" s="215">
        <v>30</v>
      </c>
      <c r="L167" s="216">
        <f>298368+(298368*3.7%)</f>
        <v>309407.61599999998</v>
      </c>
      <c r="M167" s="216">
        <v>0</v>
      </c>
      <c r="N167" s="216">
        <v>0</v>
      </c>
      <c r="O167" s="216">
        <v>0</v>
      </c>
      <c r="P167" s="217">
        <f t="shared" si="113"/>
        <v>309407.61599999998</v>
      </c>
      <c r="Q167" s="218">
        <f>11416+(11416*3.7%)</f>
        <v>11838.392</v>
      </c>
      <c r="R167" s="219">
        <f t="shared" si="114"/>
        <v>321246.00799999997</v>
      </c>
      <c r="S167" s="218">
        <f t="shared" si="115"/>
        <v>3558.1875839999998</v>
      </c>
      <c r="T167" s="218"/>
      <c r="U167" s="218">
        <f t="shared" si="121"/>
        <v>7425.782784</v>
      </c>
      <c r="V167" s="218">
        <f t="shared" si="116"/>
        <v>3991.3582463999996</v>
      </c>
      <c r="W167" s="220">
        <f t="shared" si="117"/>
        <v>336221.33661439997</v>
      </c>
      <c r="X167" s="221">
        <f>P167*10.77%</f>
        <v>33323.200243199994</v>
      </c>
      <c r="Y167" s="222" t="s">
        <v>324</v>
      </c>
      <c r="Z167" s="221">
        <f t="shared" si="118"/>
        <v>21658.53312</v>
      </c>
      <c r="AA167" s="223">
        <v>0</v>
      </c>
      <c r="AB167" s="224">
        <f t="shared" si="119"/>
        <v>254425.88263679997</v>
      </c>
      <c r="AC167" s="225">
        <f t="shared" si="120"/>
        <v>336221.33661439997</v>
      </c>
    </row>
    <row r="168" spans="2:35" s="199" customFormat="1" ht="14.4" x14ac:dyDescent="0.3">
      <c r="B168" s="226"/>
      <c r="C168" s="211"/>
      <c r="D168" s="212"/>
      <c r="E168" s="212"/>
      <c r="F168" s="245"/>
      <c r="G168" s="245"/>
      <c r="H168" s="244"/>
      <c r="I168" s="227"/>
      <c r="J168" s="246"/>
      <c r="K168" s="215"/>
      <c r="L168" s="216"/>
      <c r="M168" s="216"/>
      <c r="N168" s="216"/>
      <c r="O168" s="216"/>
      <c r="P168" s="217"/>
      <c r="Q168" s="218"/>
      <c r="R168" s="219"/>
      <c r="S168" s="218"/>
      <c r="T168" s="218"/>
      <c r="U168" s="218"/>
      <c r="V168" s="218"/>
      <c r="W168" s="217">
        <f>SUM(W166:W167)</f>
        <v>784495.54273479991</v>
      </c>
      <c r="X168" s="221"/>
      <c r="Y168" s="222"/>
      <c r="Z168" s="221"/>
      <c r="AA168" s="223"/>
      <c r="AB168" s="224"/>
      <c r="AC168" s="225">
        <f t="shared" si="120"/>
        <v>784495.54273479991</v>
      </c>
    </row>
    <row r="169" spans="2:35" s="199" customFormat="1" ht="14.4" x14ac:dyDescent="0.3">
      <c r="B169" s="226" t="s">
        <v>350</v>
      </c>
      <c r="C169" s="244" t="s">
        <v>351</v>
      </c>
      <c r="D169" s="226" t="s">
        <v>352</v>
      </c>
      <c r="E169" s="226" t="s">
        <v>353</v>
      </c>
      <c r="F169" s="210" t="s">
        <v>303</v>
      </c>
      <c r="G169" s="210" t="s">
        <v>304</v>
      </c>
      <c r="H169" s="210" t="s">
        <v>354</v>
      </c>
      <c r="I169" s="227">
        <v>41339</v>
      </c>
      <c r="J169" s="214" t="s">
        <v>306</v>
      </c>
      <c r="K169" s="215">
        <v>30</v>
      </c>
      <c r="L169" s="216">
        <f>286496+(286496*3.7%)</f>
        <v>297096.35200000001</v>
      </c>
      <c r="M169" s="216">
        <v>29753</v>
      </c>
      <c r="N169" s="216">
        <v>0</v>
      </c>
      <c r="O169" s="216">
        <v>0</v>
      </c>
      <c r="P169" s="217">
        <f t="shared" si="113"/>
        <v>326849.35200000001</v>
      </c>
      <c r="Q169" s="218">
        <f>12992+(12992*3.7%)</f>
        <v>13472.704</v>
      </c>
      <c r="R169" s="219">
        <f t="shared" si="114"/>
        <v>340322.05600000004</v>
      </c>
      <c r="S169" s="218">
        <f t="shared" si="115"/>
        <v>3758.7675480000003</v>
      </c>
      <c r="T169" s="218"/>
      <c r="U169" s="218">
        <f t="shared" si="121"/>
        <v>7844.3844480000007</v>
      </c>
      <c r="V169" s="218">
        <f t="shared" si="116"/>
        <v>4216.3566408000006</v>
      </c>
      <c r="W169" s="220">
        <f t="shared" si="117"/>
        <v>356141.56463680003</v>
      </c>
      <c r="X169" s="221">
        <f>P169*11.54%</f>
        <v>37718.415220800001</v>
      </c>
      <c r="Y169" s="222" t="s">
        <v>314</v>
      </c>
      <c r="Z169" s="221">
        <f t="shared" si="118"/>
        <v>22879.454640000004</v>
      </c>
      <c r="AA169" s="223">
        <v>0</v>
      </c>
      <c r="AB169" s="224">
        <f t="shared" si="119"/>
        <v>266251.48213919997</v>
      </c>
      <c r="AC169" s="225">
        <f t="shared" si="120"/>
        <v>356141.56463680003</v>
      </c>
    </row>
    <row r="170" spans="2:35" s="199" customFormat="1" ht="14.4" x14ac:dyDescent="0.3">
      <c r="B170" s="369" t="s">
        <v>356</v>
      </c>
      <c r="C170" s="370"/>
      <c r="D170" s="370"/>
      <c r="E170" s="370"/>
      <c r="F170" s="370"/>
      <c r="G170" s="370"/>
      <c r="H170" s="370"/>
      <c r="I170" s="370"/>
      <c r="J170" s="371"/>
      <c r="K170" s="215"/>
      <c r="L170" s="216">
        <f t="shared" ref="L170:S170" si="123">SUM(L156:L169)</f>
        <v>3851124.5289999996</v>
      </c>
      <c r="M170" s="216">
        <f t="shared" si="123"/>
        <v>158492</v>
      </c>
      <c r="N170" s="216">
        <f t="shared" si="123"/>
        <v>85702</v>
      </c>
      <c r="O170" s="216">
        <f t="shared" si="123"/>
        <v>0</v>
      </c>
      <c r="P170" s="217">
        <f t="shared" si="123"/>
        <v>4095318.5289999996</v>
      </c>
      <c r="Q170" s="216">
        <f t="shared" si="123"/>
        <v>123329.37299999999</v>
      </c>
      <c r="R170" s="219">
        <f t="shared" si="123"/>
        <v>4218647.9019999998</v>
      </c>
      <c r="S170" s="216">
        <f t="shared" si="123"/>
        <v>47096.163083500003</v>
      </c>
      <c r="T170" s="216"/>
      <c r="U170" s="216">
        <f>SUM(U156:U169)</f>
        <v>98287.644695999988</v>
      </c>
      <c r="V170" s="216">
        <f>SUM(V156:V169)</f>
        <v>52829.609024099991</v>
      </c>
      <c r="W170" s="220">
        <f>SUM(W156:W169)</f>
        <v>7693095.3788679997</v>
      </c>
      <c r="X170" s="247">
        <f>SUM(X156:X169)</f>
        <v>435163.51835270005</v>
      </c>
      <c r="Y170" s="216"/>
      <c r="Z170" s="216">
        <f>SUM(Z156:Z169)</f>
        <v>286672.29703000007</v>
      </c>
      <c r="AA170" s="216">
        <f>SUM(AA156:AA169)</f>
        <v>0</v>
      </c>
      <c r="AB170" s="216">
        <f>SUM(AB156:AB169)</f>
        <v>3373482.7136173001</v>
      </c>
      <c r="AC170" s="225">
        <f>SUM(AC156:AC169)</f>
        <v>7693095.3788679997</v>
      </c>
    </row>
    <row r="171" spans="2:35" ht="13.8" thickBot="1" x14ac:dyDescent="0.3"/>
    <row r="172" spans="2:35" ht="15" thickBot="1" x14ac:dyDescent="0.35">
      <c r="B172" s="367" t="s">
        <v>371</v>
      </c>
      <c r="C172" s="368"/>
    </row>
    <row r="173" spans="2:35" s="199" customFormat="1" ht="14.4" x14ac:dyDescent="0.3">
      <c r="B173" s="201" t="s">
        <v>270</v>
      </c>
      <c r="C173" s="201" t="s">
        <v>271</v>
      </c>
      <c r="D173" s="201" t="s">
        <v>272</v>
      </c>
      <c r="E173" s="201" t="s">
        <v>273</v>
      </c>
      <c r="F173" s="201" t="s">
        <v>274</v>
      </c>
      <c r="G173" s="201" t="s">
        <v>275</v>
      </c>
      <c r="H173" s="201" t="s">
        <v>276</v>
      </c>
      <c r="I173" s="201" t="s">
        <v>277</v>
      </c>
      <c r="J173" s="201" t="s">
        <v>278</v>
      </c>
      <c r="K173" s="201" t="s">
        <v>279</v>
      </c>
      <c r="L173" s="202" t="s">
        <v>280</v>
      </c>
      <c r="M173" s="202" t="s">
        <v>281</v>
      </c>
      <c r="N173" s="202" t="s">
        <v>282</v>
      </c>
      <c r="O173" s="202" t="s">
        <v>283</v>
      </c>
      <c r="P173" s="203" t="s">
        <v>284</v>
      </c>
      <c r="Q173" s="202" t="s">
        <v>285</v>
      </c>
      <c r="R173" s="253" t="s">
        <v>286</v>
      </c>
      <c r="S173" s="206" t="s">
        <v>287</v>
      </c>
      <c r="T173" s="206"/>
      <c r="U173" s="206" t="s">
        <v>288</v>
      </c>
      <c r="V173" s="206" t="s">
        <v>289</v>
      </c>
      <c r="W173" s="207" t="s">
        <v>290</v>
      </c>
      <c r="X173" s="208" t="s">
        <v>291</v>
      </c>
      <c r="Y173" s="208" t="s">
        <v>292</v>
      </c>
      <c r="Z173" s="208" t="s">
        <v>293</v>
      </c>
      <c r="AA173" s="206" t="s">
        <v>294</v>
      </c>
      <c r="AB173" s="206" t="s">
        <v>295</v>
      </c>
      <c r="AC173" s="206" t="s">
        <v>296</v>
      </c>
      <c r="AD173" s="206" t="s">
        <v>372</v>
      </c>
      <c r="AE173" s="206" t="s">
        <v>287</v>
      </c>
      <c r="AF173" s="206" t="s">
        <v>288</v>
      </c>
      <c r="AG173" s="206" t="s">
        <v>289</v>
      </c>
      <c r="AH173" s="202" t="s">
        <v>373</v>
      </c>
      <c r="AI173" s="209" t="s">
        <v>298</v>
      </c>
    </row>
    <row r="174" spans="2:35" s="199" customFormat="1" ht="14.4" x14ac:dyDescent="0.3">
      <c r="B174" s="210" t="s">
        <v>299</v>
      </c>
      <c r="C174" s="211" t="s">
        <v>300</v>
      </c>
      <c r="D174" s="212" t="s">
        <v>301</v>
      </c>
      <c r="E174" s="212" t="s">
        <v>302</v>
      </c>
      <c r="F174" s="210" t="s">
        <v>303</v>
      </c>
      <c r="G174" s="210" t="s">
        <v>304</v>
      </c>
      <c r="H174" s="210" t="s">
        <v>305</v>
      </c>
      <c r="I174" s="213">
        <v>42453</v>
      </c>
      <c r="J174" s="214" t="s">
        <v>306</v>
      </c>
      <c r="K174" s="215">
        <v>30</v>
      </c>
      <c r="L174" s="216">
        <f>593728+(593728*3.7%)</f>
        <v>615695.93599999999</v>
      </c>
      <c r="M174" s="216">
        <v>35275</v>
      </c>
      <c r="N174" s="216">
        <v>85702</v>
      </c>
      <c r="O174" s="216">
        <v>0</v>
      </c>
      <c r="P174" s="217">
        <f t="shared" ref="P174:P187" si="124">SUM(L174:O174)</f>
        <v>736672.93599999999</v>
      </c>
      <c r="Q174" s="218">
        <f>11724+(11724*3.7%)</f>
        <v>12157.788</v>
      </c>
      <c r="R174" s="219">
        <f t="shared" ref="R174:R187" si="125">Q174+P174</f>
        <v>748830.72399999993</v>
      </c>
      <c r="S174" s="218">
        <f t="shared" ref="S174:S187" si="126">P174*1.15%</f>
        <v>8471.7387639999997</v>
      </c>
      <c r="T174" s="218"/>
      <c r="U174" s="218">
        <f>P174*2.4%</f>
        <v>17680.150463999998</v>
      </c>
      <c r="V174" s="218">
        <f t="shared" ref="V174:V187" si="127">P174*1.29%</f>
        <v>9503.0808744000005</v>
      </c>
      <c r="W174" s="220">
        <f t="shared" ref="W174:W187" si="128">V174+U174+S174+R174</f>
        <v>784485.69410239998</v>
      </c>
      <c r="X174" s="221">
        <f>P174*10.14%</f>
        <v>74698.635710400005</v>
      </c>
      <c r="Y174" s="222" t="s">
        <v>307</v>
      </c>
      <c r="Z174" s="221">
        <f t="shared" ref="Z174:Z187" si="129">P174*7%</f>
        <v>51567.105520000005</v>
      </c>
      <c r="AA174" s="223">
        <v>0</v>
      </c>
      <c r="AB174" s="224">
        <f>P174-X174-Z174-AA174</f>
        <v>610407.19476959994</v>
      </c>
      <c r="AC174" s="224" t="s">
        <v>308</v>
      </c>
      <c r="AD174" s="223">
        <v>57322</v>
      </c>
      <c r="AE174" s="218">
        <f t="shared" ref="AE174:AE187" si="130">AD174*1.15%</f>
        <v>659.20299999999997</v>
      </c>
      <c r="AF174" s="218">
        <f t="shared" ref="AF174:AF187" si="131">AD174*2.4%</f>
        <v>1375.7280000000001</v>
      </c>
      <c r="AG174" s="218">
        <f t="shared" ref="AG174:AG187" si="132">AD174*1.29%</f>
        <v>739.4538</v>
      </c>
      <c r="AH174" s="221">
        <f>IF(AD174&lt;617400,123480,41160)</f>
        <v>123480</v>
      </c>
      <c r="AI174" s="225">
        <f>W174+AD174+AE174+AF174+AG174+AH174</f>
        <v>968062.07890239998</v>
      </c>
    </row>
    <row r="175" spans="2:35" s="199" customFormat="1" ht="14.4" x14ac:dyDescent="0.3">
      <c r="B175" s="210"/>
      <c r="C175" s="211"/>
      <c r="D175" s="212"/>
      <c r="E175" s="212"/>
      <c r="F175" s="210"/>
      <c r="G175" s="210"/>
      <c r="H175" s="210"/>
      <c r="I175" s="213"/>
      <c r="J175" s="214"/>
      <c r="K175" s="215"/>
      <c r="L175" s="216"/>
      <c r="M175" s="216"/>
      <c r="N175" s="216"/>
      <c r="O175" s="216"/>
      <c r="P175" s="217"/>
      <c r="Q175" s="218"/>
      <c r="R175" s="219"/>
      <c r="S175" s="218"/>
      <c r="T175" s="218"/>
      <c r="U175" s="218"/>
      <c r="V175" s="218"/>
      <c r="W175" s="220"/>
      <c r="X175" s="221"/>
      <c r="Y175" s="222"/>
      <c r="Z175" s="221"/>
      <c r="AA175" s="223"/>
      <c r="AB175" s="224"/>
      <c r="AC175" s="224"/>
      <c r="AD175" s="223"/>
      <c r="AE175" s="218"/>
      <c r="AF175" s="218"/>
      <c r="AG175" s="218"/>
      <c r="AH175" s="221"/>
      <c r="AI175" s="225"/>
    </row>
    <row r="176" spans="2:35" s="199" customFormat="1" ht="14.4" x14ac:dyDescent="0.3">
      <c r="B176" s="226" t="s">
        <v>309</v>
      </c>
      <c r="C176" s="211" t="s">
        <v>310</v>
      </c>
      <c r="D176" s="212" t="s">
        <v>311</v>
      </c>
      <c r="E176" s="212" t="s">
        <v>312</v>
      </c>
      <c r="F176" s="210" t="s">
        <v>303</v>
      </c>
      <c r="G176" s="210" t="s">
        <v>304</v>
      </c>
      <c r="H176" s="210" t="s">
        <v>313</v>
      </c>
      <c r="I176" s="227">
        <v>41694</v>
      </c>
      <c r="J176" s="214" t="s">
        <v>306</v>
      </c>
      <c r="K176" s="215">
        <v>30</v>
      </c>
      <c r="L176" s="216">
        <f>405712+(405712*3.7%)</f>
        <v>420723.34399999998</v>
      </c>
      <c r="M176" s="216">
        <v>35049</v>
      </c>
      <c r="N176" s="216">
        <v>0</v>
      </c>
      <c r="O176" s="216">
        <v>0</v>
      </c>
      <c r="P176" s="217">
        <f t="shared" si="124"/>
        <v>455772.34399999998</v>
      </c>
      <c r="Q176" s="218">
        <f>12606+(12606*3.7%)</f>
        <v>13072.422</v>
      </c>
      <c r="R176" s="219">
        <f>Q176+P176</f>
        <v>468844.766</v>
      </c>
      <c r="S176" s="218">
        <f t="shared" si="126"/>
        <v>5241.3819559999993</v>
      </c>
      <c r="T176" s="218"/>
      <c r="U176" s="218">
        <f t="shared" ref="U176:U187" si="133">P176*2.4%</f>
        <v>10938.536255999999</v>
      </c>
      <c r="V176" s="218">
        <f t="shared" si="127"/>
        <v>5879.4632376</v>
      </c>
      <c r="W176" s="220">
        <f t="shared" si="128"/>
        <v>490904.14744959999</v>
      </c>
      <c r="X176" s="221">
        <f>P176*11.54%</f>
        <v>52596.128497599995</v>
      </c>
      <c r="Y176" s="222" t="s">
        <v>314</v>
      </c>
      <c r="Z176" s="221">
        <f t="shared" si="129"/>
        <v>31904.06408</v>
      </c>
      <c r="AA176" s="223">
        <v>0</v>
      </c>
      <c r="AB176" s="224">
        <f t="shared" ref="AB176:AB187" si="134">P176-X176-Z176-AA176</f>
        <v>371272.15142240003</v>
      </c>
      <c r="AC176" s="224" t="s">
        <v>315</v>
      </c>
      <c r="AD176" s="223">
        <v>58415</v>
      </c>
      <c r="AE176" s="218">
        <f t="shared" si="130"/>
        <v>671.77250000000004</v>
      </c>
      <c r="AF176" s="218">
        <f t="shared" si="131"/>
        <v>1401.96</v>
      </c>
      <c r="AG176" s="218">
        <f t="shared" si="132"/>
        <v>753.55349999999999</v>
      </c>
      <c r="AH176" s="221">
        <f t="shared" ref="AH176:AH187" si="135">IF(AD176&lt;617400,123480,41160)</f>
        <v>123480</v>
      </c>
      <c r="AI176" s="225">
        <f t="shared" ref="AI176:AI187" si="136">W176+AD176+AE176+AF176+AG176+AH176</f>
        <v>675626.43344960001</v>
      </c>
    </row>
    <row r="177" spans="2:35" s="199" customFormat="1" ht="14.4" x14ac:dyDescent="0.3">
      <c r="B177" s="226" t="s">
        <v>316</v>
      </c>
      <c r="C177" s="211" t="s">
        <v>317</v>
      </c>
      <c r="D177" s="212" t="s">
        <v>318</v>
      </c>
      <c r="E177" s="212" t="s">
        <v>319</v>
      </c>
      <c r="F177" s="210" t="s">
        <v>303</v>
      </c>
      <c r="G177" s="210" t="s">
        <v>304</v>
      </c>
      <c r="H177" s="210" t="s">
        <v>313</v>
      </c>
      <c r="I177" s="213">
        <v>42676</v>
      </c>
      <c r="J177" s="214" t="s">
        <v>306</v>
      </c>
      <c r="K177" s="215">
        <v>30</v>
      </c>
      <c r="L177" s="216">
        <f t="shared" ref="L177:L182" si="137">352620+(352620*3.7%)</f>
        <v>365666.94</v>
      </c>
      <c r="M177" s="216">
        <v>0</v>
      </c>
      <c r="N177" s="216">
        <v>0</v>
      </c>
      <c r="O177" s="216">
        <v>0</v>
      </c>
      <c r="P177" s="217">
        <f t="shared" si="124"/>
        <v>365666.94</v>
      </c>
      <c r="Q177" s="218">
        <f>11416+(11416*3.7%)</f>
        <v>11838.392</v>
      </c>
      <c r="R177" s="219">
        <f t="shared" si="125"/>
        <v>377505.33199999999</v>
      </c>
      <c r="S177" s="218">
        <f t="shared" si="126"/>
        <v>4205.1698100000003</v>
      </c>
      <c r="T177" s="218"/>
      <c r="U177" s="218">
        <f t="shared" si="133"/>
        <v>8776.0065599999998</v>
      </c>
      <c r="V177" s="218">
        <f t="shared" si="127"/>
        <v>4717.1035259999999</v>
      </c>
      <c r="W177" s="220">
        <f t="shared" si="128"/>
        <v>395203.61189599999</v>
      </c>
      <c r="X177" s="221">
        <f>P177*10.14%</f>
        <v>37078.627716000003</v>
      </c>
      <c r="Y177" s="222" t="s">
        <v>307</v>
      </c>
      <c r="Z177" s="221">
        <f t="shared" si="129"/>
        <v>25596.685800000003</v>
      </c>
      <c r="AA177" s="223">
        <v>0</v>
      </c>
      <c r="AB177" s="224">
        <f t="shared" si="134"/>
        <v>302991.62648400001</v>
      </c>
      <c r="AC177" s="224" t="s">
        <v>315</v>
      </c>
      <c r="AD177" s="223">
        <v>58415</v>
      </c>
      <c r="AE177" s="218">
        <f t="shared" si="130"/>
        <v>671.77250000000004</v>
      </c>
      <c r="AF177" s="218">
        <f t="shared" si="131"/>
        <v>1401.96</v>
      </c>
      <c r="AG177" s="218">
        <f t="shared" si="132"/>
        <v>753.55349999999999</v>
      </c>
      <c r="AH177" s="221">
        <f t="shared" si="135"/>
        <v>123480</v>
      </c>
      <c r="AI177" s="225">
        <f t="shared" si="136"/>
        <v>579925.89789599995</v>
      </c>
    </row>
    <row r="178" spans="2:35" s="198" customFormat="1" ht="14.4" x14ac:dyDescent="0.3">
      <c r="B178" s="228" t="s">
        <v>320</v>
      </c>
      <c r="C178" s="229" t="s">
        <v>321</v>
      </c>
      <c r="D178" s="228" t="s">
        <v>322</v>
      </c>
      <c r="E178" s="228" t="s">
        <v>323</v>
      </c>
      <c r="F178" s="230" t="s">
        <v>303</v>
      </c>
      <c r="G178" s="230" t="s">
        <v>304</v>
      </c>
      <c r="H178" s="230" t="s">
        <v>313</v>
      </c>
      <c r="I178" s="231">
        <v>42531</v>
      </c>
      <c r="J178" s="232" t="s">
        <v>306</v>
      </c>
      <c r="K178" s="233">
        <v>30</v>
      </c>
      <c r="L178" s="234">
        <v>0</v>
      </c>
      <c r="M178" s="234">
        <v>0</v>
      </c>
      <c r="N178" s="234">
        <v>0</v>
      </c>
      <c r="O178" s="234">
        <v>0</v>
      </c>
      <c r="P178" s="235">
        <f t="shared" si="124"/>
        <v>0</v>
      </c>
      <c r="Q178" s="236">
        <v>0</v>
      </c>
      <c r="R178" s="237">
        <v>0</v>
      </c>
      <c r="S178" s="236">
        <f t="shared" si="126"/>
        <v>0</v>
      </c>
      <c r="T178" s="236"/>
      <c r="U178" s="236">
        <f t="shared" si="133"/>
        <v>0</v>
      </c>
      <c r="V178" s="236">
        <f t="shared" si="127"/>
        <v>0</v>
      </c>
      <c r="W178" s="238">
        <f t="shared" si="128"/>
        <v>0</v>
      </c>
      <c r="X178" s="239">
        <f>P178*10.77%</f>
        <v>0</v>
      </c>
      <c r="Y178" s="240" t="s">
        <v>324</v>
      </c>
      <c r="Z178" s="239">
        <f t="shared" si="129"/>
        <v>0</v>
      </c>
      <c r="AA178" s="239">
        <v>0</v>
      </c>
      <c r="AB178" s="241">
        <f t="shared" si="134"/>
        <v>0</v>
      </c>
      <c r="AC178" s="241" t="s">
        <v>315</v>
      </c>
      <c r="AD178" s="239">
        <v>0</v>
      </c>
      <c r="AE178" s="236">
        <f t="shared" si="130"/>
        <v>0</v>
      </c>
      <c r="AF178" s="236">
        <f t="shared" si="131"/>
        <v>0</v>
      </c>
      <c r="AG178" s="236">
        <f t="shared" si="132"/>
        <v>0</v>
      </c>
      <c r="AH178" s="239">
        <v>0</v>
      </c>
      <c r="AI178" s="242">
        <f t="shared" si="136"/>
        <v>0</v>
      </c>
    </row>
    <row r="179" spans="2:35" s="199" customFormat="1" ht="14.4" x14ac:dyDescent="0.3">
      <c r="B179" s="226" t="s">
        <v>325</v>
      </c>
      <c r="C179" s="211" t="s">
        <v>321</v>
      </c>
      <c r="D179" s="212" t="s">
        <v>326</v>
      </c>
      <c r="E179" s="212" t="s">
        <v>327</v>
      </c>
      <c r="F179" s="210" t="s">
        <v>303</v>
      </c>
      <c r="G179" s="210" t="s">
        <v>304</v>
      </c>
      <c r="H179" s="210" t="s">
        <v>313</v>
      </c>
      <c r="I179" s="213">
        <v>42461</v>
      </c>
      <c r="J179" s="214" t="s">
        <v>306</v>
      </c>
      <c r="K179" s="215">
        <v>30</v>
      </c>
      <c r="L179" s="216">
        <f t="shared" si="137"/>
        <v>365666.94</v>
      </c>
      <c r="M179" s="216">
        <v>23366</v>
      </c>
      <c r="N179" s="216">
        <v>0</v>
      </c>
      <c r="O179" s="216">
        <v>0</v>
      </c>
      <c r="P179" s="217">
        <f t="shared" si="124"/>
        <v>389032.94</v>
      </c>
      <c r="Q179" s="218">
        <f>11724+(11724*3.7%)</f>
        <v>12157.788</v>
      </c>
      <c r="R179" s="219">
        <f t="shared" si="125"/>
        <v>401190.728</v>
      </c>
      <c r="S179" s="218">
        <f t="shared" si="126"/>
        <v>4473.8788100000002</v>
      </c>
      <c r="T179" s="218"/>
      <c r="U179" s="218">
        <f t="shared" si="133"/>
        <v>9336.7905599999995</v>
      </c>
      <c r="V179" s="218">
        <f t="shared" si="127"/>
        <v>5018.5249260000001</v>
      </c>
      <c r="W179" s="220">
        <f t="shared" si="128"/>
        <v>420019.922296</v>
      </c>
      <c r="X179" s="221">
        <f>P179*10.14%</f>
        <v>39447.940116000005</v>
      </c>
      <c r="Y179" s="222" t="s">
        <v>307</v>
      </c>
      <c r="Z179" s="221">
        <f t="shared" si="129"/>
        <v>27232.305800000002</v>
      </c>
      <c r="AA179" s="223">
        <v>0</v>
      </c>
      <c r="AB179" s="224">
        <f t="shared" si="134"/>
        <v>322352.69408399996</v>
      </c>
      <c r="AC179" s="224" t="s">
        <v>315</v>
      </c>
      <c r="AD179" s="223">
        <v>58415</v>
      </c>
      <c r="AE179" s="218">
        <f t="shared" si="130"/>
        <v>671.77250000000004</v>
      </c>
      <c r="AF179" s="218">
        <f t="shared" si="131"/>
        <v>1401.96</v>
      </c>
      <c r="AG179" s="218">
        <f t="shared" si="132"/>
        <v>753.55349999999999</v>
      </c>
      <c r="AH179" s="221">
        <f t="shared" si="135"/>
        <v>123480</v>
      </c>
      <c r="AI179" s="225">
        <f t="shared" si="136"/>
        <v>604742.20829600003</v>
      </c>
    </row>
    <row r="180" spans="2:35" s="199" customFormat="1" ht="14.4" x14ac:dyDescent="0.3">
      <c r="B180" s="226" t="s">
        <v>328</v>
      </c>
      <c r="C180" s="211" t="s">
        <v>329</v>
      </c>
      <c r="D180" s="212" t="s">
        <v>330</v>
      </c>
      <c r="E180" s="212" t="s">
        <v>331</v>
      </c>
      <c r="F180" s="210" t="s">
        <v>303</v>
      </c>
      <c r="G180" s="210" t="s">
        <v>304</v>
      </c>
      <c r="H180" s="210" t="s">
        <v>313</v>
      </c>
      <c r="I180" s="213">
        <v>42786</v>
      </c>
      <c r="J180" s="243">
        <v>42886</v>
      </c>
      <c r="K180" s="215">
        <v>30</v>
      </c>
      <c r="L180" s="216">
        <f t="shared" si="137"/>
        <v>365666.94</v>
      </c>
      <c r="M180" s="216">
        <v>0</v>
      </c>
      <c r="N180" s="216">
        <v>0</v>
      </c>
      <c r="O180" s="216">
        <v>0</v>
      </c>
      <c r="P180" s="217">
        <f t="shared" si="124"/>
        <v>365666.94</v>
      </c>
      <c r="Q180" s="218">
        <f>11416+(11416*3.7%)</f>
        <v>11838.392</v>
      </c>
      <c r="R180" s="219">
        <f t="shared" si="125"/>
        <v>377505.33199999999</v>
      </c>
      <c r="S180" s="218">
        <f t="shared" si="126"/>
        <v>4205.1698100000003</v>
      </c>
      <c r="T180" s="218"/>
      <c r="U180" s="218">
        <f t="shared" si="133"/>
        <v>8776.0065599999998</v>
      </c>
      <c r="V180" s="218">
        <f t="shared" si="127"/>
        <v>4717.1035259999999</v>
      </c>
      <c r="W180" s="220">
        <f t="shared" si="128"/>
        <v>395203.61189599999</v>
      </c>
      <c r="X180" s="221">
        <f>P180*10.14%</f>
        <v>37078.627716000003</v>
      </c>
      <c r="Y180" s="222" t="s">
        <v>307</v>
      </c>
      <c r="Z180" s="221">
        <f t="shared" si="129"/>
        <v>25596.685800000003</v>
      </c>
      <c r="AA180" s="223">
        <v>0</v>
      </c>
      <c r="AB180" s="224">
        <f t="shared" si="134"/>
        <v>302991.62648400001</v>
      </c>
      <c r="AC180" s="224" t="s">
        <v>315</v>
      </c>
      <c r="AD180" s="223">
        <v>58415</v>
      </c>
      <c r="AE180" s="218">
        <f t="shared" si="130"/>
        <v>671.77250000000004</v>
      </c>
      <c r="AF180" s="218">
        <f t="shared" si="131"/>
        <v>1401.96</v>
      </c>
      <c r="AG180" s="218">
        <f t="shared" si="132"/>
        <v>753.55349999999999</v>
      </c>
      <c r="AH180" s="221">
        <f t="shared" si="135"/>
        <v>123480</v>
      </c>
      <c r="AI180" s="225">
        <f t="shared" si="136"/>
        <v>579925.89789599995</v>
      </c>
    </row>
    <row r="181" spans="2:35" s="199" customFormat="1" ht="14.4" x14ac:dyDescent="0.3">
      <c r="B181" s="226" t="s">
        <v>332</v>
      </c>
      <c r="C181" s="211" t="s">
        <v>333</v>
      </c>
      <c r="D181" s="212" t="s">
        <v>334</v>
      </c>
      <c r="E181" s="212" t="s">
        <v>335</v>
      </c>
      <c r="F181" s="210" t="s">
        <v>303</v>
      </c>
      <c r="G181" s="210" t="s">
        <v>304</v>
      </c>
      <c r="H181" s="210" t="s">
        <v>313</v>
      </c>
      <c r="I181" s="213">
        <v>42787</v>
      </c>
      <c r="J181" s="243">
        <v>42886</v>
      </c>
      <c r="K181" s="215">
        <v>30</v>
      </c>
      <c r="L181" s="216">
        <f t="shared" si="137"/>
        <v>365666.94</v>
      </c>
      <c r="M181" s="216">
        <v>0</v>
      </c>
      <c r="N181" s="216">
        <v>0</v>
      </c>
      <c r="O181" s="216">
        <v>0</v>
      </c>
      <c r="P181" s="217">
        <f t="shared" si="124"/>
        <v>365666.94</v>
      </c>
      <c r="Q181" s="218">
        <f>11416+(11416*3.7%)</f>
        <v>11838.392</v>
      </c>
      <c r="R181" s="219">
        <f t="shared" si="125"/>
        <v>377505.33199999999</v>
      </c>
      <c r="S181" s="218">
        <f t="shared" si="126"/>
        <v>4205.1698100000003</v>
      </c>
      <c r="T181" s="218"/>
      <c r="U181" s="218">
        <f t="shared" si="133"/>
        <v>8776.0065599999998</v>
      </c>
      <c r="V181" s="218">
        <f t="shared" si="127"/>
        <v>4717.1035259999999</v>
      </c>
      <c r="W181" s="220">
        <f t="shared" si="128"/>
        <v>395203.61189599999</v>
      </c>
      <c r="X181" s="221">
        <f>P181*10.14%</f>
        <v>37078.627716000003</v>
      </c>
      <c r="Y181" s="222" t="s">
        <v>307</v>
      </c>
      <c r="Z181" s="221">
        <f t="shared" si="129"/>
        <v>25596.685800000003</v>
      </c>
      <c r="AA181" s="223">
        <v>0</v>
      </c>
      <c r="AB181" s="224">
        <f t="shared" si="134"/>
        <v>302991.62648400001</v>
      </c>
      <c r="AC181" s="224" t="s">
        <v>315</v>
      </c>
      <c r="AD181" s="223">
        <v>58415</v>
      </c>
      <c r="AE181" s="218">
        <f t="shared" si="130"/>
        <v>671.77250000000004</v>
      </c>
      <c r="AF181" s="218">
        <f t="shared" si="131"/>
        <v>1401.96</v>
      </c>
      <c r="AG181" s="218">
        <f t="shared" si="132"/>
        <v>753.55349999999999</v>
      </c>
      <c r="AH181" s="221">
        <f t="shared" si="135"/>
        <v>123480</v>
      </c>
      <c r="AI181" s="225">
        <f t="shared" si="136"/>
        <v>579925.89789599995</v>
      </c>
    </row>
    <row r="182" spans="2:35" s="199" customFormat="1" ht="14.4" x14ac:dyDescent="0.3">
      <c r="B182" s="226" t="s">
        <v>336</v>
      </c>
      <c r="C182" s="211" t="s">
        <v>337</v>
      </c>
      <c r="D182" s="212" t="s">
        <v>338</v>
      </c>
      <c r="E182" s="212" t="s">
        <v>339</v>
      </c>
      <c r="F182" s="210" t="s">
        <v>303</v>
      </c>
      <c r="G182" s="210" t="s">
        <v>304</v>
      </c>
      <c r="H182" s="210" t="s">
        <v>313</v>
      </c>
      <c r="I182" s="213">
        <v>42787</v>
      </c>
      <c r="J182" s="243">
        <v>42886</v>
      </c>
      <c r="K182" s="215">
        <v>30</v>
      </c>
      <c r="L182" s="216">
        <f t="shared" si="137"/>
        <v>365666.94</v>
      </c>
      <c r="M182" s="216">
        <v>0</v>
      </c>
      <c r="N182" s="216">
        <v>0</v>
      </c>
      <c r="O182" s="216">
        <v>0</v>
      </c>
      <c r="P182" s="217">
        <f t="shared" si="124"/>
        <v>365666.94</v>
      </c>
      <c r="Q182" s="218">
        <f>11416+(11416*3.7%)</f>
        <v>11838.392</v>
      </c>
      <c r="R182" s="219">
        <f t="shared" si="125"/>
        <v>377505.33199999999</v>
      </c>
      <c r="S182" s="218">
        <f t="shared" si="126"/>
        <v>4205.1698100000003</v>
      </c>
      <c r="T182" s="218"/>
      <c r="U182" s="218">
        <f t="shared" si="133"/>
        <v>8776.0065599999998</v>
      </c>
      <c r="V182" s="218">
        <f t="shared" si="127"/>
        <v>4717.1035259999999</v>
      </c>
      <c r="W182" s="220">
        <f t="shared" si="128"/>
        <v>395203.61189599999</v>
      </c>
      <c r="X182" s="221">
        <f>P182*10.77%</f>
        <v>39382.329437999993</v>
      </c>
      <c r="Y182" s="222" t="s">
        <v>324</v>
      </c>
      <c r="Z182" s="221">
        <f t="shared" si="129"/>
        <v>25596.685800000003</v>
      </c>
      <c r="AA182" s="223">
        <v>0</v>
      </c>
      <c r="AB182" s="224">
        <f t="shared" si="134"/>
        <v>300687.92476200004</v>
      </c>
      <c r="AC182" s="224" t="s">
        <v>315</v>
      </c>
      <c r="AD182" s="223">
        <v>58415</v>
      </c>
      <c r="AE182" s="218">
        <f t="shared" si="130"/>
        <v>671.77250000000004</v>
      </c>
      <c r="AF182" s="218">
        <f t="shared" si="131"/>
        <v>1401.96</v>
      </c>
      <c r="AG182" s="218">
        <f t="shared" si="132"/>
        <v>753.55349999999999</v>
      </c>
      <c r="AH182" s="221">
        <f t="shared" si="135"/>
        <v>123480</v>
      </c>
      <c r="AI182" s="225">
        <f t="shared" si="136"/>
        <v>579925.89789599995</v>
      </c>
    </row>
    <row r="183" spans="2:35" s="199" customFormat="1" ht="14.4" x14ac:dyDescent="0.3">
      <c r="B183" s="226"/>
      <c r="C183" s="211"/>
      <c r="D183" s="212"/>
      <c r="E183" s="212"/>
      <c r="F183" s="210"/>
      <c r="G183" s="210"/>
      <c r="H183" s="210"/>
      <c r="I183" s="213"/>
      <c r="J183" s="243"/>
      <c r="K183" s="215"/>
      <c r="L183" s="216"/>
      <c r="M183" s="216"/>
      <c r="N183" s="216"/>
      <c r="O183" s="216"/>
      <c r="P183" s="217"/>
      <c r="Q183" s="218"/>
      <c r="R183" s="219"/>
      <c r="S183" s="218"/>
      <c r="T183" s="218"/>
      <c r="U183" s="218"/>
      <c r="V183" s="218"/>
      <c r="W183" s="217">
        <f>SUM(W176:W182)</f>
        <v>2491738.5173295997</v>
      </c>
      <c r="X183" s="221"/>
      <c r="Y183" s="222"/>
      <c r="Z183" s="221"/>
      <c r="AA183" s="223"/>
      <c r="AB183" s="224"/>
      <c r="AC183" s="224"/>
      <c r="AD183" s="223"/>
      <c r="AE183" s="218"/>
      <c r="AF183" s="218"/>
      <c r="AG183" s="218"/>
      <c r="AH183" s="221"/>
      <c r="AI183" s="225"/>
    </row>
    <row r="184" spans="2:35" s="199" customFormat="1" ht="14.4" x14ac:dyDescent="0.3">
      <c r="B184" s="210" t="s">
        <v>340</v>
      </c>
      <c r="C184" s="244" t="s">
        <v>341</v>
      </c>
      <c r="D184" s="226" t="s">
        <v>342</v>
      </c>
      <c r="E184" s="226" t="s">
        <v>343</v>
      </c>
      <c r="F184" s="245" t="s">
        <v>303</v>
      </c>
      <c r="G184" s="245" t="s">
        <v>304</v>
      </c>
      <c r="H184" s="244" t="s">
        <v>344</v>
      </c>
      <c r="I184" s="227">
        <v>41694</v>
      </c>
      <c r="J184" s="246" t="s">
        <v>306</v>
      </c>
      <c r="K184" s="215">
        <v>30</v>
      </c>
      <c r="L184" s="216">
        <f>366313+(366313*3.7%)</f>
        <v>379866.58100000001</v>
      </c>
      <c r="M184" s="216">
        <v>35049</v>
      </c>
      <c r="N184" s="216">
        <v>0</v>
      </c>
      <c r="O184" s="216">
        <v>0</v>
      </c>
      <c r="P184" s="217">
        <f t="shared" si="124"/>
        <v>414915.58100000001</v>
      </c>
      <c r="Q184" s="218">
        <f>12803+(12803*3.7%)</f>
        <v>13276.710999999999</v>
      </c>
      <c r="R184" s="219">
        <f t="shared" si="125"/>
        <v>428192.29200000002</v>
      </c>
      <c r="S184" s="218">
        <f t="shared" si="126"/>
        <v>4771.5291815</v>
      </c>
      <c r="T184" s="218"/>
      <c r="U184" s="218">
        <f t="shared" si="133"/>
        <v>9957.9739440000012</v>
      </c>
      <c r="V184" s="218">
        <f t="shared" si="127"/>
        <v>5352.4109949000003</v>
      </c>
      <c r="W184" s="220">
        <f t="shared" si="128"/>
        <v>448274.20612039999</v>
      </c>
      <c r="X184" s="221">
        <f>P184*11.27%</f>
        <v>46760.985978699995</v>
      </c>
      <c r="Y184" s="222" t="s">
        <v>345</v>
      </c>
      <c r="Z184" s="221">
        <f t="shared" si="129"/>
        <v>29044.090670000001</v>
      </c>
      <c r="AA184" s="223">
        <v>0</v>
      </c>
      <c r="AB184" s="224">
        <f t="shared" si="134"/>
        <v>339110.50435130001</v>
      </c>
      <c r="AC184" s="224" t="s">
        <v>315</v>
      </c>
      <c r="AD184" s="223">
        <v>58415</v>
      </c>
      <c r="AE184" s="218">
        <f t="shared" si="130"/>
        <v>671.77250000000004</v>
      </c>
      <c r="AF184" s="218">
        <f t="shared" si="131"/>
        <v>1401.96</v>
      </c>
      <c r="AG184" s="218">
        <f t="shared" si="132"/>
        <v>753.55349999999999</v>
      </c>
      <c r="AH184" s="221">
        <f t="shared" si="135"/>
        <v>123480</v>
      </c>
      <c r="AI184" s="225">
        <f t="shared" si="136"/>
        <v>632996.49212040007</v>
      </c>
    </row>
    <row r="185" spans="2:35" s="199" customFormat="1" ht="14.4" x14ac:dyDescent="0.3">
      <c r="B185" s="226" t="s">
        <v>346</v>
      </c>
      <c r="C185" s="211" t="s">
        <v>347</v>
      </c>
      <c r="D185" s="212" t="s">
        <v>348</v>
      </c>
      <c r="E185" s="212" t="s">
        <v>349</v>
      </c>
      <c r="F185" s="245" t="s">
        <v>303</v>
      </c>
      <c r="G185" s="245" t="s">
        <v>304</v>
      </c>
      <c r="H185" s="244" t="s">
        <v>344</v>
      </c>
      <c r="I185" s="227">
        <v>42324</v>
      </c>
      <c r="J185" s="246" t="s">
        <v>306</v>
      </c>
      <c r="K185" s="215">
        <v>30</v>
      </c>
      <c r="L185" s="216">
        <f>298368+(298368*3.7%)</f>
        <v>309407.61599999998</v>
      </c>
      <c r="M185" s="216">
        <v>0</v>
      </c>
      <c r="N185" s="216">
        <v>0</v>
      </c>
      <c r="O185" s="216">
        <v>0</v>
      </c>
      <c r="P185" s="217">
        <f t="shared" si="124"/>
        <v>309407.61599999998</v>
      </c>
      <c r="Q185" s="218">
        <f>11416+(11416*3.7%)</f>
        <v>11838.392</v>
      </c>
      <c r="R185" s="219">
        <f t="shared" si="125"/>
        <v>321246.00799999997</v>
      </c>
      <c r="S185" s="218">
        <f t="shared" si="126"/>
        <v>3558.1875839999998</v>
      </c>
      <c r="T185" s="218"/>
      <c r="U185" s="218">
        <f t="shared" si="133"/>
        <v>7425.782784</v>
      </c>
      <c r="V185" s="218">
        <f t="shared" si="127"/>
        <v>3991.3582463999996</v>
      </c>
      <c r="W185" s="220">
        <f t="shared" si="128"/>
        <v>336221.33661439997</v>
      </c>
      <c r="X185" s="221">
        <f>P185*10.77%</f>
        <v>33323.200243199994</v>
      </c>
      <c r="Y185" s="222" t="s">
        <v>324</v>
      </c>
      <c r="Z185" s="221">
        <f t="shared" si="129"/>
        <v>21658.53312</v>
      </c>
      <c r="AA185" s="223">
        <v>0</v>
      </c>
      <c r="AB185" s="224">
        <f t="shared" si="134"/>
        <v>254425.88263679997</v>
      </c>
      <c r="AC185" s="224" t="s">
        <v>315</v>
      </c>
      <c r="AD185" s="223">
        <v>58415</v>
      </c>
      <c r="AE185" s="218">
        <f t="shared" si="130"/>
        <v>671.77250000000004</v>
      </c>
      <c r="AF185" s="218">
        <f t="shared" si="131"/>
        <v>1401.96</v>
      </c>
      <c r="AG185" s="218">
        <f t="shared" si="132"/>
        <v>753.55349999999999</v>
      </c>
      <c r="AH185" s="221">
        <f t="shared" si="135"/>
        <v>123480</v>
      </c>
      <c r="AI185" s="225">
        <f t="shared" si="136"/>
        <v>520943.6226144</v>
      </c>
    </row>
    <row r="186" spans="2:35" s="199" customFormat="1" ht="14.4" x14ac:dyDescent="0.3">
      <c r="B186" s="226"/>
      <c r="C186" s="211"/>
      <c r="D186" s="212"/>
      <c r="E186" s="212"/>
      <c r="F186" s="245"/>
      <c r="G186" s="245"/>
      <c r="H186" s="244"/>
      <c r="I186" s="227"/>
      <c r="J186" s="246"/>
      <c r="K186" s="215"/>
      <c r="L186" s="216"/>
      <c r="M186" s="216"/>
      <c r="N186" s="216"/>
      <c r="O186" s="216"/>
      <c r="P186" s="217"/>
      <c r="Q186" s="218"/>
      <c r="R186" s="219"/>
      <c r="S186" s="218"/>
      <c r="T186" s="218"/>
      <c r="U186" s="218"/>
      <c r="V186" s="218"/>
      <c r="W186" s="217">
        <f>SUM(W184:W185)</f>
        <v>784495.54273479991</v>
      </c>
      <c r="X186" s="221"/>
      <c r="Y186" s="222"/>
      <c r="Z186" s="221"/>
      <c r="AA186" s="223"/>
      <c r="AB186" s="224"/>
      <c r="AC186" s="224"/>
      <c r="AD186" s="223"/>
      <c r="AE186" s="218"/>
      <c r="AF186" s="218"/>
      <c r="AG186" s="218"/>
      <c r="AH186" s="221"/>
      <c r="AI186" s="225"/>
    </row>
    <row r="187" spans="2:35" s="199" customFormat="1" ht="14.4" x14ac:dyDescent="0.3">
      <c r="B187" s="226" t="s">
        <v>350</v>
      </c>
      <c r="C187" s="244" t="s">
        <v>351</v>
      </c>
      <c r="D187" s="226" t="s">
        <v>352</v>
      </c>
      <c r="E187" s="226" t="s">
        <v>353</v>
      </c>
      <c r="F187" s="210" t="s">
        <v>303</v>
      </c>
      <c r="G187" s="210" t="s">
        <v>304</v>
      </c>
      <c r="H187" s="210" t="s">
        <v>354</v>
      </c>
      <c r="I187" s="227">
        <v>41339</v>
      </c>
      <c r="J187" s="214" t="s">
        <v>306</v>
      </c>
      <c r="K187" s="215">
        <v>30</v>
      </c>
      <c r="L187" s="216">
        <f>286496+(286496*3.7%)</f>
        <v>297096.35200000001</v>
      </c>
      <c r="M187" s="216">
        <v>29753</v>
      </c>
      <c r="N187" s="216">
        <v>0</v>
      </c>
      <c r="O187" s="216">
        <v>0</v>
      </c>
      <c r="P187" s="217">
        <f t="shared" si="124"/>
        <v>326849.35200000001</v>
      </c>
      <c r="Q187" s="218">
        <f>12992+(12992*3.7%)</f>
        <v>13472.704</v>
      </c>
      <c r="R187" s="219">
        <f t="shared" si="125"/>
        <v>340322.05600000004</v>
      </c>
      <c r="S187" s="218">
        <f t="shared" si="126"/>
        <v>3758.7675480000003</v>
      </c>
      <c r="T187" s="218"/>
      <c r="U187" s="218">
        <f t="shared" si="133"/>
        <v>7844.3844480000007</v>
      </c>
      <c r="V187" s="218">
        <f t="shared" si="127"/>
        <v>4216.3566408000006</v>
      </c>
      <c r="W187" s="220">
        <f t="shared" si="128"/>
        <v>356141.56463680003</v>
      </c>
      <c r="X187" s="221">
        <f>P187*11.54%</f>
        <v>37718.415220800001</v>
      </c>
      <c r="Y187" s="222" t="s">
        <v>314</v>
      </c>
      <c r="Z187" s="221">
        <f t="shared" si="129"/>
        <v>22879.454640000004</v>
      </c>
      <c r="AA187" s="223">
        <v>0</v>
      </c>
      <c r="AB187" s="224">
        <f t="shared" si="134"/>
        <v>266251.48213919997</v>
      </c>
      <c r="AC187" s="224" t="s">
        <v>355</v>
      </c>
      <c r="AD187" s="223">
        <v>57026</v>
      </c>
      <c r="AE187" s="218">
        <f t="shared" si="130"/>
        <v>655.79899999999998</v>
      </c>
      <c r="AF187" s="218">
        <f t="shared" si="131"/>
        <v>1368.624</v>
      </c>
      <c r="AG187" s="218">
        <f t="shared" si="132"/>
        <v>735.6354</v>
      </c>
      <c r="AH187" s="221">
        <f t="shared" si="135"/>
        <v>123480</v>
      </c>
      <c r="AI187" s="225">
        <f t="shared" si="136"/>
        <v>539407.62303680007</v>
      </c>
    </row>
    <row r="188" spans="2:35" s="199" customFormat="1" ht="25.8" x14ac:dyDescent="0.5">
      <c r="B188" s="369" t="s">
        <v>356</v>
      </c>
      <c r="C188" s="370"/>
      <c r="D188" s="370"/>
      <c r="E188" s="370"/>
      <c r="F188" s="370"/>
      <c r="G188" s="370"/>
      <c r="H188" s="370"/>
      <c r="I188" s="370"/>
      <c r="J188" s="371"/>
      <c r="K188" s="215"/>
      <c r="L188" s="216">
        <f t="shared" ref="L188:S188" si="138">SUM(L174:L187)</f>
        <v>3851124.5289999996</v>
      </c>
      <c r="M188" s="216">
        <f t="shared" si="138"/>
        <v>158492</v>
      </c>
      <c r="N188" s="216">
        <f t="shared" si="138"/>
        <v>85702</v>
      </c>
      <c r="O188" s="216">
        <f t="shared" si="138"/>
        <v>0</v>
      </c>
      <c r="P188" s="217">
        <f>SUM(P174:P187)</f>
        <v>4095318.5289999996</v>
      </c>
      <c r="Q188" s="216">
        <f t="shared" si="138"/>
        <v>123329.37299999999</v>
      </c>
      <c r="R188" s="219">
        <f>SUM(R174:R187)</f>
        <v>4218647.9019999998</v>
      </c>
      <c r="S188" s="216">
        <f t="shared" si="138"/>
        <v>47096.163083500003</v>
      </c>
      <c r="T188" s="216"/>
      <c r="U188" s="216">
        <f>SUM(U174:U187)</f>
        <v>98287.644695999988</v>
      </c>
      <c r="V188" s="216">
        <f>SUM(V174:V187)</f>
        <v>52829.609024099991</v>
      </c>
      <c r="W188" s="220">
        <f>SUM(W174:W187)</f>
        <v>7693095.3788679997</v>
      </c>
      <c r="X188" s="247">
        <f>SUM(X174:X187)</f>
        <v>435163.51835270005</v>
      </c>
      <c r="Y188" s="216"/>
      <c r="Z188" s="216">
        <f>SUM(Z174:Z187)</f>
        <v>286672.29703000007</v>
      </c>
      <c r="AA188" s="216">
        <f>SUM(AA174:AA187)</f>
        <v>0</v>
      </c>
      <c r="AB188" s="216">
        <f>SUM(AB174:AB187)</f>
        <v>3373482.7136173001</v>
      </c>
      <c r="AC188" s="224"/>
      <c r="AD188" s="216">
        <f t="shared" ref="AD188:AI188" si="139">SUM(AD174:AD187)</f>
        <v>581668</v>
      </c>
      <c r="AE188" s="216">
        <f t="shared" si="139"/>
        <v>6689.1819999999998</v>
      </c>
      <c r="AF188" s="216">
        <f t="shared" si="139"/>
        <v>13960.031999999999</v>
      </c>
      <c r="AG188" s="216">
        <f t="shared" si="139"/>
        <v>7503.5172000000002</v>
      </c>
      <c r="AH188" s="276">
        <f t="shared" si="139"/>
        <v>1234800</v>
      </c>
      <c r="AI188" s="225">
        <f t="shared" si="139"/>
        <v>6261482.0500036012</v>
      </c>
    </row>
    <row r="189" spans="2:35" x14ac:dyDescent="0.25">
      <c r="AD189" s="277">
        <f>SUM(AD174:AD188)</f>
        <v>1163336</v>
      </c>
    </row>
    <row r="190" spans="2:35" x14ac:dyDescent="0.25">
      <c r="W190" s="274">
        <f>SUM(W188+W170+W152+W134+W119+W104+W74+W59+W44+W89+W29+W14)</f>
        <v>62630998.998916805</v>
      </c>
      <c r="X190" t="s">
        <v>376</v>
      </c>
    </row>
    <row r="191" spans="2:35" ht="24.6" x14ac:dyDescent="0.4">
      <c r="V191" t="s">
        <v>379</v>
      </c>
      <c r="W191" s="273">
        <f>SUM(W174+W156+W138+W123+W108+W93+W78+W63+W48+W33+W18+W3)</f>
        <v>9335424.3901824001</v>
      </c>
      <c r="AD191" s="278">
        <f>SUM(AD189+AD135)</f>
        <v>2326672</v>
      </c>
    </row>
    <row r="192" spans="2:35" x14ac:dyDescent="0.25">
      <c r="V192" t="s">
        <v>380</v>
      </c>
    </row>
    <row r="193" spans="22:31" x14ac:dyDescent="0.25">
      <c r="V193" t="s">
        <v>381</v>
      </c>
      <c r="AE193" t="s">
        <v>378</v>
      </c>
    </row>
    <row r="194" spans="22:31" x14ac:dyDescent="0.25">
      <c r="V194" t="s">
        <v>382</v>
      </c>
      <c r="W194" s="273">
        <f>SUM(W187+W169+W151+W133+W118+W103+W88+W73+W43+W28+W13)</f>
        <v>3915363.7301600003</v>
      </c>
    </row>
  </sheetData>
  <sheetProtection algorithmName="SHA-512" hashValue="yRJ+DWpY87ZJTWB+eWsljDr0cuQwLGO6YbGAOmAmXLK/avQdS58vM+fTnGUTPXvYPu3PTqBU4lZXcY8g23EuSg==" saltValue="hb/pMEmkZAtwb6QIfxrKCQ==" spinCount="100000" sheet="1" objects="1" scenarios="1"/>
  <mergeCells count="24">
    <mergeCell ref="B1:C1"/>
    <mergeCell ref="B14:J14"/>
    <mergeCell ref="B16:C16"/>
    <mergeCell ref="B29:J29"/>
    <mergeCell ref="B31:C31"/>
    <mergeCell ref="B44:J44"/>
    <mergeCell ref="B46:C46"/>
    <mergeCell ref="B59:J59"/>
    <mergeCell ref="B61:C61"/>
    <mergeCell ref="B74:J74"/>
    <mergeCell ref="B76:C76"/>
    <mergeCell ref="B89:J89"/>
    <mergeCell ref="B91:C91"/>
    <mergeCell ref="B104:J104"/>
    <mergeCell ref="B106:C106"/>
    <mergeCell ref="B154:C154"/>
    <mergeCell ref="B170:J170"/>
    <mergeCell ref="B172:C172"/>
    <mergeCell ref="B188:J188"/>
    <mergeCell ref="B119:J119"/>
    <mergeCell ref="B121:C121"/>
    <mergeCell ref="B134:J134"/>
    <mergeCell ref="B136:C136"/>
    <mergeCell ref="B152:J15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Ap. 1 Est. Precios </vt:lpstr>
      <vt:lpstr>Ap. 2 Ingresos C. Benef.</vt:lpstr>
      <vt:lpstr>Ap. 3 Costos Directos</vt:lpstr>
      <vt:lpstr>Ap. 4 Costos Indirectos</vt:lpstr>
      <vt:lpstr>Ap. 5 Tarifado </vt:lpstr>
      <vt:lpstr>Ap. 6 Remuneraciones</vt:lpstr>
      <vt:lpstr>SUELDOS</vt:lpstr>
      <vt:lpstr>'Ap. 1 Est. Precios '!Área_de_impresión</vt:lpstr>
      <vt:lpstr>'Ap. 2 Ingresos C. Benef.'!Área_de_impresión</vt:lpstr>
      <vt:lpstr>'Ap. 3 Costos Directos'!Área_de_impresión</vt:lpstr>
      <vt:lpstr>'Ap. 4 Costos Indirectos'!Área_de_impresión</vt:lpstr>
      <vt:lpstr>'Ap. 5 Tarifado '!Área_de_impresión</vt:lpstr>
      <vt:lpstr>Excel_BuiltIn_Print_Area_2_1</vt:lpstr>
      <vt:lpstr>'Ap. 2 Ingresos C. Benef.'!Títulos_a_imprimir</vt:lpstr>
      <vt:lpstr>'Ap. 3 Costos Directos'!Títulos_a_imprimir</vt:lpstr>
      <vt:lpstr>'Ap. 4 Costos Indirectos'!Títulos_a_imprimir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Directora</dc:creator>
  <cp:lastModifiedBy>lmondaca</cp:lastModifiedBy>
  <cp:lastPrinted>2015-09-14T17:14:52Z</cp:lastPrinted>
  <dcterms:created xsi:type="dcterms:W3CDTF">2014-05-06T21:08:24Z</dcterms:created>
  <dcterms:modified xsi:type="dcterms:W3CDTF">2017-12-12T17:39:44Z</dcterms:modified>
</cp:coreProperties>
</file>