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14400" windowHeight="9240" tabRatio="617"/>
  </bookViews>
  <sheets>
    <sheet name="Ap. 2 Ingresos C. Benef." sheetId="25" r:id="rId1"/>
    <sheet name="Ap. 3 Costos Directos" sheetId="15" r:id="rId2"/>
    <sheet name="Ap. 4 Costos Indirectos" sheetId="19" r:id="rId3"/>
    <sheet name="Ap. 5 Tarifado " sheetId="17" r:id="rId4"/>
    <sheet name="INFO-REM" sheetId="20" state="hidden" r:id="rId5"/>
    <sheet name="INFO-CONS" sheetId="21" state="hidden" r:id="rId6"/>
    <sheet name="INFO-MANT" sheetId="22" state="hidden" r:id="rId7"/>
    <sheet name="INFO-ACT" sheetId="23" state="hidden" r:id="rId8"/>
    <sheet name="INFO DESAY" sheetId="24" state="hidden" r:id="rId9"/>
    <sheet name="INFO AMENITIES" sheetId="27" state="hidden" r:id="rId10"/>
    <sheet name="Hoja1" sheetId="26" state="hidden" r:id="rId11"/>
    <sheet name="Hoja2" sheetId="28" state="hidden" r:id="rId12"/>
    <sheet name="Hoja3" sheetId="29" state="hidden" r:id="rId13"/>
    <sheet name="CONUSMOS BASICOS" sheetId="30" r:id="rId14"/>
    <sheet name="Hoja4" sheetId="31" r:id="rId15"/>
  </sheets>
  <externalReferences>
    <externalReference r:id="rId16"/>
  </externalReferences>
  <definedNames>
    <definedName name="_xlnm.Print_Area" localSheetId="1">'Ap. 3 Costos Directos'!$A$1:$J$95</definedName>
    <definedName name="_xlnm.Print_Area" localSheetId="3">'Ap. 5 Tarifado '!$B$1:$K$5</definedName>
    <definedName name="_xlnm.Print_Titles" localSheetId="1">'Ap. 3 Costos Directos'!$1:$6</definedName>
    <definedName name="_xlnm.Print_Titles" localSheetId="3">'Ap. 5 Tarifado '!#REF!</definedName>
  </definedNames>
  <calcPr calcId="125725"/>
</workbook>
</file>

<file path=xl/calcChain.xml><?xml version="1.0" encoding="utf-8"?>
<calcChain xmlns="http://schemas.openxmlformats.org/spreadsheetml/2006/main">
  <c r="R15" i="15"/>
  <c r="R8"/>
  <c r="P79"/>
  <c r="J81"/>
  <c r="J31"/>
  <c r="D21"/>
  <c r="E21"/>
  <c r="U8" l="1"/>
  <c r="C10" s="1"/>
  <c r="U12"/>
  <c r="U11"/>
  <c r="R9"/>
  <c r="F25" l="1"/>
  <c r="J25" s="1"/>
  <c r="G7" i="30"/>
  <c r="F8"/>
  <c r="G8" s="1"/>
  <c r="F9"/>
  <c r="G9" s="1"/>
  <c r="E10"/>
  <c r="F10" s="1"/>
  <c r="G10" s="1"/>
  <c r="E6"/>
  <c r="F6" s="1"/>
  <c r="G6" s="1"/>
  <c r="E5"/>
  <c r="F5" s="1"/>
  <c r="G5" s="1"/>
  <c r="E18"/>
  <c r="E19"/>
  <c r="E20"/>
  <c r="D22"/>
  <c r="E22" l="1"/>
  <c r="E4"/>
  <c r="F4" s="1"/>
  <c r="G4" s="1"/>
  <c r="F79" i="15"/>
  <c r="J79" s="1"/>
  <c r="F78"/>
  <c r="J78" s="1"/>
  <c r="D65"/>
  <c r="F65" s="1"/>
  <c r="J65" s="1"/>
  <c r="F21"/>
  <c r="J21" s="1"/>
  <c r="R12" l="1"/>
  <c r="J7" i="25"/>
  <c r="R14" i="15" l="1"/>
  <c r="R13"/>
  <c r="E7" i="23"/>
  <c r="E6"/>
  <c r="E5"/>
  <c r="J34" i="15" l="1"/>
  <c r="G6" i="20" l="1"/>
  <c r="H6" s="1"/>
  <c r="U13" i="15" l="1"/>
  <c r="C12" s="1"/>
  <c r="C9"/>
  <c r="C15" l="1"/>
  <c r="C7" l="1"/>
  <c r="D13" i="21"/>
  <c r="D9"/>
  <c r="D8"/>
  <c r="D7"/>
  <c r="E7" s="1"/>
  <c r="F7" s="1"/>
  <c r="K4" i="20"/>
  <c r="Q5"/>
  <c r="Q14" s="1"/>
  <c r="O12"/>
  <c r="O7"/>
  <c r="O5"/>
  <c r="M12"/>
  <c r="M7"/>
  <c r="M5"/>
  <c r="D13"/>
  <c r="D14" s="1"/>
  <c r="E14"/>
  <c r="K7" l="1"/>
  <c r="K5"/>
  <c r="K12"/>
  <c r="O14"/>
  <c r="M14"/>
  <c r="K14"/>
  <c r="E8" i="23"/>
  <c r="G7" i="20" l="1"/>
  <c r="H7" s="1"/>
  <c r="G8"/>
  <c r="H8" s="1"/>
  <c r="G9"/>
  <c r="H9" s="1"/>
  <c r="G10"/>
  <c r="H10" s="1"/>
  <c r="G11"/>
  <c r="H11" s="1"/>
  <c r="G12"/>
  <c r="H12" s="1"/>
  <c r="A7"/>
  <c r="G10" i="17" l="1"/>
  <c r="K10" s="1"/>
  <c r="F10"/>
  <c r="J10" s="1"/>
  <c r="E10"/>
  <c r="I10" s="1"/>
  <c r="D10"/>
  <c r="H10" s="1"/>
  <c r="G9"/>
  <c r="K9" s="1"/>
  <c r="F9"/>
  <c r="J9" s="1"/>
  <c r="E9"/>
  <c r="I9" s="1"/>
  <c r="D9"/>
  <c r="H9" s="1"/>
  <c r="G8"/>
  <c r="K8" s="1"/>
  <c r="F8"/>
  <c r="J8" s="1"/>
  <c r="E8"/>
  <c r="I8" s="1"/>
  <c r="F31" i="15"/>
  <c r="J77"/>
  <c r="B25" i="24"/>
  <c r="K22" i="25"/>
  <c r="J22"/>
  <c r="I22"/>
  <c r="H22"/>
  <c r="K19"/>
  <c r="J19"/>
  <c r="I19"/>
  <c r="H19"/>
  <c r="K16"/>
  <c r="J16"/>
  <c r="I16"/>
  <c r="H16"/>
  <c r="A15"/>
  <c r="A7"/>
  <c r="G23"/>
  <c r="F23"/>
  <c r="D23"/>
  <c r="G20"/>
  <c r="F20"/>
  <c r="E20"/>
  <c r="D20"/>
  <c r="J15"/>
  <c r="C8" i="27"/>
  <c r="C7"/>
  <c r="C6"/>
  <c r="C5"/>
  <c r="B13"/>
  <c r="I8"/>
  <c r="I7"/>
  <c r="I6"/>
  <c r="I5"/>
  <c r="I9" s="1"/>
  <c r="B17" s="1"/>
  <c r="I8" i="24"/>
  <c r="I7"/>
  <c r="I6"/>
  <c r="J17" i="25" l="1"/>
  <c r="L23"/>
  <c r="L20"/>
  <c r="G17"/>
  <c r="E17"/>
  <c r="E24" s="1"/>
  <c r="F17"/>
  <c r="F24" s="1"/>
  <c r="I15"/>
  <c r="I17" s="1"/>
  <c r="K15"/>
  <c r="K17" s="1"/>
  <c r="I18"/>
  <c r="I20" s="1"/>
  <c r="K18"/>
  <c r="K20" s="1"/>
  <c r="H21"/>
  <c r="H23" s="1"/>
  <c r="J21"/>
  <c r="J23" s="1"/>
  <c r="H18"/>
  <c r="H20" s="1"/>
  <c r="J18"/>
  <c r="J20" s="1"/>
  <c r="I21"/>
  <c r="I23" s="1"/>
  <c r="K21"/>
  <c r="K23" s="1"/>
  <c r="C9" i="27"/>
  <c r="D13" s="1"/>
  <c r="F13" s="1"/>
  <c r="D17" s="1"/>
  <c r="F17" s="1"/>
  <c r="G24" i="25" l="1"/>
  <c r="J24"/>
  <c r="M20"/>
  <c r="N20" s="1"/>
  <c r="M23"/>
  <c r="N23" s="1"/>
  <c r="K24"/>
  <c r="I24"/>
  <c r="E8" i="21"/>
  <c r="F8" s="1"/>
  <c r="E9"/>
  <c r="E10"/>
  <c r="F10" s="1"/>
  <c r="C46" i="15" s="1"/>
  <c r="E11" i="21"/>
  <c r="E12"/>
  <c r="F12" s="1"/>
  <c r="E13"/>
  <c r="F13" s="1"/>
  <c r="E14"/>
  <c r="F14" s="1"/>
  <c r="E15"/>
  <c r="F15" s="1"/>
  <c r="C51" i="15" s="1"/>
  <c r="C48"/>
  <c r="C50"/>
  <c r="E9" i="23"/>
  <c r="C92" i="15"/>
  <c r="J90"/>
  <c r="E7" i="22"/>
  <c r="E8"/>
  <c r="E9"/>
  <c r="C56" i="15" s="1"/>
  <c r="E10" i="22"/>
  <c r="E11"/>
  <c r="C58" i="15" s="1"/>
  <c r="E12" i="22"/>
  <c r="A8" i="20"/>
  <c r="F22" i="15"/>
  <c r="J22" s="1"/>
  <c r="B13" i="24"/>
  <c r="C9"/>
  <c r="D13" s="1"/>
  <c r="C88" i="15" l="1"/>
  <c r="C19"/>
  <c r="F11" i="21"/>
  <c r="C47" i="15" s="1"/>
  <c r="F9" i="21"/>
  <c r="E11" i="23"/>
  <c r="F13" i="24"/>
  <c r="D17" s="1"/>
  <c r="I9" i="15" l="1"/>
  <c r="I10"/>
  <c r="I11"/>
  <c r="I12"/>
  <c r="I13"/>
  <c r="I15"/>
  <c r="I17"/>
  <c r="I18"/>
  <c r="I21"/>
  <c r="I24"/>
  <c r="I25"/>
  <c r="I26"/>
  <c r="I28"/>
  <c r="I29"/>
  <c r="I32"/>
  <c r="I33"/>
  <c r="I34"/>
  <c r="I35"/>
  <c r="I36"/>
  <c r="I37"/>
  <c r="I38"/>
  <c r="I39"/>
  <c r="I40"/>
  <c r="I41"/>
  <c r="I43"/>
  <c r="I44"/>
  <c r="I45"/>
  <c r="I46"/>
  <c r="I47"/>
  <c r="I48"/>
  <c r="I49"/>
  <c r="I50"/>
  <c r="I51"/>
  <c r="I53"/>
  <c r="I54"/>
  <c r="I55"/>
  <c r="I56"/>
  <c r="I57"/>
  <c r="I58"/>
  <c r="I59"/>
  <c r="I61"/>
  <c r="I62"/>
  <c r="I63"/>
  <c r="I66"/>
  <c r="I67"/>
  <c r="I68"/>
  <c r="I69"/>
  <c r="I70"/>
  <c r="I72"/>
  <c r="I73"/>
  <c r="I74"/>
  <c r="I75"/>
  <c r="I79"/>
  <c r="I81"/>
  <c r="I82"/>
  <c r="I83"/>
  <c r="I84"/>
  <c r="I86"/>
  <c r="I87"/>
  <c r="I89"/>
  <c r="I91"/>
  <c r="I92"/>
  <c r="I93"/>
  <c r="I94"/>
  <c r="E6" i="22"/>
  <c r="E13" l="1"/>
  <c r="I88" i="15"/>
  <c r="I7"/>
  <c r="I19"/>
  <c r="I95" l="1"/>
  <c r="F37"/>
  <c r="J37" s="1"/>
  <c r="F38"/>
  <c r="J38" s="1"/>
  <c r="F39"/>
  <c r="J39" s="1"/>
  <c r="F40"/>
  <c r="J40" s="1"/>
  <c r="F41"/>
  <c r="J41" s="1"/>
  <c r="F15" l="1"/>
  <c r="J15" s="1"/>
  <c r="F13"/>
  <c r="J13" s="1"/>
  <c r="B18" i="19"/>
  <c r="B8"/>
  <c r="F86" i="15"/>
  <c r="J86" s="1"/>
  <c r="F87"/>
  <c r="J87" s="1"/>
  <c r="F89"/>
  <c r="J89" s="1"/>
  <c r="B7" i="19" l="1"/>
  <c r="E7" i="25" l="1"/>
  <c r="E8" s="1"/>
  <c r="F92" i="15"/>
  <c r="J92" s="1"/>
  <c r="F93"/>
  <c r="J93" s="1"/>
  <c r="F94"/>
  <c r="J94" s="1"/>
  <c r="F91"/>
  <c r="J91" s="1"/>
  <c r="F84"/>
  <c r="J84" s="1"/>
  <c r="F70"/>
  <c r="J70" s="1"/>
  <c r="F18"/>
  <c r="J18" s="1"/>
  <c r="F83"/>
  <c r="J83" s="1"/>
  <c r="F82"/>
  <c r="J82" s="1"/>
  <c r="F81"/>
  <c r="F75"/>
  <c r="J75" s="1"/>
  <c r="F74"/>
  <c r="J74" s="1"/>
  <c r="F73"/>
  <c r="J73" s="1"/>
  <c r="F72"/>
  <c r="J72" s="1"/>
  <c r="F69"/>
  <c r="F68"/>
  <c r="J68" s="1"/>
  <c r="F67"/>
  <c r="J67" s="1"/>
  <c r="F66"/>
  <c r="J66" s="1"/>
  <c r="F63"/>
  <c r="J63" s="1"/>
  <c r="F62"/>
  <c r="J62" s="1"/>
  <c r="F61"/>
  <c r="F59"/>
  <c r="J59" s="1"/>
  <c r="F58"/>
  <c r="J58" s="1"/>
  <c r="F57"/>
  <c r="J57" s="1"/>
  <c r="F56"/>
  <c r="J56" s="1"/>
  <c r="F55"/>
  <c r="J55" s="1"/>
  <c r="F54"/>
  <c r="J54" s="1"/>
  <c r="F53"/>
  <c r="J53" s="1"/>
  <c r="F51"/>
  <c r="J51" s="1"/>
  <c r="F50"/>
  <c r="J50" s="1"/>
  <c r="F49"/>
  <c r="J49" s="1"/>
  <c r="F48"/>
  <c r="J48" s="1"/>
  <c r="F47"/>
  <c r="J47" s="1"/>
  <c r="F46"/>
  <c r="J46" s="1"/>
  <c r="F45"/>
  <c r="J45" s="1"/>
  <c r="F44"/>
  <c r="J44" s="1"/>
  <c r="F43"/>
  <c r="F36"/>
  <c r="J36" s="1"/>
  <c r="F35"/>
  <c r="F34"/>
  <c r="F33"/>
  <c r="J33" s="1"/>
  <c r="F32"/>
  <c r="J32" s="1"/>
  <c r="F29"/>
  <c r="J29" s="1"/>
  <c r="F28"/>
  <c r="J28" s="1"/>
  <c r="F26"/>
  <c r="J26" s="1"/>
  <c r="F24"/>
  <c r="J24" s="1"/>
  <c r="F17"/>
  <c r="J17" s="1"/>
  <c r="F11"/>
  <c r="F9"/>
  <c r="J9" s="1"/>
  <c r="F10"/>
  <c r="J10" s="1"/>
  <c r="F12"/>
  <c r="J12" s="1"/>
  <c r="M9"/>
  <c r="M8"/>
  <c r="N13"/>
  <c r="M13"/>
  <c r="F19" l="1"/>
  <c r="J19" s="1"/>
  <c r="F7"/>
  <c r="J7" s="1"/>
  <c r="F88"/>
  <c r="J88" s="1"/>
  <c r="N9"/>
  <c r="M10"/>
  <c r="N10" s="1"/>
  <c r="F95" l="1"/>
  <c r="J43" l="1"/>
  <c r="I9" i="24"/>
  <c r="B17" s="1"/>
  <c r="F17" s="1"/>
  <c r="H14" i="20" l="1"/>
  <c r="C95" i="15" l="1"/>
  <c r="J95"/>
  <c r="D7" i="25" s="1"/>
  <c r="D8" l="1"/>
  <c r="F7"/>
  <c r="F8" l="1"/>
  <c r="D8" i="17"/>
  <c r="H8" s="1"/>
  <c r="D17" i="25"/>
  <c r="D24" s="1"/>
  <c r="H15"/>
  <c r="H17" s="1"/>
  <c r="H24" l="1"/>
  <c r="M17"/>
  <c r="M24" s="1"/>
  <c r="L17"/>
  <c r="N17" l="1"/>
  <c r="N24" s="1"/>
  <c r="C7" s="1"/>
  <c r="L24"/>
  <c r="C8" l="1"/>
  <c r="G7"/>
  <c r="G8" s="1"/>
</calcChain>
</file>

<file path=xl/comments1.xml><?xml version="1.0" encoding="utf-8"?>
<comments xmlns="http://schemas.openxmlformats.org/spreadsheetml/2006/main">
  <authors>
    <author>Carolina Vera</author>
  </authors>
  <commentList>
    <comment ref="C40" authorId="0">
      <text>
        <r>
          <rPr>
            <sz val="9"/>
            <color indexed="81"/>
            <rFont val="Tahoma"/>
            <family val="2"/>
          </rPr>
          <t xml:space="preserve">SE CONSIDERAN 4 TINETAS A $57,000 C/U MÁS MATERIALES
</t>
        </r>
      </text>
    </comment>
    <comment ref="C89" authorId="0">
      <text>
        <r>
          <rPr>
            <b/>
            <sz val="9"/>
            <color indexed="81"/>
            <rFont val="Tahoma"/>
            <family val="2"/>
          </rPr>
          <t xml:space="preserve">RENOVACIÓN DE MOBILIARIO año 2016
</t>
        </r>
        <r>
          <rPr>
            <sz val="9"/>
            <color indexed="81"/>
            <rFont val="Tahoma"/>
            <family val="2"/>
          </rPr>
          <t xml:space="preserve">24 SILLAS: $12.000 c/u     $.288.000 
5 MESAS  $ 30.000 c/u     $150.000
3 SILLA ADULTO              $  60.000
</t>
        </r>
        <r>
          <rPr>
            <b/>
            <sz val="9"/>
            <color indexed="81"/>
            <rFont val="Tahoma"/>
            <family val="2"/>
          </rPr>
          <t xml:space="preserve">Total : $ 498.000 </t>
        </r>
        <r>
          <rPr>
            <sz val="9"/>
            <color indexed="81"/>
            <rFont val="Tahoma"/>
            <family val="2"/>
          </rPr>
          <t xml:space="preserve">
Se espera renovar mobiliario de una sala cada año</t>
        </r>
      </text>
    </comment>
    <comment ref="C90" authorId="0">
      <text>
        <r>
          <rPr>
            <sz val="9"/>
            <color indexed="81"/>
            <rFont val="Tahoma"/>
            <family val="2"/>
          </rPr>
          <t xml:space="preserve">2 MUEBLES BASE  de $75.000 c/u
</t>
        </r>
        <r>
          <rPr>
            <b/>
            <sz val="9"/>
            <color indexed="81"/>
            <rFont val="Tahoma"/>
            <family val="2"/>
          </rPr>
          <t>Total: $150.000</t>
        </r>
      </text>
    </comment>
    <comment ref="C92" authorId="0">
      <text>
        <r>
          <rPr>
            <sz val="9"/>
            <color indexed="81"/>
            <rFont val="Tahoma"/>
            <family val="2"/>
          </rPr>
          <t xml:space="preserve">Provisión a 5 años de un computador
</t>
        </r>
      </text>
    </comment>
  </commentList>
</comments>
</file>

<file path=xl/comments2.xml><?xml version="1.0" encoding="utf-8"?>
<comments xmlns="http://schemas.openxmlformats.org/spreadsheetml/2006/main">
  <authors>
    <author>JEFEBIENMAG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JEFEBIENMAG:</t>
        </r>
        <r>
          <rPr>
            <sz val="9"/>
            <color indexed="81"/>
            <rFont val="Tahoma"/>
            <family val="2"/>
          </rPr>
          <t xml:space="preserve">
Se elimina costo de $790,155.- mensual si se pasa a la planta. Si no sse pasa a la planta habria que subir la tarifa un 21%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JEFEBIENMAG:</t>
        </r>
        <r>
          <rPr>
            <sz val="9"/>
            <color indexed="81"/>
            <rFont val="Tahoma"/>
            <family val="2"/>
          </rPr>
          <t xml:space="preserve">
Se elimina un a Tecnico ($316,788) por cambio de estructura. Seria necesario contratar si la matricula supera los 16 niños por nivel kinder o prekinder </t>
        </r>
      </text>
    </comment>
  </commentList>
</comments>
</file>

<file path=xl/comments3.xml><?xml version="1.0" encoding="utf-8"?>
<comments xmlns="http://schemas.openxmlformats.org/spreadsheetml/2006/main">
  <authors>
    <author>JEFEBIENMAG</author>
  </authors>
  <commentList>
    <comment ref="F7" authorId="0">
      <text>
        <r>
          <rPr>
            <b/>
            <sz val="9"/>
            <color indexed="81"/>
            <rFont val="Tahoma"/>
            <family val="2"/>
          </rPr>
          <t>JEFEBIENMAG:</t>
        </r>
        <r>
          <rPr>
            <sz val="9"/>
            <color indexed="81"/>
            <rFont val="Tahoma"/>
            <family val="2"/>
          </rPr>
          <t xml:space="preserve">
Se ajusto a lo realmente calculado y no al max.</t>
        </r>
      </text>
    </comment>
  </commentList>
</comments>
</file>

<file path=xl/sharedStrings.xml><?xml version="1.0" encoding="utf-8"?>
<sst xmlns="http://schemas.openxmlformats.org/spreadsheetml/2006/main" count="469" uniqueCount="325">
  <si>
    <t>COSTOS FIJOS</t>
  </si>
  <si>
    <t>COSTOS TOTALES</t>
  </si>
  <si>
    <t>Cant Unid [Nr]</t>
  </si>
  <si>
    <t>Total [$]</t>
  </si>
  <si>
    <t>Costo [$]</t>
  </si>
  <si>
    <t>Agua</t>
  </si>
  <si>
    <t>Energía Eléctrica</t>
  </si>
  <si>
    <t>Gas</t>
  </si>
  <si>
    <t>Gasto de Alimentación del Personal</t>
  </si>
  <si>
    <t xml:space="preserve">COSTOS VARIABLES </t>
  </si>
  <si>
    <t xml:space="preserve">Total Anual </t>
  </si>
  <si>
    <t>COSTO ANUAL ESTIMADO</t>
  </si>
  <si>
    <t>Costo Unit[$] Promedio</t>
  </si>
  <si>
    <t>CAR</t>
  </si>
  <si>
    <t>Tarifa [$/U]</t>
  </si>
  <si>
    <t>Ingreso Anual [$]</t>
  </si>
  <si>
    <t>Cálculo Ingreso</t>
  </si>
  <si>
    <t>Centro Beneficio</t>
  </si>
  <si>
    <t>ING.TOTAL</t>
  </si>
  <si>
    <t>EXCEDENTE</t>
  </si>
  <si>
    <t>Ing. Tot. Anual[$]</t>
  </si>
  <si>
    <t>C.IND. Dp.</t>
  </si>
  <si>
    <t>C. TOTAL</t>
  </si>
  <si>
    <t xml:space="preserve">TOTAL </t>
  </si>
  <si>
    <t>Servicios Generales</t>
  </si>
  <si>
    <t>Prestación [Unidad]</t>
  </si>
  <si>
    <t>DDA. TOTAL</t>
  </si>
  <si>
    <t>DDA. ALTA</t>
  </si>
  <si>
    <t>DDA. BAJA</t>
  </si>
  <si>
    <t>CALCULO DE TARIFA : COSTO UNITARIO</t>
  </si>
  <si>
    <t>C.T. DIA</t>
  </si>
  <si>
    <t>CASA HUESP. OFICIALES</t>
  </si>
  <si>
    <t>Aportes Patronales</t>
  </si>
  <si>
    <t>Otros gastos en Personal</t>
  </si>
  <si>
    <t>BIENES Y SERVICIOS DE CONSUMO</t>
  </si>
  <si>
    <t>Alimentos y Bebidas</t>
  </si>
  <si>
    <t>Alimentación funcionarios, alumnos en practica.</t>
  </si>
  <si>
    <t>Textiles , Vestuario y Calzado</t>
  </si>
  <si>
    <t>Combustibles y Lubricantes</t>
  </si>
  <si>
    <t>Para Calefacción (Estufas a Parafina)</t>
  </si>
  <si>
    <t>Materiales de Uso o Consumo</t>
  </si>
  <si>
    <t>Materiales de Oficina (Utiles de Escritorio, impresos de talonarios, boletas,comandas, formularios)</t>
  </si>
  <si>
    <t>Productos Farmaceúticos (Botiquines)</t>
  </si>
  <si>
    <t>Materiales y Utiles de Aseo (Todo producto destinado a ser consumido o usado en el aseo de los centros)</t>
  </si>
  <si>
    <t>Insumos, Repuestos y Accesorios Computacionales (Papel impresora, catridge)</t>
  </si>
  <si>
    <t>Servicios Básicos</t>
  </si>
  <si>
    <t>Electricidad</t>
  </si>
  <si>
    <t>Correo</t>
  </si>
  <si>
    <t>Telefónía Fija</t>
  </si>
  <si>
    <t>Telefonía Celular</t>
  </si>
  <si>
    <t>Acceso a Internet</t>
  </si>
  <si>
    <t>Enlaces de Telecomunicaciones (Tv Cable, Televisión satelital)</t>
  </si>
  <si>
    <t>Mantenimiento y Reparaciones</t>
  </si>
  <si>
    <t>Mantenimiento y Reparaciones de Edificaciones (Exteriores e interiores)</t>
  </si>
  <si>
    <t>Mantenimiento y Reparaciones de Mobiliarios y Otros (Mantenimiento y reparación mobiliario habitaciones y/o cabañas)</t>
  </si>
  <si>
    <t>Otros</t>
  </si>
  <si>
    <t>Publicidad y Difusión</t>
  </si>
  <si>
    <t>Servicios de Mantención de jardines</t>
  </si>
  <si>
    <t>Arriendos</t>
  </si>
  <si>
    <t>Servicios Financieros y de Seguros</t>
  </si>
  <si>
    <t>Servicios Técnicos y Profesionales</t>
  </si>
  <si>
    <t>Servicios Informáticos</t>
  </si>
  <si>
    <t>Otros Gastos en Bienes y Servicios de Consumo</t>
  </si>
  <si>
    <t>Prestaciones de Seguridad Social</t>
  </si>
  <si>
    <t>ADQUISICIÓN DE ACTIVOS NO FINANCIEROS</t>
  </si>
  <si>
    <t>Mobiliario y Otros</t>
  </si>
  <si>
    <t>Equipos Informaticos</t>
  </si>
  <si>
    <t>Programas Informaticos</t>
  </si>
  <si>
    <t>Otros Activos no Financieros</t>
  </si>
  <si>
    <t>Suscripciones Técnicas (Periódicos y Revistas)</t>
  </si>
  <si>
    <t>Alimentación funcionarios - Alumnos en Práctica.</t>
  </si>
  <si>
    <t>Personal</t>
  </si>
  <si>
    <t>PERSONAL</t>
  </si>
  <si>
    <t>Certificaciones (calefont, higiene y seguridad, etc.)</t>
  </si>
  <si>
    <t>Alumnos en Práctica</t>
  </si>
  <si>
    <t>Aguinaldos y Bonos (septiembre, diciembre, otros bonos)</t>
  </si>
  <si>
    <t>Personal a trato o temporal (por temporada alta demanda)</t>
  </si>
  <si>
    <t>Finiquitos e Indemnizaciones</t>
  </si>
  <si>
    <t>Viáticos (Ej. comisiones de servicio; reuniones, revistas a centros, etc.)</t>
  </si>
  <si>
    <t>Sala Cuna Personal Ley 18.712 (obligaciòn legal funcionarias contratadas con hijos menores de 2 años)</t>
  </si>
  <si>
    <t>Vestuario , Accesorios y Prendas Diversas (Ej.Uniformes personal)</t>
  </si>
  <si>
    <t>Calzado (del personal)</t>
  </si>
  <si>
    <t>Para maquinarias, Equipos de Producción (Ej. cortadoras de pasto, orilladoras,etc.)</t>
  </si>
  <si>
    <t>Para Calefacción (Ej.Estufas a Parafina)</t>
  </si>
  <si>
    <t>Materiales de Oficina (Ej.Utiles de Escritorio, impresos de talonarios, boletas,comandas, formularios, etc.)</t>
  </si>
  <si>
    <t>Productos Químicos (Ej.Productos para limpieza y mantención de piscinas y pozos, recarga de extintores)</t>
  </si>
  <si>
    <t>Productos Farmaceúticos (Ej. Remedios botiquín: vitáminas, penicilina, aspirina, anti inflamatorios, dipirona,etc.)</t>
  </si>
  <si>
    <t>Fertilizantes, insecticidas, Fungicidas y otros  (Ej. Productos para fumigación y desratización, abonos, fertilizantes, etc)</t>
  </si>
  <si>
    <t>Menaje para oficina,  Casino y otros (Hotel, Cabañas y Club House: Reposición vajilla, cuchilleria, cristalería, etc.)</t>
  </si>
  <si>
    <t>Insumos, Repuestos y Accesorios Computacionales (Ej.Papel impresora, catridge, etc.)</t>
  </si>
  <si>
    <t xml:space="preserve">Materiales para Mantención y Reparación de Inmuebles (pinturas, maderas, pegamentos, cañerías, fitting, cerrajería, art. Eléctricos, aislantes, etc) </t>
  </si>
  <si>
    <t>Otros materiales, Repuestos y Utiles Diversos (Ej.Repuestos necesarios para cortadoras de pasto y/o orilladoras, motosierras,etc)</t>
  </si>
  <si>
    <t>Enlaces de Telecomunicaciones (Ej.Tv Cable, Televisión satelital)</t>
  </si>
  <si>
    <t>Otros servicios básicos (Leña)</t>
  </si>
  <si>
    <t>Mantenimiento y Reparaciones de Máquinas y Equipos de Oficina (Ej.Calderas, Aire acondicionado, termos, TV,etc)</t>
  </si>
  <si>
    <t>Mantenimiento y Reparaciones de Maquinaria y Equipos de Producción (Ej.Equipos de cocina, refrigeradores, mantenedores, etc.)</t>
  </si>
  <si>
    <t>Otros mantenciones y reparaciones</t>
  </si>
  <si>
    <t>Servicios de Publicidad (Ej. Avisos periòdicos, radio, TV  etc)</t>
  </si>
  <si>
    <t>Servicios de Impresión (Ej.Boletines, folletos, dipticos promocionales, etc)</t>
  </si>
  <si>
    <t>Otros servicios de publicidad</t>
  </si>
  <si>
    <t>Servicios de Aseo (Ej.Servicio externo de lavandería, extracción de basura municipal,etc)</t>
  </si>
  <si>
    <t>Servicios de Vigilancia (Ej.Servicios de seguridad y alarma contratados)</t>
  </si>
  <si>
    <t>Pasajes, Fletes y Bodegajes (Ej. Movilizaciòn, locomoción, peajes,etc)</t>
  </si>
  <si>
    <t>Arriendos de Mobiliario y Otros (Arriendo de sillas, mesas,mantelería)</t>
  </si>
  <si>
    <t>Arriendos de Máquinas y Equipos (Arriendo de maquinas,equipos de oficina, agricolas, industriales, construcción)</t>
  </si>
  <si>
    <t>Arriendos de Equipos Informáticos (Arriendo amplificación, iluminación, audio,data show, etc)</t>
  </si>
  <si>
    <t>Cursos de capacitación (para el personal)</t>
  </si>
  <si>
    <t>Otros servicios técnicos y profesionales</t>
  </si>
  <si>
    <t>Gastos Menores FO.FI. (Directiva D.G.F.A. Nº 02-DC/0201/22 Fecha Enero 2009)</t>
  </si>
  <si>
    <t>Derechos y tasas (gastos notariales, legalización de doctos. Y similares, etc)</t>
  </si>
  <si>
    <t>Máquinas y Equipos</t>
  </si>
  <si>
    <t>Finiquitos e indemnizaciones</t>
  </si>
  <si>
    <t>Viáticos (Ej. Comisiones de servicio, reuniones, revistas a centros, etc.)</t>
  </si>
  <si>
    <t>Sala Cuna Personal Ley 18.712 (obligación legal funcionarios contratados con hijos menores de 2 años)</t>
  </si>
  <si>
    <t>Textiles,  vestuarios y calzado (uniforme del personal)</t>
  </si>
  <si>
    <t>Otros Servicios Básicos (Leña)</t>
  </si>
  <si>
    <t>Servicios de Impresión (Boletines, folletos, dipticos promocionales)</t>
  </si>
  <si>
    <t>Servicios de Publicidad (avisos, periódicos, radio, TV, etc.)</t>
  </si>
  <si>
    <t>Gastos Menores (Directiva D.G.F.A. Nº 02-DC/0201/22 Fecha Enero 2009)</t>
  </si>
  <si>
    <t>Derechos y tasas (gastos notariales, legalización de doctos. y similares, etc)</t>
  </si>
  <si>
    <t xml:space="preserve">Materiales y Utiles de Aseo </t>
  </si>
  <si>
    <t>GASTO ANUAL</t>
  </si>
  <si>
    <t>BONO ANUAL</t>
  </si>
  <si>
    <t>CONSUMOS BÁSICOS</t>
  </si>
  <si>
    <t>AGUINALDOS</t>
  </si>
  <si>
    <t>Mantenimiento de Edificaciones (Exteriores e interiores)</t>
  </si>
  <si>
    <t>Mantenimiento Máquinas y Equipos de Oficina.</t>
  </si>
  <si>
    <t>Mantenimiento Equipos de Producción</t>
  </si>
  <si>
    <t>Mantenimiento Otras Maquinarias y Equipos.</t>
  </si>
  <si>
    <t>Mantenimiento de Equipos Informáticos</t>
  </si>
  <si>
    <t>PERIODICIDAD</t>
  </si>
  <si>
    <t>OBSERVACIONES</t>
  </si>
  <si>
    <t>DETALLE</t>
  </si>
  <si>
    <t>SEG 1</t>
  </si>
  <si>
    <t>SEG 2</t>
  </si>
  <si>
    <t>SEG 3</t>
  </si>
  <si>
    <t>ITEM GASTO</t>
  </si>
  <si>
    <t>OCUPACION ANUAL 
AÑO ANTERIOR</t>
  </si>
  <si>
    <t>COSTO MERCADERIAS PARA DESAYUNO PROYECTADO</t>
  </si>
  <si>
    <t>COSTO UNITARIO DESAYUNO</t>
  </si>
  <si>
    <t>COSTO MERCADERIAS DESAYUNO 
AÑO ANTERIOR</t>
  </si>
  <si>
    <t xml:space="preserve">C. DIR. </t>
  </si>
  <si>
    <t>GASTO TOTAL EMPRESA MENSUAL</t>
  </si>
  <si>
    <t>CARGO</t>
  </si>
  <si>
    <t>REAJUSTE</t>
  </si>
  <si>
    <t>Sueldos (Personal Estable)</t>
  </si>
  <si>
    <t>PROYECCIÓN SUELDOS PERSONAL ESTABLE</t>
  </si>
  <si>
    <t>DOTACION ESTABLE</t>
  </si>
  <si>
    <t>Nº</t>
  </si>
  <si>
    <t>BONO 
VACACIONES</t>
  </si>
  <si>
    <t>TOTAL
DOTACIÓN</t>
  </si>
  <si>
    <t>TOTAL BONOS Y AGUINALDOS</t>
  </si>
  <si>
    <t xml:space="preserve">DEPARTAMENTO O DELEGACIÓN: </t>
  </si>
  <si>
    <t>MANTENIMIENTO Y REPARACIONES</t>
  </si>
  <si>
    <t xml:space="preserve">DETALLE </t>
  </si>
  <si>
    <t>12: MENSUAL</t>
  </si>
  <si>
    <t>4  : TRIMESTRAL</t>
  </si>
  <si>
    <t>2  : SEMESTRAL</t>
  </si>
  <si>
    <t>1  : ANUAL</t>
  </si>
  <si>
    <t>NOTA 
PERIODICIDAD:</t>
  </si>
  <si>
    <t xml:space="preserve">COSTO TOTAL </t>
  </si>
  <si>
    <t xml:space="preserve">COSTO </t>
  </si>
  <si>
    <t>TOTAL MANTENIMIENTO Y REPARACIONES</t>
  </si>
  <si>
    <t>TOTAL ADQ. ACTIVOS NO FINANCIEROS</t>
  </si>
  <si>
    <t>1/n : CADA n AÑOS</t>
  </si>
  <si>
    <t xml:space="preserve">OCUPACION ANUAL
PROYECCION </t>
  </si>
  <si>
    <t>TOTAL OCUPACIÓN</t>
  </si>
  <si>
    <t>TOTAL PROYECCIÓN</t>
  </si>
  <si>
    <t>GASTO 
A REFLEJAR</t>
  </si>
  <si>
    <t>COSTO UNITARIO AMENITIES</t>
  </si>
  <si>
    <t>COSTO AMENITIES PROYECTADO</t>
  </si>
  <si>
    <t>COSTO AMENITIES 
AÑO ANTERIOR</t>
  </si>
  <si>
    <t>COSTOS INDIRECTOS TOTALES</t>
  </si>
  <si>
    <t>COSTO MERCADERÍAS DESAYUNO</t>
  </si>
  <si>
    <t>COSTO AMENITIES</t>
  </si>
  <si>
    <t>Alimentación Párvulos</t>
  </si>
  <si>
    <t>Materiales de Apoyo Educativo</t>
  </si>
  <si>
    <t>Muebles para implementación de sala</t>
  </si>
  <si>
    <t>Servicio de entretenciòn para niños (actividades extraprogramàticas)</t>
  </si>
  <si>
    <t>Seguro de inmueble</t>
  </si>
  <si>
    <t>Seguro escolar</t>
  </si>
  <si>
    <t xml:space="preserve">ESTIMACION DE COSTOS APOYO ASISTENCIA EDUCATIVA DEPARTAMENTO / DELEGACION </t>
  </si>
  <si>
    <t>COSTOS INDIRECTOS (ADMINISTRACION ASISTENCIA EDUCATIVA)</t>
  </si>
  <si>
    <t>ESTIMACIÓN DE INGRESOS DE JARDÍN INFANTIL / SALA CUNA</t>
  </si>
  <si>
    <t>RESUMEN DE INGRESOS Y COSTOS DEL JARDÍN INFANTIL - SALA CUNA</t>
  </si>
  <si>
    <t>NOMBRE CENTRO EDUCATIVO</t>
  </si>
  <si>
    <t>JARDÍN INFANTIL XXX</t>
  </si>
  <si>
    <t>DETALLE DE INGRESOS Y COSTOS DEL CENTRO EDUCATIVO</t>
  </si>
  <si>
    <t>Matrícula</t>
  </si>
  <si>
    <t>Mensualidad</t>
  </si>
  <si>
    <t>Otras Ramas</t>
  </si>
  <si>
    <t>Personal en Retiro</t>
  </si>
  <si>
    <t>Casos Especiales</t>
  </si>
  <si>
    <t>Ingresos
Matrícula</t>
  </si>
  <si>
    <t>Ingresos
Mensualidad</t>
  </si>
  <si>
    <t>Todos las Prestaciones</t>
  </si>
  <si>
    <t>Niños Anuales [Nr]</t>
  </si>
  <si>
    <t xml:space="preserve">Jardín [Media Jornada] </t>
  </si>
  <si>
    <t>Jardín [Jornada Completa]</t>
  </si>
  <si>
    <r>
      <t>Jardín [Media Jornada con Colación y Almuerzo]</t>
    </r>
    <r>
      <rPr>
        <b/>
        <sz val="14"/>
        <color indexed="10"/>
        <rFont val="Arial Narrow"/>
        <family val="2"/>
      </rPr>
      <t xml:space="preserve"> </t>
    </r>
  </si>
  <si>
    <t>Personal 
Servicio Activo</t>
  </si>
  <si>
    <t>ESTIMACIÓN DE COSTOS POR CADA CENTRO EDUCATIVO</t>
  </si>
  <si>
    <t>CENTRO EDUCATIVO</t>
  </si>
  <si>
    <t>CENTRO DE COSTO:JARDÍN INFANTIL XXX</t>
  </si>
  <si>
    <t>EDUCADORA DE PÁRVULOS</t>
  </si>
  <si>
    <t>Personal Activo</t>
  </si>
  <si>
    <t>Textiles  y Acabados Textiles (Ej.Cortinaje, alfombras, toallas, almohadas, pisos de baño, etc.)</t>
  </si>
  <si>
    <r>
      <t xml:space="preserve">GASTO REAL </t>
    </r>
    <r>
      <rPr>
        <b/>
        <sz val="12"/>
        <color rgb="FFFF0000"/>
        <rFont val="Arial Narrow"/>
        <family val="2"/>
      </rPr>
      <t>2013</t>
    </r>
  </si>
  <si>
    <t>(Acum. Dic. 2013)</t>
  </si>
  <si>
    <t>GASTO PROY. 2014</t>
  </si>
  <si>
    <t>(Proy. Lineal a Dic. 2014)</t>
  </si>
  <si>
    <t>Mantenimiento Mobiliario (mesas, sillas, repisas, etc.)</t>
  </si>
  <si>
    <t>Mantención Data show</t>
  </si>
  <si>
    <t>Renovación mesas niños</t>
  </si>
  <si>
    <t>Computador</t>
  </si>
  <si>
    <t>Mobiliario Implementación sala</t>
  </si>
  <si>
    <t>Mobiliario</t>
  </si>
  <si>
    <t>Juego patio exterior</t>
  </si>
  <si>
    <t>TARIFAS PROPUESTAS PARA EL CENTRO EDUCATIVO</t>
  </si>
  <si>
    <t>Personal 
en Retiro</t>
  </si>
  <si>
    <t>Casos 
Especiales</t>
  </si>
  <si>
    <t>Personal
 en Retiro</t>
  </si>
  <si>
    <t>MIRANDA MUÑOZ MILENNA MONSERRAT</t>
  </si>
  <si>
    <t>TECNICO ATEN. PARVULOS</t>
  </si>
  <si>
    <t>BARRIA OJEDA KAREN PAZ</t>
  </si>
  <si>
    <t>ARAVENA MARIANTE LETICIA MARIBEL</t>
  </si>
  <si>
    <t>CHAVEZ SALINA JENIFER ALEJANDRA</t>
  </si>
  <si>
    <t>SANZANA GARRIDO NICOLE</t>
  </si>
  <si>
    <t>NUEVA CONTRATACION</t>
  </si>
  <si>
    <t>Barniz y reparaciones</t>
  </si>
  <si>
    <t>APORTE PATRONALES</t>
  </si>
  <si>
    <t>ALUMNO EN PRÁCTICA</t>
  </si>
  <si>
    <t>Generador</t>
  </si>
  <si>
    <t>Gastos Bancarios (Cuponeras, TransBank)</t>
  </si>
  <si>
    <t>ALUMNO EN PRACTICA</t>
  </si>
  <si>
    <t>10</t>
  </si>
  <si>
    <t>ALUMNO EN PRACTICA (MENSUAL</t>
  </si>
  <si>
    <r>
      <t xml:space="preserve">REAJ. (%) GASTO </t>
    </r>
    <r>
      <rPr>
        <b/>
        <sz val="12"/>
        <color rgb="FFFF0000"/>
        <rFont val="Arial Narrow"/>
        <family val="2"/>
      </rPr>
      <t>2015</t>
    </r>
  </si>
  <si>
    <t>Reajuste</t>
  </si>
  <si>
    <t>Pintado interior y exterior Jardín</t>
  </si>
  <si>
    <t>Mancion de Jardines exteriores</t>
  </si>
  <si>
    <t>Mantenimiento sistemas de griferia, gasfiteria y eletricidad</t>
  </si>
  <si>
    <t>TOTAL</t>
  </si>
  <si>
    <t>AGUINALDO</t>
  </si>
  <si>
    <t>BONO VACACIONES</t>
  </si>
  <si>
    <t>BONOS</t>
  </si>
  <si>
    <t>TOTAL HABERES</t>
  </si>
  <si>
    <t>REM MENOR A $663.500</t>
  </si>
  <si>
    <t>REM MAYOR A $663.500</t>
  </si>
  <si>
    <t>LIQUIDO</t>
  </si>
  <si>
    <t>REM MENOR A $610.000</t>
  </si>
  <si>
    <t>REM MAYOR A $610.000</t>
  </si>
  <si>
    <t>BONO TERMINO DE CONFLICTO</t>
  </si>
  <si>
    <t>Aguinaldos y Bonos Vacaciones (septiembre, diciembre)</t>
  </si>
  <si>
    <t>Mantenimiento y Reparaciones de Equipos Informáticos</t>
  </si>
  <si>
    <t xml:space="preserve">Otros mantenciones y reparaciones </t>
  </si>
  <si>
    <t xml:space="preserve">Mantenimiento y Reparaciones de Otras Maquinarias y Equipos </t>
  </si>
  <si>
    <t>TERMINO CONFLICTO (dic)</t>
  </si>
  <si>
    <t>VACACIONES (enero)</t>
  </si>
  <si>
    <t>PROYECCIÓN</t>
  </si>
  <si>
    <t>Ed. De Párvulos</t>
  </si>
  <si>
    <t>Bono Término de Conflicto</t>
  </si>
  <si>
    <t>Técnicos</t>
  </si>
  <si>
    <t>Man. De Alimentos</t>
  </si>
  <si>
    <t>Aguinaldos y Bonos de Vac.</t>
  </si>
  <si>
    <t>Aux.  De Aseo</t>
  </si>
  <si>
    <t>Remuneración Mensual</t>
  </si>
  <si>
    <t>Remuneración Anual</t>
  </si>
  <si>
    <t>Materiales y útiles quirúrgicos (Ej. Jeringas, agujas, vendajes, alcohol, yodo, gasa, aldodón, suturas, guantes, etc.)</t>
  </si>
  <si>
    <t>OCUPACIÓN</t>
  </si>
  <si>
    <t>Otros Activos no Financieros (GENERADOR)</t>
  </si>
  <si>
    <t>Provisión de fondos a 10 años para compra de generador</t>
  </si>
  <si>
    <t>Se considera la compra de pintura y materiales para retocar salas.</t>
  </si>
  <si>
    <t>TARIFAS AÑO 2015</t>
  </si>
  <si>
    <t>Provisión de fondos a 3 años para pintura interior y exterior con mano de obra propia ( segundo año)</t>
  </si>
  <si>
    <t>considera costo por mantención de la caldera</t>
  </si>
  <si>
    <t xml:space="preserve"> </t>
  </si>
  <si>
    <t>INCREMENTO DE TARIFA</t>
  </si>
  <si>
    <t>Valor según proyección 2015</t>
  </si>
  <si>
    <t>IPC PROYECTADO</t>
  </si>
  <si>
    <t>Considera la recarga de 3 extintores a $19000 c/u</t>
  </si>
  <si>
    <t>TARIFAS AÑO 2016</t>
  </si>
  <si>
    <t>$0</t>
  </si>
  <si>
    <t>FUERA DE MARCO</t>
  </si>
  <si>
    <t>Publicidad</t>
  </si>
  <si>
    <t>Cargo Fofi o Adm. Central</t>
  </si>
  <si>
    <t>ITEM</t>
  </si>
  <si>
    <t xml:space="preserve">PROMEDIO </t>
  </si>
  <si>
    <t xml:space="preserve">Electricidad </t>
  </si>
  <si>
    <t>NOTA: SE CONSIDERA EL PROMEDIO DOS AÑOS MAS IPC</t>
  </si>
  <si>
    <t>JI MAR Y CIELO</t>
  </si>
  <si>
    <t>Gendarmeria y PDI</t>
  </si>
  <si>
    <t>JARDÍN INFANTIL 
MAR Y CIELO</t>
  </si>
  <si>
    <t>2016 SEPTIEMBRE</t>
  </si>
  <si>
    <t>2016 PROY DIC</t>
  </si>
  <si>
    <t>LO QUE ESTA CON ROJO ES LO QUE ESTA CORREGIDO</t>
  </si>
  <si>
    <t>Se considera como provisión de fondos el 1% de la remuneración anual 2017 proyectada</t>
  </si>
  <si>
    <t>Valor 2015 Media Ración: $1.730 + reajuste 5%.. Total= $1817</t>
  </si>
  <si>
    <t>se considera compra materiales de aseo mensual</t>
  </si>
  <si>
    <t>Promedio años 2015 y 2016 + IPC proyectado 5%</t>
  </si>
  <si>
    <t>Promedio años 2015y 2016 + IPC proyectado 5%</t>
  </si>
  <si>
    <t>Promedio años 2015 y 2016 + IPC proyectado 5% (tripack)</t>
  </si>
  <si>
    <t>35 niños con cuponera por $1.400 c/u</t>
  </si>
  <si>
    <t>loreto coloque una ocupacion de 100 niño ,lo que arroja 60 %</t>
  </si>
  <si>
    <t>, lo demas no se como trabajarlo</t>
  </si>
  <si>
    <t>se sugiere pasar a pac a la educadora Milenna Miranda con el fin de bajr el costo en sueldo anual</t>
  </si>
  <si>
    <t>Remuneración anual 2017</t>
  </si>
  <si>
    <t>viaticos x 5 dias de curso directoras app 5 dias  Y E PASAJE EN AVIÓN?????</t>
  </si>
  <si>
    <t>que material,,,especificar</t>
  </si>
  <si>
    <t>es 19.000 0 22000?</t>
  </si>
  <si>
    <t>PARA QUE ES ESTO? ESPECIFICAR</t>
  </si>
  <si>
    <t>y el costo de salas cunas de las tias auxiliares con bebés? CALCULAR SEGÚN FECHA DE NACIMIENTO DE LOS BEBES</t>
  </si>
  <si>
    <t>A QUE OBECEDE ESTO??? ESPECIFICAR</t>
  </si>
  <si>
    <t>Y LA MANO DE OBRA=????</t>
  </si>
  <si>
    <t>Y TU GASTO DEL CELULAR DEL JI¡????</t>
  </si>
  <si>
    <t xml:space="preserve">$6,241 anual por niño COSTO DEL SEGURO NIÑOS ES DE $6.400 </t>
  </si>
  <si>
    <t>QUE ES ESTO????</t>
  </si>
  <si>
    <r>
      <t xml:space="preserve">Se considera la renovación del mobiliario de una sala por año </t>
    </r>
    <r>
      <rPr>
        <sz val="10"/>
        <color rgb="FFFF0000"/>
        <rFont val="Arial Narrow"/>
        <family val="2"/>
      </rPr>
      <t>DETALLAR VALORES DE SILLAS Y MESAS Y OTROS Y SUS VALORES UNITARIOS.</t>
    </r>
  </si>
  <si>
    <t>DOTACION (6)</t>
  </si>
  <si>
    <t xml:space="preserve">Considera la compra de 10 delantales /pecheras </t>
  </si>
  <si>
    <t>JARDÍN INFANTIL MAR Y CIELO 2017</t>
  </si>
  <si>
    <t>NO ES UN 5% ES UN 3,2%</t>
  </si>
  <si>
    <t>ES UN 3.2% NO 5% MODIFICAR</t>
  </si>
  <si>
    <t>Se consideran $2.000 mensuales por cada niño (110)</t>
  </si>
  <si>
    <t xml:space="preserve">nota: reemplazo de Gloria se considera por 8 meses y nueva educ por 11 meses </t>
  </si>
</sst>
</file>

<file path=xl/styles.xml><?xml version="1.0" encoding="utf-8"?>
<styleSheet xmlns="http://schemas.openxmlformats.org/spreadsheetml/2006/main">
  <numFmts count="22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_);_(* \(#,##0\);_(* &quot;-&quot;_);_(@_)"/>
    <numFmt numFmtId="166" formatCode="_-* #,##0.0_-;\-* #,##0.0_-;_-* &quot;-&quot;??_-;_-@_-"/>
    <numFmt numFmtId="167" formatCode="_-* #,##0.00_-;\-* #,##0.00_-;_-* &quot;-&quot;_-;_-@_-"/>
    <numFmt numFmtId="168" formatCode="&quot;$&quot;#,##0_);[Red]\(&quot;$&quot;#,##0\)"/>
    <numFmt numFmtId="169" formatCode="#,##0.000"/>
    <numFmt numFmtId="170" formatCode="_-&quot;$&quot;* #,##0_-;\-&quot;$&quot;* #,##0_-;_-&quot;$&quot;* &quot;-&quot;??_-;_-@_-"/>
    <numFmt numFmtId="171" formatCode="_-* #,##0_-;\-* #,##0_-;_-* &quot;-&quot;??_-;_-@_-"/>
    <numFmt numFmtId="172" formatCode="_-&quot;$&quot;\ * #,##0_-;\-&quot;$&quot;\ * #,##0_-;_-&quot;$&quot;\ * &quot;-&quot;??_-;_-@_-"/>
    <numFmt numFmtId="173" formatCode="\$#,##0;[Red]&quot;-$&quot;#,##0"/>
    <numFmt numFmtId="174" formatCode="\$#,##0_);[Red]&quot;($&quot;#,##0\)"/>
    <numFmt numFmtId="175" formatCode="&quot;$&quot;\ #,##0"/>
    <numFmt numFmtId="176" formatCode="0.0"/>
    <numFmt numFmtId="177" formatCode="[$$-340A]\ #,##0"/>
    <numFmt numFmtId="178" formatCode="_-* #,##0.000_-;\-* #,##0.000_-;_-* &quot;-&quot;??_-;_-@_-"/>
    <numFmt numFmtId="179" formatCode="_-[$$-340A]\ * #,##0_-;\-[$$-340A]\ * #,##0_-;_-[$$-340A]\ * &quot;-&quot;_-;_-@_-"/>
    <numFmt numFmtId="180" formatCode="0.000"/>
    <numFmt numFmtId="181" formatCode="_-* #,##0_-;\-* #,##0_-;_-* \-??_-;_-@_-"/>
  </numFmts>
  <fonts count="39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0"/>
      <color rgb="FFFF0000"/>
      <name val="Arial Narrow"/>
      <family val="2"/>
    </font>
    <font>
      <b/>
      <sz val="14"/>
      <name val="Arial"/>
      <family val="2"/>
    </font>
    <font>
      <b/>
      <sz val="10"/>
      <color rgb="FF002060"/>
      <name val="Arial"/>
      <family val="2"/>
    </font>
    <font>
      <sz val="14"/>
      <name val="Arial"/>
      <family val="2"/>
    </font>
    <font>
      <b/>
      <u/>
      <sz val="18"/>
      <name val="Arial Narrow"/>
      <family val="2"/>
    </font>
    <font>
      <b/>
      <sz val="16"/>
      <name val="Arial"/>
      <family val="2"/>
    </font>
    <font>
      <b/>
      <sz val="16"/>
      <color indexed="8"/>
      <name val="Arial Narrow"/>
      <family val="2"/>
    </font>
    <font>
      <sz val="16"/>
      <name val="Arial Narrow"/>
      <family val="2"/>
    </font>
    <font>
      <b/>
      <sz val="20"/>
      <name val="Arial Narrow"/>
      <family val="2"/>
    </font>
    <font>
      <u/>
      <sz val="8"/>
      <color theme="10"/>
      <name val="Arial"/>
      <family val="2"/>
    </font>
    <font>
      <b/>
      <sz val="14"/>
      <color indexed="10"/>
      <name val="Arial Narrow"/>
      <family val="2"/>
    </font>
    <font>
      <b/>
      <i/>
      <u/>
      <sz val="10"/>
      <name val="Arial Narrow"/>
      <family val="2"/>
    </font>
    <font>
      <b/>
      <sz val="10"/>
      <color rgb="FFFF0000"/>
      <name val="Arial Narrow"/>
      <family val="2"/>
    </font>
    <font>
      <b/>
      <u/>
      <sz val="10"/>
      <name val="Arial Narrow"/>
      <family val="2"/>
    </font>
    <font>
      <sz val="10"/>
      <color rgb="FFFF0000"/>
      <name val="Arial Narrow"/>
      <family val="2"/>
    </font>
    <font>
      <u/>
      <sz val="8"/>
      <color theme="10"/>
      <name val="Arial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name val="Arial Narrow"/>
      <family val="2"/>
    </font>
    <font>
      <b/>
      <sz val="16"/>
      <name val="Arial Narrow"/>
      <family val="2"/>
    </font>
    <font>
      <b/>
      <sz val="16"/>
      <color rgb="FF32D816"/>
      <name val="Arial Narrow"/>
      <family val="2"/>
    </font>
    <font>
      <b/>
      <sz val="10"/>
      <color rgb="FF32D816"/>
      <name val="Arial"/>
      <family val="2"/>
    </font>
    <font>
      <sz val="10"/>
      <color rgb="FFC00000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lightUp">
        <b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Up">
        <bgColor rgb="FFFFC000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9" fontId="31" fillId="0" borderId="0" applyFont="0" applyFill="0" applyBorder="0" applyAlignment="0" applyProtection="0"/>
  </cellStyleXfs>
  <cellXfs count="4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6" fontId="3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3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41" fontId="3" fillId="0" borderId="1" xfId="2" applyFont="1" applyBorder="1" applyAlignment="1">
      <alignment vertical="center"/>
    </xf>
    <xf numFmtId="167" fontId="3" fillId="0" borderId="1" xfId="2" applyNumberFormat="1" applyFont="1" applyBorder="1" applyAlignment="1">
      <alignment vertical="center"/>
    </xf>
    <xf numFmtId="167" fontId="3" fillId="0" borderId="0" xfId="2" applyNumberFormat="1" applyFont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41" fontId="3" fillId="0" borderId="1" xfId="2" applyNumberFormat="1" applyFont="1" applyBorder="1" applyAlignment="1">
      <alignment vertical="center"/>
    </xf>
    <xf numFmtId="168" fontId="4" fillId="0" borderId="1" xfId="3" applyNumberFormat="1" applyFont="1" applyFill="1" applyBorder="1" applyAlignment="1" applyProtection="1">
      <alignment vertical="center"/>
      <protection locked="0"/>
    </xf>
    <xf numFmtId="43" fontId="4" fillId="0" borderId="1" xfId="1" applyFont="1" applyFill="1" applyBorder="1" applyAlignment="1" applyProtection="1">
      <alignment vertical="center"/>
      <protection locked="0"/>
    </xf>
    <xf numFmtId="168" fontId="4" fillId="3" borderId="1" xfId="3" applyNumberFormat="1" applyFont="1" applyFill="1" applyBorder="1" applyAlignment="1" applyProtection="1">
      <alignment vertical="center"/>
    </xf>
    <xf numFmtId="168" fontId="4" fillId="0" borderId="7" xfId="3" applyNumberFormat="1" applyFont="1" applyFill="1" applyBorder="1" applyAlignment="1" applyProtection="1">
      <alignment vertical="center"/>
      <protection locked="0"/>
    </xf>
    <xf numFmtId="168" fontId="4" fillId="0" borderId="2" xfId="3" applyNumberFormat="1" applyFont="1" applyFill="1" applyBorder="1" applyAlignment="1" applyProtection="1">
      <alignment vertical="center"/>
      <protection locked="0"/>
    </xf>
    <xf numFmtId="43" fontId="4" fillId="0" borderId="2" xfId="1" applyFont="1" applyFill="1" applyBorder="1" applyAlignment="1" applyProtection="1">
      <alignment vertical="center"/>
      <protection locked="0"/>
    </xf>
    <xf numFmtId="168" fontId="4" fillId="3" borderId="2" xfId="3" applyNumberFormat="1" applyFont="1" applyFill="1" applyBorder="1" applyAlignment="1" applyProtection="1">
      <alignment vertical="center"/>
    </xf>
    <xf numFmtId="168" fontId="4" fillId="0" borderId="9" xfId="3" applyNumberFormat="1" applyFont="1" applyFill="1" applyBorder="1" applyAlignment="1" applyProtection="1">
      <alignment vertical="center"/>
      <protection locked="0"/>
    </xf>
    <xf numFmtId="43" fontId="4" fillId="0" borderId="9" xfId="1" applyFont="1" applyFill="1" applyBorder="1" applyAlignment="1" applyProtection="1">
      <alignment vertical="center"/>
      <protection locked="0"/>
    </xf>
    <xf numFmtId="168" fontId="4" fillId="3" borderId="10" xfId="3" applyNumberFormat="1" applyFont="1" applyFill="1" applyBorder="1" applyAlignment="1" applyProtection="1">
      <alignment vertical="center"/>
    </xf>
    <xf numFmtId="165" fontId="3" fillId="6" borderId="8" xfId="0" applyNumberFormat="1" applyFont="1" applyFill="1" applyBorder="1" applyAlignment="1">
      <alignment horizontal="left"/>
    </xf>
    <xf numFmtId="0" fontId="0" fillId="7" borderId="0" xfId="0" applyFill="1"/>
    <xf numFmtId="0" fontId="5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6" fillId="7" borderId="0" xfId="0" applyFont="1" applyFill="1"/>
    <xf numFmtId="0" fontId="2" fillId="8" borderId="1" xfId="0" applyFont="1" applyFill="1" applyBorder="1" applyAlignment="1">
      <alignment vertical="center"/>
    </xf>
    <xf numFmtId="168" fontId="2" fillId="8" borderId="1" xfId="3" applyNumberFormat="1" applyFont="1" applyFill="1" applyBorder="1" applyAlignment="1">
      <alignment vertical="center"/>
    </xf>
    <xf numFmtId="0" fontId="4" fillId="6" borderId="1" xfId="0" applyFont="1" applyFill="1" applyBorder="1" applyAlignment="1" applyProtection="1">
      <alignment vertical="center"/>
    </xf>
    <xf numFmtId="0" fontId="3" fillId="6" borderId="1" xfId="0" applyFont="1" applyFill="1" applyBorder="1" applyAlignment="1" applyProtection="1">
      <alignment vertical="center"/>
    </xf>
    <xf numFmtId="168" fontId="3" fillId="0" borderId="1" xfId="3" applyNumberFormat="1" applyFont="1" applyFill="1" applyBorder="1" applyAlignment="1" applyProtection="1">
      <alignment vertical="center"/>
      <protection locked="0"/>
    </xf>
    <xf numFmtId="168" fontId="4" fillId="3" borderId="9" xfId="3" applyNumberFormat="1" applyFont="1" applyFill="1" applyBorder="1" applyAlignment="1" applyProtection="1">
      <alignment vertical="center"/>
    </xf>
    <xf numFmtId="0" fontId="0" fillId="7" borderId="0" xfId="0" applyFill="1" applyAlignment="1">
      <alignment horizontal="left" indent="1"/>
    </xf>
    <xf numFmtId="0" fontId="10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8" fontId="2" fillId="10" borderId="14" xfId="3" applyNumberFormat="1" applyFont="1" applyFill="1" applyBorder="1" applyAlignment="1" applyProtection="1">
      <alignment vertical="center"/>
    </xf>
    <xf numFmtId="42" fontId="2" fillId="15" borderId="10" xfId="1" applyNumberFormat="1" applyFont="1" applyFill="1" applyBorder="1" applyAlignment="1" applyProtection="1">
      <alignment vertical="center"/>
    </xf>
    <xf numFmtId="0" fontId="2" fillId="10" borderId="8" xfId="0" applyFont="1" applyFill="1" applyBorder="1" applyAlignment="1" applyProtection="1">
      <alignment horizontal="left" vertical="center"/>
    </xf>
    <xf numFmtId="168" fontId="2" fillId="8" borderId="1" xfId="3" applyNumberFormat="1" applyFont="1" applyFill="1" applyBorder="1" applyAlignment="1" applyProtection="1">
      <alignment vertical="center"/>
    </xf>
    <xf numFmtId="168" fontId="16" fillId="2" borderId="12" xfId="3" applyNumberFormat="1" applyFont="1" applyFill="1" applyBorder="1" applyAlignment="1" applyProtection="1">
      <alignment vertical="center"/>
    </xf>
    <xf numFmtId="42" fontId="16" fillId="5" borderId="4" xfId="3" applyNumberFormat="1" applyFont="1" applyFill="1" applyBorder="1" applyAlignment="1" applyProtection="1">
      <alignment vertical="center"/>
    </xf>
    <xf numFmtId="0" fontId="17" fillId="0" borderId="0" xfId="0" applyFont="1" applyAlignment="1">
      <alignment vertical="center"/>
    </xf>
    <xf numFmtId="166" fontId="2" fillId="8" borderId="1" xfId="1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vertical="center"/>
    </xf>
    <xf numFmtId="168" fontId="4" fillId="14" borderId="1" xfId="3" applyNumberFormat="1" applyFont="1" applyFill="1" applyBorder="1" applyAlignment="1" applyProtection="1">
      <alignment vertical="center"/>
    </xf>
    <xf numFmtId="168" fontId="4" fillId="14" borderId="11" xfId="3" applyNumberFormat="1" applyFont="1" applyFill="1" applyBorder="1" applyAlignment="1" applyProtection="1">
      <alignment vertical="center"/>
    </xf>
    <xf numFmtId="0" fontId="5" fillId="8" borderId="25" xfId="0" applyFont="1" applyFill="1" applyBorder="1" applyAlignment="1">
      <alignment horizontal="center" vertical="center"/>
    </xf>
    <xf numFmtId="0" fontId="1" fillId="7" borderId="0" xfId="0" applyFont="1" applyFill="1"/>
    <xf numFmtId="0" fontId="7" fillId="12" borderId="1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center" wrapText="1"/>
    </xf>
    <xf numFmtId="170" fontId="7" fillId="7" borderId="0" xfId="3" applyNumberFormat="1" applyFont="1" applyFill="1" applyBorder="1" applyAlignment="1"/>
    <xf numFmtId="0" fontId="7" fillId="7" borderId="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7" fillId="7" borderId="0" xfId="0" applyFont="1" applyFill="1" applyBorder="1" applyAlignment="1">
      <alignment horizontal="center" vertical="center" wrapText="1"/>
    </xf>
    <xf numFmtId="171" fontId="4" fillId="0" borderId="9" xfId="1" applyNumberFormat="1" applyFont="1" applyFill="1" applyBorder="1" applyAlignment="1" applyProtection="1">
      <alignment vertical="center"/>
      <protection locked="0"/>
    </xf>
    <xf numFmtId="168" fontId="3" fillId="7" borderId="7" xfId="3" applyNumberFormat="1" applyFont="1" applyFill="1" applyBorder="1" applyAlignment="1" applyProtection="1">
      <alignment vertical="center"/>
      <protection locked="0"/>
    </xf>
    <xf numFmtId="0" fontId="9" fillId="7" borderId="0" xfId="0" applyFont="1" applyFill="1" applyBorder="1" applyAlignment="1">
      <alignment vertical="center"/>
    </xf>
    <xf numFmtId="49" fontId="0" fillId="0" borderId="1" xfId="0" applyNumberFormat="1" applyBorder="1"/>
    <xf numFmtId="172" fontId="0" fillId="0" borderId="1" xfId="3" applyNumberFormat="1" applyFont="1" applyBorder="1"/>
    <xf numFmtId="169" fontId="1" fillId="7" borderId="0" xfId="0" applyNumberFormat="1" applyFont="1" applyFill="1" applyBorder="1" applyAlignment="1">
      <alignment horizontal="left" indent="1"/>
    </xf>
    <xf numFmtId="172" fontId="0" fillId="0" borderId="10" xfId="3" applyNumberFormat="1" applyFont="1" applyBorder="1"/>
    <xf numFmtId="172" fontId="0" fillId="7" borderId="1" xfId="0" applyNumberFormat="1" applyFill="1" applyBorder="1"/>
    <xf numFmtId="0" fontId="0" fillId="7" borderId="1" xfId="0" applyFill="1" applyBorder="1"/>
    <xf numFmtId="0" fontId="0" fillId="7" borderId="0" xfId="0" applyFill="1" applyBorder="1"/>
    <xf numFmtId="0" fontId="0" fillId="7" borderId="0" xfId="0" applyFill="1" applyBorder="1" applyAlignment="1">
      <alignment horizontal="left" indent="1"/>
    </xf>
    <xf numFmtId="0" fontId="0" fillId="7" borderId="0" xfId="0" applyFill="1" applyAlignment="1">
      <alignment horizontal="center"/>
    </xf>
    <xf numFmtId="0" fontId="0" fillId="7" borderId="1" xfId="0" applyFill="1" applyBorder="1" applyAlignment="1">
      <alignment horizontal="center"/>
    </xf>
    <xf numFmtId="170" fontId="7" fillId="7" borderId="0" xfId="3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170" fontId="7" fillId="6" borderId="37" xfId="3" applyNumberFormat="1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 wrapText="1"/>
    </xf>
    <xf numFmtId="172" fontId="0" fillId="0" borderId="2" xfId="3" applyNumberFormat="1" applyFont="1" applyBorder="1"/>
    <xf numFmtId="172" fontId="0" fillId="7" borderId="2" xfId="0" applyNumberFormat="1" applyFill="1" applyBorder="1"/>
    <xf numFmtId="170" fontId="7" fillId="6" borderId="23" xfId="3" applyNumberFormat="1" applyFont="1" applyFill="1" applyBorder="1" applyAlignment="1">
      <alignment horizontal="center" vertical="center"/>
    </xf>
    <xf numFmtId="0" fontId="7" fillId="11" borderId="36" xfId="0" applyFont="1" applyFill="1" applyBorder="1" applyAlignment="1">
      <alignment horizontal="center" vertical="center" wrapText="1"/>
    </xf>
    <xf numFmtId="170" fontId="7" fillId="11" borderId="37" xfId="3" applyNumberFormat="1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 vertical="center"/>
    </xf>
    <xf numFmtId="168" fontId="2" fillId="10" borderId="1" xfId="3" applyNumberFormat="1" applyFont="1" applyFill="1" applyBorder="1" applyAlignment="1" applyProtection="1">
      <alignment vertical="center"/>
    </xf>
    <xf numFmtId="42" fontId="2" fillId="15" borderId="1" xfId="1" applyNumberFormat="1" applyFont="1" applyFill="1" applyBorder="1" applyAlignment="1" applyProtection="1">
      <alignment vertical="center"/>
    </xf>
    <xf numFmtId="0" fontId="5" fillId="10" borderId="1" xfId="0" applyFont="1" applyFill="1" applyBorder="1" applyAlignment="1" applyProtection="1">
      <alignment vertical="center"/>
    </xf>
    <xf numFmtId="0" fontId="5" fillId="14" borderId="1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horizontal="center" vertical="center"/>
    </xf>
    <xf numFmtId="0" fontId="12" fillId="7" borderId="0" xfId="0" applyFont="1" applyFill="1"/>
    <xf numFmtId="0" fontId="7" fillId="7" borderId="1" xfId="0" applyFont="1" applyFill="1" applyBorder="1"/>
    <xf numFmtId="3" fontId="0" fillId="7" borderId="1" xfId="0" applyNumberFormat="1" applyFill="1" applyBorder="1"/>
    <xf numFmtId="0" fontId="0" fillId="7" borderId="0" xfId="0" applyFill="1" applyBorder="1" applyAlignment="1"/>
    <xf numFmtId="0" fontId="7" fillId="7" borderId="0" xfId="0" applyFont="1" applyFill="1" applyBorder="1" applyAlignment="1">
      <alignment horizontal="center"/>
    </xf>
    <xf numFmtId="3" fontId="7" fillId="7" borderId="0" xfId="0" applyNumberFormat="1" applyFont="1" applyFill="1" applyBorder="1"/>
    <xf numFmtId="0" fontId="0" fillId="7" borderId="0" xfId="0" applyFill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/>
    <xf numFmtId="165" fontId="5" fillId="12" borderId="2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170" fontId="7" fillId="6" borderId="23" xfId="3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70" fontId="13" fillId="7" borderId="0" xfId="0" applyNumberFormat="1" applyFont="1" applyFill="1" applyBorder="1"/>
    <xf numFmtId="170" fontId="11" fillId="6" borderId="34" xfId="0" applyNumberFormat="1" applyFont="1" applyFill="1" applyBorder="1"/>
    <xf numFmtId="170" fontId="11" fillId="6" borderId="29" xfId="0" applyNumberFormat="1" applyFont="1" applyFill="1" applyBorder="1"/>
    <xf numFmtId="0" fontId="0" fillId="6" borderId="30" xfId="0" applyFill="1" applyBorder="1"/>
    <xf numFmtId="0" fontId="11" fillId="6" borderId="30" xfId="0" applyFont="1" applyFill="1" applyBorder="1" applyAlignment="1">
      <alignment horizontal="center"/>
    </xf>
    <xf numFmtId="170" fontId="11" fillId="6" borderId="31" xfId="0" applyNumberFormat="1" applyFont="1" applyFill="1" applyBorder="1"/>
    <xf numFmtId="170" fontId="11" fillId="6" borderId="32" xfId="0" applyNumberFormat="1" applyFont="1" applyFill="1" applyBorder="1"/>
    <xf numFmtId="0" fontId="0" fillId="6" borderId="33" xfId="0" applyFill="1" applyBorder="1"/>
    <xf numFmtId="170" fontId="11" fillId="6" borderId="33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/>
    <xf numFmtId="49" fontId="1" fillId="0" borderId="2" xfId="0" applyNumberFormat="1" applyFont="1" applyBorder="1"/>
    <xf numFmtId="49" fontId="1" fillId="0" borderId="10" xfId="0" applyNumberFormat="1" applyFont="1" applyBorder="1"/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2" fillId="12" borderId="9" xfId="0" applyFont="1" applyFill="1" applyBorder="1" applyAlignment="1" applyProtection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 applyProtection="1">
      <alignment vertical="center"/>
    </xf>
    <xf numFmtId="0" fontId="2" fillId="8" borderId="1" xfId="0" applyFont="1" applyFill="1" applyBorder="1" applyAlignment="1" applyProtection="1">
      <alignment horizontal="left" vertical="center"/>
    </xf>
    <xf numFmtId="0" fontId="2" fillId="12" borderId="1" xfId="0" applyFont="1" applyFill="1" applyBorder="1" applyAlignment="1" applyProtection="1">
      <alignment horizontal="left" vertical="center"/>
    </xf>
    <xf numFmtId="165" fontId="4" fillId="6" borderId="1" xfId="0" applyNumberFormat="1" applyFont="1" applyFill="1" applyBorder="1" applyAlignment="1">
      <alignment horizontal="left"/>
    </xf>
    <xf numFmtId="165" fontId="4" fillId="6" borderId="1" xfId="0" applyNumberFormat="1" applyFont="1" applyFill="1" applyBorder="1" applyAlignment="1"/>
    <xf numFmtId="165" fontId="3" fillId="6" borderId="1" xfId="0" applyNumberFormat="1" applyFont="1" applyFill="1" applyBorder="1" applyAlignment="1"/>
    <xf numFmtId="0" fontId="2" fillId="10" borderId="1" xfId="0" applyFont="1" applyFill="1" applyBorder="1" applyAlignment="1" applyProtection="1">
      <alignment horizontal="left" vertical="center"/>
    </xf>
    <xf numFmtId="165" fontId="5" fillId="12" borderId="1" xfId="0" applyNumberFormat="1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left"/>
    </xf>
    <xf numFmtId="165" fontId="5" fillId="10" borderId="1" xfId="0" applyNumberFormat="1" applyFont="1" applyFill="1" applyBorder="1" applyAlignment="1">
      <alignment horizontal="left"/>
    </xf>
    <xf numFmtId="0" fontId="16" fillId="2" borderId="4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173" fontId="3" fillId="7" borderId="44" xfId="3" applyNumberFormat="1" applyFont="1" applyFill="1" applyBorder="1" applyAlignment="1" applyProtection="1">
      <alignment vertical="center"/>
      <protection locked="0"/>
    </xf>
    <xf numFmtId="0" fontId="5" fillId="7" borderId="0" xfId="0" applyFont="1" applyFill="1" applyBorder="1" applyAlignment="1">
      <alignment vertical="center"/>
    </xf>
    <xf numFmtId="0" fontId="3" fillId="7" borderId="0" xfId="0" applyFont="1" applyFill="1"/>
    <xf numFmtId="0" fontId="3" fillId="7" borderId="0" xfId="0" applyFont="1" applyFill="1" applyBorder="1" applyAlignment="1">
      <alignment vertical="center"/>
    </xf>
    <xf numFmtId="0" fontId="5" fillId="14" borderId="42" xfId="0" applyFont="1" applyFill="1" applyBorder="1" applyAlignment="1">
      <alignment horizontal="center" vertical="center" wrapText="1"/>
    </xf>
    <xf numFmtId="0" fontId="5" fillId="14" borderId="4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0" fontId="5" fillId="14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73" fontId="3" fillId="7" borderId="68" xfId="3" applyNumberFormat="1" applyFont="1" applyFill="1" applyBorder="1" applyAlignment="1" applyProtection="1">
      <alignment vertical="center"/>
      <protection locked="0"/>
    </xf>
    <xf numFmtId="175" fontId="3" fillId="7" borderId="63" xfId="3" applyNumberFormat="1" applyFont="1" applyFill="1" applyBorder="1" applyAlignment="1" applyProtection="1">
      <alignment vertical="center"/>
      <protection locked="0"/>
    </xf>
    <xf numFmtId="175" fontId="3" fillId="7" borderId="64" xfId="3" applyNumberFormat="1" applyFont="1" applyFill="1" applyBorder="1" applyAlignment="1" applyProtection="1">
      <alignment vertical="center"/>
      <protection locked="0"/>
    </xf>
    <xf numFmtId="175" fontId="3" fillId="7" borderId="69" xfId="3" applyNumberFormat="1" applyFont="1" applyFill="1" applyBorder="1" applyAlignment="1" applyProtection="1">
      <alignment vertical="center"/>
      <protection locked="0"/>
    </xf>
    <xf numFmtId="173" fontId="3" fillId="7" borderId="74" xfId="3" applyNumberFormat="1" applyFont="1" applyFill="1" applyBorder="1" applyAlignment="1" applyProtection="1">
      <alignment vertical="center"/>
      <protection locked="0"/>
    </xf>
    <xf numFmtId="173" fontId="3" fillId="7" borderId="75" xfId="3" applyNumberFormat="1" applyFont="1" applyFill="1" applyBorder="1" applyAlignment="1" applyProtection="1">
      <alignment vertical="center"/>
      <protection locked="0"/>
    </xf>
    <xf numFmtId="0" fontId="24" fillId="7" borderId="0" xfId="0" applyFont="1" applyFill="1" applyBorder="1" applyAlignment="1" applyProtection="1">
      <alignment vertical="center"/>
    </xf>
    <xf numFmtId="3" fontId="24" fillId="7" borderId="0" xfId="0" applyNumberFormat="1" applyFont="1" applyFill="1" applyBorder="1" applyAlignment="1" applyProtection="1">
      <alignment vertical="center"/>
    </xf>
    <xf numFmtId="0" fontId="7" fillId="12" borderId="1" xfId="0" applyFont="1" applyFill="1" applyBorder="1"/>
    <xf numFmtId="171" fontId="4" fillId="0" borderId="1" xfId="1" applyNumberFormat="1" applyFont="1" applyFill="1" applyBorder="1" applyAlignment="1" applyProtection="1">
      <alignment vertical="center"/>
      <protection locked="0"/>
    </xf>
    <xf numFmtId="0" fontId="26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170" fontId="3" fillId="7" borderId="1" xfId="3" applyNumberFormat="1" applyFont="1" applyFill="1" applyBorder="1" applyAlignment="1">
      <alignment vertical="center"/>
    </xf>
    <xf numFmtId="170" fontId="3" fillId="6" borderId="1" xfId="3" applyNumberFormat="1" applyFont="1" applyFill="1" applyBorder="1"/>
    <xf numFmtId="0" fontId="28" fillId="7" borderId="0" xfId="0" applyFont="1" applyFill="1"/>
    <xf numFmtId="0" fontId="3" fillId="16" borderId="77" xfId="0" applyFont="1" applyFill="1" applyBorder="1" applyAlignment="1" applyProtection="1">
      <alignment vertical="center" wrapText="1"/>
    </xf>
    <xf numFmtId="0" fontId="3" fillId="16" borderId="88" xfId="0" applyFont="1" applyFill="1" applyBorder="1" applyAlignment="1" applyProtection="1">
      <alignment vertical="center" wrapText="1"/>
    </xf>
    <xf numFmtId="175" fontId="3" fillId="7" borderId="89" xfId="3" applyNumberFormat="1" applyFont="1" applyFill="1" applyBorder="1" applyAlignment="1" applyProtection="1">
      <alignment vertical="center"/>
      <protection locked="0"/>
    </xf>
    <xf numFmtId="0" fontId="3" fillId="16" borderId="92" xfId="0" applyFont="1" applyFill="1" applyBorder="1" applyAlignment="1" applyProtection="1">
      <alignment vertical="center" wrapText="1"/>
    </xf>
    <xf numFmtId="173" fontId="3" fillId="7" borderId="93" xfId="3" applyNumberFormat="1" applyFont="1" applyFill="1" applyBorder="1" applyAlignment="1" applyProtection="1">
      <alignment vertical="center"/>
      <protection locked="0"/>
    </xf>
    <xf numFmtId="173" fontId="3" fillId="7" borderId="94" xfId="3" applyNumberFormat="1" applyFont="1" applyFill="1" applyBorder="1" applyAlignment="1" applyProtection="1">
      <alignment vertical="center"/>
      <protection locked="0"/>
    </xf>
    <xf numFmtId="173" fontId="3" fillId="7" borderId="95" xfId="3" applyNumberFormat="1" applyFont="1" applyFill="1" applyBorder="1" applyAlignment="1" applyProtection="1">
      <alignment vertical="center"/>
      <protection locked="0"/>
    </xf>
    <xf numFmtId="173" fontId="3" fillId="7" borderId="96" xfId="3" applyNumberFormat="1" applyFont="1" applyFill="1" applyBorder="1" applyAlignment="1" applyProtection="1">
      <alignment vertical="center"/>
      <protection locked="0"/>
    </xf>
    <xf numFmtId="0" fontId="5" fillId="2" borderId="38" xfId="0" applyFont="1" applyFill="1" applyBorder="1" applyAlignment="1">
      <alignment horizontal="center" vertical="center" wrapText="1"/>
    </xf>
    <xf numFmtId="0" fontId="5" fillId="14" borderId="38" xfId="0" applyFont="1" applyFill="1" applyBorder="1" applyAlignment="1">
      <alignment horizontal="center" vertical="center" wrapText="1"/>
    </xf>
    <xf numFmtId="170" fontId="7" fillId="11" borderId="97" xfId="3" applyNumberFormat="1" applyFont="1" applyFill="1" applyBorder="1" applyAlignment="1">
      <alignment horizontal="center" vertical="center"/>
    </xf>
    <xf numFmtId="170" fontId="7" fillId="7" borderId="98" xfId="3" applyNumberFormat="1" applyFont="1" applyFill="1" applyBorder="1" applyAlignment="1">
      <alignment horizontal="center" vertical="center"/>
    </xf>
    <xf numFmtId="0" fontId="2" fillId="12" borderId="9" xfId="0" applyFont="1" applyFill="1" applyBorder="1" applyAlignment="1" applyProtection="1">
      <alignment horizontal="center" vertical="center"/>
    </xf>
    <xf numFmtId="169" fontId="7" fillId="14" borderId="1" xfId="0" applyNumberFormat="1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vertical="center" wrapText="1"/>
    </xf>
    <xf numFmtId="0" fontId="7" fillId="6" borderId="33" xfId="0" applyFont="1" applyFill="1" applyBorder="1" applyAlignment="1">
      <alignment vertical="center" wrapText="1"/>
    </xf>
    <xf numFmtId="0" fontId="7" fillId="6" borderId="35" xfId="0" applyFont="1" applyFill="1" applyBorder="1" applyAlignment="1">
      <alignment vertical="center" wrapText="1"/>
    </xf>
    <xf numFmtId="0" fontId="0" fillId="0" borderId="1" xfId="3" applyNumberFormat="1" applyFont="1" applyBorder="1"/>
    <xf numFmtId="172" fontId="0" fillId="19" borderId="10" xfId="3" applyNumberFormat="1" applyFont="1" applyFill="1" applyBorder="1"/>
    <xf numFmtId="0" fontId="3" fillId="7" borderId="1" xfId="0" applyFont="1" applyFill="1" applyBorder="1" applyAlignment="1">
      <alignment vertical="center"/>
    </xf>
    <xf numFmtId="0" fontId="1" fillId="7" borderId="26" xfId="0" applyFont="1" applyFill="1" applyBorder="1" applyAlignment="1">
      <alignment horizontal="center" vertical="center"/>
    </xf>
    <xf numFmtId="170" fontId="1" fillId="7" borderId="10" xfId="3" applyNumberFormat="1" applyFont="1" applyFill="1" applyBorder="1" applyAlignment="1">
      <alignment vertical="center"/>
    </xf>
    <xf numFmtId="170" fontId="1" fillId="7" borderId="14" xfId="3" applyNumberFormat="1" applyFont="1" applyFill="1" applyBorder="1" applyAlignment="1">
      <alignment vertical="center"/>
    </xf>
    <xf numFmtId="0" fontId="1" fillId="7" borderId="8" xfId="0" applyFont="1" applyFill="1" applyBorder="1" applyAlignment="1">
      <alignment horizontal="center" vertical="center"/>
    </xf>
    <xf numFmtId="170" fontId="1" fillId="7" borderId="1" xfId="3" applyNumberFormat="1" applyFont="1" applyFill="1" applyBorder="1" applyAlignment="1">
      <alignment vertical="center"/>
    </xf>
    <xf numFmtId="0" fontId="1" fillId="7" borderId="24" xfId="0" applyFont="1" applyFill="1" applyBorder="1" applyAlignment="1">
      <alignment horizontal="center" vertical="center"/>
    </xf>
    <xf numFmtId="170" fontId="1" fillId="7" borderId="2" xfId="3" applyNumberFormat="1" applyFont="1" applyFill="1" applyBorder="1" applyAlignment="1">
      <alignment vertical="center"/>
    </xf>
    <xf numFmtId="170" fontId="1" fillId="7" borderId="18" xfId="3" applyNumberFormat="1" applyFont="1" applyFill="1" applyBorder="1" applyAlignment="1">
      <alignment vertical="center"/>
    </xf>
    <xf numFmtId="165" fontId="7" fillId="7" borderId="17" xfId="0" applyNumberFormat="1" applyFont="1" applyFill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165" fontId="7" fillId="7" borderId="9" xfId="0" applyNumberFormat="1" applyFont="1" applyFill="1" applyBorder="1" applyAlignment="1">
      <alignment vertical="center"/>
    </xf>
    <xf numFmtId="165" fontId="7" fillId="7" borderId="1" xfId="0" applyNumberFormat="1" applyFont="1" applyFill="1" applyBorder="1" applyAlignment="1">
      <alignment vertical="center"/>
    </xf>
    <xf numFmtId="165" fontId="1" fillId="7" borderId="26" xfId="0" applyNumberFormat="1" applyFont="1" applyFill="1" applyBorder="1" applyAlignment="1">
      <alignment horizontal="left" vertical="center"/>
    </xf>
    <xf numFmtId="165" fontId="1" fillId="7" borderId="8" xfId="0" applyNumberFormat="1" applyFont="1" applyFill="1" applyBorder="1" applyAlignment="1">
      <alignment horizontal="left" vertical="center"/>
    </xf>
    <xf numFmtId="165" fontId="1" fillId="7" borderId="8" xfId="0" applyNumberFormat="1" applyFont="1" applyFill="1" applyBorder="1" applyAlignment="1">
      <alignment horizontal="left" vertical="center" wrapText="1"/>
    </xf>
    <xf numFmtId="165" fontId="1" fillId="7" borderId="1" xfId="0" applyNumberFormat="1" applyFont="1" applyFill="1" applyBorder="1" applyAlignment="1">
      <alignment horizontal="left" vertical="center"/>
    </xf>
    <xf numFmtId="172" fontId="0" fillId="19" borderId="1" xfId="3" applyNumberFormat="1" applyFont="1" applyFill="1" applyBorder="1"/>
    <xf numFmtId="0" fontId="7" fillId="7" borderId="9" xfId="0" applyFont="1" applyFill="1" applyBorder="1" applyAlignment="1">
      <alignment horizontal="left" vertical="center"/>
    </xf>
    <xf numFmtId="2" fontId="1" fillId="7" borderId="26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2" fontId="1" fillId="7" borderId="8" xfId="0" applyNumberFormat="1" applyFont="1" applyFill="1" applyBorder="1" applyAlignment="1">
      <alignment horizontal="center" vertical="center"/>
    </xf>
    <xf numFmtId="176" fontId="1" fillId="7" borderId="8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3" fontId="24" fillId="0" borderId="0" xfId="0" applyNumberFormat="1" applyFont="1" applyAlignment="1" applyProtection="1">
      <alignment vertical="center"/>
    </xf>
    <xf numFmtId="0" fontId="5" fillId="7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7" xfId="3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6" fontId="3" fillId="0" borderId="0" xfId="0" applyNumberFormat="1" applyFont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3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7" borderId="0" xfId="0" applyFont="1" applyFill="1" applyBorder="1" applyAlignment="1" applyProtection="1">
      <alignment vertical="center"/>
    </xf>
    <xf numFmtId="0" fontId="5" fillId="14" borderId="1" xfId="0" applyFont="1" applyFill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0" fontId="3" fillId="7" borderId="0" xfId="0" applyFont="1" applyFill="1" applyAlignment="1" applyProtection="1">
      <alignment vertical="center"/>
    </xf>
    <xf numFmtId="0" fontId="23" fillId="0" borderId="0" xfId="0" applyFont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168" fontId="5" fillId="10" borderId="7" xfId="3" applyNumberFormat="1" applyFont="1" applyFill="1" applyBorder="1" applyAlignment="1" applyProtection="1">
      <alignment vertical="center"/>
    </xf>
    <xf numFmtId="168" fontId="5" fillId="7" borderId="9" xfId="3" applyNumberFormat="1" applyFont="1" applyFill="1" applyBorder="1" applyAlignment="1" applyProtection="1">
      <alignment vertical="center"/>
      <protection locked="0"/>
    </xf>
    <xf numFmtId="168" fontId="5" fillId="10" borderId="14" xfId="3" applyNumberFormat="1" applyFont="1" applyFill="1" applyBorder="1" applyAlignment="1" applyProtection="1">
      <alignment vertical="center"/>
    </xf>
    <xf numFmtId="168" fontId="33" fillId="2" borderId="12" xfId="3" applyNumberFormat="1" applyFont="1" applyFill="1" applyBorder="1" applyAlignment="1" applyProtection="1">
      <alignment vertical="center"/>
    </xf>
    <xf numFmtId="177" fontId="3" fillId="0" borderId="0" xfId="0" applyNumberFormat="1" applyFont="1" applyAlignment="1">
      <alignment vertical="center"/>
    </xf>
    <xf numFmtId="3" fontId="32" fillId="7" borderId="0" xfId="0" applyNumberFormat="1" applyFont="1" applyFill="1" applyAlignment="1" applyProtection="1">
      <alignment vertical="center"/>
    </xf>
    <xf numFmtId="3" fontId="5" fillId="7" borderId="0" xfId="0" applyNumberFormat="1" applyFont="1" applyFill="1" applyBorder="1" applyAlignment="1" applyProtection="1">
      <alignment vertical="center"/>
    </xf>
    <xf numFmtId="3" fontId="3" fillId="7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170" fontId="3" fillId="0" borderId="0" xfId="0" applyNumberFormat="1" applyFont="1" applyAlignment="1">
      <alignment vertical="center"/>
    </xf>
    <xf numFmtId="168" fontId="3" fillId="0" borderId="7" xfId="3" applyNumberFormat="1" applyFont="1" applyFill="1" applyBorder="1" applyAlignment="1" applyProtection="1">
      <alignment horizontal="right" vertical="center"/>
      <protection locked="0"/>
    </xf>
    <xf numFmtId="168" fontId="4" fillId="14" borderId="1" xfId="3" applyNumberFormat="1" applyFont="1" applyFill="1" applyBorder="1" applyAlignment="1" applyProtection="1">
      <alignment horizontal="right" vertical="center"/>
    </xf>
    <xf numFmtId="168" fontId="3" fillId="7" borderId="7" xfId="3" applyNumberFormat="1" applyFont="1" applyFill="1" applyBorder="1" applyAlignment="1" applyProtection="1">
      <alignment horizontal="right" vertical="center"/>
      <protection locked="0"/>
    </xf>
    <xf numFmtId="0" fontId="21" fillId="7" borderId="0" xfId="0" applyFont="1" applyFill="1" applyAlignment="1">
      <alignment vertical="center"/>
    </xf>
    <xf numFmtId="0" fontId="22" fillId="7" borderId="0" xfId="0" applyFont="1" applyFill="1" applyAlignment="1">
      <alignment vertical="center"/>
    </xf>
    <xf numFmtId="0" fontId="5" fillId="7" borderId="0" xfId="0" applyFont="1" applyFill="1" applyAlignment="1">
      <alignment horizontal="right" vertical="center"/>
    </xf>
    <xf numFmtId="0" fontId="5" fillId="7" borderId="0" xfId="0" applyFont="1" applyFill="1" applyBorder="1" applyAlignment="1">
      <alignment horizontal="right" vertical="center"/>
    </xf>
    <xf numFmtId="0" fontId="23" fillId="7" borderId="0" xfId="0" applyFont="1" applyFill="1" applyAlignment="1">
      <alignment vertical="center"/>
    </xf>
    <xf numFmtId="6" fontId="3" fillId="7" borderId="18" xfId="3" applyNumberFormat="1" applyFont="1" applyFill="1" applyBorder="1" applyAlignment="1">
      <alignment vertical="center"/>
    </xf>
    <xf numFmtId="6" fontId="3" fillId="7" borderId="86" xfId="3" applyNumberFormat="1" applyFont="1" applyFill="1" applyBorder="1" applyAlignment="1">
      <alignment vertical="center"/>
    </xf>
    <xf numFmtId="6" fontId="3" fillId="7" borderId="21" xfId="3" applyNumberFormat="1" applyFont="1" applyFill="1" applyBorder="1" applyAlignment="1">
      <alignment vertical="center"/>
    </xf>
    <xf numFmtId="6" fontId="3" fillId="7" borderId="19" xfId="3" applyNumberFormat="1" applyFont="1" applyFill="1" applyBorder="1" applyAlignment="1">
      <alignment vertical="center"/>
    </xf>
    <xf numFmtId="178" fontId="7" fillId="7" borderId="23" xfId="1" applyNumberFormat="1" applyFont="1" applyFill="1" applyBorder="1" applyAlignment="1" applyProtection="1">
      <alignment vertical="center"/>
    </xf>
    <xf numFmtId="0" fontId="23" fillId="7" borderId="0" xfId="0" applyFont="1" applyFill="1" applyBorder="1" applyAlignment="1" applyProtection="1">
      <alignment vertical="center"/>
    </xf>
    <xf numFmtId="164" fontId="5" fillId="7" borderId="0" xfId="3" applyFont="1" applyFill="1" applyBorder="1" applyAlignment="1" applyProtection="1">
      <alignment vertical="center"/>
    </xf>
    <xf numFmtId="0" fontId="5" fillId="7" borderId="0" xfId="0" applyFont="1" applyFill="1" applyBorder="1" applyAlignment="1">
      <alignment horizontal="left" vertical="center"/>
    </xf>
    <xf numFmtId="168" fontId="5" fillId="7" borderId="0" xfId="3" applyNumberFormat="1" applyFont="1" applyFill="1" applyBorder="1" applyAlignment="1">
      <alignment vertical="center"/>
    </xf>
    <xf numFmtId="164" fontId="5" fillId="7" borderId="0" xfId="3" applyFont="1" applyFill="1" applyBorder="1" applyAlignment="1">
      <alignment vertical="center"/>
    </xf>
    <xf numFmtId="0" fontId="3" fillId="7" borderId="78" xfId="0" applyFont="1" applyFill="1" applyBorder="1" applyAlignment="1" applyProtection="1">
      <alignment vertical="center" wrapText="1"/>
    </xf>
    <xf numFmtId="175" fontId="3" fillId="7" borderId="66" xfId="3" applyNumberFormat="1" applyFont="1" applyFill="1" applyBorder="1" applyAlignment="1" applyProtection="1">
      <alignment vertical="center"/>
      <protection locked="0"/>
    </xf>
    <xf numFmtId="175" fontId="3" fillId="7" borderId="53" xfId="3" applyNumberFormat="1" applyFont="1" applyFill="1" applyBorder="1" applyAlignment="1" applyProtection="1">
      <alignment vertical="center"/>
      <protection locked="0"/>
    </xf>
    <xf numFmtId="175" fontId="3" fillId="7" borderId="49" xfId="3" applyNumberFormat="1" applyFont="1" applyFill="1" applyBorder="1" applyAlignment="1" applyProtection="1">
      <alignment vertical="center"/>
      <protection locked="0"/>
    </xf>
    <xf numFmtId="3" fontId="3" fillId="7" borderId="61" xfId="3" applyNumberFormat="1" applyFont="1" applyFill="1" applyBorder="1" applyAlignment="1" applyProtection="1">
      <alignment vertical="center"/>
    </xf>
    <xf numFmtId="3" fontId="3" fillId="7" borderId="10" xfId="3" applyNumberFormat="1" applyFont="1" applyFill="1" applyBorder="1" applyAlignment="1" applyProtection="1">
      <alignment vertical="center"/>
    </xf>
    <xf numFmtId="3" fontId="3" fillId="7" borderId="62" xfId="3" applyNumberFormat="1" applyFont="1" applyFill="1" applyBorder="1" applyAlignment="1" applyProtection="1">
      <alignment vertical="center"/>
    </xf>
    <xf numFmtId="0" fontId="3" fillId="7" borderId="79" xfId="0" applyFont="1" applyFill="1" applyBorder="1" applyAlignment="1" applyProtection="1">
      <alignment vertical="center" wrapText="1"/>
    </xf>
    <xf numFmtId="1" fontId="3" fillId="7" borderId="70" xfId="3" applyNumberFormat="1" applyFont="1" applyFill="1" applyBorder="1" applyAlignment="1" applyProtection="1">
      <alignment vertical="center"/>
      <protection locked="0"/>
    </xf>
    <xf numFmtId="1" fontId="3" fillId="7" borderId="43" xfId="3" applyNumberFormat="1" applyFont="1" applyFill="1" applyBorder="1" applyAlignment="1" applyProtection="1">
      <alignment vertical="center"/>
      <protection locked="0"/>
    </xf>
    <xf numFmtId="1" fontId="3" fillId="7" borderId="71" xfId="3" applyNumberFormat="1" applyFont="1" applyFill="1" applyBorder="1" applyAlignment="1" applyProtection="1">
      <alignment vertical="center"/>
      <protection locked="0"/>
    </xf>
    <xf numFmtId="3" fontId="3" fillId="7" borderId="41" xfId="3" applyNumberFormat="1" applyFont="1" applyFill="1" applyBorder="1" applyAlignment="1" applyProtection="1">
      <alignment vertical="center"/>
    </xf>
    <xf numFmtId="3" fontId="3" fillId="7" borderId="1" xfId="3" applyNumberFormat="1" applyFont="1" applyFill="1" applyBorder="1" applyAlignment="1" applyProtection="1">
      <alignment vertical="center"/>
    </xf>
    <xf numFmtId="3" fontId="3" fillId="7" borderId="11" xfId="3" applyNumberFormat="1" applyFont="1" applyFill="1" applyBorder="1" applyAlignment="1" applyProtection="1">
      <alignment vertical="center"/>
    </xf>
    <xf numFmtId="0" fontId="3" fillId="7" borderId="80" xfId="0" applyFont="1" applyFill="1" applyBorder="1" applyAlignment="1" applyProtection="1">
      <alignment vertical="center" wrapText="1"/>
    </xf>
    <xf numFmtId="174" fontId="3" fillId="7" borderId="37" xfId="3" applyNumberFormat="1" applyFont="1" applyFill="1" applyBorder="1" applyAlignment="1" applyProtection="1">
      <alignment vertical="center"/>
    </xf>
    <xf numFmtId="174" fontId="3" fillId="7" borderId="4" xfId="3" applyNumberFormat="1" applyFont="1" applyFill="1" applyBorder="1" applyAlignment="1" applyProtection="1">
      <alignment vertical="center"/>
    </xf>
    <xf numFmtId="174" fontId="3" fillId="7" borderId="40" xfId="3" applyNumberFormat="1" applyFont="1" applyFill="1" applyBorder="1" applyAlignment="1" applyProtection="1">
      <alignment vertical="center"/>
    </xf>
    <xf numFmtId="0" fontId="3" fillId="7" borderId="81" xfId="0" applyFont="1" applyFill="1" applyBorder="1" applyAlignment="1" applyProtection="1">
      <alignment vertical="center" wrapText="1"/>
    </xf>
    <xf numFmtId="173" fontId="3" fillId="7" borderId="47" xfId="3" applyNumberFormat="1" applyFont="1" applyFill="1" applyBorder="1" applyAlignment="1" applyProtection="1">
      <alignment vertical="center"/>
      <protection locked="0"/>
    </xf>
    <xf numFmtId="174" fontId="3" fillId="7" borderId="36" xfId="3" applyNumberFormat="1" applyFont="1" applyFill="1" applyBorder="1" applyAlignment="1" applyProtection="1">
      <alignment vertical="center"/>
    </xf>
    <xf numFmtId="174" fontId="3" fillId="7" borderId="3" xfId="3" applyNumberFormat="1" applyFont="1" applyFill="1" applyBorder="1" applyAlignment="1" applyProtection="1">
      <alignment vertical="center"/>
    </xf>
    <xf numFmtId="174" fontId="3" fillId="7" borderId="39" xfId="3" applyNumberFormat="1" applyFont="1" applyFill="1" applyBorder="1" applyAlignment="1" applyProtection="1">
      <alignment vertical="center"/>
    </xf>
    <xf numFmtId="1" fontId="3" fillId="7" borderId="67" xfId="3" applyNumberFormat="1" applyFont="1" applyFill="1" applyBorder="1" applyAlignment="1" applyProtection="1">
      <alignment vertical="center"/>
      <protection locked="0"/>
    </xf>
    <xf numFmtId="1" fontId="3" fillId="7" borderId="45" xfId="3" applyNumberFormat="1" applyFont="1" applyFill="1" applyBorder="1" applyAlignment="1" applyProtection="1">
      <alignment vertical="center"/>
      <protection locked="0"/>
    </xf>
    <xf numFmtId="174" fontId="3" fillId="7" borderId="41" xfId="3" applyNumberFormat="1" applyFont="1" applyFill="1" applyBorder="1" applyAlignment="1" applyProtection="1">
      <alignment vertical="center"/>
    </xf>
    <xf numFmtId="174" fontId="3" fillId="7" borderId="1" xfId="3" applyNumberFormat="1" applyFont="1" applyFill="1" applyBorder="1" applyAlignment="1" applyProtection="1">
      <alignment vertical="center"/>
    </xf>
    <xf numFmtId="174" fontId="3" fillId="7" borderId="11" xfId="3" applyNumberFormat="1" applyFont="1" applyFill="1" applyBorder="1" applyAlignment="1" applyProtection="1">
      <alignment vertical="center"/>
    </xf>
    <xf numFmtId="174" fontId="3" fillId="7" borderId="58" xfId="3" applyNumberFormat="1" applyFont="1" applyFill="1" applyBorder="1" applyAlignment="1" applyProtection="1">
      <alignment vertical="center"/>
    </xf>
    <xf numFmtId="174" fontId="3" fillId="7" borderId="59" xfId="3" applyNumberFormat="1" applyFont="1" applyFill="1" applyBorder="1" applyAlignment="1" applyProtection="1">
      <alignment vertical="center"/>
    </xf>
    <xf numFmtId="174" fontId="3" fillId="7" borderId="60" xfId="0" applyNumberFormat="1" applyFont="1" applyFill="1" applyBorder="1" applyAlignment="1" applyProtection="1">
      <alignment vertical="center"/>
    </xf>
    <xf numFmtId="174" fontId="3" fillId="7" borderId="66" xfId="3" applyNumberFormat="1" applyFont="1" applyFill="1" applyBorder="1" applyAlignment="1" applyProtection="1">
      <alignment vertical="center"/>
    </xf>
    <xf numFmtId="174" fontId="3" fillId="7" borderId="53" xfId="3" applyNumberFormat="1" applyFont="1" applyFill="1" applyBorder="1" applyAlignment="1" applyProtection="1">
      <alignment vertical="center"/>
    </xf>
    <xf numFmtId="174" fontId="3" fillId="7" borderId="49" xfId="0" applyNumberFormat="1" applyFont="1" applyFill="1" applyBorder="1" applyAlignment="1" applyProtection="1">
      <alignment vertical="center"/>
    </xf>
    <xf numFmtId="0" fontId="5" fillId="7" borderId="82" xfId="0" applyFont="1" applyFill="1" applyBorder="1" applyAlignment="1" applyProtection="1">
      <alignment vertical="center" wrapText="1"/>
    </xf>
    <xf numFmtId="0" fontId="24" fillId="7" borderId="0" xfId="0" applyFont="1" applyFill="1" applyAlignment="1">
      <alignment vertical="center"/>
    </xf>
    <xf numFmtId="179" fontId="3" fillId="7" borderId="1" xfId="0" applyNumberFormat="1" applyFont="1" applyFill="1" applyBorder="1" applyAlignment="1">
      <alignment vertical="center"/>
    </xf>
    <xf numFmtId="0" fontId="5" fillId="20" borderId="32" xfId="0" applyFont="1" applyFill="1" applyBorder="1" applyAlignment="1">
      <alignment horizontal="left" vertical="center"/>
    </xf>
    <xf numFmtId="174" fontId="3" fillId="6" borderId="72" xfId="3" applyNumberFormat="1" applyFont="1" applyFill="1" applyBorder="1" applyAlignment="1" applyProtection="1">
      <alignment vertical="center"/>
    </xf>
    <xf numFmtId="174" fontId="3" fillId="6" borderId="46" xfId="3" applyNumberFormat="1" applyFont="1" applyFill="1" applyBorder="1" applyAlignment="1" applyProtection="1">
      <alignment vertical="center"/>
    </xf>
    <xf numFmtId="174" fontId="3" fillId="6" borderId="73" xfId="3" applyNumberFormat="1" applyFont="1" applyFill="1" applyBorder="1" applyAlignment="1" applyProtection="1">
      <alignment vertical="center"/>
    </xf>
    <xf numFmtId="174" fontId="3" fillId="6" borderId="52" xfId="3" applyNumberFormat="1" applyFont="1" applyFill="1" applyBorder="1" applyAlignment="1" applyProtection="1">
      <alignment vertical="center"/>
    </xf>
    <xf numFmtId="174" fontId="3" fillId="6" borderId="37" xfId="3" applyNumberFormat="1" applyFont="1" applyFill="1" applyBorder="1" applyAlignment="1" applyProtection="1">
      <alignment vertical="center"/>
    </xf>
    <xf numFmtId="174" fontId="3" fillId="6" borderId="4" xfId="3" applyNumberFormat="1" applyFont="1" applyFill="1" applyBorder="1" applyAlignment="1" applyProtection="1">
      <alignment vertical="center"/>
    </xf>
    <xf numFmtId="174" fontId="3" fillId="6" borderId="40" xfId="3" applyNumberFormat="1" applyFont="1" applyFill="1" applyBorder="1" applyAlignment="1" applyProtection="1">
      <alignment vertical="center"/>
    </xf>
    <xf numFmtId="174" fontId="3" fillId="6" borderId="73" xfId="0" applyNumberFormat="1" applyFont="1" applyFill="1" applyBorder="1" applyAlignment="1" applyProtection="1">
      <alignment vertical="center"/>
    </xf>
    <xf numFmtId="174" fontId="3" fillId="6" borderId="48" xfId="0" applyNumberFormat="1" applyFont="1" applyFill="1" applyBorder="1" applyAlignment="1" applyProtection="1">
      <alignment vertical="center"/>
    </xf>
    <xf numFmtId="174" fontId="3" fillId="6" borderId="54" xfId="3" applyNumberFormat="1" applyFont="1" applyFill="1" applyBorder="1" applyAlignment="1" applyProtection="1">
      <alignment vertical="center" wrapText="1"/>
    </xf>
    <xf numFmtId="174" fontId="3" fillId="6" borderId="55" xfId="3" applyNumberFormat="1" applyFont="1" applyFill="1" applyBorder="1" applyAlignment="1" applyProtection="1">
      <alignment vertical="center" wrapText="1"/>
    </xf>
    <xf numFmtId="174" fontId="3" fillId="6" borderId="57" xfId="3" applyNumberFormat="1" applyFont="1" applyFill="1" applyBorder="1" applyAlignment="1" applyProtection="1">
      <alignment vertical="center" wrapText="1"/>
    </xf>
    <xf numFmtId="174" fontId="3" fillId="6" borderId="56" xfId="3" applyNumberFormat="1" applyFont="1" applyFill="1" applyBorder="1" applyAlignment="1" applyProtection="1">
      <alignment vertical="center" wrapText="1"/>
    </xf>
    <xf numFmtId="174" fontId="3" fillId="6" borderId="58" xfId="3" applyNumberFormat="1" applyFont="1" applyFill="1" applyBorder="1" applyAlignment="1" applyProtection="1">
      <alignment vertical="center" wrapText="1"/>
    </xf>
    <xf numFmtId="174" fontId="3" fillId="6" borderId="59" xfId="3" applyNumberFormat="1" applyFont="1" applyFill="1" applyBorder="1" applyAlignment="1" applyProtection="1">
      <alignment vertical="center" wrapText="1"/>
    </xf>
    <xf numFmtId="174" fontId="3" fillId="6" borderId="60" xfId="3" applyNumberFormat="1" applyFont="1" applyFill="1" applyBorder="1" applyAlignment="1" applyProtection="1">
      <alignment vertical="center" wrapText="1"/>
    </xf>
    <xf numFmtId="180" fontId="22" fillId="20" borderId="28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vertical="center"/>
    </xf>
    <xf numFmtId="0" fontId="7" fillId="21" borderId="7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 wrapText="1"/>
    </xf>
    <xf numFmtId="165" fontId="4" fillId="7" borderId="7" xfId="0" applyNumberFormat="1" applyFont="1" applyFill="1" applyBorder="1" applyAlignment="1"/>
    <xf numFmtId="165" fontId="4" fillId="7" borderId="1" xfId="0" applyNumberFormat="1" applyFont="1" applyFill="1" applyBorder="1" applyAlignment="1"/>
    <xf numFmtId="0" fontId="0" fillId="20" borderId="7" xfId="0" applyFill="1" applyBorder="1"/>
    <xf numFmtId="165" fontId="0" fillId="20" borderId="1" xfId="0" applyNumberFormat="1" applyFill="1" applyBorder="1"/>
    <xf numFmtId="181" fontId="1" fillId="20" borderId="1" xfId="1" applyNumberFormat="1" applyFill="1" applyBorder="1"/>
    <xf numFmtId="165" fontId="4" fillId="7" borderId="0" xfId="0" applyNumberFormat="1" applyFont="1" applyFill="1" applyBorder="1" applyAlignment="1"/>
    <xf numFmtId="6" fontId="0" fillId="0" borderId="0" xfId="0" applyNumberFormat="1"/>
    <xf numFmtId="0" fontId="35" fillId="0" borderId="0" xfId="0" applyFont="1"/>
    <xf numFmtId="0" fontId="35" fillId="0" borderId="0" xfId="0" applyFont="1" applyAlignment="1">
      <alignment horizontal="center"/>
    </xf>
    <xf numFmtId="170" fontId="3" fillId="0" borderId="0" xfId="3" applyNumberFormat="1" applyFont="1" applyAlignment="1">
      <alignment vertical="center"/>
    </xf>
    <xf numFmtId="175" fontId="3" fillId="7" borderId="37" xfId="3" applyNumberFormat="1" applyFont="1" applyFill="1" applyBorder="1" applyAlignment="1" applyProtection="1">
      <alignment horizontal="center" vertical="center"/>
      <protection locked="0"/>
    </xf>
    <xf numFmtId="175" fontId="3" fillId="7" borderId="4" xfId="3" applyNumberFormat="1" applyFont="1" applyFill="1" applyBorder="1" applyAlignment="1" applyProtection="1">
      <alignment horizontal="center" vertical="center"/>
      <protection locked="0"/>
    </xf>
    <xf numFmtId="175" fontId="3" fillId="7" borderId="40" xfId="3" applyNumberFormat="1" applyFont="1" applyFill="1" applyBorder="1" applyAlignment="1" applyProtection="1">
      <alignment horizontal="center" vertical="center"/>
      <protection locked="0"/>
    </xf>
    <xf numFmtId="0" fontId="5" fillId="8" borderId="15" xfId="0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/>
    </xf>
    <xf numFmtId="0" fontId="5" fillId="8" borderId="38" xfId="0" applyFont="1" applyFill="1" applyBorder="1" applyAlignment="1">
      <alignment horizontal="center" vertical="center"/>
    </xf>
    <xf numFmtId="0" fontId="5" fillId="8" borderId="3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6" fontId="5" fillId="13" borderId="35" xfId="3" applyNumberFormat="1" applyFont="1" applyFill="1" applyBorder="1" applyAlignment="1">
      <alignment vertical="center"/>
    </xf>
    <xf numFmtId="6" fontId="5" fillId="13" borderId="5" xfId="3" applyNumberFormat="1" applyFont="1" applyFill="1" applyBorder="1" applyAlignment="1">
      <alignment vertical="center"/>
    </xf>
    <xf numFmtId="6" fontId="5" fillId="13" borderId="83" xfId="3" applyNumberFormat="1" applyFont="1" applyFill="1" applyBorder="1" applyAlignment="1">
      <alignment vertical="center"/>
    </xf>
    <xf numFmtId="6" fontId="5" fillId="13" borderId="28" xfId="3" applyNumberFormat="1" applyFont="1" applyFill="1" applyBorder="1" applyAlignment="1">
      <alignment vertical="center"/>
    </xf>
    <xf numFmtId="1" fontId="5" fillId="7" borderId="0" xfId="0" applyNumberFormat="1" applyFont="1" applyFill="1" applyBorder="1" applyAlignment="1" applyProtection="1">
      <alignment horizontal="center" vertical="center"/>
    </xf>
    <xf numFmtId="164" fontId="5" fillId="13" borderId="36" xfId="3" applyFont="1" applyFill="1" applyBorder="1" applyAlignment="1" applyProtection="1">
      <alignment vertical="center"/>
    </xf>
    <xf numFmtId="0" fontId="5" fillId="13" borderId="37" xfId="0" applyFont="1" applyFill="1" applyBorder="1" applyAlignment="1" applyProtection="1">
      <alignment vertical="center"/>
    </xf>
    <xf numFmtId="164" fontId="5" fillId="13" borderId="27" xfId="3" applyFont="1" applyFill="1" applyBorder="1" applyAlignment="1" applyProtection="1">
      <alignment horizontal="right" vertical="center"/>
    </xf>
    <xf numFmtId="0" fontId="3" fillId="22" borderId="77" xfId="0" applyFont="1" applyFill="1" applyBorder="1" applyAlignment="1" applyProtection="1">
      <alignment vertical="center" wrapText="1"/>
    </xf>
    <xf numFmtId="0" fontId="36" fillId="0" borderId="0" xfId="0" applyFont="1" applyAlignment="1">
      <alignment vertical="center"/>
    </xf>
    <xf numFmtId="165" fontId="24" fillId="7" borderId="1" xfId="0" applyNumberFormat="1" applyFont="1" applyFill="1" applyBorder="1" applyAlignment="1"/>
    <xf numFmtId="0" fontId="37" fillId="0" borderId="0" xfId="0" applyFont="1"/>
    <xf numFmtId="168" fontId="24" fillId="7" borderId="7" xfId="3" applyNumberFormat="1" applyFont="1" applyFill="1" applyBorder="1" applyAlignment="1" applyProtection="1">
      <alignment vertical="center"/>
      <protection locked="0"/>
    </xf>
    <xf numFmtId="168" fontId="24" fillId="0" borderId="7" xfId="3" applyNumberFormat="1" applyFont="1" applyFill="1" applyBorder="1" applyAlignment="1" applyProtection="1">
      <alignment vertical="center"/>
      <protection locked="0"/>
    </xf>
    <xf numFmtId="168" fontId="24" fillId="0" borderId="1" xfId="3" applyNumberFormat="1" applyFont="1" applyFill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/>
    </xf>
    <xf numFmtId="3" fontId="24" fillId="0" borderId="1" xfId="0" applyNumberFormat="1" applyFont="1" applyBorder="1" applyAlignment="1" applyProtection="1">
      <alignment horizontal="center" vertical="center"/>
    </xf>
    <xf numFmtId="170" fontId="24" fillId="0" borderId="1" xfId="3" applyNumberFormat="1" applyFont="1" applyBorder="1" applyAlignment="1" applyProtection="1">
      <alignment vertical="center"/>
    </xf>
    <xf numFmtId="170" fontId="24" fillId="0" borderId="99" xfId="3" applyNumberFormat="1" applyFont="1" applyBorder="1" applyAlignment="1" applyProtection="1">
      <alignment vertical="center"/>
    </xf>
    <xf numFmtId="0" fontId="24" fillId="7" borderId="8" xfId="0" applyFont="1" applyFill="1" applyBorder="1" applyAlignment="1" applyProtection="1">
      <alignment horizontal="right" vertical="center"/>
    </xf>
    <xf numFmtId="0" fontId="24" fillId="7" borderId="7" xfId="0" applyFont="1" applyFill="1" applyBorder="1" applyAlignment="1" applyProtection="1">
      <alignment horizontal="right" vertical="center"/>
    </xf>
    <xf numFmtId="170" fontId="24" fillId="0" borderId="10" xfId="3" applyNumberFormat="1" applyFont="1" applyBorder="1" applyAlignment="1" applyProtection="1">
      <alignment vertical="center"/>
    </xf>
    <xf numFmtId="170" fontId="24" fillId="7" borderId="1" xfId="3" applyNumberFormat="1" applyFont="1" applyFill="1" applyBorder="1" applyAlignment="1" applyProtection="1">
      <alignment vertical="center"/>
    </xf>
    <xf numFmtId="170" fontId="24" fillId="0" borderId="1" xfId="3" applyNumberFormat="1" applyFont="1" applyFill="1" applyBorder="1" applyAlignment="1" applyProtection="1">
      <alignment vertical="center"/>
    </xf>
    <xf numFmtId="0" fontId="22" fillId="7" borderId="8" xfId="0" applyFont="1" applyFill="1" applyBorder="1" applyAlignment="1" applyProtection="1">
      <alignment horizontal="center" vertical="center"/>
    </xf>
    <xf numFmtId="0" fontId="22" fillId="7" borderId="7" xfId="0" applyFont="1" applyFill="1" applyBorder="1" applyAlignment="1" applyProtection="1">
      <alignment horizontal="center" vertical="center"/>
    </xf>
    <xf numFmtId="170" fontId="22" fillId="0" borderId="1" xfId="3" applyNumberFormat="1" applyFont="1" applyBorder="1" applyAlignment="1">
      <alignment vertical="center"/>
    </xf>
    <xf numFmtId="170" fontId="22" fillId="0" borderId="1" xfId="3" applyNumberFormat="1" applyFont="1" applyBorder="1" applyAlignment="1" applyProtection="1">
      <alignment vertical="center"/>
    </xf>
    <xf numFmtId="170" fontId="24" fillId="7" borderId="1" xfId="3" applyNumberFormat="1" applyFont="1" applyFill="1" applyBorder="1" applyAlignment="1">
      <alignment vertical="center"/>
    </xf>
    <xf numFmtId="6" fontId="24" fillId="7" borderId="1" xfId="0" applyNumberFormat="1" applyFont="1" applyFill="1" applyBorder="1" applyAlignment="1">
      <alignment vertical="center"/>
    </xf>
    <xf numFmtId="6" fontId="24" fillId="0" borderId="1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6" fontId="22" fillId="0" borderId="1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Alignment="1" applyProtection="1">
      <alignment horizontal="left" vertical="center"/>
    </xf>
    <xf numFmtId="3" fontId="24" fillId="7" borderId="0" xfId="0" applyNumberFormat="1" applyFont="1" applyFill="1" applyAlignment="1">
      <alignment vertical="center"/>
    </xf>
    <xf numFmtId="9" fontId="38" fillId="7" borderId="39" xfId="5" applyFont="1" applyFill="1" applyBorder="1" applyAlignment="1" applyProtection="1">
      <alignment horizontal="center" vertical="center"/>
    </xf>
    <xf numFmtId="1" fontId="22" fillId="7" borderId="40" xfId="0" applyNumberFormat="1" applyFont="1" applyFill="1" applyBorder="1" applyAlignment="1" applyProtection="1">
      <alignment horizontal="center" vertical="center"/>
    </xf>
    <xf numFmtId="180" fontId="34" fillId="0" borderId="1" xfId="5" applyNumberFormat="1" applyFont="1" applyBorder="1" applyAlignment="1">
      <alignment horizontal="center" vertical="center"/>
    </xf>
    <xf numFmtId="0" fontId="22" fillId="7" borderId="0" xfId="0" applyFont="1" applyFill="1" applyAlignment="1" applyProtection="1">
      <alignment vertical="center"/>
    </xf>
    <xf numFmtId="0" fontId="22" fillId="0" borderId="0" xfId="0" applyFont="1" applyAlignment="1" applyProtection="1">
      <alignment vertical="center"/>
    </xf>
    <xf numFmtId="168" fontId="22" fillId="0" borderId="1" xfId="3" applyNumberFormat="1" applyFont="1" applyFill="1" applyBorder="1" applyAlignment="1" applyProtection="1">
      <alignment vertical="center"/>
      <protection locked="0"/>
    </xf>
    <xf numFmtId="177" fontId="22" fillId="0" borderId="0" xfId="0" applyNumberFormat="1" applyFont="1" applyAlignment="1">
      <alignment vertical="center"/>
    </xf>
    <xf numFmtId="0" fontId="5" fillId="8" borderId="100" xfId="0" applyFont="1" applyFill="1" applyBorder="1" applyAlignment="1">
      <alignment horizontal="center" vertical="center"/>
    </xf>
    <xf numFmtId="0" fontId="5" fillId="8" borderId="65" xfId="0" applyFont="1" applyFill="1" applyBorder="1" applyAlignment="1">
      <alignment horizontal="center" vertical="center"/>
    </xf>
    <xf numFmtId="0" fontId="5" fillId="8" borderId="101" xfId="0" applyFont="1" applyFill="1" applyBorder="1" applyAlignment="1">
      <alignment horizontal="center" vertical="center"/>
    </xf>
    <xf numFmtId="0" fontId="5" fillId="8" borderId="36" xfId="0" applyFont="1" applyFill="1" applyBorder="1" applyAlignment="1" applyProtection="1">
      <alignment horizontal="center" vertical="center" wrapText="1"/>
    </xf>
    <xf numFmtId="0" fontId="5" fillId="8" borderId="37" xfId="0" applyFont="1" applyFill="1" applyBorder="1" applyAlignment="1" applyProtection="1">
      <alignment horizontal="center" vertical="center" wrapText="1"/>
    </xf>
    <xf numFmtId="0" fontId="5" fillId="8" borderId="102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5" fillId="8" borderId="51" xfId="0" applyFont="1" applyFill="1" applyBorder="1" applyAlignment="1">
      <alignment horizontal="center" vertical="center" wrapText="1"/>
    </xf>
    <xf numFmtId="0" fontId="3" fillId="22" borderId="77" xfId="0" applyFont="1" applyFill="1" applyBorder="1" applyAlignment="1" applyProtection="1">
      <alignment vertical="center" wrapText="1"/>
    </xf>
    <xf numFmtId="0" fontId="3" fillId="22" borderId="76" xfId="0" applyFont="1" applyFill="1" applyBorder="1" applyAlignment="1" applyProtection="1">
      <alignment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8" borderId="39" xfId="0" applyFont="1" applyFill="1" applyBorder="1" applyAlignment="1" applyProtection="1">
      <alignment horizontal="center" vertical="center" wrapText="1"/>
    </xf>
    <xf numFmtId="0" fontId="5" fillId="8" borderId="40" xfId="0" applyFont="1" applyFill="1" applyBorder="1" applyAlignment="1" applyProtection="1">
      <alignment horizontal="center" vertical="center" wrapText="1"/>
    </xf>
    <xf numFmtId="0" fontId="5" fillId="8" borderId="32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5" fillId="8" borderId="84" xfId="0" applyFont="1" applyFill="1" applyBorder="1" applyAlignment="1">
      <alignment horizontal="left" vertical="center"/>
    </xf>
    <xf numFmtId="0" fontId="5" fillId="8" borderId="85" xfId="0" applyFont="1" applyFill="1" applyBorder="1" applyAlignment="1">
      <alignment horizontal="left" vertical="center"/>
    </xf>
    <xf numFmtId="0" fontId="5" fillId="13" borderId="32" xfId="0" applyFont="1" applyFill="1" applyBorder="1" applyAlignment="1">
      <alignment horizontal="right" vertical="center"/>
    </xf>
    <xf numFmtId="0" fontId="5" fillId="13" borderId="34" xfId="0" applyFont="1" applyFill="1" applyBorder="1" applyAlignment="1">
      <alignment horizontal="right" vertical="center"/>
    </xf>
    <xf numFmtId="0" fontId="5" fillId="8" borderId="33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3" fillId="7" borderId="0" xfId="0" applyFont="1" applyFill="1" applyBorder="1" applyAlignment="1">
      <alignment vertical="center"/>
    </xf>
    <xf numFmtId="0" fontId="5" fillId="8" borderId="13" xfId="0" applyFont="1" applyFill="1" applyBorder="1" applyAlignment="1" applyProtection="1">
      <alignment horizontal="center" vertical="center" wrapText="1"/>
    </xf>
    <xf numFmtId="0" fontId="5" fillId="8" borderId="20" xfId="0" applyFont="1" applyFill="1" applyBorder="1" applyAlignment="1" applyProtection="1">
      <alignment horizontal="center" vertical="center" wrapText="1"/>
    </xf>
    <xf numFmtId="0" fontId="5" fillId="8" borderId="65" xfId="0" applyFont="1" applyFill="1" applyBorder="1" applyAlignment="1" applyProtection="1">
      <alignment horizontal="center" vertical="center" wrapText="1"/>
    </xf>
    <xf numFmtId="0" fontId="5" fillId="8" borderId="30" xfId="0" applyFont="1" applyFill="1" applyBorder="1" applyAlignment="1" applyProtection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 applyProtection="1">
      <alignment horizontal="center" vertical="center"/>
    </xf>
    <xf numFmtId="0" fontId="2" fillId="12" borderId="7" xfId="0" applyFont="1" applyFill="1" applyBorder="1" applyAlignment="1" applyProtection="1">
      <alignment horizontal="center" vertical="center"/>
    </xf>
    <xf numFmtId="0" fontId="5" fillId="14" borderId="8" xfId="0" applyFont="1" applyFill="1" applyBorder="1" applyAlignment="1" applyProtection="1">
      <alignment horizontal="center" vertical="center"/>
    </xf>
    <xf numFmtId="0" fontId="5" fillId="14" borderId="9" xfId="0" applyFont="1" applyFill="1" applyBorder="1" applyAlignment="1" applyProtection="1">
      <alignment horizontal="center" vertical="center"/>
    </xf>
    <xf numFmtId="0" fontId="5" fillId="14" borderId="7" xfId="0" applyFont="1" applyFill="1" applyBorder="1" applyAlignment="1" applyProtection="1">
      <alignment horizontal="center" vertical="center"/>
    </xf>
    <xf numFmtId="168" fontId="4" fillId="12" borderId="9" xfId="3" applyNumberFormat="1" applyFont="1" applyFill="1" applyBorder="1" applyAlignment="1" applyProtection="1">
      <alignment horizontal="center" vertical="center"/>
      <protection locked="0"/>
    </xf>
    <xf numFmtId="168" fontId="4" fillId="12" borderId="7" xfId="3" applyNumberFormat="1" applyFont="1" applyFill="1" applyBorder="1" applyAlignment="1" applyProtection="1">
      <alignment horizontal="center" vertical="center"/>
      <protection locked="0"/>
    </xf>
    <xf numFmtId="0" fontId="5" fillId="14" borderId="1" xfId="0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4" fontId="5" fillId="8" borderId="2" xfId="3" applyFont="1" applyFill="1" applyBorder="1" applyAlignment="1">
      <alignment horizontal="center" vertical="center" wrapText="1"/>
    </xf>
    <xf numFmtId="164" fontId="5" fillId="8" borderId="10" xfId="3" applyFont="1" applyFill="1" applyBorder="1" applyAlignment="1">
      <alignment horizontal="center" vertical="center" wrapText="1"/>
    </xf>
    <xf numFmtId="0" fontId="2" fillId="8" borderId="9" xfId="0" applyFont="1" applyFill="1" applyBorder="1" applyAlignment="1" applyProtection="1">
      <alignment horizontal="center" vertical="center"/>
    </xf>
    <xf numFmtId="0" fontId="2" fillId="8" borderId="7" xfId="0" applyFont="1" applyFill="1" applyBorder="1" applyAlignment="1" applyProtection="1">
      <alignment horizontal="center" vertical="center"/>
    </xf>
    <xf numFmtId="165" fontId="5" fillId="12" borderId="8" xfId="0" applyNumberFormat="1" applyFont="1" applyFill="1" applyBorder="1" applyAlignment="1">
      <alignment horizontal="left"/>
    </xf>
    <xf numFmtId="165" fontId="5" fillId="12" borderId="7" xfId="0" applyNumberFormat="1" applyFont="1" applyFill="1" applyBorder="1" applyAlignment="1">
      <alignment horizontal="left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 applyProtection="1">
      <alignment horizontal="center" vertical="center"/>
    </xf>
    <xf numFmtId="0" fontId="5" fillId="12" borderId="9" xfId="0" applyFont="1" applyFill="1" applyBorder="1" applyAlignment="1" applyProtection="1">
      <alignment horizontal="left" vertical="center"/>
    </xf>
    <xf numFmtId="0" fontId="5" fillId="12" borderId="7" xfId="0" applyFont="1" applyFill="1" applyBorder="1" applyAlignment="1" applyProtection="1">
      <alignment horizontal="left" vertical="center"/>
    </xf>
    <xf numFmtId="0" fontId="5" fillId="14" borderId="87" xfId="0" applyFont="1" applyFill="1" applyBorder="1" applyAlignment="1">
      <alignment horizontal="center" vertical="center" wrapText="1"/>
    </xf>
    <xf numFmtId="0" fontId="5" fillId="14" borderId="90" xfId="0" applyFont="1" applyFill="1" applyBorder="1" applyAlignment="1">
      <alignment horizontal="center" vertical="center" wrapText="1"/>
    </xf>
    <xf numFmtId="0" fontId="5" fillId="14" borderId="9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17" borderId="13" xfId="0" applyFont="1" applyFill="1" applyBorder="1" applyAlignment="1" applyProtection="1">
      <alignment horizontal="center" vertical="center" wrapText="1"/>
    </xf>
    <xf numFmtId="0" fontId="5" fillId="17" borderId="20" xfId="0" applyFont="1" applyFill="1" applyBorder="1" applyAlignment="1" applyProtection="1">
      <alignment horizontal="center" vertical="center" wrapText="1"/>
    </xf>
    <xf numFmtId="0" fontId="5" fillId="17" borderId="65" xfId="0" applyFont="1" applyFill="1" applyBorder="1" applyAlignment="1" applyProtection="1">
      <alignment horizontal="center" vertical="center" wrapText="1"/>
    </xf>
    <xf numFmtId="0" fontId="5" fillId="17" borderId="30" xfId="0" applyFont="1" applyFill="1" applyBorder="1" applyAlignment="1" applyProtection="1">
      <alignment horizontal="center" vertical="center" wrapText="1"/>
    </xf>
    <xf numFmtId="0" fontId="5" fillId="14" borderId="32" xfId="0" applyFont="1" applyFill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/>
    </xf>
    <xf numFmtId="0" fontId="5" fillId="14" borderId="34" xfId="0" applyFont="1" applyFill="1" applyBorder="1" applyAlignment="1">
      <alignment horizontal="center" vertical="center"/>
    </xf>
    <xf numFmtId="170" fontId="7" fillId="7" borderId="16" xfId="3" applyNumberFormat="1" applyFont="1" applyFill="1" applyBorder="1" applyAlignment="1">
      <alignment horizontal="center" vertical="center"/>
    </xf>
    <xf numFmtId="170" fontId="7" fillId="7" borderId="38" xfId="3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25" fillId="14" borderId="1" xfId="4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 wrapText="1"/>
    </xf>
    <xf numFmtId="0" fontId="7" fillId="18" borderId="10" xfId="0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left"/>
    </xf>
    <xf numFmtId="0" fontId="26" fillId="12" borderId="24" xfId="0" applyFont="1" applyFill="1" applyBorder="1" applyAlignment="1">
      <alignment horizontal="center" vertical="center"/>
    </xf>
    <xf numFmtId="0" fontId="26" fillId="12" borderId="25" xfId="0" applyFont="1" applyFill="1" applyBorder="1" applyAlignment="1">
      <alignment horizontal="center" vertical="center"/>
    </xf>
    <xf numFmtId="0" fontId="26" fillId="12" borderId="26" xfId="0" applyFont="1" applyFill="1" applyBorder="1" applyAlignment="1">
      <alignment horizontal="center" vertical="center"/>
    </xf>
    <xf numFmtId="0" fontId="26" fillId="12" borderId="14" xfId="0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center" vertical="center" wrapText="1"/>
    </xf>
    <xf numFmtId="0" fontId="26" fillId="12" borderId="10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8" fillId="14" borderId="32" xfId="0" applyFont="1" applyFill="1" applyBorder="1" applyAlignment="1">
      <alignment horizontal="center"/>
    </xf>
    <xf numFmtId="0" fontId="8" fillId="14" borderId="33" xfId="0" applyFont="1" applyFill="1" applyBorder="1" applyAlignment="1">
      <alignment horizontal="center"/>
    </xf>
    <xf numFmtId="0" fontId="8" fillId="14" borderId="34" xfId="0" applyFont="1" applyFill="1" applyBorder="1" applyAlignment="1">
      <alignment horizontal="center"/>
    </xf>
    <xf numFmtId="0" fontId="7" fillId="12" borderId="32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7" fillId="12" borderId="8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170" fontId="7" fillId="7" borderId="1" xfId="3" applyNumberFormat="1" applyFont="1" applyFill="1" applyBorder="1" applyAlignment="1">
      <alignment horizontal="center"/>
    </xf>
    <xf numFmtId="0" fontId="8" fillId="14" borderId="32" xfId="0" applyFont="1" applyFill="1" applyBorder="1" applyAlignment="1">
      <alignment horizontal="center" vertical="center" wrapText="1"/>
    </xf>
    <xf numFmtId="0" fontId="8" fillId="14" borderId="33" xfId="0" applyFont="1" applyFill="1" applyBorder="1" applyAlignment="1">
      <alignment horizontal="center" vertical="center" wrapText="1"/>
    </xf>
    <xf numFmtId="0" fontId="8" fillId="14" borderId="34" xfId="0" applyFont="1" applyFill="1" applyBorder="1" applyAlignment="1">
      <alignment horizontal="center" vertical="center" wrapText="1"/>
    </xf>
    <xf numFmtId="0" fontId="7" fillId="12" borderId="33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6">
    <cellStyle name="Hipervínculo" xfId="4" builtinId="8"/>
    <cellStyle name="Millares" xfId="1" builtinId="3"/>
    <cellStyle name="Millares [0]" xfId="2" builtinId="6"/>
    <cellStyle name="Moneda" xfId="3" builtinId="4"/>
    <cellStyle name="Normal" xfId="0" builtinId="0"/>
    <cellStyle name="Porcentual" xfId="5" builtinId="5"/>
  </cellStyles>
  <dxfs count="0"/>
  <tableStyles count="0" defaultTableStyle="TableStyleMedium9" defaultPivotStyle="PivotStyleLight16"/>
  <colors>
    <mruColors>
      <color rgb="FF32D816"/>
      <color rgb="FFFFFF99"/>
      <color rgb="FFFFFFCC"/>
      <color rgb="FFFFFF66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228601</xdr:colOff>
      <xdr:row>12</xdr:row>
      <xdr:rowOff>9526</xdr:rowOff>
    </xdr:from>
    <xdr:to>
      <xdr:col>4</xdr:col>
      <xdr:colOff>428625</xdr:colOff>
      <xdr:row>12</xdr:row>
      <xdr:rowOff>200026</xdr:rowOff>
    </xdr:to>
    <xdr:sp macro="" textlink="">
      <xdr:nvSpPr>
        <xdr:cNvPr id="2" name="1 Igual que"/>
        <xdr:cNvSpPr/>
      </xdr:nvSpPr>
      <xdr:spPr>
        <a:xfrm>
          <a:off x="3429001" y="2828926"/>
          <a:ext cx="200024" cy="190500"/>
        </a:xfrm>
        <a:prstGeom prst="mathEqua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104776</xdr:colOff>
      <xdr:row>11</xdr:row>
      <xdr:rowOff>200026</xdr:rowOff>
    </xdr:from>
    <xdr:to>
      <xdr:col>2</xdr:col>
      <xdr:colOff>428625</xdr:colOff>
      <xdr:row>13</xdr:row>
      <xdr:rowOff>1</xdr:rowOff>
    </xdr:to>
    <xdr:sp macro="" textlink="">
      <xdr:nvSpPr>
        <xdr:cNvPr id="3" name="2 División"/>
        <xdr:cNvSpPr/>
      </xdr:nvSpPr>
      <xdr:spPr>
        <a:xfrm>
          <a:off x="1981201" y="2790826"/>
          <a:ext cx="323849" cy="266700"/>
        </a:xfrm>
        <a:prstGeom prst="mathDivid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  <xdr:twoCellAnchor>
    <xdr:from>
      <xdr:col>2</xdr:col>
      <xdr:colOff>104775</xdr:colOff>
      <xdr:row>15</xdr:row>
      <xdr:rowOff>171450</xdr:rowOff>
    </xdr:from>
    <xdr:to>
      <xdr:col>2</xdr:col>
      <xdr:colOff>428625</xdr:colOff>
      <xdr:row>17</xdr:row>
      <xdr:rowOff>19050</xdr:rowOff>
    </xdr:to>
    <xdr:sp macro="" textlink="">
      <xdr:nvSpPr>
        <xdr:cNvPr id="6" name="5 Multiplicar"/>
        <xdr:cNvSpPr/>
      </xdr:nvSpPr>
      <xdr:spPr>
        <a:xfrm>
          <a:off x="1981200" y="3581400"/>
          <a:ext cx="323850" cy="266700"/>
        </a:xfrm>
        <a:prstGeom prst="mathMultiply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E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228600</xdr:colOff>
      <xdr:row>16</xdr:row>
      <xdr:rowOff>0</xdr:rowOff>
    </xdr:from>
    <xdr:to>
      <xdr:col>4</xdr:col>
      <xdr:colOff>428624</xdr:colOff>
      <xdr:row>16</xdr:row>
      <xdr:rowOff>190500</xdr:rowOff>
    </xdr:to>
    <xdr:sp macro="" textlink="">
      <xdr:nvSpPr>
        <xdr:cNvPr id="7" name="6 Igual que"/>
        <xdr:cNvSpPr/>
      </xdr:nvSpPr>
      <xdr:spPr>
        <a:xfrm>
          <a:off x="3429000" y="3600450"/>
          <a:ext cx="200024" cy="190500"/>
        </a:xfrm>
        <a:prstGeom prst="mathEqua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228601</xdr:colOff>
      <xdr:row>12</xdr:row>
      <xdr:rowOff>9526</xdr:rowOff>
    </xdr:from>
    <xdr:to>
      <xdr:col>4</xdr:col>
      <xdr:colOff>428625</xdr:colOff>
      <xdr:row>12</xdr:row>
      <xdr:rowOff>200026</xdr:rowOff>
    </xdr:to>
    <xdr:sp macro="" textlink="">
      <xdr:nvSpPr>
        <xdr:cNvPr id="2" name="1 Igual que"/>
        <xdr:cNvSpPr/>
      </xdr:nvSpPr>
      <xdr:spPr>
        <a:xfrm>
          <a:off x="3981451" y="2019301"/>
          <a:ext cx="200024" cy="190500"/>
        </a:xfrm>
        <a:prstGeom prst="mathEqua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104776</xdr:colOff>
      <xdr:row>11</xdr:row>
      <xdr:rowOff>200026</xdr:rowOff>
    </xdr:from>
    <xdr:to>
      <xdr:col>2</xdr:col>
      <xdr:colOff>428625</xdr:colOff>
      <xdr:row>13</xdr:row>
      <xdr:rowOff>1</xdr:rowOff>
    </xdr:to>
    <xdr:sp macro="" textlink="">
      <xdr:nvSpPr>
        <xdr:cNvPr id="3" name="2 División"/>
        <xdr:cNvSpPr/>
      </xdr:nvSpPr>
      <xdr:spPr>
        <a:xfrm>
          <a:off x="2533651" y="1981201"/>
          <a:ext cx="323849" cy="266700"/>
        </a:xfrm>
        <a:prstGeom prst="mathDivid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  <xdr:twoCellAnchor>
    <xdr:from>
      <xdr:col>2</xdr:col>
      <xdr:colOff>104775</xdr:colOff>
      <xdr:row>15</xdr:row>
      <xdr:rowOff>171450</xdr:rowOff>
    </xdr:from>
    <xdr:to>
      <xdr:col>2</xdr:col>
      <xdr:colOff>428625</xdr:colOff>
      <xdr:row>17</xdr:row>
      <xdr:rowOff>19050</xdr:rowOff>
    </xdr:to>
    <xdr:sp macro="" textlink="">
      <xdr:nvSpPr>
        <xdr:cNvPr id="4" name="3 Multiplicar"/>
        <xdr:cNvSpPr/>
      </xdr:nvSpPr>
      <xdr:spPr>
        <a:xfrm>
          <a:off x="2533650" y="2781300"/>
          <a:ext cx="323850" cy="285750"/>
        </a:xfrm>
        <a:prstGeom prst="mathMultiply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E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228600</xdr:colOff>
      <xdr:row>16</xdr:row>
      <xdr:rowOff>0</xdr:rowOff>
    </xdr:from>
    <xdr:to>
      <xdr:col>4</xdr:col>
      <xdr:colOff>428624</xdr:colOff>
      <xdr:row>16</xdr:row>
      <xdr:rowOff>190500</xdr:rowOff>
    </xdr:to>
    <xdr:sp macro="" textlink="">
      <xdr:nvSpPr>
        <xdr:cNvPr id="5" name="4 Igual que"/>
        <xdr:cNvSpPr/>
      </xdr:nvSpPr>
      <xdr:spPr>
        <a:xfrm>
          <a:off x="3981450" y="2809875"/>
          <a:ext cx="200024" cy="190500"/>
        </a:xfrm>
        <a:prstGeom prst="mathEqua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REMUNERACIONES%20JI%20MAR%20Y%20CIELOMODIFICADA%20LM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I MAR Y CIELO"/>
      <sheetName val="Hoja2"/>
      <sheetName val="Hoja3"/>
    </sheetNames>
    <sheetDataSet>
      <sheetData sheetId="0">
        <row r="12">
          <cell r="C12">
            <v>628000</v>
          </cell>
          <cell r="E12">
            <v>1508000</v>
          </cell>
          <cell r="G12">
            <v>747000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IP43"/>
  <sheetViews>
    <sheetView tabSelected="1" topLeftCell="A5" zoomScale="90" zoomScaleNormal="90" workbookViewId="0">
      <selection activeCell="G8" sqref="G8"/>
    </sheetView>
  </sheetViews>
  <sheetFormatPr baseColWidth="10" defaultColWidth="11.44140625" defaultRowHeight="13.8"/>
  <cols>
    <col min="1" max="1" width="20.44140625" style="28" customWidth="1"/>
    <col min="2" max="2" width="21.33203125" style="28" customWidth="1"/>
    <col min="3" max="3" width="19.88671875" style="28" customWidth="1"/>
    <col min="4" max="4" width="20.88671875" style="28" customWidth="1"/>
    <col min="5" max="5" width="20.33203125" style="28" customWidth="1"/>
    <col min="6" max="6" width="20.109375" style="28" customWidth="1"/>
    <col min="7" max="7" width="21" style="28" customWidth="1"/>
    <col min="8" max="8" width="19.109375" style="28" bestFit="1" customWidth="1"/>
    <col min="9" max="9" width="20" style="28" bestFit="1" customWidth="1"/>
    <col min="10" max="10" width="19.109375" style="28" bestFit="1" customWidth="1"/>
    <col min="11" max="11" width="20" style="28" bestFit="1" customWidth="1"/>
    <col min="12" max="12" width="10.6640625" style="28" customWidth="1"/>
    <col min="13" max="13" width="16.109375" style="28" customWidth="1"/>
    <col min="14" max="14" width="14.5546875" style="28" customWidth="1"/>
    <col min="15" max="15" width="14.88671875" style="28" bestFit="1" customWidth="1"/>
    <col min="16" max="16" width="15.33203125" style="28" bestFit="1" customWidth="1"/>
    <col min="17" max="16384" width="11.44140625" style="28"/>
  </cols>
  <sheetData>
    <row r="2" spans="1:250">
      <c r="A2" s="398" t="s">
        <v>183</v>
      </c>
      <c r="B2" s="398"/>
      <c r="C2" s="398"/>
      <c r="D2" s="398"/>
      <c r="E2" s="398"/>
      <c r="F2" s="398"/>
      <c r="G2" s="398"/>
      <c r="H2" s="398"/>
      <c r="I2" s="398"/>
      <c r="J2" s="23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</row>
    <row r="3" spans="1:250" ht="37.5" customHeight="1">
      <c r="A3" s="399" t="s">
        <v>320</v>
      </c>
      <c r="B3" s="399"/>
      <c r="C3" s="399"/>
      <c r="D3" s="399"/>
      <c r="E3" s="399"/>
      <c r="F3" s="399"/>
      <c r="G3" s="399"/>
      <c r="H3" s="399"/>
      <c r="I3" s="399"/>
      <c r="J3" s="238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</row>
    <row r="4" spans="1:250" ht="12" customHeight="1">
      <c r="F4" s="239"/>
      <c r="G4" s="240"/>
      <c r="H4" s="137"/>
      <c r="I4" s="13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</row>
    <row r="5" spans="1:250" ht="33.75" customHeight="1" thickBot="1">
      <c r="A5" s="241" t="s">
        <v>184</v>
      </c>
      <c r="H5" s="27"/>
    </row>
    <row r="6" spans="1:250" ht="30" customHeight="1" thickBot="1">
      <c r="A6" s="391" t="s">
        <v>185</v>
      </c>
      <c r="B6" s="392"/>
      <c r="C6" s="330" t="s">
        <v>18</v>
      </c>
      <c r="D6" s="331" t="s">
        <v>141</v>
      </c>
      <c r="E6" s="331" t="s">
        <v>21</v>
      </c>
      <c r="F6" s="332" t="s">
        <v>22</v>
      </c>
      <c r="G6" s="333" t="s">
        <v>19</v>
      </c>
      <c r="H6" s="27"/>
      <c r="J6" s="27"/>
    </row>
    <row r="7" spans="1:250" ht="30" customHeight="1" thickBot="1">
      <c r="A7" s="393" t="str">
        <f>+A3</f>
        <v>JARDÍN INFANTIL MAR Y CIELO 2017</v>
      </c>
      <c r="B7" s="394"/>
      <c r="C7" s="242">
        <f>+N24</f>
        <v>66634700</v>
      </c>
      <c r="D7" s="243">
        <f>+'Ap. 3 Costos Directos'!J95</f>
        <v>66368701.164000005</v>
      </c>
      <c r="E7" s="244">
        <f>+'Ap. 4 Costos Indirectos'!B7</f>
        <v>0</v>
      </c>
      <c r="F7" s="243">
        <f>SUM(D7:E7)</f>
        <v>66368701.164000005</v>
      </c>
      <c r="G7" s="245">
        <f>C7-F7</f>
        <v>265998.83599999547</v>
      </c>
      <c r="H7" s="27"/>
      <c r="I7" s="339" t="s">
        <v>269</v>
      </c>
      <c r="J7" s="370">
        <f>+J8/168</f>
        <v>0.65476190476190477</v>
      </c>
      <c r="K7" s="341" t="s">
        <v>279</v>
      </c>
      <c r="L7" s="246">
        <v>1.042</v>
      </c>
    </row>
    <row r="8" spans="1:250" ht="30" customHeight="1" thickBot="1">
      <c r="A8" s="395" t="s">
        <v>23</v>
      </c>
      <c r="B8" s="396"/>
      <c r="C8" s="334">
        <f>SUM(C7:C7)</f>
        <v>66634700</v>
      </c>
      <c r="D8" s="335">
        <f t="shared" ref="D8:F8" si="0">SUM(D7:D7)</f>
        <v>66368701.164000005</v>
      </c>
      <c r="E8" s="335">
        <f t="shared" si="0"/>
        <v>0</v>
      </c>
      <c r="F8" s="336">
        <f t="shared" si="0"/>
        <v>66368701.164000005</v>
      </c>
      <c r="G8" s="337">
        <f>SUM(G7:G7)</f>
        <v>265998.83599999547</v>
      </c>
      <c r="H8" s="27"/>
      <c r="I8" s="340" t="s">
        <v>259</v>
      </c>
      <c r="J8" s="371">
        <v>110</v>
      </c>
      <c r="K8" s="247"/>
      <c r="L8" s="248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</row>
    <row r="9" spans="1:250" ht="30" customHeight="1" thickBot="1">
      <c r="A9" s="250"/>
      <c r="B9" s="250"/>
      <c r="C9" s="250"/>
      <c r="D9" s="250"/>
      <c r="E9" s="250"/>
      <c r="F9" s="250"/>
      <c r="G9" s="250"/>
      <c r="H9" s="27"/>
      <c r="I9" s="218"/>
      <c r="J9" s="338"/>
      <c r="K9" s="247"/>
      <c r="L9" s="248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</row>
    <row r="10" spans="1:250" ht="33.75" customHeight="1" thickBot="1">
      <c r="A10" s="289" t="s">
        <v>277</v>
      </c>
      <c r="B10" s="306">
        <v>1.06</v>
      </c>
      <c r="C10" s="249"/>
      <c r="D10" s="250"/>
      <c r="E10" s="250"/>
      <c r="F10" s="250"/>
      <c r="G10" s="27"/>
      <c r="H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</row>
    <row r="11" spans="1:250" ht="16.5" customHeight="1">
      <c r="A11" s="137"/>
      <c r="B11" s="137"/>
      <c r="C11" s="137"/>
      <c r="D11" s="251"/>
      <c r="E11" s="251"/>
      <c r="F11" s="251"/>
      <c r="G11" s="251"/>
      <c r="H11" s="251"/>
      <c r="I11" s="251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</row>
    <row r="12" spans="1:250" ht="28.5" customHeight="1" thickBot="1">
      <c r="A12" s="400" t="s">
        <v>187</v>
      </c>
      <c r="B12" s="400"/>
      <c r="C12" s="400"/>
      <c r="D12" s="400"/>
      <c r="E12" s="400"/>
      <c r="F12" s="400"/>
      <c r="G12" s="400"/>
      <c r="H12" s="251"/>
      <c r="I12" s="251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</row>
    <row r="13" spans="1:250" ht="24.75" customHeight="1" thickBot="1">
      <c r="A13" s="401" t="s">
        <v>17</v>
      </c>
      <c r="B13" s="403" t="s">
        <v>25</v>
      </c>
      <c r="C13" s="401" t="s">
        <v>16</v>
      </c>
      <c r="D13" s="391" t="s">
        <v>188</v>
      </c>
      <c r="E13" s="397"/>
      <c r="F13" s="397"/>
      <c r="G13" s="392"/>
      <c r="H13" s="391" t="s">
        <v>189</v>
      </c>
      <c r="I13" s="397"/>
      <c r="J13" s="397"/>
      <c r="K13" s="392"/>
      <c r="L13" s="380" t="s">
        <v>193</v>
      </c>
      <c r="M13" s="387" t="s">
        <v>194</v>
      </c>
      <c r="N13" s="389" t="s">
        <v>10</v>
      </c>
      <c r="O13" s="139"/>
    </row>
    <row r="14" spans="1:250" ht="27" customHeight="1" thickBot="1">
      <c r="A14" s="402"/>
      <c r="B14" s="404"/>
      <c r="C14" s="402"/>
      <c r="D14" s="324" t="s">
        <v>200</v>
      </c>
      <c r="E14" s="325" t="s">
        <v>291</v>
      </c>
      <c r="F14" s="325" t="s">
        <v>191</v>
      </c>
      <c r="G14" s="326" t="s">
        <v>192</v>
      </c>
      <c r="H14" s="324" t="s">
        <v>200</v>
      </c>
      <c r="I14" s="325" t="s">
        <v>291</v>
      </c>
      <c r="J14" s="325" t="s">
        <v>191</v>
      </c>
      <c r="K14" s="326" t="s">
        <v>192</v>
      </c>
      <c r="L14" s="381"/>
      <c r="M14" s="388"/>
      <c r="N14" s="390"/>
    </row>
    <row r="15" spans="1:250" ht="18" customHeight="1" thickBot="1">
      <c r="A15" s="382" t="str">
        <f>+A3</f>
        <v>JARDÍN INFANTIL MAR Y CIELO 2017</v>
      </c>
      <c r="B15" s="386" t="s">
        <v>197</v>
      </c>
      <c r="C15" s="252" t="s">
        <v>14</v>
      </c>
      <c r="D15" s="147">
        <v>46900</v>
      </c>
      <c r="E15" s="148">
        <v>56300</v>
      </c>
      <c r="F15" s="148">
        <v>73700</v>
      </c>
      <c r="G15" s="149">
        <v>87000</v>
      </c>
      <c r="H15" s="253">
        <f>D15</f>
        <v>46900</v>
      </c>
      <c r="I15" s="254">
        <f>E15</f>
        <v>56300</v>
      </c>
      <c r="J15" s="254">
        <f>F15</f>
        <v>73700</v>
      </c>
      <c r="K15" s="255">
        <f>G15</f>
        <v>87000</v>
      </c>
      <c r="L15" s="256"/>
      <c r="M15" s="257"/>
      <c r="N15" s="258"/>
    </row>
    <row r="16" spans="1:250" ht="18" customHeight="1" thickBot="1">
      <c r="A16" s="383"/>
      <c r="B16" s="385"/>
      <c r="C16" s="259" t="s">
        <v>196</v>
      </c>
      <c r="D16" s="260">
        <v>82</v>
      </c>
      <c r="E16" s="261">
        <v>6</v>
      </c>
      <c r="F16" s="261">
        <v>3</v>
      </c>
      <c r="G16" s="262">
        <v>19</v>
      </c>
      <c r="H16" s="260">
        <f>+D16</f>
        <v>82</v>
      </c>
      <c r="I16" s="261">
        <f>+E16</f>
        <v>6</v>
      </c>
      <c r="J16" s="261">
        <f>+F16</f>
        <v>3</v>
      </c>
      <c r="K16" s="262">
        <f>+G16</f>
        <v>19</v>
      </c>
      <c r="L16" s="263"/>
      <c r="M16" s="264"/>
      <c r="N16" s="265"/>
    </row>
    <row r="17" spans="1:14" ht="18" customHeight="1" thickBot="1">
      <c r="A17" s="383"/>
      <c r="B17" s="385"/>
      <c r="C17" s="266" t="s">
        <v>15</v>
      </c>
      <c r="D17" s="290">
        <f>+D16*D15</f>
        <v>3845800</v>
      </c>
      <c r="E17" s="291">
        <f t="shared" ref="E17:K17" si="1">+E16*E15</f>
        <v>337800</v>
      </c>
      <c r="F17" s="291">
        <f t="shared" si="1"/>
        <v>221100</v>
      </c>
      <c r="G17" s="292">
        <f t="shared" si="1"/>
        <v>1653000</v>
      </c>
      <c r="H17" s="293">
        <f t="shared" si="1"/>
        <v>3845800</v>
      </c>
      <c r="I17" s="291">
        <f t="shared" si="1"/>
        <v>337800</v>
      </c>
      <c r="J17" s="291">
        <f t="shared" si="1"/>
        <v>221100</v>
      </c>
      <c r="K17" s="291">
        <f t="shared" si="1"/>
        <v>1653000</v>
      </c>
      <c r="L17" s="294">
        <f>SUM(D17:G17)</f>
        <v>6057700</v>
      </c>
      <c r="M17" s="295">
        <f>SUM(H17:K17)*10</f>
        <v>60577000</v>
      </c>
      <c r="N17" s="296">
        <f>+L17+M17</f>
        <v>66634700</v>
      </c>
    </row>
    <row r="18" spans="1:14" ht="18" customHeight="1" thickBot="1">
      <c r="A18" s="383"/>
      <c r="B18" s="385" t="s">
        <v>198</v>
      </c>
      <c r="C18" s="270" t="s">
        <v>14</v>
      </c>
      <c r="D18" s="150">
        <v>0</v>
      </c>
      <c r="E18" s="136">
        <v>0</v>
      </c>
      <c r="F18" s="136">
        <v>0</v>
      </c>
      <c r="G18" s="151">
        <v>0</v>
      </c>
      <c r="H18" s="146">
        <f>D18</f>
        <v>0</v>
      </c>
      <c r="I18" s="136">
        <f>E18</f>
        <v>0</v>
      </c>
      <c r="J18" s="136">
        <f>F18</f>
        <v>0</v>
      </c>
      <c r="K18" s="271">
        <f>G18</f>
        <v>0</v>
      </c>
      <c r="L18" s="272"/>
      <c r="M18" s="273"/>
      <c r="N18" s="274"/>
    </row>
    <row r="19" spans="1:14" ht="18" customHeight="1" thickBot="1">
      <c r="A19" s="383"/>
      <c r="B19" s="385"/>
      <c r="C19" s="259" t="s">
        <v>196</v>
      </c>
      <c r="D19" s="260">
        <v>0</v>
      </c>
      <c r="E19" s="261">
        <v>0</v>
      </c>
      <c r="F19" s="261">
        <v>0</v>
      </c>
      <c r="G19" s="262">
        <v>0</v>
      </c>
      <c r="H19" s="275">
        <f>+D19</f>
        <v>0</v>
      </c>
      <c r="I19" s="261">
        <f>+E19</f>
        <v>0</v>
      </c>
      <c r="J19" s="261">
        <f>+F19</f>
        <v>0</v>
      </c>
      <c r="K19" s="276">
        <f>+G19</f>
        <v>0</v>
      </c>
      <c r="L19" s="277"/>
      <c r="M19" s="278"/>
      <c r="N19" s="279"/>
    </row>
    <row r="20" spans="1:14" ht="18" customHeight="1" thickBot="1">
      <c r="A20" s="383"/>
      <c r="B20" s="385"/>
      <c r="C20" s="266" t="s">
        <v>15</v>
      </c>
      <c r="D20" s="290">
        <f>D19*D18</f>
        <v>0</v>
      </c>
      <c r="E20" s="291">
        <f>E19*E18</f>
        <v>0</v>
      </c>
      <c r="F20" s="291">
        <f>F19*F18</f>
        <v>0</v>
      </c>
      <c r="G20" s="297">
        <f>G19*G18</f>
        <v>0</v>
      </c>
      <c r="H20" s="293">
        <f>H19*H18*10</f>
        <v>0</v>
      </c>
      <c r="I20" s="291">
        <f>I19*I18*10</f>
        <v>0</v>
      </c>
      <c r="J20" s="291">
        <f>J19*J18*10</f>
        <v>0</v>
      </c>
      <c r="K20" s="298">
        <f>K19*K18*10</f>
        <v>0</v>
      </c>
      <c r="L20" s="294">
        <f>SUM(D20:G20)</f>
        <v>0</v>
      </c>
      <c r="M20" s="295">
        <f>SUM(H20:K20)</f>
        <v>0</v>
      </c>
      <c r="N20" s="296">
        <f>+L20+M20</f>
        <v>0</v>
      </c>
    </row>
    <row r="21" spans="1:14" ht="18" customHeight="1" thickBot="1">
      <c r="A21" s="383"/>
      <c r="B21" s="385" t="s">
        <v>199</v>
      </c>
      <c r="C21" s="270" t="s">
        <v>14</v>
      </c>
      <c r="D21" s="150">
        <v>0</v>
      </c>
      <c r="E21" s="136">
        <v>0</v>
      </c>
      <c r="F21" s="136">
        <v>0</v>
      </c>
      <c r="G21" s="151">
        <v>0</v>
      </c>
      <c r="H21" s="146">
        <f>D21</f>
        <v>0</v>
      </c>
      <c r="I21" s="136">
        <f>E21</f>
        <v>0</v>
      </c>
      <c r="J21" s="136">
        <f>F21</f>
        <v>0</v>
      </c>
      <c r="K21" s="271">
        <f>G21</f>
        <v>0</v>
      </c>
      <c r="L21" s="272"/>
      <c r="M21" s="273"/>
      <c r="N21" s="274"/>
    </row>
    <row r="22" spans="1:14" ht="18" customHeight="1" thickBot="1">
      <c r="A22" s="383"/>
      <c r="B22" s="385"/>
      <c r="C22" s="259" t="s">
        <v>196</v>
      </c>
      <c r="D22" s="260">
        <v>0</v>
      </c>
      <c r="E22" s="261">
        <v>0</v>
      </c>
      <c r="F22" s="261">
        <v>0</v>
      </c>
      <c r="G22" s="262">
        <v>0</v>
      </c>
      <c r="H22" s="275">
        <f>+D22</f>
        <v>0</v>
      </c>
      <c r="I22" s="261">
        <f>+E22</f>
        <v>0</v>
      </c>
      <c r="J22" s="261">
        <f>+F22</f>
        <v>0</v>
      </c>
      <c r="K22" s="276">
        <f>+G22</f>
        <v>0</v>
      </c>
      <c r="L22" s="277"/>
      <c r="M22" s="278"/>
      <c r="N22" s="279"/>
    </row>
    <row r="23" spans="1:14" ht="18" customHeight="1" thickBot="1">
      <c r="A23" s="383"/>
      <c r="B23" s="385"/>
      <c r="C23" s="266" t="s">
        <v>15</v>
      </c>
      <c r="D23" s="280">
        <f>D22*D21</f>
        <v>0</v>
      </c>
      <c r="E23" s="281">
        <v>0</v>
      </c>
      <c r="F23" s="281">
        <f>F22*F21</f>
        <v>0</v>
      </c>
      <c r="G23" s="282">
        <f>G22*G21</f>
        <v>0</v>
      </c>
      <c r="H23" s="283">
        <f>H22*H21*10</f>
        <v>0</v>
      </c>
      <c r="I23" s="284">
        <f>I22*I21*10</f>
        <v>0</v>
      </c>
      <c r="J23" s="284">
        <f>J22*J21*10</f>
        <v>0</v>
      </c>
      <c r="K23" s="285">
        <f>K22*K21*10</f>
        <v>0</v>
      </c>
      <c r="L23" s="267">
        <f>SUM(D23:G23)</f>
        <v>0</v>
      </c>
      <c r="M23" s="268">
        <f>SUM(H23:K23)</f>
        <v>0</v>
      </c>
      <c r="N23" s="269">
        <f>+L23+M23</f>
        <v>0</v>
      </c>
    </row>
    <row r="24" spans="1:14" ht="18" customHeight="1" thickBot="1">
      <c r="A24" s="384"/>
      <c r="B24" s="342" t="s">
        <v>195</v>
      </c>
      <c r="C24" s="286" t="s">
        <v>20</v>
      </c>
      <c r="D24" s="299">
        <f t="shared" ref="D24:K24" si="2">D17+D20+D23</f>
        <v>3845800</v>
      </c>
      <c r="E24" s="300">
        <f t="shared" si="2"/>
        <v>337800</v>
      </c>
      <c r="F24" s="300">
        <f t="shared" si="2"/>
        <v>221100</v>
      </c>
      <c r="G24" s="301">
        <f t="shared" si="2"/>
        <v>1653000</v>
      </c>
      <c r="H24" s="299">
        <f t="shared" si="2"/>
        <v>3845800</v>
      </c>
      <c r="I24" s="300">
        <f t="shared" si="2"/>
        <v>337800</v>
      </c>
      <c r="J24" s="300">
        <f t="shared" si="2"/>
        <v>221100</v>
      </c>
      <c r="K24" s="302">
        <f t="shared" si="2"/>
        <v>1653000</v>
      </c>
      <c r="L24" s="303">
        <f>L23+L20+L17</f>
        <v>6057700</v>
      </c>
      <c r="M24" s="304">
        <f>M23+M20+M17</f>
        <v>60577000</v>
      </c>
      <c r="N24" s="305">
        <f>+N17+N20+N23</f>
        <v>66634700</v>
      </c>
    </row>
    <row r="27" spans="1:14" ht="14.4" thickBot="1"/>
    <row r="28" spans="1:14" ht="26.25" customHeight="1" thickBot="1">
      <c r="D28" s="377" t="s">
        <v>273</v>
      </c>
      <c r="E28" s="378"/>
      <c r="F28" s="378"/>
      <c r="G28" s="379"/>
      <c r="I28" s="377" t="s">
        <v>281</v>
      </c>
      <c r="J28" s="378"/>
      <c r="K28" s="378"/>
      <c r="L28" s="379"/>
    </row>
    <row r="29" spans="1:14" ht="27.6">
      <c r="D29" s="327" t="s">
        <v>200</v>
      </c>
      <c r="E29" s="328" t="s">
        <v>190</v>
      </c>
      <c r="F29" s="328" t="s">
        <v>191</v>
      </c>
      <c r="G29" s="329" t="s">
        <v>192</v>
      </c>
      <c r="I29" s="327" t="s">
        <v>200</v>
      </c>
      <c r="J29" s="328" t="s">
        <v>190</v>
      </c>
      <c r="K29" s="328" t="s">
        <v>191</v>
      </c>
      <c r="L29" s="329" t="s">
        <v>192</v>
      </c>
    </row>
    <row r="30" spans="1:14" ht="38.25" customHeight="1" thickBot="1">
      <c r="D30" s="321">
        <v>41500</v>
      </c>
      <c r="E30" s="322">
        <v>49800</v>
      </c>
      <c r="F30" s="322">
        <v>65200</v>
      </c>
      <c r="G30" s="323">
        <v>77000</v>
      </c>
      <c r="I30" s="321">
        <v>44200</v>
      </c>
      <c r="J30" s="322">
        <v>53100</v>
      </c>
      <c r="K30" s="322">
        <v>69500</v>
      </c>
      <c r="L30" s="323">
        <v>82100</v>
      </c>
    </row>
    <row r="33" spans="1:10">
      <c r="A33" s="287"/>
    </row>
    <row r="39" spans="1:10">
      <c r="D39" s="27" t="s">
        <v>283</v>
      </c>
    </row>
    <row r="40" spans="1:10">
      <c r="D40" s="180"/>
      <c r="E40" s="288"/>
      <c r="F40" s="180"/>
      <c r="G40" s="287" t="s">
        <v>303</v>
      </c>
      <c r="I40" s="287" t="s">
        <v>304</v>
      </c>
      <c r="J40" s="287"/>
    </row>
    <row r="41" spans="1:10">
      <c r="D41" s="180"/>
      <c r="E41" s="288"/>
      <c r="F41" s="180"/>
      <c r="G41" s="287" t="s">
        <v>305</v>
      </c>
      <c r="H41" s="287"/>
      <c r="I41" s="287"/>
      <c r="J41" s="287"/>
    </row>
    <row r="42" spans="1:10">
      <c r="D42" s="180" t="s">
        <v>284</v>
      </c>
      <c r="E42" s="288">
        <v>50000</v>
      </c>
      <c r="F42" s="180" t="s">
        <v>285</v>
      </c>
      <c r="G42" s="369">
        <v>11964000</v>
      </c>
      <c r="H42" s="287"/>
      <c r="I42" s="287"/>
      <c r="J42" s="287"/>
    </row>
    <row r="43" spans="1:10">
      <c r="D43" s="180"/>
      <c r="E43" s="288"/>
      <c r="F43" s="180"/>
      <c r="G43" s="287"/>
      <c r="H43" s="287"/>
      <c r="I43" s="287"/>
      <c r="J43" s="287"/>
    </row>
  </sheetData>
  <mergeCells count="20">
    <mergeCell ref="A2:I2"/>
    <mergeCell ref="A3:I3"/>
    <mergeCell ref="A12:G12"/>
    <mergeCell ref="A13:A14"/>
    <mergeCell ref="B13:B14"/>
    <mergeCell ref="C13:C14"/>
    <mergeCell ref="D13:G13"/>
    <mergeCell ref="M13:M14"/>
    <mergeCell ref="N13:N14"/>
    <mergeCell ref="A6:B6"/>
    <mergeCell ref="A7:B7"/>
    <mergeCell ref="A8:B8"/>
    <mergeCell ref="H13:K13"/>
    <mergeCell ref="D28:G28"/>
    <mergeCell ref="L13:L14"/>
    <mergeCell ref="A15:A24"/>
    <mergeCell ref="B21:B23"/>
    <mergeCell ref="B18:B20"/>
    <mergeCell ref="B15:B17"/>
    <mergeCell ref="I28:L28"/>
  </mergeCells>
  <pageMargins left="0.7" right="0.7" top="0.75" bottom="0.75" header="0.3" footer="0.3"/>
  <pageSetup orientation="portrait" horizontalDpi="4294967293" r:id="rId1"/>
  <ignoredErrors>
    <ignoredError sqref="H21:J21 K21:K22 H18:K18 H15:H16 I15:K16 H19:K19 H22:J2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B1:L17"/>
  <sheetViews>
    <sheetView showGridLines="0" zoomScaleNormal="100" workbookViewId="0"/>
  </sheetViews>
  <sheetFormatPr baseColWidth="10" defaultColWidth="11.44140625" defaultRowHeight="13.2"/>
  <cols>
    <col min="1" max="1" width="6" style="26" customWidth="1"/>
    <col min="2" max="2" width="19" style="26" bestFit="1" customWidth="1"/>
    <col min="3" max="3" width="8.44140625" style="26" customWidth="1"/>
    <col min="4" max="4" width="11.44140625" style="26"/>
    <col min="5" max="5" width="12.44140625" style="26" customWidth="1"/>
    <col min="6" max="6" width="14.6640625" style="26" bestFit="1" customWidth="1"/>
    <col min="7" max="7" width="10" style="26" customWidth="1"/>
    <col min="8" max="8" width="20" style="26" bestFit="1" customWidth="1"/>
    <col min="9" max="9" width="11.5546875" style="26" bestFit="1" customWidth="1"/>
    <col min="10" max="16384" width="11.44140625" style="26"/>
  </cols>
  <sheetData>
    <row r="1" spans="2:12" ht="13.8" thickBot="1"/>
    <row r="2" spans="2:12" ht="35.25" customHeight="1" thickBot="1">
      <c r="B2" s="463" t="s">
        <v>174</v>
      </c>
      <c r="C2" s="472"/>
      <c r="D2" s="472"/>
      <c r="E2" s="472"/>
      <c r="F2" s="472"/>
      <c r="G2" s="472"/>
      <c r="H2" s="472"/>
      <c r="I2" s="473"/>
    </row>
    <row r="4" spans="2:12" ht="37.5" customHeight="1">
      <c r="B4" s="442" t="s">
        <v>137</v>
      </c>
      <c r="C4" s="446"/>
      <c r="E4" s="442" t="s">
        <v>171</v>
      </c>
      <c r="F4" s="442"/>
      <c r="G4" s="55"/>
      <c r="H4" s="466" t="s">
        <v>165</v>
      </c>
      <c r="I4" s="467"/>
    </row>
    <row r="5" spans="2:12">
      <c r="B5" s="98" t="s">
        <v>13</v>
      </c>
      <c r="C5" s="69">
        <f>'INFO DESAY'!C5</f>
        <v>1059</v>
      </c>
      <c r="E5" s="468">
        <v>150369</v>
      </c>
      <c r="F5" s="468"/>
      <c r="G5" s="56"/>
      <c r="H5" s="98" t="s">
        <v>13</v>
      </c>
      <c r="I5" s="92" t="e">
        <f>'Ap. 2 Ingresos C. Benef.'!#REF!</f>
        <v>#REF!</v>
      </c>
    </row>
    <row r="6" spans="2:12">
      <c r="B6" s="98" t="s">
        <v>133</v>
      </c>
      <c r="C6" s="69">
        <f>'INFO DESAY'!C6</f>
        <v>80</v>
      </c>
      <c r="H6" s="98" t="s">
        <v>133</v>
      </c>
      <c r="I6" s="92">
        <f>'Ap. 2 Ingresos C. Benef.'!D19</f>
        <v>0</v>
      </c>
    </row>
    <row r="7" spans="2:12">
      <c r="B7" s="98" t="s">
        <v>134</v>
      </c>
      <c r="C7" s="69">
        <f>'INFO DESAY'!C7</f>
        <v>54</v>
      </c>
      <c r="H7" s="98" t="s">
        <v>134</v>
      </c>
      <c r="I7" s="92">
        <f>'Ap. 2 Ingresos C. Benef.'!E19</f>
        <v>0</v>
      </c>
    </row>
    <row r="8" spans="2:12">
      <c r="B8" s="98" t="s">
        <v>135</v>
      </c>
      <c r="C8" s="69">
        <f>'INFO DESAY'!C8</f>
        <v>30</v>
      </c>
      <c r="H8" s="98" t="s">
        <v>135</v>
      </c>
      <c r="I8" s="92">
        <f>'Ap. 2 Ingresos C. Benef.'!F19</f>
        <v>0</v>
      </c>
      <c r="K8" s="60"/>
      <c r="L8" s="60"/>
    </row>
    <row r="9" spans="2:12">
      <c r="B9" s="91" t="s">
        <v>166</v>
      </c>
      <c r="C9" s="91">
        <f>SUM(C5:C8)</f>
        <v>1223</v>
      </c>
      <c r="H9" s="91" t="s">
        <v>167</v>
      </c>
      <c r="I9" s="91" t="e">
        <f>SUM(I5:I8)</f>
        <v>#REF!</v>
      </c>
      <c r="K9" s="56"/>
      <c r="L9" s="56"/>
    </row>
    <row r="11" spans="2:12" ht="13.8" thickBot="1"/>
    <row r="12" spans="2:12" ht="18" customHeight="1" thickBot="1">
      <c r="B12" s="469" t="s">
        <v>169</v>
      </c>
      <c r="C12" s="470"/>
      <c r="D12" s="470"/>
      <c r="E12" s="470"/>
      <c r="F12" s="471"/>
      <c r="I12" s="105"/>
    </row>
    <row r="13" spans="2:12" ht="18" thickBot="1">
      <c r="B13" s="107">
        <f>E5</f>
        <v>150369</v>
      </c>
      <c r="C13" s="108"/>
      <c r="D13" s="109">
        <f>C9</f>
        <v>1223</v>
      </c>
      <c r="E13" s="108"/>
      <c r="F13" s="110">
        <f>B13/D13</f>
        <v>122.95094031071136</v>
      </c>
      <c r="G13" s="58"/>
    </row>
    <row r="15" spans="2:12" ht="14.4" thickBot="1">
      <c r="D15" s="59"/>
      <c r="E15" s="59"/>
      <c r="F15" s="59"/>
      <c r="G15" s="59"/>
      <c r="H15" s="59"/>
    </row>
    <row r="16" spans="2:12" ht="14.4" thickBot="1">
      <c r="B16" s="460" t="s">
        <v>170</v>
      </c>
      <c r="C16" s="461"/>
      <c r="D16" s="461"/>
      <c r="E16" s="461"/>
      <c r="F16" s="462"/>
    </row>
    <row r="17" spans="2:6" ht="18" thickBot="1">
      <c r="B17" s="111" t="e">
        <f>I9</f>
        <v>#REF!</v>
      </c>
      <c r="C17" s="112"/>
      <c r="D17" s="113">
        <f>F13</f>
        <v>122.95094031071136</v>
      </c>
      <c r="E17" s="113"/>
      <c r="F17" s="106" t="e">
        <f>B17*D17</f>
        <v>#REF!</v>
      </c>
    </row>
  </sheetData>
  <mergeCells count="7">
    <mergeCell ref="B2:I2"/>
    <mergeCell ref="B16:F16"/>
    <mergeCell ref="B4:C4"/>
    <mergeCell ref="E4:F4"/>
    <mergeCell ref="H4:I4"/>
    <mergeCell ref="E5:F5"/>
    <mergeCell ref="B12:F1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5" sqref="J15"/>
    </sheetView>
  </sheetViews>
  <sheetFormatPr baseColWidth="10" defaultColWidth="11.44140625" defaultRowHeight="13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4140625" defaultRowHeight="13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4140625" defaultRowHeight="13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S28"/>
  <sheetViews>
    <sheetView workbookViewId="0">
      <selection activeCell="J4" sqref="J4"/>
    </sheetView>
  </sheetViews>
  <sheetFormatPr baseColWidth="10" defaultColWidth="11.44140625" defaultRowHeight="13.2"/>
  <cols>
    <col min="3" max="3" width="18.109375" customWidth="1"/>
    <col min="4" max="4" width="13.88671875" customWidth="1"/>
    <col min="9" max="9" width="17.5546875" bestFit="1" customWidth="1"/>
    <col min="10" max="10" width="15.33203125" customWidth="1"/>
  </cols>
  <sheetData>
    <row r="2" spans="2:19" ht="13.8" thickBot="1"/>
    <row r="3" spans="2:19">
      <c r="B3" s="474" t="s">
        <v>290</v>
      </c>
      <c r="C3" s="309" t="s">
        <v>286</v>
      </c>
      <c r="D3" s="310">
        <v>2014</v>
      </c>
      <c r="E3" s="310">
        <v>2015</v>
      </c>
      <c r="F3" s="310" t="s">
        <v>287</v>
      </c>
      <c r="G3" s="310">
        <v>2016</v>
      </c>
      <c r="I3" s="318" t="s">
        <v>279</v>
      </c>
      <c r="J3" s="319">
        <v>1.032</v>
      </c>
      <c r="K3" s="317"/>
      <c r="L3" s="317"/>
      <c r="M3" s="317"/>
      <c r="N3" s="317"/>
      <c r="O3" s="317"/>
      <c r="P3" s="317"/>
      <c r="Q3" s="317"/>
      <c r="R3" s="317"/>
      <c r="S3" s="317"/>
    </row>
    <row r="4" spans="2:19" ht="13.8">
      <c r="B4" s="475"/>
      <c r="C4" s="311" t="s">
        <v>288</v>
      </c>
      <c r="D4" s="312">
        <v>1259803</v>
      </c>
      <c r="E4" s="312">
        <f>+E15</f>
        <v>1846950</v>
      </c>
      <c r="F4" s="312">
        <f>AVERAGE(D4:E4)</f>
        <v>1553376.5</v>
      </c>
      <c r="G4" s="312">
        <f>+F4*J$3</f>
        <v>1603084.548</v>
      </c>
      <c r="K4" s="317"/>
      <c r="L4" s="317"/>
      <c r="M4" s="317"/>
      <c r="N4" s="317"/>
      <c r="O4" s="317"/>
      <c r="P4" s="317"/>
      <c r="Q4" s="317"/>
      <c r="R4" s="317"/>
      <c r="S4" s="317"/>
    </row>
    <row r="5" spans="2:19" ht="13.8">
      <c r="B5" s="475"/>
      <c r="C5" s="311" t="s">
        <v>5</v>
      </c>
      <c r="D5" s="312">
        <v>379110</v>
      </c>
      <c r="E5" s="312">
        <f>+E16</f>
        <v>548531</v>
      </c>
      <c r="F5" s="312">
        <f t="shared" ref="F5:F10" si="0">AVERAGE(D5:E5)</f>
        <v>463820.5</v>
      </c>
      <c r="G5" s="312">
        <f t="shared" ref="G5:G10" si="1">+F5*J$3</f>
        <v>478662.75599999999</v>
      </c>
      <c r="K5" s="317"/>
      <c r="L5" s="317"/>
      <c r="M5" s="317"/>
      <c r="N5" s="317"/>
      <c r="O5" s="317"/>
      <c r="P5" s="317"/>
      <c r="Q5" s="317"/>
      <c r="R5" s="317"/>
      <c r="S5" s="317"/>
    </row>
    <row r="6" spans="2:19" ht="13.8">
      <c r="B6" s="475"/>
      <c r="C6" s="311" t="s">
        <v>7</v>
      </c>
      <c r="D6" s="312">
        <v>1490818</v>
      </c>
      <c r="E6" s="312">
        <f>+E17</f>
        <v>1554506</v>
      </c>
      <c r="F6" s="312">
        <f t="shared" si="0"/>
        <v>1522662</v>
      </c>
      <c r="G6" s="312">
        <f t="shared" si="1"/>
        <v>1571387.1840000001</v>
      </c>
      <c r="K6" s="317"/>
      <c r="L6" s="317"/>
      <c r="M6" s="317"/>
      <c r="N6" s="317"/>
      <c r="O6" s="317"/>
      <c r="P6" s="317"/>
      <c r="Q6" s="317"/>
      <c r="R6" s="317"/>
      <c r="S6" s="317"/>
    </row>
    <row r="7" spans="2:19" ht="13.8">
      <c r="B7" s="475"/>
      <c r="C7" s="311" t="s">
        <v>47</v>
      </c>
      <c r="D7" s="312"/>
      <c r="E7" s="312"/>
      <c r="F7" s="312"/>
      <c r="G7" s="312">
        <f t="shared" si="1"/>
        <v>0</v>
      </c>
      <c r="K7" s="317"/>
    </row>
    <row r="8" spans="2:19" ht="13.8">
      <c r="B8" s="475"/>
      <c r="C8" s="311" t="s">
        <v>48</v>
      </c>
      <c r="D8" s="312">
        <v>93282</v>
      </c>
      <c r="E8" s="312"/>
      <c r="F8" s="312">
        <f t="shared" si="0"/>
        <v>93282</v>
      </c>
      <c r="G8" s="312">
        <f t="shared" si="1"/>
        <v>96267.024000000005</v>
      </c>
      <c r="K8" s="317"/>
    </row>
    <row r="9" spans="2:19" ht="13.8">
      <c r="B9" s="475"/>
      <c r="C9" s="311" t="s">
        <v>49</v>
      </c>
      <c r="D9" s="312">
        <v>10901</v>
      </c>
      <c r="E9" s="312"/>
      <c r="F9" s="312">
        <f t="shared" si="0"/>
        <v>10901</v>
      </c>
      <c r="G9" s="312">
        <f t="shared" si="1"/>
        <v>11249.832</v>
      </c>
    </row>
    <row r="10" spans="2:19" ht="13.8">
      <c r="B10" s="475"/>
      <c r="C10" s="311" t="s">
        <v>50</v>
      </c>
      <c r="D10" s="312">
        <v>484568</v>
      </c>
      <c r="E10" s="312">
        <f>+E21</f>
        <v>719050</v>
      </c>
      <c r="F10" s="312">
        <f t="shared" si="0"/>
        <v>601809</v>
      </c>
      <c r="G10" s="312">
        <f t="shared" si="1"/>
        <v>621066.88800000004</v>
      </c>
    </row>
    <row r="11" spans="2:19">
      <c r="B11" s="475"/>
      <c r="C11" s="313"/>
      <c r="D11" s="314"/>
      <c r="E11" s="314"/>
      <c r="F11" s="314"/>
      <c r="G11" s="314"/>
    </row>
    <row r="12" spans="2:19">
      <c r="B12" s="475"/>
    </row>
    <row r="13" spans="2:19">
      <c r="B13" s="475"/>
    </row>
    <row r="14" spans="2:19" ht="26.4">
      <c r="B14" s="475"/>
      <c r="C14" s="309" t="s">
        <v>286</v>
      </c>
      <c r="D14" s="310" t="s">
        <v>293</v>
      </c>
      <c r="E14" s="310" t="s">
        <v>294</v>
      </c>
    </row>
    <row r="15" spans="2:19" ht="13.8">
      <c r="B15" s="475"/>
      <c r="C15" s="311" t="s">
        <v>288</v>
      </c>
      <c r="D15" s="344">
        <v>1306950</v>
      </c>
      <c r="E15" s="344">
        <v>1846950</v>
      </c>
    </row>
    <row r="16" spans="2:19" ht="13.8">
      <c r="B16" s="475"/>
      <c r="C16" s="311" t="s">
        <v>5</v>
      </c>
      <c r="D16" s="344">
        <v>398531</v>
      </c>
      <c r="E16" s="344">
        <v>548531</v>
      </c>
    </row>
    <row r="17" spans="2:6" ht="13.8">
      <c r="B17" s="475"/>
      <c r="C17" s="311" t="s">
        <v>7</v>
      </c>
      <c r="D17" s="344">
        <v>1382506</v>
      </c>
      <c r="E17" s="344">
        <v>1554506</v>
      </c>
    </row>
    <row r="18" spans="2:6" ht="13.8">
      <c r="B18" s="475"/>
      <c r="C18" s="311" t="s">
        <v>47</v>
      </c>
      <c r="D18" s="312"/>
      <c r="E18" s="344">
        <f t="shared" ref="E18:E20" si="2">+(D18/9)*12</f>
        <v>0</v>
      </c>
    </row>
    <row r="19" spans="2:6" ht="13.8">
      <c r="B19" s="475"/>
      <c r="C19" s="311" t="s">
        <v>48</v>
      </c>
      <c r="D19" s="312"/>
      <c r="E19" s="344">
        <f t="shared" si="2"/>
        <v>0</v>
      </c>
    </row>
    <row r="20" spans="2:6" ht="13.8">
      <c r="B20" s="475"/>
      <c r="C20" s="311" t="s">
        <v>49</v>
      </c>
      <c r="D20" s="312"/>
      <c r="E20" s="344">
        <f t="shared" si="2"/>
        <v>0</v>
      </c>
    </row>
    <row r="21" spans="2:6" ht="13.8">
      <c r="B21" s="475"/>
      <c r="C21" s="311" t="s">
        <v>50</v>
      </c>
      <c r="D21" s="344">
        <v>569050</v>
      </c>
      <c r="E21" s="344">
        <v>719050</v>
      </c>
    </row>
    <row r="22" spans="2:6">
      <c r="B22" s="475"/>
      <c r="C22" s="313"/>
      <c r="D22" s="315">
        <f>SUM(D15:D21)</f>
        <v>3657037</v>
      </c>
      <c r="E22" s="315">
        <f>SUM(E15:E21)</f>
        <v>4669037</v>
      </c>
    </row>
    <row r="23" spans="2:6">
      <c r="B23" s="475"/>
    </row>
    <row r="24" spans="2:6" ht="14.4" thickBot="1">
      <c r="B24" s="476"/>
      <c r="C24" s="316" t="s">
        <v>289</v>
      </c>
    </row>
    <row r="27" spans="2:6">
      <c r="C27" s="345" t="s">
        <v>295</v>
      </c>
      <c r="D27" s="345"/>
      <c r="E27" s="345"/>
      <c r="F27" s="345"/>
    </row>
    <row r="28" spans="2:6">
      <c r="C28" s="345"/>
      <c r="D28" s="345"/>
      <c r="E28" s="345"/>
      <c r="F28" s="345"/>
    </row>
  </sheetData>
  <mergeCells count="1">
    <mergeCell ref="B3:B2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3" sqref="I33"/>
    </sheetView>
  </sheetViews>
  <sheetFormatPr baseColWidth="10"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5">
    <tabColor rgb="FFFF0000"/>
  </sheetPr>
  <dimension ref="A1:AC97"/>
  <sheetViews>
    <sheetView showGridLines="0" topLeftCell="C1" zoomScale="80" zoomScaleNormal="80" workbookViewId="0">
      <selection activeCell="S22" sqref="S22"/>
    </sheetView>
  </sheetViews>
  <sheetFormatPr baseColWidth="10" defaultColWidth="11.44140625" defaultRowHeight="13.8"/>
  <cols>
    <col min="1" max="1" width="19.44140625" style="1" customWidth="1"/>
    <col min="2" max="2" width="85.109375" style="1" customWidth="1"/>
    <col min="3" max="3" width="16.5546875" style="1" bestFit="1" customWidth="1"/>
    <col min="4" max="4" width="13.5546875" style="1" customWidth="1"/>
    <col min="5" max="5" width="13.5546875" style="3" customWidth="1"/>
    <col min="6" max="6" width="17.5546875" style="4" customWidth="1"/>
    <col min="7" max="7" width="12.33203125" style="1" hidden="1" customWidth="1"/>
    <col min="8" max="8" width="10.109375" style="3" hidden="1" customWidth="1"/>
    <col min="9" max="9" width="17.33203125" style="4" customWidth="1"/>
    <col min="10" max="10" width="21.33203125" style="5" customWidth="1"/>
    <col min="11" max="11" width="61.5546875" style="1" customWidth="1"/>
    <col min="12" max="15" width="0" style="1" hidden="1" customWidth="1"/>
    <col min="16" max="16" width="20.109375" style="1" customWidth="1"/>
    <col min="17" max="17" width="12.33203125" style="1" bestFit="1" customWidth="1"/>
    <col min="18" max="18" width="14.109375" style="1" customWidth="1"/>
    <col min="19" max="19" width="11.44140625" style="1"/>
    <col min="20" max="20" width="22.88671875" style="1" bestFit="1" customWidth="1"/>
    <col min="21" max="21" width="14.109375" style="1" bestFit="1" customWidth="1"/>
    <col min="22" max="22" width="12.88671875" style="1" customWidth="1"/>
    <col min="23" max="23" width="3.5546875" style="1" customWidth="1"/>
    <col min="24" max="24" width="23.109375" style="1" bestFit="1" customWidth="1"/>
    <col min="25" max="16384" width="11.44140625" style="1"/>
  </cols>
  <sheetData>
    <row r="1" spans="1:26">
      <c r="B1" s="4"/>
      <c r="C1" s="4"/>
      <c r="D1" s="4"/>
      <c r="E1" s="4"/>
      <c r="G1" s="4"/>
      <c r="H1" s="4"/>
      <c r="J1" s="4"/>
    </row>
    <row r="2" spans="1:26" ht="23.4">
      <c r="B2" s="38" t="s">
        <v>201</v>
      </c>
      <c r="C2" s="222"/>
      <c r="D2" s="37"/>
      <c r="E2" s="37"/>
      <c r="F2" s="37"/>
      <c r="G2" s="37"/>
      <c r="H2" s="37"/>
      <c r="I2" s="37"/>
      <c r="J2" s="37"/>
    </row>
    <row r="3" spans="1:26" ht="6.75" customHeight="1">
      <c r="B3" s="4"/>
    </row>
    <row r="4" spans="1:26" ht="22.5" customHeight="1">
      <c r="U4" s="212"/>
      <c r="V4" s="212"/>
    </row>
    <row r="5" spans="1:26" ht="31.95" customHeight="1">
      <c r="C5" s="223" t="s">
        <v>0</v>
      </c>
      <c r="D5" s="415" t="s">
        <v>9</v>
      </c>
      <c r="E5" s="416"/>
      <c r="F5" s="417"/>
      <c r="G5" s="30" t="s">
        <v>9</v>
      </c>
      <c r="H5" s="46"/>
      <c r="I5" s="30" t="s">
        <v>3</v>
      </c>
      <c r="J5" s="418" t="s">
        <v>11</v>
      </c>
      <c r="K5" s="307" t="s">
        <v>279</v>
      </c>
      <c r="L5" s="308"/>
      <c r="M5" s="308"/>
      <c r="N5" s="308"/>
      <c r="O5" s="308"/>
      <c r="P5" s="372">
        <v>1.032</v>
      </c>
    </row>
    <row r="6" spans="1:26" ht="46.95" customHeight="1">
      <c r="A6" s="104" t="s">
        <v>202</v>
      </c>
      <c r="B6" s="123" t="s">
        <v>136</v>
      </c>
      <c r="C6" s="51" t="s">
        <v>4</v>
      </c>
      <c r="D6" s="47" t="s">
        <v>12</v>
      </c>
      <c r="E6" s="47" t="s">
        <v>2</v>
      </c>
      <c r="F6" s="135" t="s">
        <v>3</v>
      </c>
      <c r="G6" s="47" t="s">
        <v>12</v>
      </c>
      <c r="H6" s="47" t="s">
        <v>2</v>
      </c>
      <c r="I6" s="48" t="s">
        <v>3</v>
      </c>
      <c r="J6" s="419"/>
    </row>
    <row r="7" spans="1:26">
      <c r="A7" s="405"/>
      <c r="B7" s="124" t="s">
        <v>72</v>
      </c>
      <c r="C7" s="224">
        <f>SUM(C9:C13,C15,C17:C18)</f>
        <v>48735004.964000002</v>
      </c>
      <c r="D7" s="86"/>
      <c r="E7" s="86"/>
      <c r="F7" s="85">
        <f>SUM(F9:F13,F15,F17:F18)</f>
        <v>0</v>
      </c>
      <c r="G7" s="86"/>
      <c r="H7" s="86"/>
      <c r="I7" s="85">
        <f>SUM(I9:I13,I15,I17:I18)</f>
        <v>0</v>
      </c>
      <c r="J7" s="85">
        <f>+C7+F7</f>
        <v>48735004.964000002</v>
      </c>
      <c r="L7" s="10" t="s">
        <v>31</v>
      </c>
      <c r="M7" s="10"/>
      <c r="P7" s="409" t="s">
        <v>318</v>
      </c>
      <c r="Q7" s="410"/>
      <c r="R7" s="411"/>
    </row>
    <row r="8" spans="1:26">
      <c r="A8" s="405"/>
      <c r="B8" s="125" t="s">
        <v>71</v>
      </c>
      <c r="C8" s="420"/>
      <c r="D8" s="420"/>
      <c r="E8" s="420"/>
      <c r="F8" s="420"/>
      <c r="G8" s="420"/>
      <c r="H8" s="420"/>
      <c r="I8" s="420"/>
      <c r="J8" s="421"/>
      <c r="L8" s="6" t="s">
        <v>26</v>
      </c>
      <c r="M8" s="8" t="e">
        <f>SUM(#REF!)+SUM(#REF!)+SUM(#REF!)+SUM(#REF!)+SUM(#REF!)</f>
        <v>#REF!</v>
      </c>
      <c r="N8" s="9"/>
      <c r="P8" s="349" t="s">
        <v>260</v>
      </c>
      <c r="Q8" s="350">
        <v>2</v>
      </c>
      <c r="R8" s="351">
        <f>931350*Q8</f>
        <v>1862700</v>
      </c>
      <c r="T8" s="219" t="s">
        <v>261</v>
      </c>
      <c r="U8" s="351">
        <f>'[1]JI MAR Y CIELO'!$E$12</f>
        <v>1508000</v>
      </c>
    </row>
    <row r="9" spans="1:26">
      <c r="A9" s="405"/>
      <c r="B9" s="129" t="s">
        <v>145</v>
      </c>
      <c r="C9" s="346">
        <f>R15</f>
        <v>45214856.399999999</v>
      </c>
      <c r="D9" s="15">
        <v>0</v>
      </c>
      <c r="E9" s="155">
        <v>0</v>
      </c>
      <c r="F9" s="42">
        <f>D9*E9</f>
        <v>0</v>
      </c>
      <c r="G9" s="15">
        <v>0</v>
      </c>
      <c r="H9" s="16">
        <v>1</v>
      </c>
      <c r="I9" s="17">
        <f t="shared" ref="I9:I17" si="0">G9*H9</f>
        <v>0</v>
      </c>
      <c r="J9" s="50">
        <f>+C9+F9</f>
        <v>45214856.399999999</v>
      </c>
      <c r="L9" s="6" t="s">
        <v>27</v>
      </c>
      <c r="M9" s="8" t="e">
        <f>SUM(#REF!)+SUM(#REF!)+SUM(#REF!)+SUM(#REF!)+SUM(#REF!)</f>
        <v>#REF!</v>
      </c>
      <c r="N9" s="8" t="e">
        <f>M9/M8</f>
        <v>#REF!</v>
      </c>
      <c r="P9" s="349" t="s">
        <v>262</v>
      </c>
      <c r="Q9" s="350">
        <v>4</v>
      </c>
      <c r="R9" s="351">
        <f>453600*Q9</f>
        <v>1814400</v>
      </c>
    </row>
    <row r="10" spans="1:26">
      <c r="A10" s="405"/>
      <c r="B10" s="129" t="s">
        <v>252</v>
      </c>
      <c r="C10" s="347">
        <f>U8</f>
        <v>1508000</v>
      </c>
      <c r="D10" s="15">
        <v>0</v>
      </c>
      <c r="E10" s="155">
        <v>0</v>
      </c>
      <c r="F10" s="42">
        <f>D10*E10</f>
        <v>0</v>
      </c>
      <c r="G10" s="15">
        <v>0</v>
      </c>
      <c r="H10" s="16">
        <v>1</v>
      </c>
      <c r="I10" s="17">
        <f t="shared" si="0"/>
        <v>0</v>
      </c>
      <c r="J10" s="50">
        <f>+C10+F10</f>
        <v>1508000</v>
      </c>
      <c r="L10" s="6" t="s">
        <v>28</v>
      </c>
      <c r="M10" s="8" t="e">
        <f>M8-M9</f>
        <v>#REF!</v>
      </c>
      <c r="N10" s="8" t="e">
        <f>M10/M8</f>
        <v>#REF!</v>
      </c>
      <c r="P10" s="349" t="s">
        <v>263</v>
      </c>
      <c r="Q10" s="350">
        <v>0</v>
      </c>
      <c r="R10" s="351">
        <v>0</v>
      </c>
      <c r="S10" s="206"/>
      <c r="T10" s="414" t="s">
        <v>264</v>
      </c>
      <c r="U10" s="414"/>
      <c r="Z10" s="209"/>
    </row>
    <row r="11" spans="1:26" ht="14.4" thickBot="1">
      <c r="A11" s="405"/>
      <c r="B11" s="129" t="s">
        <v>74</v>
      </c>
      <c r="C11" s="210">
        <v>0</v>
      </c>
      <c r="D11" s="15">
        <v>0</v>
      </c>
      <c r="E11" s="155">
        <v>0</v>
      </c>
      <c r="F11" s="42">
        <f>D11*E11</f>
        <v>0</v>
      </c>
      <c r="G11" s="15">
        <v>0</v>
      </c>
      <c r="H11" s="16">
        <v>1</v>
      </c>
      <c r="I11" s="17">
        <f t="shared" si="0"/>
        <v>0</v>
      </c>
      <c r="J11" s="50">
        <v>0</v>
      </c>
      <c r="P11" s="349" t="s">
        <v>265</v>
      </c>
      <c r="Q11" s="350">
        <v>1</v>
      </c>
      <c r="R11" s="352">
        <v>350000</v>
      </c>
      <c r="T11" s="211" t="s">
        <v>243</v>
      </c>
      <c r="U11" s="351">
        <f>'[1]JI MAR Y CIELO'!$G$12</f>
        <v>747000</v>
      </c>
    </row>
    <row r="12" spans="1:26" ht="14.4" thickTop="1">
      <c r="A12" s="405"/>
      <c r="B12" s="129" t="s">
        <v>253</v>
      </c>
      <c r="C12" s="346">
        <f>U13</f>
        <v>1375000</v>
      </c>
      <c r="D12" s="15">
        <v>0</v>
      </c>
      <c r="E12" s="155">
        <v>0</v>
      </c>
      <c r="F12" s="42">
        <f>D12*E12</f>
        <v>0</v>
      </c>
      <c r="G12" s="15">
        <v>0</v>
      </c>
      <c r="H12" s="16">
        <v>1</v>
      </c>
      <c r="I12" s="17">
        <f t="shared" si="0"/>
        <v>0</v>
      </c>
      <c r="J12" s="50">
        <f>+C12+F12</f>
        <v>1375000</v>
      </c>
      <c r="L12" s="11" t="s">
        <v>29</v>
      </c>
      <c r="M12" s="12"/>
      <c r="N12" s="13"/>
      <c r="P12" s="353" t="s">
        <v>266</v>
      </c>
      <c r="Q12" s="354"/>
      <c r="R12" s="355">
        <f>SUM(R8:R11)</f>
        <v>4027100</v>
      </c>
      <c r="T12" s="211" t="s">
        <v>244</v>
      </c>
      <c r="U12" s="351">
        <f>'[1]JI MAR Y CIELO'!$C$12</f>
        <v>628000</v>
      </c>
    </row>
    <row r="13" spans="1:26">
      <c r="A13" s="405"/>
      <c r="B13" s="129" t="s">
        <v>76</v>
      </c>
      <c r="C13" s="210">
        <v>0</v>
      </c>
      <c r="D13" s="15">
        <v>0</v>
      </c>
      <c r="E13" s="155">
        <v>0</v>
      </c>
      <c r="F13" s="42">
        <f>D13*E13</f>
        <v>0</v>
      </c>
      <c r="G13" s="15">
        <v>0</v>
      </c>
      <c r="H13" s="16">
        <v>1</v>
      </c>
      <c r="I13" s="17">
        <f t="shared" si="0"/>
        <v>0</v>
      </c>
      <c r="J13" s="50">
        <f>+C13+F13</f>
        <v>0</v>
      </c>
      <c r="L13" s="6" t="s">
        <v>30</v>
      </c>
      <c r="M13" s="7" t="e">
        <f>#REF!/#REF!</f>
        <v>#REF!</v>
      </c>
      <c r="N13" s="7" t="e">
        <f>#REF!/#REF!</f>
        <v>#REF!</v>
      </c>
      <c r="P13" s="353" t="s">
        <v>267</v>
      </c>
      <c r="Q13" s="354"/>
      <c r="R13" s="356">
        <f>R12*12</f>
        <v>48325200</v>
      </c>
      <c r="T13" s="220" t="s">
        <v>242</v>
      </c>
      <c r="U13" s="361">
        <f>SUM(U11:U12)</f>
        <v>1375000</v>
      </c>
    </row>
    <row r="14" spans="1:26">
      <c r="A14" s="405"/>
      <c r="B14" s="126" t="s">
        <v>63</v>
      </c>
      <c r="C14" s="412"/>
      <c r="D14" s="412"/>
      <c r="E14" s="412"/>
      <c r="F14" s="412"/>
      <c r="G14" s="412"/>
      <c r="H14" s="412"/>
      <c r="I14" s="412"/>
      <c r="J14" s="413"/>
      <c r="L14" s="6"/>
      <c r="M14" s="14"/>
      <c r="N14" s="14"/>
      <c r="P14" s="353" t="s">
        <v>238</v>
      </c>
      <c r="Q14" s="354"/>
      <c r="R14" s="357">
        <f>R13*P5</f>
        <v>49871606.399999999</v>
      </c>
      <c r="U14" s="203"/>
    </row>
    <row r="15" spans="1:26">
      <c r="A15" s="405"/>
      <c r="B15" s="127" t="s">
        <v>77</v>
      </c>
      <c r="C15" s="225">
        <f>+R15*0.01</f>
        <v>452148.56400000001</v>
      </c>
      <c r="D15" s="15">
        <v>0</v>
      </c>
      <c r="E15" s="61">
        <v>0</v>
      </c>
      <c r="F15" s="42">
        <f>D15*E15</f>
        <v>0</v>
      </c>
      <c r="G15" s="22">
        <v>0</v>
      </c>
      <c r="H15" s="16">
        <v>1</v>
      </c>
      <c r="I15" s="17">
        <f>G15*H15</f>
        <v>0</v>
      </c>
      <c r="J15" s="50">
        <f>+C15+F15</f>
        <v>452148.56400000001</v>
      </c>
      <c r="K15" s="1" t="s">
        <v>296</v>
      </c>
      <c r="L15" s="6"/>
      <c r="M15" s="14"/>
      <c r="N15" s="14"/>
      <c r="P15" s="358" t="s">
        <v>306</v>
      </c>
      <c r="Q15" s="359"/>
      <c r="R15" s="360">
        <f>R14-(931350*5)</f>
        <v>45214856.399999999</v>
      </c>
      <c r="S15" s="205"/>
      <c r="T15" s="205"/>
      <c r="U15" s="205"/>
    </row>
    <row r="16" spans="1:26">
      <c r="A16" s="405"/>
      <c r="B16" s="126" t="s">
        <v>33</v>
      </c>
      <c r="C16" s="407"/>
      <c r="D16" s="407"/>
      <c r="E16" s="407"/>
      <c r="F16" s="407"/>
      <c r="G16" s="407"/>
      <c r="H16" s="407"/>
      <c r="I16" s="407"/>
      <c r="J16" s="408"/>
      <c r="K16" s="221"/>
      <c r="L16" s="229"/>
      <c r="M16" s="221"/>
      <c r="N16" s="221"/>
      <c r="O16" s="221"/>
      <c r="R16" s="205" t="s">
        <v>324</v>
      </c>
      <c r="S16" s="205"/>
      <c r="T16" s="205"/>
      <c r="U16" s="205"/>
    </row>
    <row r="17" spans="1:29">
      <c r="A17" s="405"/>
      <c r="B17" s="128" t="s">
        <v>78</v>
      </c>
      <c r="C17" s="347">
        <v>185000</v>
      </c>
      <c r="D17" s="15">
        <v>0</v>
      </c>
      <c r="E17" s="155">
        <v>0</v>
      </c>
      <c r="F17" s="42">
        <f t="shared" ref="F17:F75" si="1">D17*E17</f>
        <v>0</v>
      </c>
      <c r="G17" s="15">
        <v>0</v>
      </c>
      <c r="H17" s="16">
        <v>1</v>
      </c>
      <c r="I17" s="17">
        <f t="shared" si="0"/>
        <v>0</v>
      </c>
      <c r="J17" s="50">
        <f>+C17+F17</f>
        <v>185000</v>
      </c>
      <c r="K17" s="373" t="s">
        <v>307</v>
      </c>
      <c r="L17" s="230"/>
      <c r="M17" s="221"/>
      <c r="N17" s="221"/>
      <c r="O17" s="221"/>
      <c r="X17" s="233"/>
    </row>
    <row r="18" spans="1:29">
      <c r="A18" s="405"/>
      <c r="B18" s="129" t="s">
        <v>79</v>
      </c>
      <c r="C18" s="210">
        <v>0</v>
      </c>
      <c r="D18" s="15">
        <v>0</v>
      </c>
      <c r="E18" s="155">
        <v>0</v>
      </c>
      <c r="F18" s="42">
        <f t="shared" si="1"/>
        <v>0</v>
      </c>
      <c r="G18" s="15">
        <v>0</v>
      </c>
      <c r="H18" s="16">
        <v>1</v>
      </c>
      <c r="I18" s="24">
        <f>G18*H18</f>
        <v>0</v>
      </c>
      <c r="J18" s="50">
        <f>+C18+F18</f>
        <v>0</v>
      </c>
      <c r="K18" s="373" t="s">
        <v>311</v>
      </c>
      <c r="L18" s="231"/>
      <c r="M18" s="221"/>
      <c r="N18" s="221"/>
      <c r="O18" s="221"/>
    </row>
    <row r="19" spans="1:29">
      <c r="A19" s="405"/>
      <c r="B19" s="130" t="s">
        <v>34</v>
      </c>
      <c r="C19" s="226">
        <f>SUM(C21,C24:C26,C28:C29,C31,C32:C41,C43:C51,C53:C59,C61:C63,C65:C70,C72:C75,C77:C79,C81:C84,C86:C87)</f>
        <v>9877073</v>
      </c>
      <c r="D19" s="40"/>
      <c r="E19" s="40"/>
      <c r="F19" s="226">
        <f>SUM(F21,F24:F26,F28:F29,F31,F32:F41,F43:F51,F53:F59,F61:F63,F65:F70,F72:F75,F79,F81:F84,F86:F87)</f>
        <v>6508623.2000000002</v>
      </c>
      <c r="G19" s="40"/>
      <c r="H19" s="40"/>
      <c r="I19" s="39" t="e">
        <f>SUM(I21,I24:I26,I28:I29,I32:I41,I43:I51,I53:I59,I61:I63,I66:I70,I72:I75,I79,I81:I84,I86:I87,#REF!)</f>
        <v>#REF!</v>
      </c>
      <c r="J19" s="39">
        <f>+C19+F19</f>
        <v>16385696.199999999</v>
      </c>
      <c r="K19" s="232"/>
      <c r="L19" s="217"/>
      <c r="M19" s="221"/>
      <c r="N19" s="221"/>
      <c r="O19" s="217"/>
      <c r="T19" s="137" t="s">
        <v>245</v>
      </c>
      <c r="U19" s="139"/>
      <c r="V19" s="139"/>
      <c r="W19" s="2"/>
    </row>
    <row r="20" spans="1:29">
      <c r="A20" s="405"/>
      <c r="B20" s="131" t="s">
        <v>35</v>
      </c>
      <c r="C20" s="407"/>
      <c r="D20" s="407"/>
      <c r="E20" s="407"/>
      <c r="F20" s="407"/>
      <c r="G20" s="407"/>
      <c r="H20" s="407"/>
      <c r="I20" s="407"/>
      <c r="J20" s="408"/>
      <c r="T20" s="207" t="s">
        <v>257</v>
      </c>
      <c r="U20" s="207" t="s">
        <v>246</v>
      </c>
    </row>
    <row r="21" spans="1:29">
      <c r="A21" s="405"/>
      <c r="B21" s="132" t="s">
        <v>70</v>
      </c>
      <c r="C21" s="62"/>
      <c r="D21" s="348">
        <f>1730*1.032</f>
        <v>1785.3600000000001</v>
      </c>
      <c r="E21" s="155">
        <f>8.5*20*11</f>
        <v>1870</v>
      </c>
      <c r="F21" s="42">
        <f>D21*E21</f>
        <v>3338623.2</v>
      </c>
      <c r="G21" s="15">
        <v>0</v>
      </c>
      <c r="H21" s="16">
        <v>1</v>
      </c>
      <c r="I21" s="17">
        <f t="shared" ref="I21:I75" si="2">G21*H21</f>
        <v>0</v>
      </c>
      <c r="J21" s="49">
        <f>+C21+F21</f>
        <v>3338623.2</v>
      </c>
      <c r="K21" s="343" t="s">
        <v>297</v>
      </c>
      <c r="P21" s="205" t="s">
        <v>321</v>
      </c>
      <c r="T21" s="180" t="s">
        <v>247</v>
      </c>
      <c r="U21" s="362">
        <v>274000</v>
      </c>
    </row>
    <row r="22" spans="1:29">
      <c r="A22" s="405"/>
      <c r="B22" s="132" t="s">
        <v>175</v>
      </c>
      <c r="C22" s="62"/>
      <c r="D22" s="15">
        <v>0</v>
      </c>
      <c r="E22" s="61">
        <v>0</v>
      </c>
      <c r="F22" s="42">
        <f>D22*E22</f>
        <v>0</v>
      </c>
      <c r="G22" s="22"/>
      <c r="H22" s="23"/>
      <c r="I22" s="35"/>
      <c r="J22" s="49">
        <f>+F22+C22</f>
        <v>0</v>
      </c>
      <c r="T22" s="180" t="s">
        <v>248</v>
      </c>
      <c r="U22" s="362">
        <v>138000</v>
      </c>
    </row>
    <row r="23" spans="1:29">
      <c r="A23" s="405"/>
      <c r="B23" s="131" t="s">
        <v>37</v>
      </c>
      <c r="C23" s="407"/>
      <c r="D23" s="407"/>
      <c r="E23" s="407"/>
      <c r="F23" s="407"/>
      <c r="G23" s="407"/>
      <c r="H23" s="407"/>
      <c r="I23" s="407"/>
      <c r="J23" s="408"/>
      <c r="U23" s="139"/>
      <c r="V23" s="139"/>
    </row>
    <row r="24" spans="1:29" ht="10.5" customHeight="1">
      <c r="A24" s="405"/>
      <c r="B24" s="127" t="s">
        <v>206</v>
      </c>
      <c r="C24" s="62">
        <v>0</v>
      </c>
      <c r="D24" s="15">
        <v>0</v>
      </c>
      <c r="E24" s="155"/>
      <c r="F24" s="42">
        <f t="shared" si="1"/>
        <v>0</v>
      </c>
      <c r="G24" s="15">
        <v>0</v>
      </c>
      <c r="H24" s="16">
        <v>1</v>
      </c>
      <c r="I24" s="17">
        <f t="shared" si="2"/>
        <v>0</v>
      </c>
      <c r="J24" s="49">
        <f>+C24+F24</f>
        <v>0</v>
      </c>
      <c r="T24" s="207" t="s">
        <v>258</v>
      </c>
      <c r="U24" s="215" t="s">
        <v>249</v>
      </c>
      <c r="V24" s="139"/>
    </row>
    <row r="25" spans="1:29">
      <c r="A25" s="405"/>
      <c r="B25" s="127" t="s">
        <v>80</v>
      </c>
      <c r="C25" s="210"/>
      <c r="D25" s="348">
        <v>20000</v>
      </c>
      <c r="E25" s="155">
        <v>10</v>
      </c>
      <c r="F25" s="42">
        <f>+D25*E25</f>
        <v>200000</v>
      </c>
      <c r="G25" s="15">
        <v>0</v>
      </c>
      <c r="H25" s="16">
        <v>1</v>
      </c>
      <c r="I25" s="17">
        <f t="shared" si="2"/>
        <v>0</v>
      </c>
      <c r="J25" s="49">
        <f>+C25+F25</f>
        <v>200000</v>
      </c>
      <c r="K25" s="203" t="s">
        <v>319</v>
      </c>
      <c r="P25" s="204"/>
      <c r="T25" s="180" t="s">
        <v>250</v>
      </c>
      <c r="U25" s="363">
        <v>110000</v>
      </c>
    </row>
    <row r="26" spans="1:29">
      <c r="A26" s="405"/>
      <c r="B26" s="127" t="s">
        <v>81</v>
      </c>
      <c r="C26" s="210">
        <v>0</v>
      </c>
      <c r="D26" s="15">
        <v>0</v>
      </c>
      <c r="E26" s="155">
        <v>0</v>
      </c>
      <c r="F26" s="42">
        <f t="shared" si="1"/>
        <v>0</v>
      </c>
      <c r="G26" s="15">
        <v>0</v>
      </c>
      <c r="H26" s="16">
        <v>1</v>
      </c>
      <c r="I26" s="17">
        <f t="shared" si="2"/>
        <v>0</v>
      </c>
      <c r="J26" s="49">
        <f>+C26+F26</f>
        <v>0</v>
      </c>
      <c r="T26" s="180" t="s">
        <v>251</v>
      </c>
      <c r="U26" s="364">
        <v>78000</v>
      </c>
      <c r="X26" s="2"/>
    </row>
    <row r="27" spans="1:29">
      <c r="A27" s="405"/>
      <c r="B27" s="131" t="s">
        <v>38</v>
      </c>
      <c r="C27" s="407"/>
      <c r="D27" s="407"/>
      <c r="E27" s="407"/>
      <c r="F27" s="407"/>
      <c r="G27" s="407"/>
      <c r="H27" s="407"/>
      <c r="I27" s="407"/>
      <c r="J27" s="408"/>
      <c r="T27" s="213"/>
      <c r="U27" s="365"/>
      <c r="V27" s="2"/>
      <c r="W27" s="2"/>
    </row>
    <row r="28" spans="1:29">
      <c r="A28" s="405"/>
      <c r="B28" s="132" t="s">
        <v>82</v>
      </c>
      <c r="C28" s="210">
        <v>0</v>
      </c>
      <c r="D28" s="15">
        <v>0</v>
      </c>
      <c r="E28" s="155">
        <v>0</v>
      </c>
      <c r="F28" s="42">
        <f t="shared" si="1"/>
        <v>0</v>
      </c>
      <c r="G28" s="15">
        <v>0</v>
      </c>
      <c r="H28" s="16">
        <v>1</v>
      </c>
      <c r="I28" s="17">
        <f t="shared" si="2"/>
        <v>0</v>
      </c>
      <c r="J28" s="49">
        <f>+C28+F28</f>
        <v>0</v>
      </c>
      <c r="T28" s="208" t="s">
        <v>243</v>
      </c>
      <c r="U28" s="366">
        <v>117000</v>
      </c>
      <c r="V28" s="214"/>
      <c r="W28" s="2"/>
    </row>
    <row r="29" spans="1:29">
      <c r="A29" s="405"/>
      <c r="B29" s="127" t="s">
        <v>83</v>
      </c>
      <c r="C29" s="210">
        <v>0</v>
      </c>
      <c r="D29" s="15">
        <v>0</v>
      </c>
      <c r="E29" s="155">
        <v>0</v>
      </c>
      <c r="F29" s="42">
        <f t="shared" si="1"/>
        <v>0</v>
      </c>
      <c r="G29" s="15">
        <v>0</v>
      </c>
      <c r="H29" s="16">
        <v>1</v>
      </c>
      <c r="I29" s="17">
        <f t="shared" si="2"/>
        <v>0</v>
      </c>
      <c r="J29" s="49">
        <f>+C29+F29</f>
        <v>0</v>
      </c>
      <c r="U29" s="367"/>
      <c r="W29" s="2"/>
      <c r="X29" s="2"/>
    </row>
    <row r="30" spans="1:29">
      <c r="A30" s="405"/>
      <c r="B30" s="131" t="s">
        <v>40</v>
      </c>
      <c r="C30" s="407"/>
      <c r="D30" s="407"/>
      <c r="E30" s="407"/>
      <c r="F30" s="407"/>
      <c r="G30" s="407"/>
      <c r="H30" s="407"/>
      <c r="I30" s="407"/>
      <c r="J30" s="408"/>
      <c r="T30" s="2"/>
      <c r="U30" s="2"/>
      <c r="V30" s="2"/>
      <c r="W30" s="2"/>
      <c r="X30" s="2"/>
    </row>
    <row r="31" spans="1:29" ht="12.75" customHeight="1">
      <c r="A31" s="405"/>
      <c r="B31" s="132" t="s">
        <v>176</v>
      </c>
      <c r="C31" s="236">
        <v>0</v>
      </c>
      <c r="D31" s="18">
        <v>0</v>
      </c>
      <c r="E31" s="155">
        <v>0</v>
      </c>
      <c r="F31" s="42">
        <f>+E31*D31</f>
        <v>0</v>
      </c>
      <c r="G31" s="122"/>
      <c r="H31" s="122"/>
      <c r="I31" s="122"/>
      <c r="J31" s="235">
        <f>C31</f>
        <v>0</v>
      </c>
      <c r="Z31" s="217"/>
      <c r="AC31" s="218"/>
    </row>
    <row r="32" spans="1:29">
      <c r="A32" s="405"/>
      <c r="B32" s="132" t="s">
        <v>84</v>
      </c>
      <c r="C32" s="347">
        <v>150000</v>
      </c>
      <c r="D32" s="15">
        <v>0</v>
      </c>
      <c r="E32" s="155">
        <v>0</v>
      </c>
      <c r="F32" s="42">
        <f t="shared" si="1"/>
        <v>0</v>
      </c>
      <c r="G32" s="15">
        <v>0</v>
      </c>
      <c r="H32" s="16">
        <v>1</v>
      </c>
      <c r="I32" s="17">
        <f t="shared" si="2"/>
        <v>0</v>
      </c>
      <c r="J32" s="49">
        <f t="shared" ref="J32:J41" si="3">+C32+F32</f>
        <v>150000</v>
      </c>
      <c r="K32" s="203" t="s">
        <v>308</v>
      </c>
      <c r="Z32" s="216"/>
      <c r="AC32" s="221"/>
    </row>
    <row r="33" spans="1:29">
      <c r="A33" s="405"/>
      <c r="B33" s="132" t="s">
        <v>85</v>
      </c>
      <c r="C33" s="62"/>
      <c r="D33" s="348">
        <v>22000</v>
      </c>
      <c r="E33" s="155">
        <v>3</v>
      </c>
      <c r="F33" s="42">
        <f t="shared" si="1"/>
        <v>66000</v>
      </c>
      <c r="G33" s="15">
        <v>0</v>
      </c>
      <c r="H33" s="16">
        <v>1</v>
      </c>
      <c r="I33" s="17">
        <f t="shared" si="2"/>
        <v>0</v>
      </c>
      <c r="J33" s="49">
        <f t="shared" si="3"/>
        <v>66000</v>
      </c>
      <c r="K33" s="203" t="s">
        <v>280</v>
      </c>
      <c r="P33" s="205" t="s">
        <v>309</v>
      </c>
      <c r="Z33" s="217"/>
      <c r="AC33" s="221"/>
    </row>
    <row r="34" spans="1:29">
      <c r="A34" s="405"/>
      <c r="B34" s="132" t="s">
        <v>86</v>
      </c>
      <c r="C34" s="62">
        <v>0</v>
      </c>
      <c r="D34" s="15">
        <v>0</v>
      </c>
      <c r="E34" s="155">
        <v>0</v>
      </c>
      <c r="F34" s="42">
        <f t="shared" si="1"/>
        <v>0</v>
      </c>
      <c r="G34" s="15">
        <v>0</v>
      </c>
      <c r="H34" s="16">
        <v>1</v>
      </c>
      <c r="I34" s="17">
        <f t="shared" si="2"/>
        <v>0</v>
      </c>
      <c r="J34" s="49">
        <f>+C34</f>
        <v>0</v>
      </c>
      <c r="Z34" s="217"/>
      <c r="AC34" s="221"/>
    </row>
    <row r="35" spans="1:29">
      <c r="A35" s="405"/>
      <c r="B35" s="132" t="s">
        <v>268</v>
      </c>
      <c r="C35" s="1">
        <v>0</v>
      </c>
      <c r="D35" s="15">
        <v>0</v>
      </c>
      <c r="E35" s="155">
        <v>0</v>
      </c>
      <c r="F35" s="42">
        <f t="shared" si="1"/>
        <v>0</v>
      </c>
      <c r="G35" s="15">
        <v>0</v>
      </c>
      <c r="H35" s="16">
        <v>1</v>
      </c>
      <c r="I35" s="17">
        <f t="shared" si="2"/>
        <v>0</v>
      </c>
      <c r="J35" s="49">
        <v>0</v>
      </c>
      <c r="Z35" s="217"/>
      <c r="AA35" s="217"/>
      <c r="AB35" s="217"/>
      <c r="AC35" s="217"/>
    </row>
    <row r="36" spans="1:29">
      <c r="A36" s="405"/>
      <c r="B36" s="132" t="s">
        <v>87</v>
      </c>
      <c r="C36" s="347">
        <v>60000</v>
      </c>
      <c r="D36" s="15">
        <v>0</v>
      </c>
      <c r="E36" s="155">
        <v>0</v>
      </c>
      <c r="F36" s="42">
        <f t="shared" si="1"/>
        <v>0</v>
      </c>
      <c r="G36" s="15">
        <v>0</v>
      </c>
      <c r="H36" s="16">
        <v>1</v>
      </c>
      <c r="I36" s="17">
        <f t="shared" si="2"/>
        <v>0</v>
      </c>
      <c r="J36" s="49">
        <f t="shared" si="3"/>
        <v>60000</v>
      </c>
      <c r="K36" s="205" t="s">
        <v>310</v>
      </c>
      <c r="Z36" s="217"/>
      <c r="AA36" s="217"/>
      <c r="AB36" s="217"/>
      <c r="AC36" s="217"/>
    </row>
    <row r="37" spans="1:29">
      <c r="A37" s="405"/>
      <c r="B37" s="132" t="s">
        <v>88</v>
      </c>
      <c r="C37" s="210">
        <v>0</v>
      </c>
      <c r="D37" s="15">
        <v>0</v>
      </c>
      <c r="E37" s="155">
        <v>0</v>
      </c>
      <c r="F37" s="42">
        <f t="shared" si="1"/>
        <v>0</v>
      </c>
      <c r="G37" s="15">
        <v>0</v>
      </c>
      <c r="H37" s="16">
        <v>1</v>
      </c>
      <c r="I37" s="17">
        <f t="shared" si="2"/>
        <v>0</v>
      </c>
      <c r="J37" s="49">
        <f t="shared" si="3"/>
        <v>0</v>
      </c>
      <c r="Z37" s="217"/>
      <c r="AA37" s="217"/>
      <c r="AB37" s="217"/>
      <c r="AC37" s="217"/>
    </row>
    <row r="38" spans="1:29">
      <c r="A38" s="405"/>
      <c r="B38" s="132" t="s">
        <v>43</v>
      </c>
      <c r="C38" s="346">
        <v>450000</v>
      </c>
      <c r="D38" s="15">
        <v>0</v>
      </c>
      <c r="E38" s="155">
        <v>0</v>
      </c>
      <c r="F38" s="42">
        <f t="shared" si="1"/>
        <v>0</v>
      </c>
      <c r="G38" s="15">
        <v>0</v>
      </c>
      <c r="H38" s="16">
        <v>1</v>
      </c>
      <c r="I38" s="17">
        <f t="shared" si="2"/>
        <v>0</v>
      </c>
      <c r="J38" s="49">
        <f t="shared" si="3"/>
        <v>450000</v>
      </c>
      <c r="K38" s="203" t="s">
        <v>298</v>
      </c>
      <c r="Z38" s="217"/>
      <c r="AA38" s="217"/>
      <c r="AB38" s="217"/>
      <c r="AC38" s="217"/>
    </row>
    <row r="39" spans="1:29">
      <c r="A39" s="405"/>
      <c r="B39" s="132" t="s">
        <v>89</v>
      </c>
      <c r="C39" s="347">
        <v>300000</v>
      </c>
      <c r="D39" s="15">
        <v>0</v>
      </c>
      <c r="E39" s="155">
        <v>0</v>
      </c>
      <c r="F39" s="42">
        <f t="shared" si="1"/>
        <v>0</v>
      </c>
      <c r="G39" s="15">
        <v>0</v>
      </c>
      <c r="H39" s="16">
        <v>1</v>
      </c>
      <c r="I39" s="17">
        <f t="shared" si="2"/>
        <v>0</v>
      </c>
      <c r="J39" s="49">
        <f t="shared" si="3"/>
        <v>300000</v>
      </c>
      <c r="K39" s="205" t="s">
        <v>312</v>
      </c>
      <c r="Z39" s="217"/>
      <c r="AA39" s="217"/>
      <c r="AB39" s="217"/>
      <c r="AC39" s="217"/>
    </row>
    <row r="40" spans="1:29">
      <c r="A40" s="405"/>
      <c r="B40" s="132" t="s">
        <v>90</v>
      </c>
      <c r="C40" s="347">
        <v>300000</v>
      </c>
      <c r="D40" s="15">
        <v>0</v>
      </c>
      <c r="E40" s="155">
        <v>0</v>
      </c>
      <c r="F40" s="42">
        <f t="shared" si="1"/>
        <v>0</v>
      </c>
      <c r="G40" s="15">
        <v>0</v>
      </c>
      <c r="H40" s="16">
        <v>1</v>
      </c>
      <c r="I40" s="17">
        <f t="shared" si="2"/>
        <v>0</v>
      </c>
      <c r="J40" s="49">
        <f t="shared" si="3"/>
        <v>300000</v>
      </c>
      <c r="K40" s="1" t="s">
        <v>272</v>
      </c>
      <c r="P40" s="203" t="s">
        <v>313</v>
      </c>
    </row>
    <row r="41" spans="1:29">
      <c r="A41" s="405"/>
      <c r="B41" s="132" t="s">
        <v>91</v>
      </c>
      <c r="C41" s="210">
        <v>0</v>
      </c>
      <c r="D41" s="15">
        <v>0</v>
      </c>
      <c r="E41" s="155">
        <v>0</v>
      </c>
      <c r="F41" s="42">
        <f t="shared" si="1"/>
        <v>0</v>
      </c>
      <c r="G41" s="15">
        <v>0</v>
      </c>
      <c r="H41" s="16">
        <v>1</v>
      </c>
      <c r="I41" s="17">
        <f t="shared" si="2"/>
        <v>0</v>
      </c>
      <c r="J41" s="49">
        <f t="shared" si="3"/>
        <v>0</v>
      </c>
      <c r="X41" s="217"/>
      <c r="Y41" s="217"/>
    </row>
    <row r="42" spans="1:29">
      <c r="A42" s="405"/>
      <c r="B42" s="131" t="s">
        <v>45</v>
      </c>
      <c r="C42" s="407"/>
      <c r="D42" s="407"/>
      <c r="E42" s="407"/>
      <c r="F42" s="407"/>
      <c r="G42" s="407"/>
      <c r="H42" s="407"/>
      <c r="I42" s="407"/>
      <c r="J42" s="408"/>
    </row>
    <row r="43" spans="1:29">
      <c r="A43" s="405"/>
      <c r="B43" s="132" t="s">
        <v>46</v>
      </c>
      <c r="C43" s="347">
        <v>1846950</v>
      </c>
      <c r="D43" s="15">
        <v>0</v>
      </c>
      <c r="E43" s="155">
        <v>0</v>
      </c>
      <c r="F43" s="42">
        <f t="shared" si="1"/>
        <v>0</v>
      </c>
      <c r="G43" s="15">
        <v>0</v>
      </c>
      <c r="H43" s="16">
        <v>1</v>
      </c>
      <c r="I43" s="17">
        <f t="shared" si="2"/>
        <v>0</v>
      </c>
      <c r="J43" s="49">
        <f>+F43+C43</f>
        <v>1846950</v>
      </c>
      <c r="K43" s="217" t="s">
        <v>299</v>
      </c>
      <c r="P43" s="205" t="s">
        <v>322</v>
      </c>
    </row>
    <row r="44" spans="1:29">
      <c r="A44" s="405"/>
      <c r="B44" s="132" t="s">
        <v>5</v>
      </c>
      <c r="C44" s="347">
        <v>548531</v>
      </c>
      <c r="D44" s="15">
        <v>0</v>
      </c>
      <c r="E44" s="155">
        <v>0</v>
      </c>
      <c r="F44" s="42">
        <f t="shared" si="1"/>
        <v>0</v>
      </c>
      <c r="G44" s="15">
        <v>0</v>
      </c>
      <c r="H44" s="16">
        <v>1</v>
      </c>
      <c r="I44" s="17">
        <f t="shared" si="2"/>
        <v>0</v>
      </c>
      <c r="J44" s="49">
        <f t="shared" ref="J44:J51" si="4">+F44+C44</f>
        <v>548531</v>
      </c>
      <c r="K44" s="217" t="s">
        <v>300</v>
      </c>
      <c r="P44" s="205" t="s">
        <v>322</v>
      </c>
    </row>
    <row r="45" spans="1:29">
      <c r="A45" s="405"/>
      <c r="B45" s="132" t="s">
        <v>7</v>
      </c>
      <c r="C45" s="347">
        <v>1554506</v>
      </c>
      <c r="D45" s="15">
        <v>0</v>
      </c>
      <c r="E45" s="155">
        <v>0</v>
      </c>
      <c r="F45" s="42">
        <f t="shared" si="1"/>
        <v>0</v>
      </c>
      <c r="G45" s="15">
        <v>0</v>
      </c>
      <c r="H45" s="16">
        <v>1</v>
      </c>
      <c r="I45" s="17">
        <f t="shared" si="2"/>
        <v>0</v>
      </c>
      <c r="J45" s="49">
        <f t="shared" si="4"/>
        <v>1554506</v>
      </c>
      <c r="K45" s="217" t="s">
        <v>299</v>
      </c>
      <c r="P45" s="205" t="s">
        <v>322</v>
      </c>
    </row>
    <row r="46" spans="1:29">
      <c r="A46" s="405"/>
      <c r="B46" s="132" t="s">
        <v>47</v>
      </c>
      <c r="C46" s="210">
        <f>'INFO-CONS'!F10</f>
        <v>0</v>
      </c>
      <c r="D46" s="15">
        <v>0</v>
      </c>
      <c r="E46" s="155">
        <v>0</v>
      </c>
      <c r="F46" s="42">
        <f t="shared" si="1"/>
        <v>0</v>
      </c>
      <c r="G46" s="15">
        <v>0</v>
      </c>
      <c r="H46" s="16">
        <v>1</v>
      </c>
      <c r="I46" s="17">
        <f t="shared" si="2"/>
        <v>0</v>
      </c>
      <c r="J46" s="49">
        <f t="shared" si="4"/>
        <v>0</v>
      </c>
      <c r="K46" s="217"/>
    </row>
    <row r="47" spans="1:29">
      <c r="A47" s="405"/>
      <c r="B47" s="132" t="s">
        <v>48</v>
      </c>
      <c r="C47" s="210">
        <f>'INFO-CONS'!F11</f>
        <v>0</v>
      </c>
      <c r="D47" s="15">
        <v>0</v>
      </c>
      <c r="E47" s="155">
        <v>0</v>
      </c>
      <c r="F47" s="42">
        <f t="shared" si="1"/>
        <v>0</v>
      </c>
      <c r="G47" s="15">
        <v>0</v>
      </c>
      <c r="H47" s="16">
        <v>1</v>
      </c>
      <c r="I47" s="17">
        <f t="shared" si="2"/>
        <v>0</v>
      </c>
      <c r="J47" s="49">
        <f t="shared" si="4"/>
        <v>0</v>
      </c>
      <c r="K47" s="217"/>
    </row>
    <row r="48" spans="1:29">
      <c r="A48" s="405"/>
      <c r="B48" s="132" t="s">
        <v>49</v>
      </c>
      <c r="C48" s="210">
        <f>'INFO-CONS'!F12</f>
        <v>0</v>
      </c>
      <c r="D48" s="15">
        <v>0</v>
      </c>
      <c r="E48" s="155">
        <v>0</v>
      </c>
      <c r="F48" s="42">
        <f t="shared" si="1"/>
        <v>0</v>
      </c>
      <c r="G48" s="15">
        <v>0</v>
      </c>
      <c r="H48" s="16">
        <v>1</v>
      </c>
      <c r="I48" s="17">
        <f t="shared" si="2"/>
        <v>0</v>
      </c>
      <c r="J48" s="49">
        <f t="shared" si="4"/>
        <v>0</v>
      </c>
      <c r="K48" s="374" t="s">
        <v>314</v>
      </c>
    </row>
    <row r="49" spans="1:18">
      <c r="A49" s="405"/>
      <c r="B49" s="132" t="s">
        <v>50</v>
      </c>
      <c r="C49" s="347">
        <v>719114</v>
      </c>
      <c r="D49" s="15">
        <v>0</v>
      </c>
      <c r="E49" s="155">
        <v>0</v>
      </c>
      <c r="F49" s="42">
        <f t="shared" si="1"/>
        <v>0</v>
      </c>
      <c r="G49" s="15">
        <v>0</v>
      </c>
      <c r="H49" s="16">
        <v>1</v>
      </c>
      <c r="I49" s="17">
        <f t="shared" si="2"/>
        <v>0</v>
      </c>
      <c r="J49" s="49">
        <f t="shared" si="4"/>
        <v>719114</v>
      </c>
      <c r="K49" s="217" t="s">
        <v>301</v>
      </c>
      <c r="P49" s="205" t="s">
        <v>322</v>
      </c>
      <c r="R49" s="320"/>
    </row>
    <row r="50" spans="1:18">
      <c r="A50" s="405"/>
      <c r="B50" s="132" t="s">
        <v>92</v>
      </c>
      <c r="C50" s="210">
        <f>'INFO-CONS'!F14</f>
        <v>0</v>
      </c>
      <c r="D50" s="15">
        <v>0</v>
      </c>
      <c r="E50" s="155">
        <v>0</v>
      </c>
      <c r="F50" s="42">
        <f t="shared" si="1"/>
        <v>0</v>
      </c>
      <c r="G50" s="15">
        <v>0</v>
      </c>
      <c r="H50" s="16">
        <v>1</v>
      </c>
      <c r="I50" s="17">
        <f t="shared" si="2"/>
        <v>0</v>
      </c>
      <c r="J50" s="49">
        <f t="shared" si="4"/>
        <v>0</v>
      </c>
      <c r="K50" s="203"/>
    </row>
    <row r="51" spans="1:18">
      <c r="A51" s="405"/>
      <c r="B51" s="132" t="s">
        <v>93</v>
      </c>
      <c r="C51" s="210">
        <f>'INFO-CONS'!F15</f>
        <v>0</v>
      </c>
      <c r="D51" s="15">
        <v>0</v>
      </c>
      <c r="E51" s="155">
        <v>0</v>
      </c>
      <c r="F51" s="42">
        <f t="shared" si="1"/>
        <v>0</v>
      </c>
      <c r="G51" s="15">
        <v>0</v>
      </c>
      <c r="H51" s="16">
        <v>1</v>
      </c>
      <c r="I51" s="17">
        <f t="shared" si="2"/>
        <v>0</v>
      </c>
      <c r="J51" s="49">
        <f t="shared" si="4"/>
        <v>0</v>
      </c>
      <c r="K51" s="203"/>
    </row>
    <row r="52" spans="1:18">
      <c r="A52" s="405"/>
      <c r="B52" s="126" t="s">
        <v>52</v>
      </c>
      <c r="C52" s="407"/>
      <c r="D52" s="407"/>
      <c r="E52" s="407"/>
      <c r="F52" s="407"/>
      <c r="G52" s="407"/>
      <c r="H52" s="407"/>
      <c r="I52" s="407"/>
      <c r="J52" s="408"/>
    </row>
    <row r="53" spans="1:18">
      <c r="A53" s="405"/>
      <c r="B53" s="132" t="s">
        <v>53</v>
      </c>
      <c r="C53" s="210">
        <v>700760</v>
      </c>
      <c r="D53" s="15">
        <v>0</v>
      </c>
      <c r="E53" s="155">
        <v>0</v>
      </c>
      <c r="F53" s="42">
        <f t="shared" si="1"/>
        <v>0</v>
      </c>
      <c r="G53" s="15">
        <v>0</v>
      </c>
      <c r="H53" s="16">
        <v>1</v>
      </c>
      <c r="I53" s="17">
        <f t="shared" si="2"/>
        <v>0</v>
      </c>
      <c r="J53" s="49">
        <f>+F53+C53</f>
        <v>700760</v>
      </c>
      <c r="K53" s="203" t="s">
        <v>274</v>
      </c>
    </row>
    <row r="54" spans="1:18">
      <c r="A54" s="405"/>
      <c r="B54" s="132" t="s">
        <v>54</v>
      </c>
      <c r="C54" s="210">
        <v>0</v>
      </c>
      <c r="D54" s="15">
        <v>0</v>
      </c>
      <c r="E54" s="155">
        <v>0</v>
      </c>
      <c r="F54" s="42">
        <f t="shared" si="1"/>
        <v>0</v>
      </c>
      <c r="G54" s="15">
        <v>0</v>
      </c>
      <c r="H54" s="16">
        <v>1</v>
      </c>
      <c r="I54" s="17">
        <f t="shared" si="2"/>
        <v>0</v>
      </c>
      <c r="J54" s="49">
        <f t="shared" ref="J54:J59" si="5">+F54+C54</f>
        <v>0</v>
      </c>
      <c r="K54" s="1" t="s">
        <v>276</v>
      </c>
    </row>
    <row r="55" spans="1:18">
      <c r="A55" s="405"/>
      <c r="B55" s="132" t="s">
        <v>94</v>
      </c>
      <c r="C55" s="346">
        <v>1453228</v>
      </c>
      <c r="D55" s="15">
        <v>0</v>
      </c>
      <c r="E55" s="155">
        <v>0</v>
      </c>
      <c r="F55" s="42">
        <f t="shared" si="1"/>
        <v>0</v>
      </c>
      <c r="G55" s="15">
        <v>0</v>
      </c>
      <c r="H55" s="16">
        <v>1</v>
      </c>
      <c r="I55" s="17">
        <f t="shared" si="2"/>
        <v>0</v>
      </c>
      <c r="J55" s="49">
        <f t="shared" si="5"/>
        <v>1453228</v>
      </c>
      <c r="K55" s="203" t="s">
        <v>275</v>
      </c>
    </row>
    <row r="56" spans="1:18">
      <c r="A56" s="405"/>
      <c r="B56" s="132" t="s">
        <v>95</v>
      </c>
      <c r="C56" s="210">
        <f>'INFO-MANT'!E9</f>
        <v>0</v>
      </c>
      <c r="D56" s="15">
        <v>0</v>
      </c>
      <c r="E56" s="155">
        <v>0</v>
      </c>
      <c r="F56" s="42">
        <f t="shared" si="1"/>
        <v>0</v>
      </c>
      <c r="G56" s="15">
        <v>0</v>
      </c>
      <c r="H56" s="16">
        <v>1</v>
      </c>
      <c r="I56" s="17">
        <f t="shared" si="2"/>
        <v>0</v>
      </c>
      <c r="J56" s="49">
        <f t="shared" si="5"/>
        <v>0</v>
      </c>
    </row>
    <row r="57" spans="1:18">
      <c r="A57" s="405"/>
      <c r="B57" s="132" t="s">
        <v>256</v>
      </c>
      <c r="C57" s="210">
        <v>0</v>
      </c>
      <c r="D57" s="15">
        <v>0</v>
      </c>
      <c r="E57" s="155">
        <v>0</v>
      </c>
      <c r="F57" s="42">
        <f t="shared" si="1"/>
        <v>0</v>
      </c>
      <c r="G57" s="15">
        <v>0</v>
      </c>
      <c r="H57" s="16">
        <v>1</v>
      </c>
      <c r="I57" s="17">
        <f t="shared" si="2"/>
        <v>0</v>
      </c>
      <c r="J57" s="49">
        <f t="shared" si="5"/>
        <v>0</v>
      </c>
    </row>
    <row r="58" spans="1:18">
      <c r="A58" s="405"/>
      <c r="B58" s="132" t="s">
        <v>254</v>
      </c>
      <c r="C58" s="210">
        <f>'INFO-MANT'!E11</f>
        <v>0</v>
      </c>
      <c r="D58" s="15">
        <v>0</v>
      </c>
      <c r="E58" s="155">
        <v>0</v>
      </c>
      <c r="F58" s="42">
        <f t="shared" si="1"/>
        <v>0</v>
      </c>
      <c r="G58" s="15">
        <v>0</v>
      </c>
      <c r="H58" s="16">
        <v>1</v>
      </c>
      <c r="I58" s="17">
        <f t="shared" si="2"/>
        <v>0</v>
      </c>
      <c r="J58" s="49">
        <f t="shared" si="5"/>
        <v>0</v>
      </c>
    </row>
    <row r="59" spans="1:18">
      <c r="A59" s="405"/>
      <c r="B59" s="132" t="s">
        <v>255</v>
      </c>
      <c r="C59" s="210"/>
      <c r="D59" s="15">
        <v>0</v>
      </c>
      <c r="E59" s="155">
        <v>0</v>
      </c>
      <c r="F59" s="42">
        <f t="shared" si="1"/>
        <v>0</v>
      </c>
      <c r="G59" s="15">
        <v>0</v>
      </c>
      <c r="H59" s="16">
        <v>1</v>
      </c>
      <c r="I59" s="17">
        <f t="shared" si="2"/>
        <v>0</v>
      </c>
      <c r="J59" s="49">
        <f t="shared" si="5"/>
        <v>0</v>
      </c>
    </row>
    <row r="60" spans="1:18">
      <c r="A60" s="405"/>
      <c r="B60" s="126" t="s">
        <v>56</v>
      </c>
      <c r="C60" s="407"/>
      <c r="D60" s="407"/>
      <c r="E60" s="407"/>
      <c r="F60" s="407"/>
      <c r="G60" s="407"/>
      <c r="H60" s="407"/>
      <c r="I60" s="407"/>
      <c r="J60" s="408"/>
    </row>
    <row r="61" spans="1:18">
      <c r="A61" s="405"/>
      <c r="B61" s="127" t="s">
        <v>97</v>
      </c>
      <c r="C61" s="234" t="s">
        <v>282</v>
      </c>
      <c r="D61" s="15">
        <v>0</v>
      </c>
      <c r="E61" s="155">
        <v>0</v>
      </c>
      <c r="F61" s="42">
        <f t="shared" si="1"/>
        <v>0</v>
      </c>
      <c r="G61" s="15">
        <v>0</v>
      </c>
      <c r="H61" s="16">
        <v>1</v>
      </c>
      <c r="I61" s="17">
        <f t="shared" si="2"/>
        <v>0</v>
      </c>
      <c r="J61" s="235" t="s">
        <v>282</v>
      </c>
    </row>
    <row r="62" spans="1:18">
      <c r="A62" s="405"/>
      <c r="B62" s="127" t="s">
        <v>98</v>
      </c>
      <c r="C62" s="210">
        <v>0</v>
      </c>
      <c r="D62" s="15">
        <v>0</v>
      </c>
      <c r="E62" s="155">
        <v>0</v>
      </c>
      <c r="F62" s="42">
        <f t="shared" si="1"/>
        <v>0</v>
      </c>
      <c r="G62" s="15">
        <v>0</v>
      </c>
      <c r="H62" s="16">
        <v>1</v>
      </c>
      <c r="I62" s="17">
        <f t="shared" si="2"/>
        <v>0</v>
      </c>
      <c r="J62" s="49">
        <f t="shared" ref="J62:J63" si="6">+F62+C62</f>
        <v>0</v>
      </c>
    </row>
    <row r="63" spans="1:18">
      <c r="A63" s="405"/>
      <c r="B63" s="127" t="s">
        <v>99</v>
      </c>
      <c r="C63" s="210">
        <v>0</v>
      </c>
      <c r="D63" s="15">
        <v>0</v>
      </c>
      <c r="E63" s="155">
        <v>0</v>
      </c>
      <c r="F63" s="42">
        <f t="shared" si="1"/>
        <v>0</v>
      </c>
      <c r="G63" s="15">
        <v>0</v>
      </c>
      <c r="H63" s="16">
        <v>1</v>
      </c>
      <c r="I63" s="17">
        <f t="shared" si="2"/>
        <v>0</v>
      </c>
      <c r="J63" s="49">
        <f t="shared" si="6"/>
        <v>0</v>
      </c>
    </row>
    <row r="64" spans="1:18">
      <c r="A64" s="405"/>
      <c r="B64" s="126" t="s">
        <v>24</v>
      </c>
      <c r="C64" s="407"/>
      <c r="D64" s="407"/>
      <c r="E64" s="407"/>
      <c r="F64" s="407"/>
      <c r="G64" s="407"/>
      <c r="H64" s="407"/>
      <c r="I64" s="407"/>
      <c r="J64" s="408"/>
      <c r="K64" s="203"/>
    </row>
    <row r="65" spans="1:16">
      <c r="A65" s="405"/>
      <c r="B65" s="127" t="s">
        <v>178</v>
      </c>
      <c r="C65" s="210"/>
      <c r="D65" s="15">
        <f>2000*10</f>
        <v>20000</v>
      </c>
      <c r="E65" s="155">
        <v>110</v>
      </c>
      <c r="F65" s="42">
        <f>+E65*D65</f>
        <v>2200000</v>
      </c>
      <c r="G65" s="122"/>
      <c r="H65" s="122"/>
      <c r="I65" s="122"/>
      <c r="J65" s="49">
        <f>+F65+C65</f>
        <v>2200000</v>
      </c>
      <c r="K65" s="368" t="s">
        <v>323</v>
      </c>
      <c r="P65" s="205"/>
    </row>
    <row r="66" spans="1:16">
      <c r="A66" s="405"/>
      <c r="B66" s="127" t="s">
        <v>100</v>
      </c>
      <c r="C66" s="62">
        <v>0</v>
      </c>
      <c r="D66" s="15">
        <v>0</v>
      </c>
      <c r="E66" s="155">
        <v>0</v>
      </c>
      <c r="F66" s="42">
        <f t="shared" si="1"/>
        <v>0</v>
      </c>
      <c r="G66" s="15">
        <v>0</v>
      </c>
      <c r="H66" s="16">
        <v>1</v>
      </c>
      <c r="I66" s="17">
        <f t="shared" si="2"/>
        <v>0</v>
      </c>
      <c r="J66" s="49">
        <f t="shared" ref="J66:J70" si="7">+F66+C66</f>
        <v>0</v>
      </c>
      <c r="K66" s="228"/>
      <c r="P66" s="203"/>
    </row>
    <row r="67" spans="1:16">
      <c r="A67" s="405"/>
      <c r="B67" s="127" t="s">
        <v>101</v>
      </c>
      <c r="C67" s="210">
        <v>0</v>
      </c>
      <c r="D67" s="15">
        <v>0</v>
      </c>
      <c r="E67" s="155">
        <v>0</v>
      </c>
      <c r="F67" s="42">
        <f t="shared" si="1"/>
        <v>0</v>
      </c>
      <c r="G67" s="15">
        <v>0</v>
      </c>
      <c r="H67" s="16">
        <v>1</v>
      </c>
      <c r="I67" s="17">
        <f t="shared" si="2"/>
        <v>0</v>
      </c>
      <c r="J67" s="49">
        <f t="shared" si="7"/>
        <v>0</v>
      </c>
    </row>
    <row r="68" spans="1:16">
      <c r="A68" s="405"/>
      <c r="B68" s="132" t="s">
        <v>57</v>
      </c>
      <c r="C68" s="210">
        <v>0</v>
      </c>
      <c r="D68" s="15">
        <v>0</v>
      </c>
      <c r="E68" s="155">
        <v>0</v>
      </c>
      <c r="F68" s="42">
        <f t="shared" si="1"/>
        <v>0</v>
      </c>
      <c r="G68" s="15">
        <v>0</v>
      </c>
      <c r="H68" s="16">
        <v>1</v>
      </c>
      <c r="I68" s="17">
        <f t="shared" si="2"/>
        <v>0</v>
      </c>
      <c r="J68" s="49">
        <f t="shared" si="7"/>
        <v>0</v>
      </c>
    </row>
    <row r="69" spans="1:16">
      <c r="A69" s="405"/>
      <c r="B69" s="127" t="s">
        <v>102</v>
      </c>
      <c r="C69" s="234" t="s">
        <v>282</v>
      </c>
      <c r="D69" s="15">
        <v>0</v>
      </c>
      <c r="E69" s="155">
        <v>0</v>
      </c>
      <c r="F69" s="42">
        <f t="shared" si="1"/>
        <v>0</v>
      </c>
      <c r="G69" s="15">
        <v>0</v>
      </c>
      <c r="H69" s="16">
        <v>1</v>
      </c>
      <c r="I69" s="17">
        <f t="shared" si="2"/>
        <v>0</v>
      </c>
      <c r="J69" s="235" t="s">
        <v>282</v>
      </c>
    </row>
    <row r="70" spans="1:16">
      <c r="A70" s="405"/>
      <c r="B70" s="132" t="s">
        <v>69</v>
      </c>
      <c r="C70" s="210">
        <v>0</v>
      </c>
      <c r="D70" s="15">
        <v>0</v>
      </c>
      <c r="E70" s="155">
        <v>0</v>
      </c>
      <c r="F70" s="42">
        <f t="shared" si="1"/>
        <v>0</v>
      </c>
      <c r="G70" s="15">
        <v>0</v>
      </c>
      <c r="H70" s="16">
        <v>1</v>
      </c>
      <c r="I70" s="17">
        <f>G70*H70</f>
        <v>0</v>
      </c>
      <c r="J70" s="49">
        <f t="shared" si="7"/>
        <v>0</v>
      </c>
    </row>
    <row r="71" spans="1:16">
      <c r="A71" s="405"/>
      <c r="B71" s="126" t="s">
        <v>58</v>
      </c>
      <c r="C71" s="407"/>
      <c r="D71" s="407"/>
      <c r="E71" s="407"/>
      <c r="F71" s="407"/>
      <c r="G71" s="407"/>
      <c r="H71" s="407"/>
      <c r="I71" s="407"/>
      <c r="J71" s="408"/>
    </row>
    <row r="72" spans="1:16">
      <c r="A72" s="405"/>
      <c r="B72" s="127" t="s">
        <v>103</v>
      </c>
      <c r="C72" s="210">
        <v>0</v>
      </c>
      <c r="D72" s="15">
        <v>0</v>
      </c>
      <c r="E72" s="155">
        <v>0</v>
      </c>
      <c r="F72" s="42">
        <f t="shared" si="1"/>
        <v>0</v>
      </c>
      <c r="G72" s="15">
        <v>0</v>
      </c>
      <c r="H72" s="16">
        <v>1</v>
      </c>
      <c r="I72" s="17">
        <f t="shared" si="2"/>
        <v>0</v>
      </c>
      <c r="J72" s="49">
        <f>+F72+C72</f>
        <v>0</v>
      </c>
    </row>
    <row r="73" spans="1:16">
      <c r="A73" s="405"/>
      <c r="B73" s="127" t="s">
        <v>104</v>
      </c>
      <c r="C73" s="210">
        <v>0</v>
      </c>
      <c r="D73" s="15">
        <v>0</v>
      </c>
      <c r="E73" s="155">
        <v>0</v>
      </c>
      <c r="F73" s="42">
        <f t="shared" si="1"/>
        <v>0</v>
      </c>
      <c r="G73" s="15">
        <v>0</v>
      </c>
      <c r="H73" s="16">
        <v>1</v>
      </c>
      <c r="I73" s="17">
        <f t="shared" si="2"/>
        <v>0</v>
      </c>
      <c r="J73" s="49">
        <f t="shared" ref="J73:J75" si="8">+F73+C73</f>
        <v>0</v>
      </c>
    </row>
    <row r="74" spans="1:16">
      <c r="A74" s="405"/>
      <c r="B74" s="127" t="s">
        <v>105</v>
      </c>
      <c r="C74" s="210">
        <v>0</v>
      </c>
      <c r="D74" s="15">
        <v>0</v>
      </c>
      <c r="E74" s="155">
        <v>0</v>
      </c>
      <c r="F74" s="42">
        <f t="shared" si="1"/>
        <v>0</v>
      </c>
      <c r="G74" s="15">
        <v>0</v>
      </c>
      <c r="H74" s="16">
        <v>1</v>
      </c>
      <c r="I74" s="17">
        <f t="shared" si="2"/>
        <v>0</v>
      </c>
      <c r="J74" s="49">
        <f t="shared" si="8"/>
        <v>0</v>
      </c>
    </row>
    <row r="75" spans="1:16">
      <c r="A75" s="405"/>
      <c r="B75" s="127" t="s">
        <v>55</v>
      </c>
      <c r="C75" s="210"/>
      <c r="D75" s="15">
        <v>0</v>
      </c>
      <c r="E75" s="155">
        <v>0</v>
      </c>
      <c r="F75" s="42">
        <f t="shared" si="1"/>
        <v>0</v>
      </c>
      <c r="G75" s="15">
        <v>0</v>
      </c>
      <c r="H75" s="16">
        <v>1</v>
      </c>
      <c r="I75" s="17">
        <f t="shared" si="2"/>
        <v>0</v>
      </c>
      <c r="J75" s="49">
        <f t="shared" si="8"/>
        <v>0</v>
      </c>
    </row>
    <row r="76" spans="1:16">
      <c r="A76" s="405"/>
      <c r="B76" s="126" t="s">
        <v>59</v>
      </c>
      <c r="C76" s="407"/>
      <c r="D76" s="407"/>
      <c r="E76" s="407"/>
      <c r="F76" s="407"/>
      <c r="G76" s="407"/>
      <c r="H76" s="407"/>
      <c r="I76" s="407"/>
      <c r="J76" s="408"/>
    </row>
    <row r="77" spans="1:16">
      <c r="A77" s="405"/>
      <c r="B77" s="132" t="s">
        <v>179</v>
      </c>
      <c r="C77" s="210">
        <v>1443984</v>
      </c>
      <c r="D77" s="62"/>
      <c r="E77" s="155">
        <v>0</v>
      </c>
      <c r="F77" s="42"/>
      <c r="G77" s="122"/>
      <c r="H77" s="122"/>
      <c r="I77" s="122"/>
      <c r="J77" s="49">
        <f>+F77+C77</f>
        <v>1443984</v>
      </c>
      <c r="K77" s="1" t="s">
        <v>278</v>
      </c>
    </row>
    <row r="78" spans="1:16">
      <c r="A78" s="405"/>
      <c r="B78" s="132" t="s">
        <v>233</v>
      </c>
      <c r="C78" s="62"/>
      <c r="D78" s="62">
        <v>1400</v>
      </c>
      <c r="E78" s="155">
        <v>28</v>
      </c>
      <c r="F78" s="42">
        <f>+E78*D78</f>
        <v>39200</v>
      </c>
      <c r="G78" s="173"/>
      <c r="H78" s="173"/>
      <c r="I78" s="173"/>
      <c r="J78" s="49">
        <f>+F78+C78</f>
        <v>39200</v>
      </c>
      <c r="K78" s="203" t="s">
        <v>302</v>
      </c>
    </row>
    <row r="79" spans="1:16">
      <c r="A79" s="405"/>
      <c r="B79" s="132" t="s">
        <v>180</v>
      </c>
      <c r="C79" s="62"/>
      <c r="D79" s="375">
        <v>6400</v>
      </c>
      <c r="E79" s="155">
        <v>110</v>
      </c>
      <c r="F79" s="42">
        <f>+E79*D79</f>
        <v>704000</v>
      </c>
      <c r="G79" s="15">
        <v>0</v>
      </c>
      <c r="H79" s="16">
        <v>1</v>
      </c>
      <c r="I79" s="17">
        <f t="shared" ref="I79:I84" si="9">G79*H79</f>
        <v>0</v>
      </c>
      <c r="J79" s="49">
        <f>+F79+C79</f>
        <v>704000</v>
      </c>
      <c r="K79" s="203" t="s">
        <v>315</v>
      </c>
      <c r="P79" s="1">
        <f>6400*110</f>
        <v>704000</v>
      </c>
    </row>
    <row r="80" spans="1:16">
      <c r="A80" s="405"/>
      <c r="B80" s="126" t="s">
        <v>60</v>
      </c>
      <c r="C80" s="407"/>
      <c r="D80" s="407"/>
      <c r="E80" s="407"/>
      <c r="F80" s="407"/>
      <c r="G80" s="407"/>
      <c r="H80" s="407"/>
      <c r="I80" s="407"/>
      <c r="J80" s="408"/>
    </row>
    <row r="81" spans="1:25">
      <c r="A81" s="405"/>
      <c r="B81" s="127" t="s">
        <v>106</v>
      </c>
      <c r="C81" s="234">
        <v>0</v>
      </c>
      <c r="D81" s="15">
        <v>0</v>
      </c>
      <c r="E81" s="155">
        <v>0</v>
      </c>
      <c r="F81" s="42">
        <f t="shared" ref="F81:F94" si="10">D81*E81</f>
        <v>0</v>
      </c>
      <c r="G81" s="15">
        <v>0</v>
      </c>
      <c r="H81" s="16">
        <v>1</v>
      </c>
      <c r="I81" s="17">
        <f t="shared" si="9"/>
        <v>0</v>
      </c>
      <c r="J81" s="235">
        <f>C81</f>
        <v>0</v>
      </c>
    </row>
    <row r="82" spans="1:25">
      <c r="A82" s="405"/>
      <c r="B82" s="127" t="s">
        <v>61</v>
      </c>
      <c r="C82" s="210">
        <v>0</v>
      </c>
      <c r="D82" s="15">
        <v>0</v>
      </c>
      <c r="E82" s="155">
        <v>0</v>
      </c>
      <c r="F82" s="42">
        <f t="shared" si="10"/>
        <v>0</v>
      </c>
      <c r="G82" s="15">
        <v>0</v>
      </c>
      <c r="H82" s="16">
        <v>1</v>
      </c>
      <c r="I82" s="17">
        <f t="shared" si="9"/>
        <v>0</v>
      </c>
      <c r="J82" s="49">
        <f t="shared" ref="J82:J84" si="11">+F82+C82</f>
        <v>0</v>
      </c>
    </row>
    <row r="83" spans="1:25">
      <c r="A83" s="405"/>
      <c r="B83" s="127" t="s">
        <v>73</v>
      </c>
      <c r="C83" s="210">
        <v>0</v>
      </c>
      <c r="D83" s="15">
        <v>0</v>
      </c>
      <c r="E83" s="155">
        <v>0</v>
      </c>
      <c r="F83" s="42">
        <f t="shared" si="10"/>
        <v>0</v>
      </c>
      <c r="G83" s="15">
        <v>0</v>
      </c>
      <c r="H83" s="16">
        <v>1</v>
      </c>
      <c r="I83" s="17">
        <f t="shared" si="9"/>
        <v>0</v>
      </c>
      <c r="J83" s="49">
        <f t="shared" si="11"/>
        <v>0</v>
      </c>
    </row>
    <row r="84" spans="1:25">
      <c r="A84" s="405"/>
      <c r="B84" s="132" t="s">
        <v>107</v>
      </c>
      <c r="C84" s="210">
        <v>0</v>
      </c>
      <c r="D84" s="15">
        <v>0</v>
      </c>
      <c r="E84" s="155">
        <v>0</v>
      </c>
      <c r="F84" s="42">
        <f t="shared" si="10"/>
        <v>0</v>
      </c>
      <c r="G84" s="15">
        <v>0</v>
      </c>
      <c r="H84" s="16">
        <v>1</v>
      </c>
      <c r="I84" s="17">
        <f t="shared" si="9"/>
        <v>0</v>
      </c>
      <c r="J84" s="49">
        <f t="shared" si="11"/>
        <v>0</v>
      </c>
    </row>
    <row r="85" spans="1:25">
      <c r="A85" s="405"/>
      <c r="B85" s="126" t="s">
        <v>62</v>
      </c>
      <c r="C85" s="407"/>
      <c r="D85" s="407"/>
      <c r="E85" s="407"/>
      <c r="F85" s="407"/>
      <c r="G85" s="407"/>
      <c r="H85" s="407"/>
      <c r="I85" s="407"/>
      <c r="J85" s="408"/>
    </row>
    <row r="86" spans="1:25">
      <c r="A86" s="405"/>
      <c r="B86" s="132" t="s">
        <v>108</v>
      </c>
      <c r="C86" s="210">
        <v>350000</v>
      </c>
      <c r="D86" s="15">
        <v>0</v>
      </c>
      <c r="E86" s="155">
        <v>0</v>
      </c>
      <c r="F86" s="42">
        <f t="shared" ref="F86" si="12">D86*E86</f>
        <v>0</v>
      </c>
      <c r="G86" s="15">
        <v>0</v>
      </c>
      <c r="H86" s="16">
        <v>1</v>
      </c>
      <c r="I86" s="17">
        <f t="shared" ref="I86" si="13">G86*H86</f>
        <v>0</v>
      </c>
      <c r="J86" s="49">
        <f>+F86+C86</f>
        <v>350000</v>
      </c>
      <c r="K86" s="376" t="s">
        <v>316</v>
      </c>
      <c r="P86" s="203"/>
    </row>
    <row r="87" spans="1:25">
      <c r="A87" s="405"/>
      <c r="B87" s="132" t="s">
        <v>109</v>
      </c>
      <c r="C87" s="210">
        <v>0</v>
      </c>
      <c r="D87" s="15">
        <v>0</v>
      </c>
      <c r="E87" s="155">
        <v>0</v>
      </c>
      <c r="F87" s="42">
        <f t="shared" ref="F87" si="14">D87*E87</f>
        <v>0</v>
      </c>
      <c r="G87" s="15">
        <v>0</v>
      </c>
      <c r="H87" s="16">
        <v>1</v>
      </c>
      <c r="I87" s="17">
        <f t="shared" ref="I87" si="15">G87*H87</f>
        <v>0</v>
      </c>
      <c r="J87" s="49">
        <f>+F87+C87</f>
        <v>0</v>
      </c>
    </row>
    <row r="88" spans="1:25">
      <c r="A88" s="405"/>
      <c r="B88" s="133" t="s">
        <v>64</v>
      </c>
      <c r="C88" s="226">
        <f>SUM(C89:C94)</f>
        <v>1248000</v>
      </c>
      <c r="D88" s="40"/>
      <c r="E88" s="40"/>
      <c r="F88" s="39">
        <f>SUM(F89:F94)</f>
        <v>0</v>
      </c>
      <c r="G88" s="40"/>
      <c r="H88" s="40"/>
      <c r="I88" s="39">
        <f>SUM(I89:I94)</f>
        <v>0</v>
      </c>
      <c r="J88" s="39">
        <f>+F88+C88</f>
        <v>1248000</v>
      </c>
    </row>
    <row r="89" spans="1:25">
      <c r="A89" s="405"/>
      <c r="B89" s="132" t="s">
        <v>65</v>
      </c>
      <c r="C89" s="210">
        <v>498000</v>
      </c>
      <c r="D89" s="15"/>
      <c r="E89" s="155"/>
      <c r="F89" s="42">
        <f t="shared" ref="F89" si="16">D89*E89</f>
        <v>0</v>
      </c>
      <c r="G89" s="19">
        <v>0</v>
      </c>
      <c r="H89" s="20">
        <v>1</v>
      </c>
      <c r="I89" s="21">
        <f>G89*H89</f>
        <v>0</v>
      </c>
      <c r="J89" s="49">
        <f>+F89+C89</f>
        <v>498000</v>
      </c>
      <c r="K89" s="1" t="s">
        <v>317</v>
      </c>
    </row>
    <row r="90" spans="1:25">
      <c r="A90" s="405"/>
      <c r="B90" s="132" t="s">
        <v>177</v>
      </c>
      <c r="C90" s="210">
        <v>150000</v>
      </c>
      <c r="D90" s="15">
        <v>0</v>
      </c>
      <c r="E90" s="155">
        <v>0</v>
      </c>
      <c r="F90" s="42"/>
      <c r="G90" s="19"/>
      <c r="H90" s="20"/>
      <c r="I90" s="21"/>
      <c r="J90" s="49">
        <f t="shared" ref="J90:J94" si="17">+F90+C90</f>
        <v>150000</v>
      </c>
    </row>
    <row r="91" spans="1:25">
      <c r="A91" s="405"/>
      <c r="B91" s="132" t="s">
        <v>110</v>
      </c>
      <c r="C91" s="210"/>
      <c r="D91" s="15">
        <v>0</v>
      </c>
      <c r="E91" s="155">
        <v>0</v>
      </c>
      <c r="F91" s="42">
        <f t="shared" si="10"/>
        <v>0</v>
      </c>
      <c r="G91" s="19">
        <v>0</v>
      </c>
      <c r="H91" s="20">
        <v>1</v>
      </c>
      <c r="I91" s="21">
        <f>G91*H91</f>
        <v>0</v>
      </c>
      <c r="J91" s="49">
        <f t="shared" si="17"/>
        <v>0</v>
      </c>
    </row>
    <row r="92" spans="1:25">
      <c r="A92" s="405"/>
      <c r="B92" s="132" t="s">
        <v>66</v>
      </c>
      <c r="C92" s="210">
        <f>+'INFO-ACT'!E7</f>
        <v>100000</v>
      </c>
      <c r="D92" s="15">
        <v>0</v>
      </c>
      <c r="E92" s="155">
        <v>0</v>
      </c>
      <c r="F92" s="42">
        <f t="shared" si="10"/>
        <v>0</v>
      </c>
      <c r="G92" s="19">
        <v>0</v>
      </c>
      <c r="H92" s="20">
        <v>1</v>
      </c>
      <c r="I92" s="21">
        <f>G92*H92</f>
        <v>0</v>
      </c>
      <c r="J92" s="49">
        <f t="shared" si="17"/>
        <v>100000</v>
      </c>
      <c r="K92" s="203" t="s">
        <v>312</v>
      </c>
    </row>
    <row r="93" spans="1:25">
      <c r="A93" s="405"/>
      <c r="B93" s="132" t="s">
        <v>67</v>
      </c>
      <c r="C93" s="210"/>
      <c r="D93" s="15">
        <v>0</v>
      </c>
      <c r="E93" s="155">
        <v>0</v>
      </c>
      <c r="F93" s="42">
        <f t="shared" si="10"/>
        <v>0</v>
      </c>
      <c r="G93" s="19">
        <v>0</v>
      </c>
      <c r="H93" s="20">
        <v>1</v>
      </c>
      <c r="I93" s="21">
        <f>G93*H93</f>
        <v>0</v>
      </c>
      <c r="J93" s="49">
        <f t="shared" si="17"/>
        <v>0</v>
      </c>
    </row>
    <row r="94" spans="1:25">
      <c r="A94" s="405"/>
      <c r="B94" s="132" t="s">
        <v>270</v>
      </c>
      <c r="C94" s="210">
        <v>500000</v>
      </c>
      <c r="D94" s="15">
        <v>0</v>
      </c>
      <c r="E94" s="155">
        <v>0</v>
      </c>
      <c r="F94" s="42">
        <f t="shared" si="10"/>
        <v>0</v>
      </c>
      <c r="G94" s="19">
        <v>0</v>
      </c>
      <c r="H94" s="20">
        <v>1</v>
      </c>
      <c r="I94" s="21">
        <f>G94*H94</f>
        <v>0</v>
      </c>
      <c r="J94" s="49">
        <f t="shared" si="17"/>
        <v>500000</v>
      </c>
      <c r="K94" s="1" t="s">
        <v>271</v>
      </c>
    </row>
    <row r="95" spans="1:25" s="45" customFormat="1" ht="21" thickBot="1">
      <c r="A95" s="406"/>
      <c r="B95" s="134" t="s">
        <v>1</v>
      </c>
      <c r="C95" s="227">
        <f>SUM(C88+C19+C7)</f>
        <v>59860077.964000002</v>
      </c>
      <c r="D95" s="44"/>
      <c r="E95" s="44"/>
      <c r="F95" s="43">
        <f>SUM(F88+F19+F7)</f>
        <v>6508623.2000000002</v>
      </c>
      <c r="G95" s="44"/>
      <c r="H95" s="44"/>
      <c r="I95" s="43" t="e">
        <f>SUM(I88+I19+I7)</f>
        <v>#REF!</v>
      </c>
      <c r="J95" s="43">
        <f>SUM(J88+J19+J7)</f>
        <v>66368701.164000005</v>
      </c>
      <c r="X95" s="1"/>
      <c r="Y95" s="1"/>
    </row>
    <row r="97" spans="24:25" ht="20.399999999999999">
      <c r="X97" s="45"/>
      <c r="Y97" s="45"/>
    </row>
  </sheetData>
  <sheetProtection selectLockedCells="1" selectUnlockedCells="1"/>
  <mergeCells count="20">
    <mergeCell ref="P7:R7"/>
    <mergeCell ref="C20:J20"/>
    <mergeCell ref="C14:J14"/>
    <mergeCell ref="T10:U10"/>
    <mergeCell ref="D5:F5"/>
    <mergeCell ref="J5:J6"/>
    <mergeCell ref="C8:J8"/>
    <mergeCell ref="C16:J16"/>
    <mergeCell ref="A7:A95"/>
    <mergeCell ref="C60:J60"/>
    <mergeCell ref="C52:J52"/>
    <mergeCell ref="C42:J42"/>
    <mergeCell ref="C30:J30"/>
    <mergeCell ref="C85:J85"/>
    <mergeCell ref="C80:J80"/>
    <mergeCell ref="C76:J76"/>
    <mergeCell ref="C71:J71"/>
    <mergeCell ref="C64:J64"/>
    <mergeCell ref="C27:J27"/>
    <mergeCell ref="C23:J23"/>
  </mergeCells>
  <phoneticPr fontId="0" type="noConversion"/>
  <pageMargins left="0.86614173228346458" right="0.74803149606299213" top="0.55118110236220474" bottom="0.9055118110236221" header="0" footer="0"/>
  <pageSetup scale="70" fitToHeight="12" orientation="landscape" horizontalDpi="1200" verticalDpi="1200" r:id="rId1"/>
  <headerFooter alignWithMargins="0">
    <oddHeader>&amp;LSEPT - 2004&amp;CDIRECTIVA D.B.S.A.
ORDINARIO&amp;R02-BS/0307/02
pag &amp;P de &amp;N</oddHeader>
  </headerFooter>
  <ignoredErrors>
    <ignoredError sqref="C46:C48 C56 C58 C50:C51" unlockedFormula="1"/>
    <ignoredError sqref="F88:I88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B51"/>
  <sheetViews>
    <sheetView zoomScale="130" zoomScaleNormal="130" workbookViewId="0">
      <selection activeCell="A58" sqref="A58"/>
    </sheetView>
  </sheetViews>
  <sheetFormatPr baseColWidth="10" defaultColWidth="11.44140625" defaultRowHeight="13.8"/>
  <cols>
    <col min="1" max="1" width="74.6640625" style="28" bestFit="1" customWidth="1"/>
    <col min="2" max="2" width="20.5546875" style="28" customWidth="1"/>
    <col min="3" max="16384" width="11.44140625" style="26"/>
  </cols>
  <sheetData>
    <row r="1" spans="1:2">
      <c r="A1" s="424"/>
      <c r="B1" s="424"/>
    </row>
    <row r="2" spans="1:2">
      <c r="A2" s="424"/>
      <c r="B2" s="424"/>
    </row>
    <row r="3" spans="1:2">
      <c r="A3" s="425" t="s">
        <v>181</v>
      </c>
      <c r="B3" s="425"/>
    </row>
    <row r="4" spans="1:2">
      <c r="A4" s="27"/>
    </row>
    <row r="6" spans="1:2" ht="21.75" customHeight="1">
      <c r="A6" s="88" t="s">
        <v>182</v>
      </c>
      <c r="B6" s="89" t="s">
        <v>4</v>
      </c>
    </row>
    <row r="7" spans="1:2" ht="25.5" customHeight="1">
      <c r="A7" s="30" t="s">
        <v>172</v>
      </c>
      <c r="B7" s="31">
        <f>SUM(B18+B8)</f>
        <v>0</v>
      </c>
    </row>
    <row r="8" spans="1:2">
      <c r="A8" s="87" t="s">
        <v>72</v>
      </c>
      <c r="B8" s="85">
        <f>SUM(B9:B17)</f>
        <v>0</v>
      </c>
    </row>
    <row r="9" spans="1:2">
      <c r="A9" s="32" t="s">
        <v>145</v>
      </c>
      <c r="B9" s="15"/>
    </row>
    <row r="10" spans="1:2">
      <c r="A10" s="32" t="s">
        <v>32</v>
      </c>
      <c r="B10" s="15">
        <v>0</v>
      </c>
    </row>
    <row r="11" spans="1:2">
      <c r="A11" s="32" t="s">
        <v>74</v>
      </c>
      <c r="B11" s="15">
        <v>0</v>
      </c>
    </row>
    <row r="12" spans="1:2">
      <c r="A12" s="32" t="s">
        <v>75</v>
      </c>
      <c r="B12" s="15">
        <v>0</v>
      </c>
    </row>
    <row r="13" spans="1:2">
      <c r="A13" s="32" t="s">
        <v>76</v>
      </c>
      <c r="B13" s="15">
        <v>0</v>
      </c>
    </row>
    <row r="14" spans="1:2">
      <c r="A14" s="32" t="s">
        <v>8</v>
      </c>
      <c r="B14" s="15">
        <v>0</v>
      </c>
    </row>
    <row r="15" spans="1:2">
      <c r="A15" s="32" t="s">
        <v>111</v>
      </c>
      <c r="B15" s="15">
        <v>0</v>
      </c>
    </row>
    <row r="16" spans="1:2">
      <c r="A16" s="32" t="s">
        <v>112</v>
      </c>
      <c r="B16" s="15">
        <v>0</v>
      </c>
    </row>
    <row r="17" spans="1:2">
      <c r="A17" s="32" t="s">
        <v>113</v>
      </c>
      <c r="B17" s="15">
        <v>0</v>
      </c>
    </row>
    <row r="18" spans="1:2">
      <c r="A18" s="41" t="s">
        <v>34</v>
      </c>
      <c r="B18" s="85">
        <f>SUM(B49:B51,B39:B47,B34:B37,B31:B32,B26:B29,B24,B22,B20)</f>
        <v>0</v>
      </c>
    </row>
    <row r="19" spans="1:2">
      <c r="A19" s="422" t="s">
        <v>35</v>
      </c>
      <c r="B19" s="423"/>
    </row>
    <row r="20" spans="1:2">
      <c r="A20" s="32" t="s">
        <v>36</v>
      </c>
      <c r="B20" s="15">
        <v>0</v>
      </c>
    </row>
    <row r="21" spans="1:2">
      <c r="A21" s="422" t="s">
        <v>37</v>
      </c>
      <c r="B21" s="423"/>
    </row>
    <row r="22" spans="1:2">
      <c r="A22" s="32" t="s">
        <v>114</v>
      </c>
      <c r="B22" s="15">
        <v>0</v>
      </c>
    </row>
    <row r="23" spans="1:2">
      <c r="A23" s="422" t="s">
        <v>38</v>
      </c>
      <c r="B23" s="423"/>
    </row>
    <row r="24" spans="1:2" s="29" customFormat="1">
      <c r="A24" s="33" t="s">
        <v>39</v>
      </c>
      <c r="B24" s="34">
        <v>0</v>
      </c>
    </row>
    <row r="25" spans="1:2">
      <c r="A25" s="426" t="s">
        <v>60</v>
      </c>
      <c r="B25" s="427"/>
    </row>
    <row r="26" spans="1:2">
      <c r="A26" s="32" t="s">
        <v>106</v>
      </c>
      <c r="B26" s="15">
        <v>0</v>
      </c>
    </row>
    <row r="27" spans="1:2">
      <c r="A27" s="32" t="s">
        <v>61</v>
      </c>
      <c r="B27" s="15">
        <v>0</v>
      </c>
    </row>
    <row r="28" spans="1:2">
      <c r="A28" s="32" t="s">
        <v>73</v>
      </c>
      <c r="B28" s="15">
        <v>0</v>
      </c>
    </row>
    <row r="29" spans="1:2">
      <c r="A29" s="32" t="s">
        <v>107</v>
      </c>
      <c r="B29" s="15">
        <v>0</v>
      </c>
    </row>
    <row r="30" spans="1:2">
      <c r="A30" s="426" t="s">
        <v>62</v>
      </c>
      <c r="B30" s="427"/>
    </row>
    <row r="31" spans="1:2">
      <c r="A31" s="32" t="s">
        <v>118</v>
      </c>
      <c r="B31" s="15">
        <v>0</v>
      </c>
    </row>
    <row r="32" spans="1:2">
      <c r="A32" s="25" t="s">
        <v>119</v>
      </c>
      <c r="B32" s="15"/>
    </row>
    <row r="33" spans="1:2">
      <c r="A33" s="422" t="s">
        <v>40</v>
      </c>
      <c r="B33" s="423"/>
    </row>
    <row r="34" spans="1:2">
      <c r="A34" s="32" t="s">
        <v>41</v>
      </c>
      <c r="B34" s="15">
        <v>0</v>
      </c>
    </row>
    <row r="35" spans="1:2">
      <c r="A35" s="32" t="s">
        <v>42</v>
      </c>
      <c r="B35" s="15">
        <v>0</v>
      </c>
    </row>
    <row r="36" spans="1:2">
      <c r="A36" s="32" t="s">
        <v>120</v>
      </c>
      <c r="B36" s="15">
        <v>0</v>
      </c>
    </row>
    <row r="37" spans="1:2">
      <c r="A37" s="32" t="s">
        <v>44</v>
      </c>
      <c r="B37" s="15">
        <v>0</v>
      </c>
    </row>
    <row r="38" spans="1:2">
      <c r="A38" s="422" t="s">
        <v>45</v>
      </c>
      <c r="B38" s="423"/>
    </row>
    <row r="39" spans="1:2">
      <c r="A39" s="32" t="s">
        <v>5</v>
      </c>
      <c r="B39" s="15">
        <v>0</v>
      </c>
    </row>
    <row r="40" spans="1:2">
      <c r="A40" s="32" t="s">
        <v>6</v>
      </c>
      <c r="B40" s="15">
        <v>0</v>
      </c>
    </row>
    <row r="41" spans="1:2">
      <c r="A41" s="32" t="s">
        <v>7</v>
      </c>
      <c r="B41" s="15">
        <v>0</v>
      </c>
    </row>
    <row r="42" spans="1:2">
      <c r="A42" s="32" t="s">
        <v>47</v>
      </c>
      <c r="B42" s="15">
        <v>0</v>
      </c>
    </row>
    <row r="43" spans="1:2">
      <c r="A43" s="32" t="s">
        <v>48</v>
      </c>
      <c r="B43" s="15">
        <v>0</v>
      </c>
    </row>
    <row r="44" spans="1:2">
      <c r="A44" s="32" t="s">
        <v>49</v>
      </c>
      <c r="B44" s="15">
        <v>0</v>
      </c>
    </row>
    <row r="45" spans="1:2">
      <c r="A45" s="32" t="s">
        <v>50</v>
      </c>
      <c r="B45" s="15">
        <v>0</v>
      </c>
    </row>
    <row r="46" spans="1:2">
      <c r="A46" s="32" t="s">
        <v>51</v>
      </c>
      <c r="B46" s="15">
        <v>0</v>
      </c>
    </row>
    <row r="47" spans="1:2">
      <c r="A47" s="32" t="s">
        <v>115</v>
      </c>
      <c r="B47" s="15">
        <v>0</v>
      </c>
    </row>
    <row r="48" spans="1:2">
      <c r="A48" s="426" t="s">
        <v>56</v>
      </c>
      <c r="B48" s="427"/>
    </row>
    <row r="49" spans="1:2">
      <c r="A49" s="32" t="s">
        <v>117</v>
      </c>
      <c r="B49" s="15">
        <v>0</v>
      </c>
    </row>
    <row r="50" spans="1:2">
      <c r="A50" s="32" t="s">
        <v>116</v>
      </c>
      <c r="B50" s="15">
        <v>0</v>
      </c>
    </row>
    <row r="51" spans="1:2">
      <c r="A51" s="32" t="s">
        <v>99</v>
      </c>
      <c r="B51" s="15">
        <v>0</v>
      </c>
    </row>
  </sheetData>
  <mergeCells count="11">
    <mergeCell ref="A25:B25"/>
    <mergeCell ref="A30:B30"/>
    <mergeCell ref="A33:B33"/>
    <mergeCell ref="A38:B38"/>
    <mergeCell ref="A48:B48"/>
    <mergeCell ref="A23:B23"/>
    <mergeCell ref="A1:B1"/>
    <mergeCell ref="A2:B2"/>
    <mergeCell ref="A3:B3"/>
    <mergeCell ref="A19:B19"/>
    <mergeCell ref="A21:B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>
    <tabColor theme="3" tint="0.39997558519241921"/>
    <pageSetUpPr fitToPage="1"/>
  </sheetPr>
  <dimension ref="B1:IN10"/>
  <sheetViews>
    <sheetView showGridLines="0" zoomScale="90" zoomScaleNormal="90" zoomScaleSheetLayoutView="75" workbookViewId="0">
      <selection activeCell="E20" sqref="E20"/>
    </sheetView>
  </sheetViews>
  <sheetFormatPr baseColWidth="10" defaultColWidth="11.44140625" defaultRowHeight="13.2"/>
  <cols>
    <col min="1" max="1" width="11.44140625" style="115"/>
    <col min="2" max="2" width="25.6640625" style="115" customWidth="1"/>
    <col min="3" max="3" width="18.88671875" style="115" customWidth="1"/>
    <col min="4" max="4" width="11.109375" style="115" bestFit="1" customWidth="1"/>
    <col min="5" max="5" width="11.5546875" style="115" bestFit="1" customWidth="1"/>
    <col min="6" max="6" width="12.88671875" style="115" customWidth="1"/>
    <col min="7" max="7" width="12.33203125" style="115" customWidth="1"/>
    <col min="8" max="8" width="11.109375" style="115" bestFit="1" customWidth="1"/>
    <col min="9" max="10" width="11.5546875" style="115" bestFit="1" customWidth="1"/>
    <col min="11" max="16384" width="11.44140625" style="115"/>
  </cols>
  <sheetData>
    <row r="1" spans="2:248"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</row>
    <row r="2" spans="2:248"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</row>
    <row r="3" spans="2:248" ht="26.25" customHeight="1">
      <c r="B3" s="431" t="s">
        <v>218</v>
      </c>
      <c r="C3" s="431"/>
      <c r="D3" s="431"/>
      <c r="E3" s="431"/>
      <c r="F3" s="431"/>
      <c r="G3" s="431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</row>
    <row r="4" spans="2:248" ht="18.75" customHeight="1">
      <c r="B4" s="432" t="s">
        <v>152</v>
      </c>
      <c r="C4" s="432"/>
      <c r="D4" s="432"/>
      <c r="E4" s="432"/>
      <c r="F4" s="432"/>
      <c r="G4" s="432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</row>
    <row r="5" spans="2:248" ht="12" customHeight="1" thickBot="1">
      <c r="E5" s="119"/>
      <c r="F5" s="120"/>
      <c r="G5" s="121"/>
      <c r="H5" s="121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</row>
    <row r="6" spans="2:248" ht="13.5" customHeight="1" thickBot="1">
      <c r="B6" s="433" t="s">
        <v>17</v>
      </c>
      <c r="C6" s="435" t="s">
        <v>25</v>
      </c>
      <c r="D6" s="437" t="s">
        <v>188</v>
      </c>
      <c r="E6" s="438"/>
      <c r="F6" s="438"/>
      <c r="G6" s="439"/>
      <c r="H6" s="391" t="s">
        <v>189</v>
      </c>
      <c r="I6" s="397"/>
      <c r="J6" s="397"/>
      <c r="K6" s="392"/>
    </row>
    <row r="7" spans="2:248" ht="42" thickBot="1">
      <c r="B7" s="434"/>
      <c r="C7" s="436"/>
      <c r="D7" s="145" t="s">
        <v>200</v>
      </c>
      <c r="E7" s="143" t="s">
        <v>190</v>
      </c>
      <c r="F7" s="142" t="s">
        <v>219</v>
      </c>
      <c r="G7" s="169" t="s">
        <v>220</v>
      </c>
      <c r="H7" s="144" t="s">
        <v>200</v>
      </c>
      <c r="I7" s="141" t="s">
        <v>190</v>
      </c>
      <c r="J7" s="140" t="s">
        <v>221</v>
      </c>
      <c r="K7" s="170" t="s">
        <v>220</v>
      </c>
    </row>
    <row r="8" spans="2:248" ht="45" customHeight="1" thickBot="1">
      <c r="B8" s="428" t="s">
        <v>292</v>
      </c>
      <c r="C8" s="162" t="s">
        <v>197</v>
      </c>
      <c r="D8" s="147">
        <f>+'Ap. 2 Ingresos C. Benef.'!D15</f>
        <v>46900</v>
      </c>
      <c r="E8" s="148">
        <f>+'Ap. 2 Ingresos C. Benef.'!E15</f>
        <v>56300</v>
      </c>
      <c r="F8" s="148">
        <f>+'Ap. 2 Ingresos C. Benef.'!F15</f>
        <v>73700</v>
      </c>
      <c r="G8" s="149">
        <f>+'Ap. 2 Ingresos C. Benef.'!G15</f>
        <v>87000</v>
      </c>
      <c r="H8" s="163">
        <f t="shared" ref="H8:K10" si="0">+D8</f>
        <v>46900</v>
      </c>
      <c r="I8" s="148">
        <f t="shared" si="0"/>
        <v>56300</v>
      </c>
      <c r="J8" s="148">
        <f t="shared" si="0"/>
        <v>73700</v>
      </c>
      <c r="K8" s="149">
        <f t="shared" si="0"/>
        <v>87000</v>
      </c>
    </row>
    <row r="9" spans="2:248" ht="45" customHeight="1" thickBot="1">
      <c r="B9" s="429"/>
      <c r="C9" s="161" t="s">
        <v>198</v>
      </c>
      <c r="D9" s="150">
        <f>+'Ap. 2 Ingresos C. Benef.'!D18</f>
        <v>0</v>
      </c>
      <c r="E9" s="136">
        <f>+'Ap. 2 Ingresos C. Benef.'!E18</f>
        <v>0</v>
      </c>
      <c r="F9" s="136">
        <f>+'Ap. 2 Ingresos C. Benef.'!F18</f>
        <v>0</v>
      </c>
      <c r="G9" s="151">
        <f>+'Ap. 2 Ingresos C. Benef.'!G18</f>
        <v>0</v>
      </c>
      <c r="H9" s="146">
        <f t="shared" si="0"/>
        <v>0</v>
      </c>
      <c r="I9" s="136">
        <f t="shared" si="0"/>
        <v>0</v>
      </c>
      <c r="J9" s="136">
        <f t="shared" si="0"/>
        <v>0</v>
      </c>
      <c r="K9" s="151">
        <f t="shared" si="0"/>
        <v>0</v>
      </c>
    </row>
    <row r="10" spans="2:248" ht="45" customHeight="1" thickBot="1">
      <c r="B10" s="430"/>
      <c r="C10" s="164" t="s">
        <v>199</v>
      </c>
      <c r="D10" s="165">
        <f>+'Ap. 2 Ingresos C. Benef.'!D21</f>
        <v>0</v>
      </c>
      <c r="E10" s="166">
        <f>+'Ap. 2 Ingresos C. Benef.'!E21</f>
        <v>0</v>
      </c>
      <c r="F10" s="166">
        <f>+'Ap. 2 Ingresos C. Benef.'!F21</f>
        <v>0</v>
      </c>
      <c r="G10" s="167">
        <f>+'Ap. 2 Ingresos C. Benef.'!G21</f>
        <v>0</v>
      </c>
      <c r="H10" s="168">
        <f t="shared" si="0"/>
        <v>0</v>
      </c>
      <c r="I10" s="166">
        <f t="shared" si="0"/>
        <v>0</v>
      </c>
      <c r="J10" s="166">
        <f t="shared" si="0"/>
        <v>0</v>
      </c>
      <c r="K10" s="167">
        <f t="shared" si="0"/>
        <v>0</v>
      </c>
    </row>
  </sheetData>
  <sheetProtection selectLockedCells="1" selectUnlockedCells="1"/>
  <mergeCells count="9">
    <mergeCell ref="B8:B10"/>
    <mergeCell ref="B1:K1"/>
    <mergeCell ref="B2:K2"/>
    <mergeCell ref="B3:G3"/>
    <mergeCell ref="B4:G4"/>
    <mergeCell ref="B6:B7"/>
    <mergeCell ref="C6:C7"/>
    <mergeCell ref="D6:G6"/>
    <mergeCell ref="H6:K6"/>
  </mergeCells>
  <phoneticPr fontId="0" type="noConversion"/>
  <pageMargins left="0.75" right="0.75" top="1" bottom="1" header="0" footer="0"/>
  <pageSetup scale="73" fitToHeight="14" orientation="landscape" horizontalDpi="4294967294" r:id="rId1"/>
  <headerFooter alignWithMargins="0">
    <oddHeader>&amp;LSEPT - 2004&amp;CDIRECTIVA D.B.S.A.
ORDINARIA&amp;R02-BS0307/02
Pag &amp;P de &amp;N/</oddHeader>
  </headerFooter>
  <ignoredErrors>
    <ignoredError sqref="K8:K10 J8:J10 I8:I10 H8:H10 G8:G10 F8:F10 E8:E10 D8:D1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2:U23"/>
  <sheetViews>
    <sheetView zoomScale="90" zoomScaleNormal="90" workbookViewId="0">
      <selection activeCell="F11" sqref="F11"/>
    </sheetView>
  </sheetViews>
  <sheetFormatPr baseColWidth="10" defaultColWidth="11.44140625" defaultRowHeight="13.2"/>
  <cols>
    <col min="1" max="1" width="5.5546875" style="26" customWidth="1"/>
    <col min="2" max="2" width="40" style="26" customWidth="1"/>
    <col min="3" max="3" width="29" style="26" customWidth="1"/>
    <col min="4" max="5" width="15.33203125" style="26" customWidth="1"/>
    <col min="6" max="6" width="13.88671875" style="26" customWidth="1"/>
    <col min="7" max="7" width="14" style="26" customWidth="1"/>
    <col min="8" max="8" width="16.6640625" style="26" customWidth="1"/>
    <col min="9" max="9" width="2.33203125" style="36" customWidth="1"/>
    <col min="10" max="10" width="21.33203125" style="26" customWidth="1"/>
    <col min="11" max="11" width="13" style="26" customWidth="1"/>
    <col min="12" max="12" width="16.33203125" style="26" bestFit="1" customWidth="1"/>
    <col min="13" max="13" width="11.44140625" style="26"/>
    <col min="14" max="14" width="16.33203125" style="26" bestFit="1" customWidth="1"/>
    <col min="15" max="15" width="12.109375" style="26" bestFit="1" customWidth="1"/>
    <col min="16" max="16" width="15" style="26" bestFit="1" customWidth="1"/>
    <col min="17" max="16384" width="11.44140625" style="26"/>
  </cols>
  <sheetData>
    <row r="2" spans="1:21" ht="24.75" customHeight="1">
      <c r="A2" s="445" t="s">
        <v>203</v>
      </c>
      <c r="B2" s="445"/>
      <c r="C2" s="445"/>
      <c r="D2" s="445"/>
      <c r="E2" s="445"/>
      <c r="F2" s="445"/>
      <c r="G2" s="445"/>
      <c r="H2" s="445"/>
      <c r="I2" s="63"/>
    </row>
    <row r="3" spans="1:21" ht="12.75" customHeight="1" thickBot="1">
      <c r="B3" s="63"/>
      <c r="C3" s="63"/>
      <c r="D3" s="63"/>
      <c r="E3" s="63"/>
      <c r="F3" s="63"/>
      <c r="G3" s="63"/>
      <c r="H3" s="63"/>
      <c r="I3" s="63"/>
    </row>
    <row r="4" spans="1:21" ht="51" customHeight="1" thickBot="1">
      <c r="A4" s="446" t="s">
        <v>148</v>
      </c>
      <c r="B4" s="446" t="s">
        <v>147</v>
      </c>
      <c r="C4" s="446" t="s">
        <v>143</v>
      </c>
      <c r="D4" s="447" t="s">
        <v>231</v>
      </c>
      <c r="E4" s="447" t="s">
        <v>230</v>
      </c>
      <c r="F4" s="442" t="s">
        <v>142</v>
      </c>
      <c r="G4" s="443" t="s">
        <v>121</v>
      </c>
      <c r="H4" s="53" t="s">
        <v>144</v>
      </c>
      <c r="I4" s="26"/>
      <c r="J4" s="76" t="s">
        <v>150</v>
      </c>
      <c r="K4" s="84">
        <f>+M4+O4+Q4</f>
        <v>7</v>
      </c>
      <c r="L4" s="76" t="s">
        <v>150</v>
      </c>
      <c r="M4" s="84">
        <v>1</v>
      </c>
      <c r="N4" s="76" t="s">
        <v>150</v>
      </c>
      <c r="O4" s="84">
        <v>4</v>
      </c>
      <c r="P4" s="76" t="s">
        <v>150</v>
      </c>
      <c r="Q4" s="84">
        <v>2</v>
      </c>
      <c r="R4" s="70"/>
      <c r="S4" s="70"/>
      <c r="T4" s="70"/>
      <c r="U4" s="70"/>
    </row>
    <row r="5" spans="1:21" ht="38.25" customHeight="1">
      <c r="A5" s="446"/>
      <c r="B5" s="446"/>
      <c r="C5" s="446"/>
      <c r="D5" s="448"/>
      <c r="E5" s="448"/>
      <c r="F5" s="442"/>
      <c r="G5" s="444"/>
      <c r="H5" s="174">
        <v>1.0449999999999999</v>
      </c>
      <c r="I5" s="70"/>
      <c r="J5" s="82" t="s">
        <v>149</v>
      </c>
      <c r="K5" s="440">
        <f>+M5+O5+Q5</f>
        <v>481000</v>
      </c>
      <c r="L5" s="82" t="s">
        <v>149</v>
      </c>
      <c r="M5" s="440">
        <f>+M4*L6</f>
        <v>49000</v>
      </c>
      <c r="N5" s="82" t="s">
        <v>149</v>
      </c>
      <c r="O5" s="440">
        <f>+O4*N6</f>
        <v>288000</v>
      </c>
      <c r="P5" s="82" t="s">
        <v>149</v>
      </c>
      <c r="Q5" s="440">
        <f>+Q4*P6</f>
        <v>144000</v>
      </c>
      <c r="R5" s="152"/>
      <c r="S5" s="153"/>
      <c r="T5" s="153"/>
      <c r="U5" s="70"/>
    </row>
    <row r="6" spans="1:21" ht="17.25" customHeight="1" thickBot="1">
      <c r="A6" s="73">
        <v>1</v>
      </c>
      <c r="B6" s="118" t="s">
        <v>222</v>
      </c>
      <c r="C6" s="118" t="s">
        <v>204</v>
      </c>
      <c r="D6" s="67"/>
      <c r="E6" s="67"/>
      <c r="F6" s="179">
        <v>790155</v>
      </c>
      <c r="G6" s="68">
        <f>F6*12</f>
        <v>9481860</v>
      </c>
      <c r="H6" s="68">
        <f>G6*H$5</f>
        <v>9908543.6999999993</v>
      </c>
      <c r="I6" s="71"/>
      <c r="J6" s="83"/>
      <c r="K6" s="441"/>
      <c r="L6" s="83">
        <v>49000</v>
      </c>
      <c r="M6" s="441"/>
      <c r="N6" s="83">
        <v>72000</v>
      </c>
      <c r="O6" s="441"/>
      <c r="P6" s="83">
        <v>72000</v>
      </c>
      <c r="Q6" s="441"/>
      <c r="R6" s="152"/>
      <c r="S6" s="153"/>
      <c r="T6" s="153"/>
      <c r="U6" s="70"/>
    </row>
    <row r="7" spans="1:21" ht="17.25" customHeight="1">
      <c r="A7" s="73">
        <f>A6+1</f>
        <v>2</v>
      </c>
      <c r="B7" s="116" t="s">
        <v>227</v>
      </c>
      <c r="C7" s="116" t="s">
        <v>223</v>
      </c>
      <c r="D7" s="65"/>
      <c r="E7" s="178"/>
      <c r="F7" s="65">
        <v>325692</v>
      </c>
      <c r="G7" s="68">
        <f>F7*12</f>
        <v>3908304</v>
      </c>
      <c r="H7" s="68">
        <f t="shared" ref="H7:H11" si="0">G7*H$5</f>
        <v>4084177.6799999997</v>
      </c>
      <c r="I7" s="66"/>
      <c r="J7" s="82" t="s">
        <v>124</v>
      </c>
      <c r="K7" s="440">
        <f>+M7+O7+Q7</f>
        <v>555000</v>
      </c>
      <c r="L7" s="82" t="s">
        <v>124</v>
      </c>
      <c r="M7" s="440">
        <f>+M4*L8</f>
        <v>111000</v>
      </c>
      <c r="N7" s="82" t="s">
        <v>124</v>
      </c>
      <c r="O7" s="440">
        <f>+O4*N8</f>
        <v>444000</v>
      </c>
      <c r="P7" s="82" t="s">
        <v>124</v>
      </c>
      <c r="Q7" s="440">
        <v>0</v>
      </c>
      <c r="R7" s="152"/>
      <c r="S7" s="153"/>
      <c r="T7" s="153"/>
      <c r="U7" s="70"/>
    </row>
    <row r="8" spans="1:21" ht="17.25" customHeight="1" thickBot="1">
      <c r="A8" s="73">
        <f>A7+1</f>
        <v>3</v>
      </c>
      <c r="B8" s="116" t="s">
        <v>225</v>
      </c>
      <c r="C8" s="116" t="s">
        <v>223</v>
      </c>
      <c r="D8" s="65"/>
      <c r="E8" s="65"/>
      <c r="F8" s="65">
        <v>316788</v>
      </c>
      <c r="G8" s="68">
        <f t="shared" ref="G8:G12" si="1">F8*12</f>
        <v>3801456</v>
      </c>
      <c r="H8" s="68">
        <f t="shared" si="0"/>
        <v>3972521.5199999996</v>
      </c>
      <c r="I8" s="66"/>
      <c r="J8" s="83"/>
      <c r="K8" s="441"/>
      <c r="L8" s="83">
        <v>111000</v>
      </c>
      <c r="M8" s="441"/>
      <c r="N8" s="83">
        <v>111000</v>
      </c>
      <c r="O8" s="441"/>
      <c r="P8" s="83">
        <v>111000</v>
      </c>
      <c r="Q8" s="441"/>
      <c r="R8" s="152"/>
      <c r="S8" s="153"/>
      <c r="T8" s="153"/>
      <c r="U8" s="70"/>
    </row>
    <row r="9" spans="1:21" ht="17.25" customHeight="1">
      <c r="A9" s="73">
        <v>4</v>
      </c>
      <c r="B9" s="116" t="s">
        <v>226</v>
      </c>
      <c r="C9" s="116" t="s">
        <v>223</v>
      </c>
      <c r="D9" s="65"/>
      <c r="E9" s="65"/>
      <c r="F9" s="65">
        <v>316788</v>
      </c>
      <c r="G9" s="68">
        <f>F9*12</f>
        <v>3801456</v>
      </c>
      <c r="H9" s="68">
        <f t="shared" si="0"/>
        <v>3972521.5199999996</v>
      </c>
      <c r="I9" s="66"/>
      <c r="J9" s="171"/>
      <c r="K9" s="172"/>
      <c r="L9" s="171"/>
      <c r="M9" s="172"/>
      <c r="N9" s="171"/>
      <c r="O9" s="172"/>
      <c r="P9" s="171"/>
      <c r="Q9" s="172"/>
      <c r="R9" s="152"/>
      <c r="S9" s="153"/>
      <c r="T9" s="153"/>
      <c r="U9" s="70"/>
    </row>
    <row r="10" spans="1:21" ht="17.25" customHeight="1">
      <c r="A10" s="73">
        <v>5</v>
      </c>
      <c r="B10" s="116" t="s">
        <v>224</v>
      </c>
      <c r="C10" s="116" t="s">
        <v>223</v>
      </c>
      <c r="D10" s="65"/>
      <c r="E10" s="65"/>
      <c r="F10" s="65">
        <v>325692</v>
      </c>
      <c r="G10" s="68">
        <f>F10*12</f>
        <v>3908304</v>
      </c>
      <c r="H10" s="68">
        <f t="shared" si="0"/>
        <v>4084177.6799999997</v>
      </c>
      <c r="I10" s="66"/>
      <c r="J10" s="171"/>
      <c r="K10" s="172"/>
      <c r="L10" s="171"/>
      <c r="M10" s="172"/>
      <c r="N10" s="171"/>
      <c r="O10" s="172"/>
      <c r="P10" s="171"/>
      <c r="Q10" s="172"/>
      <c r="R10" s="152"/>
      <c r="S10" s="153"/>
      <c r="T10" s="153"/>
      <c r="U10" s="70"/>
    </row>
    <row r="11" spans="1:21" ht="17.25" customHeight="1" thickBot="1">
      <c r="A11" s="73">
        <v>6</v>
      </c>
      <c r="B11" s="64" t="s">
        <v>228</v>
      </c>
      <c r="C11" s="116" t="s">
        <v>223</v>
      </c>
      <c r="D11" s="65"/>
      <c r="E11" s="65"/>
      <c r="F11" s="197">
        <v>316788</v>
      </c>
      <c r="G11" s="68">
        <f>F11*12</f>
        <v>3801456</v>
      </c>
      <c r="H11" s="68">
        <f t="shared" si="0"/>
        <v>3972521.5199999996</v>
      </c>
      <c r="I11" s="66"/>
      <c r="J11" s="171"/>
      <c r="K11" s="172"/>
      <c r="L11" s="171"/>
      <c r="M11" s="172"/>
      <c r="N11" s="171"/>
      <c r="O11" s="172"/>
      <c r="P11" s="171"/>
      <c r="Q11" s="172"/>
      <c r="R11" s="152"/>
      <c r="S11" s="153"/>
      <c r="T11" s="153"/>
      <c r="U11" s="70"/>
    </row>
    <row r="12" spans="1:21" ht="17.25" customHeight="1">
      <c r="A12" s="73">
        <v>7</v>
      </c>
      <c r="B12" s="64" t="s">
        <v>228</v>
      </c>
      <c r="C12" s="116" t="s">
        <v>223</v>
      </c>
      <c r="D12" s="65"/>
      <c r="E12" s="65"/>
      <c r="F12" s="65">
        <v>316788</v>
      </c>
      <c r="G12" s="68">
        <f t="shared" si="1"/>
        <v>3801456</v>
      </c>
      <c r="H12" s="68">
        <f t="shared" ref="H12" si="2">G12*H$5</f>
        <v>3972521.5199999996</v>
      </c>
      <c r="I12" s="66"/>
      <c r="J12" s="82" t="s">
        <v>122</v>
      </c>
      <c r="K12" s="440">
        <f>+M12+O12+Q12</f>
        <v>1031000</v>
      </c>
      <c r="L12" s="82" t="s">
        <v>122</v>
      </c>
      <c r="M12" s="440">
        <f>+M4*L13</f>
        <v>115000</v>
      </c>
      <c r="N12" s="82" t="s">
        <v>122</v>
      </c>
      <c r="O12" s="440">
        <f>+O4*N13</f>
        <v>916000</v>
      </c>
      <c r="P12" s="82" t="s">
        <v>122</v>
      </c>
      <c r="Q12" s="440">
        <v>0</v>
      </c>
      <c r="R12" s="70"/>
      <c r="S12" s="70"/>
      <c r="T12" s="70"/>
      <c r="U12" s="70"/>
    </row>
    <row r="13" spans="1:21" ht="17.25" customHeight="1" thickBot="1">
      <c r="A13" s="73">
        <v>8</v>
      </c>
      <c r="B13" s="64" t="s">
        <v>234</v>
      </c>
      <c r="C13" s="117" t="s">
        <v>235</v>
      </c>
      <c r="D13" s="67">
        <f>+C13*C15*H5</f>
        <v>209000</v>
      </c>
      <c r="E13" s="67"/>
      <c r="F13" s="79"/>
      <c r="G13" s="80"/>
      <c r="H13" s="80"/>
      <c r="I13" s="66"/>
      <c r="J13" s="83"/>
      <c r="K13" s="441"/>
      <c r="L13" s="83">
        <v>115000</v>
      </c>
      <c r="M13" s="441"/>
      <c r="N13" s="83">
        <v>229000</v>
      </c>
      <c r="O13" s="441"/>
      <c r="P13" s="83">
        <v>229000</v>
      </c>
      <c r="Q13" s="441"/>
      <c r="R13" s="70"/>
      <c r="S13" s="70"/>
      <c r="T13" s="70"/>
      <c r="U13" s="70"/>
    </row>
    <row r="14" spans="1:21" ht="32.25" customHeight="1" thickBot="1">
      <c r="C14" s="175" t="s">
        <v>146</v>
      </c>
      <c r="D14" s="81">
        <f t="shared" ref="D14:E14" si="3">SUM(D6:D13)</f>
        <v>209000</v>
      </c>
      <c r="E14" s="81">
        <f t="shared" si="3"/>
        <v>0</v>
      </c>
      <c r="F14" s="176"/>
      <c r="G14" s="177"/>
      <c r="H14" s="81">
        <f>SUM(H6:H13)</f>
        <v>33966985.140000001</v>
      </c>
      <c r="J14" s="78" t="s">
        <v>151</v>
      </c>
      <c r="K14" s="77">
        <f>SUM(K5:K13)</f>
        <v>2067000</v>
      </c>
      <c r="L14" s="78" t="s">
        <v>151</v>
      </c>
      <c r="M14" s="77">
        <f>+M5+M7+M12</f>
        <v>275000</v>
      </c>
      <c r="N14" s="78" t="s">
        <v>151</v>
      </c>
      <c r="O14" s="77">
        <f>+O5+O7+O12</f>
        <v>1648000</v>
      </c>
      <c r="P14" s="78" t="s">
        <v>151</v>
      </c>
      <c r="Q14" s="77">
        <f>+Q5+Q7+Q12</f>
        <v>144000</v>
      </c>
      <c r="R14" s="70"/>
      <c r="S14" s="70"/>
      <c r="T14" s="70"/>
      <c r="U14" s="70"/>
    </row>
    <row r="15" spans="1:21" ht="39.75" customHeight="1">
      <c r="B15" s="64" t="s">
        <v>236</v>
      </c>
      <c r="C15" s="26">
        <v>20000</v>
      </c>
      <c r="K15" s="26">
        <v>2884000</v>
      </c>
    </row>
    <row r="16" spans="1:21" ht="22.5" customHeight="1">
      <c r="C16" s="60"/>
      <c r="D16" s="60"/>
      <c r="E16" s="60"/>
      <c r="F16" s="60">
        <v>790155</v>
      </c>
      <c r="G16" s="60"/>
      <c r="H16" s="74"/>
    </row>
    <row r="17" spans="8:9" ht="22.5" customHeight="1">
      <c r="H17" s="36"/>
      <c r="I17" s="26"/>
    </row>
    <row r="18" spans="8:9" ht="30.75" customHeight="1">
      <c r="H18" s="36"/>
      <c r="I18" s="26"/>
    </row>
    <row r="19" spans="8:9" ht="12.75" customHeight="1">
      <c r="H19" s="36"/>
      <c r="I19" s="26"/>
    </row>
    <row r="20" spans="8:9" ht="12.75" customHeight="1">
      <c r="H20" s="57"/>
    </row>
    <row r="21" spans="8:9" ht="12.75" customHeight="1">
      <c r="H21" s="57"/>
    </row>
    <row r="22" spans="8:9" ht="12.75" customHeight="1">
      <c r="H22" s="57"/>
    </row>
    <row r="23" spans="8:9" ht="22.5" customHeight="1"/>
  </sheetData>
  <mergeCells count="20">
    <mergeCell ref="A2:H2"/>
    <mergeCell ref="B4:B5"/>
    <mergeCell ref="C4:C5"/>
    <mergeCell ref="A4:A5"/>
    <mergeCell ref="D4:D5"/>
    <mergeCell ref="E4:E5"/>
    <mergeCell ref="K5:K6"/>
    <mergeCell ref="F4:F5"/>
    <mergeCell ref="G4:G5"/>
    <mergeCell ref="K7:K8"/>
    <mergeCell ref="K12:K13"/>
    <mergeCell ref="M12:M13"/>
    <mergeCell ref="O12:O13"/>
    <mergeCell ref="Q12:Q13"/>
    <mergeCell ref="M5:M6"/>
    <mergeCell ref="O5:O6"/>
    <mergeCell ref="Q5:Q6"/>
    <mergeCell ref="M7:M8"/>
    <mergeCell ref="O7:O8"/>
    <mergeCell ref="Q7:Q8"/>
  </mergeCells>
  <hyperlinks>
    <hyperlink ref="A2:H2" location="'Ap. 3 Costos Directos'!A1" display="CENTRO DE COSTO:JARDÍN INFANTIL XXX"/>
  </hyperlink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2:F15"/>
  <sheetViews>
    <sheetView zoomScale="110" zoomScaleNormal="110" workbookViewId="0">
      <selection activeCell="E11" sqref="E11"/>
    </sheetView>
  </sheetViews>
  <sheetFormatPr baseColWidth="10" defaultColWidth="11.44140625" defaultRowHeight="13.8"/>
  <cols>
    <col min="1" max="1" width="11.44140625" style="138"/>
    <col min="2" max="2" width="35" style="138" customWidth="1"/>
    <col min="3" max="3" width="24.44140625" style="138" customWidth="1"/>
    <col min="4" max="4" width="25.33203125" style="138" customWidth="1"/>
    <col min="5" max="5" width="26.33203125" style="138" customWidth="1"/>
    <col min="6" max="6" width="21.44140625" style="138" customWidth="1"/>
    <col min="7" max="16384" width="11.44140625" style="138"/>
  </cols>
  <sheetData>
    <row r="2" spans="1:6" ht="12" customHeight="1">
      <c r="A2" s="445" t="s">
        <v>186</v>
      </c>
      <c r="B2" s="445"/>
      <c r="C2" s="445"/>
      <c r="D2" s="445"/>
      <c r="E2" s="445"/>
      <c r="F2" s="445"/>
    </row>
    <row r="3" spans="1:6" ht="31.5" customHeight="1">
      <c r="A3" s="445"/>
      <c r="B3" s="445"/>
      <c r="C3" s="445"/>
      <c r="D3" s="445"/>
      <c r="E3" s="445"/>
      <c r="F3" s="445"/>
    </row>
    <row r="4" spans="1:6" ht="11.25" customHeight="1"/>
    <row r="5" spans="1:6" ht="25.5" customHeight="1">
      <c r="A5" s="450" t="s">
        <v>123</v>
      </c>
      <c r="B5" s="451"/>
      <c r="C5" s="156" t="s">
        <v>207</v>
      </c>
      <c r="D5" s="156" t="s">
        <v>209</v>
      </c>
      <c r="E5" s="156" t="s">
        <v>237</v>
      </c>
      <c r="F5" s="454" t="s">
        <v>168</v>
      </c>
    </row>
    <row r="6" spans="1:6" ht="25.5" customHeight="1">
      <c r="A6" s="452"/>
      <c r="B6" s="453"/>
      <c r="C6" s="101" t="s">
        <v>208</v>
      </c>
      <c r="D6" s="101" t="s">
        <v>210</v>
      </c>
      <c r="E6" s="157">
        <v>1.0449999999999999</v>
      </c>
      <c r="F6" s="455"/>
    </row>
    <row r="7" spans="1:6" s="160" customFormat="1" ht="20.100000000000001" customHeight="1">
      <c r="A7" s="449" t="s">
        <v>46</v>
      </c>
      <c r="B7" s="449"/>
      <c r="C7" s="158">
        <v>1145350</v>
      </c>
      <c r="D7" s="158">
        <f>540053/7*12</f>
        <v>925805.14285714272</v>
      </c>
      <c r="E7" s="158">
        <f>D7*E$6</f>
        <v>967466.37428571412</v>
      </c>
      <c r="F7" s="159">
        <f>+E7</f>
        <v>967466.37428571412</v>
      </c>
    </row>
    <row r="8" spans="1:6" s="160" customFormat="1" ht="20.100000000000001" customHeight="1">
      <c r="A8" s="449" t="s">
        <v>5</v>
      </c>
      <c r="B8" s="449"/>
      <c r="C8" s="158">
        <v>358826</v>
      </c>
      <c r="D8" s="158">
        <f>207079/7*12</f>
        <v>354992.57142857142</v>
      </c>
      <c r="E8" s="158">
        <f t="shared" ref="E8:E15" si="0">D8*E$6</f>
        <v>370967.23714285711</v>
      </c>
      <c r="F8" s="159">
        <f t="shared" ref="F8:F15" si="1">+E8</f>
        <v>370967.23714285711</v>
      </c>
    </row>
    <row r="9" spans="1:6" s="160" customFormat="1" ht="20.100000000000001" customHeight="1">
      <c r="A9" s="449" t="s">
        <v>7</v>
      </c>
      <c r="B9" s="449"/>
      <c r="C9" s="158">
        <v>1356467</v>
      </c>
      <c r="D9" s="158">
        <f>529374/7*12</f>
        <v>907498.28571428568</v>
      </c>
      <c r="E9" s="158">
        <f t="shared" si="0"/>
        <v>948335.70857142843</v>
      </c>
      <c r="F9" s="159">
        <f t="shared" si="1"/>
        <v>948335.70857142843</v>
      </c>
    </row>
    <row r="10" spans="1:6" s="160" customFormat="1" ht="20.100000000000001" customHeight="1">
      <c r="A10" s="449" t="s">
        <v>47</v>
      </c>
      <c r="B10" s="449"/>
      <c r="C10" s="158">
        <v>0</v>
      </c>
      <c r="D10" s="158">
        <v>0</v>
      </c>
      <c r="E10" s="158">
        <f t="shared" si="0"/>
        <v>0</v>
      </c>
      <c r="F10" s="159">
        <f t="shared" si="1"/>
        <v>0</v>
      </c>
    </row>
    <row r="11" spans="1:6" s="160" customFormat="1" ht="20.100000000000001" customHeight="1">
      <c r="A11" s="449" t="s">
        <v>48</v>
      </c>
      <c r="B11" s="449"/>
      <c r="C11" s="158">
        <v>0</v>
      </c>
      <c r="D11" s="158">
        <v>0</v>
      </c>
      <c r="E11" s="158">
        <f t="shared" si="0"/>
        <v>0</v>
      </c>
      <c r="F11" s="159">
        <f t="shared" si="1"/>
        <v>0</v>
      </c>
    </row>
    <row r="12" spans="1:6" s="160" customFormat="1" ht="20.100000000000001" customHeight="1">
      <c r="A12" s="449" t="s">
        <v>49</v>
      </c>
      <c r="B12" s="449"/>
      <c r="C12" s="158">
        <v>0</v>
      </c>
      <c r="D12" s="158">
        <v>0</v>
      </c>
      <c r="E12" s="158">
        <f t="shared" si="0"/>
        <v>0</v>
      </c>
      <c r="F12" s="159">
        <f t="shared" si="1"/>
        <v>0</v>
      </c>
    </row>
    <row r="13" spans="1:6" s="160" customFormat="1" ht="20.100000000000001" customHeight="1">
      <c r="A13" s="449" t="s">
        <v>50</v>
      </c>
      <c r="B13" s="449"/>
      <c r="C13" s="158">
        <v>461271</v>
      </c>
      <c r="D13" s="158">
        <f>174128/7*12</f>
        <v>298505.14285714284</v>
      </c>
      <c r="E13" s="158">
        <f t="shared" si="0"/>
        <v>311937.87428571424</v>
      </c>
      <c r="F13" s="159">
        <f t="shared" si="1"/>
        <v>311937.87428571424</v>
      </c>
    </row>
    <row r="14" spans="1:6" s="160" customFormat="1" ht="20.100000000000001" customHeight="1">
      <c r="A14" s="449" t="s">
        <v>92</v>
      </c>
      <c r="B14" s="449"/>
      <c r="C14" s="158">
        <v>0</v>
      </c>
      <c r="D14" s="158">
        <v>0</v>
      </c>
      <c r="E14" s="158">
        <f t="shared" si="0"/>
        <v>0</v>
      </c>
      <c r="F14" s="159">
        <f t="shared" si="1"/>
        <v>0</v>
      </c>
    </row>
    <row r="15" spans="1:6" s="160" customFormat="1" ht="20.100000000000001" customHeight="1">
      <c r="A15" s="449" t="s">
        <v>93</v>
      </c>
      <c r="B15" s="449"/>
      <c r="C15" s="158">
        <v>0</v>
      </c>
      <c r="D15" s="158">
        <v>0</v>
      </c>
      <c r="E15" s="158">
        <f t="shared" si="0"/>
        <v>0</v>
      </c>
      <c r="F15" s="159">
        <f t="shared" si="1"/>
        <v>0</v>
      </c>
    </row>
  </sheetData>
  <mergeCells count="12">
    <mergeCell ref="A13:B13"/>
    <mergeCell ref="A14:B14"/>
    <mergeCell ref="A15:B15"/>
    <mergeCell ref="A2:F3"/>
    <mergeCell ref="A5:B6"/>
    <mergeCell ref="F5:F6"/>
    <mergeCell ref="A7:B7"/>
    <mergeCell ref="A8:B8"/>
    <mergeCell ref="A9:B9"/>
    <mergeCell ref="A10:B10"/>
    <mergeCell ref="A11:B11"/>
    <mergeCell ref="A12:B12"/>
  </mergeCells>
  <hyperlinks>
    <hyperlink ref="A2:F3" location="'Ap. 3 Costos Directos'!A1" display="JARDÍN INFANTIL XXX"/>
  </hyperlink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2:K14"/>
  <sheetViews>
    <sheetView topLeftCell="B1" zoomScale="110" zoomScaleNormal="110" workbookViewId="0">
      <selection activeCell="D12" sqref="B12:D12"/>
    </sheetView>
  </sheetViews>
  <sheetFormatPr baseColWidth="10" defaultColWidth="11.44140625" defaultRowHeight="13.2"/>
  <cols>
    <col min="1" max="1" width="54.6640625" style="26" customWidth="1"/>
    <col min="2" max="2" width="39.33203125" style="26" customWidth="1"/>
    <col min="3" max="3" width="15.109375" style="26" customWidth="1"/>
    <col min="4" max="4" width="12.5546875" style="26" customWidth="1"/>
    <col min="5" max="5" width="15.109375" style="26" customWidth="1"/>
    <col min="6" max="6" width="23" style="26" customWidth="1"/>
    <col min="7" max="7" width="11.44140625" style="26"/>
    <col min="8" max="8" width="18.6640625" style="26" customWidth="1"/>
    <col min="9" max="16384" width="11.44140625" style="26"/>
  </cols>
  <sheetData>
    <row r="2" spans="1:11">
      <c r="A2" s="445" t="s">
        <v>186</v>
      </c>
      <c r="B2" s="445"/>
      <c r="C2" s="445"/>
      <c r="D2" s="445"/>
      <c r="E2" s="445"/>
      <c r="F2" s="445"/>
    </row>
    <row r="3" spans="1:11" s="90" customFormat="1">
      <c r="A3" s="445"/>
      <c r="B3" s="445"/>
      <c r="C3" s="445"/>
      <c r="D3" s="445"/>
      <c r="E3" s="445"/>
      <c r="F3" s="445"/>
    </row>
    <row r="4" spans="1:11" s="90" customFormat="1">
      <c r="A4" s="26"/>
      <c r="B4" s="26"/>
      <c r="C4" s="26"/>
      <c r="D4" s="26"/>
      <c r="E4" s="26"/>
      <c r="F4" s="26"/>
      <c r="G4" s="26"/>
    </row>
    <row r="5" spans="1:11" s="96" customFormat="1" ht="33" customHeight="1">
      <c r="A5" s="53" t="s">
        <v>153</v>
      </c>
      <c r="B5" s="53" t="s">
        <v>154</v>
      </c>
      <c r="C5" s="53" t="s">
        <v>130</v>
      </c>
      <c r="D5" s="54" t="s">
        <v>161</v>
      </c>
      <c r="E5" s="54" t="s">
        <v>160</v>
      </c>
      <c r="F5" s="53" t="s">
        <v>131</v>
      </c>
      <c r="H5" s="75" t="s">
        <v>159</v>
      </c>
    </row>
    <row r="6" spans="1:11" ht="21" customHeight="1">
      <c r="A6" s="189" t="s">
        <v>125</v>
      </c>
      <c r="B6" s="193" t="s">
        <v>239</v>
      </c>
      <c r="C6" s="181">
        <v>1</v>
      </c>
      <c r="D6" s="182">
        <v>6000000</v>
      </c>
      <c r="E6" s="183">
        <f>D6*C6</f>
        <v>6000000</v>
      </c>
      <c r="F6" s="190"/>
      <c r="H6" s="97" t="s">
        <v>155</v>
      </c>
      <c r="J6" s="52"/>
      <c r="K6" s="52"/>
    </row>
    <row r="7" spans="1:11" ht="21" customHeight="1">
      <c r="A7" s="191" t="s">
        <v>211</v>
      </c>
      <c r="B7" s="194" t="s">
        <v>229</v>
      </c>
      <c r="C7" s="184">
        <v>1</v>
      </c>
      <c r="D7" s="185">
        <v>260000</v>
      </c>
      <c r="E7" s="183">
        <f t="shared" ref="E7:E12" si="0">D7*C7</f>
        <v>260000</v>
      </c>
      <c r="F7" s="190"/>
      <c r="H7" s="97" t="s">
        <v>156</v>
      </c>
      <c r="J7" s="52"/>
      <c r="K7" s="52"/>
    </row>
    <row r="8" spans="1:11" ht="21" customHeight="1">
      <c r="A8" s="191" t="s">
        <v>126</v>
      </c>
      <c r="B8" s="194"/>
      <c r="C8" s="184">
        <v>0</v>
      </c>
      <c r="D8" s="185">
        <v>0</v>
      </c>
      <c r="E8" s="183">
        <f t="shared" si="0"/>
        <v>0</v>
      </c>
      <c r="F8" s="190"/>
      <c r="H8" s="97" t="s">
        <v>157</v>
      </c>
      <c r="J8" s="52"/>
      <c r="K8" s="52"/>
    </row>
    <row r="9" spans="1:11" ht="21" customHeight="1">
      <c r="A9" s="191" t="s">
        <v>127</v>
      </c>
      <c r="B9" s="194"/>
      <c r="C9" s="184">
        <v>1</v>
      </c>
      <c r="D9" s="185"/>
      <c r="E9" s="183">
        <f t="shared" si="0"/>
        <v>0</v>
      </c>
      <c r="F9" s="190"/>
      <c r="H9" s="97" t="s">
        <v>158</v>
      </c>
      <c r="J9" s="52"/>
      <c r="K9" s="52"/>
    </row>
    <row r="10" spans="1:11" ht="30" customHeight="1">
      <c r="A10" s="191" t="s">
        <v>128</v>
      </c>
      <c r="B10" s="195" t="s">
        <v>241</v>
      </c>
      <c r="C10" s="184">
        <v>1</v>
      </c>
      <c r="D10" s="185">
        <v>1350000</v>
      </c>
      <c r="E10" s="183">
        <f t="shared" si="0"/>
        <v>1350000</v>
      </c>
      <c r="F10" s="190"/>
      <c r="H10" s="97" t="s">
        <v>164</v>
      </c>
      <c r="J10" s="52"/>
      <c r="K10" s="52"/>
    </row>
    <row r="11" spans="1:11" ht="21" customHeight="1">
      <c r="A11" s="191" t="s">
        <v>129</v>
      </c>
      <c r="B11" s="194" t="s">
        <v>212</v>
      </c>
      <c r="C11" s="184">
        <v>0</v>
      </c>
      <c r="D11" s="185">
        <v>0</v>
      </c>
      <c r="E11" s="183">
        <f t="shared" si="0"/>
        <v>0</v>
      </c>
      <c r="F11" s="190"/>
    </row>
    <row r="12" spans="1:11" ht="21" customHeight="1" thickBot="1">
      <c r="A12" s="192" t="s">
        <v>96</v>
      </c>
      <c r="B12" s="196" t="s">
        <v>240</v>
      </c>
      <c r="C12" s="186">
        <v>1</v>
      </c>
      <c r="D12" s="187">
        <v>420000</v>
      </c>
      <c r="E12" s="188">
        <f t="shared" si="0"/>
        <v>420000</v>
      </c>
      <c r="F12" s="190"/>
    </row>
    <row r="13" spans="1:11" ht="30.75" customHeight="1" thickBot="1">
      <c r="C13" s="456" t="s">
        <v>162</v>
      </c>
      <c r="D13" s="457"/>
      <c r="E13" s="103">
        <f>SUM(E6:E12)</f>
        <v>8030000</v>
      </c>
    </row>
    <row r="14" spans="1:11">
      <c r="A14" s="93"/>
      <c r="B14" s="93"/>
      <c r="C14" s="94"/>
      <c r="D14" s="95"/>
      <c r="E14" s="95"/>
      <c r="F14" s="93"/>
    </row>
  </sheetData>
  <mergeCells count="2">
    <mergeCell ref="A2:F3"/>
    <mergeCell ref="C13:D13"/>
  </mergeCells>
  <hyperlinks>
    <hyperlink ref="A2:F3" location="'Ap. 3 Costos Directos'!A1" display="JARDÍN INFANTIL XXX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2:H12"/>
  <sheetViews>
    <sheetView topLeftCell="B1" zoomScale="110" zoomScaleNormal="110" workbookViewId="0">
      <selection activeCell="E9" sqref="E9"/>
    </sheetView>
  </sheetViews>
  <sheetFormatPr baseColWidth="10" defaultColWidth="11.44140625" defaultRowHeight="13.2"/>
  <cols>
    <col min="1" max="1" width="30.5546875" style="26" customWidth="1"/>
    <col min="2" max="2" width="41.33203125" style="26" customWidth="1"/>
    <col min="3" max="3" width="13.5546875" style="26" customWidth="1"/>
    <col min="4" max="4" width="17.109375" style="26" customWidth="1"/>
    <col min="5" max="5" width="19.5546875" style="26" customWidth="1"/>
    <col min="6" max="6" width="25.109375" style="26" customWidth="1"/>
    <col min="7" max="7" width="3.109375" style="70" customWidth="1"/>
    <col min="8" max="8" width="20.6640625" style="26" customWidth="1"/>
    <col min="9" max="16384" width="11.44140625" style="26"/>
  </cols>
  <sheetData>
    <row r="2" spans="1:8" ht="25.5" customHeight="1">
      <c r="A2" s="445" t="s">
        <v>186</v>
      </c>
      <c r="B2" s="445"/>
      <c r="C2" s="445"/>
      <c r="D2" s="445"/>
      <c r="E2" s="445"/>
      <c r="F2" s="445"/>
    </row>
    <row r="3" spans="1:8" ht="6.75" customHeight="1"/>
    <row r="4" spans="1:8" s="72" customFormat="1" ht="32.25" customHeight="1">
      <c r="A4" s="99" t="s">
        <v>64</v>
      </c>
      <c r="B4" s="101" t="s">
        <v>132</v>
      </c>
      <c r="C4" s="101" t="s">
        <v>130</v>
      </c>
      <c r="D4" s="102" t="s">
        <v>161</v>
      </c>
      <c r="E4" s="102" t="s">
        <v>160</v>
      </c>
      <c r="F4" s="101" t="s">
        <v>131</v>
      </c>
      <c r="G4" s="57"/>
      <c r="H4" s="75" t="s">
        <v>159</v>
      </c>
    </row>
    <row r="5" spans="1:8" ht="21" customHeight="1">
      <c r="A5" s="198" t="s">
        <v>215</v>
      </c>
      <c r="B5" s="97" t="s">
        <v>213</v>
      </c>
      <c r="C5" s="199">
        <v>0.25</v>
      </c>
      <c r="D5" s="182">
        <v>3800000</v>
      </c>
      <c r="E5" s="183">
        <f>D5*C5</f>
        <v>950000</v>
      </c>
      <c r="F5" s="200"/>
      <c r="G5" s="100"/>
      <c r="H5" s="97" t="s">
        <v>155</v>
      </c>
    </row>
    <row r="6" spans="1:8" ht="15" customHeight="1">
      <c r="A6" s="198" t="s">
        <v>216</v>
      </c>
      <c r="B6" s="97" t="s">
        <v>217</v>
      </c>
      <c r="C6" s="201">
        <v>0.125</v>
      </c>
      <c r="D6" s="185">
        <v>2000000</v>
      </c>
      <c r="E6" s="183">
        <f>D6*C6</f>
        <v>250000</v>
      </c>
      <c r="F6" s="200"/>
      <c r="G6" s="100"/>
      <c r="H6" s="97" t="s">
        <v>156</v>
      </c>
    </row>
    <row r="7" spans="1:8" ht="15" customHeight="1">
      <c r="A7" s="198" t="s">
        <v>66</v>
      </c>
      <c r="B7" s="97" t="s">
        <v>214</v>
      </c>
      <c r="C7" s="201">
        <v>0.2</v>
      </c>
      <c r="D7" s="185">
        <v>500000</v>
      </c>
      <c r="E7" s="183">
        <f>D7*C7</f>
        <v>100000</v>
      </c>
      <c r="F7" s="200"/>
      <c r="G7" s="100"/>
      <c r="H7" s="97" t="s">
        <v>157</v>
      </c>
    </row>
    <row r="8" spans="1:8" ht="15" customHeight="1">
      <c r="A8" s="198" t="s">
        <v>67</v>
      </c>
      <c r="B8" s="97"/>
      <c r="C8" s="201">
        <v>1</v>
      </c>
      <c r="D8" s="185">
        <v>350000</v>
      </c>
      <c r="E8" s="183">
        <f t="shared" ref="E8" si="0">D8*C8</f>
        <v>350000</v>
      </c>
      <c r="F8" s="200"/>
      <c r="G8" s="100"/>
      <c r="H8" s="97" t="s">
        <v>158</v>
      </c>
    </row>
    <row r="9" spans="1:8" ht="15" customHeight="1">
      <c r="A9" s="198" t="s">
        <v>68</v>
      </c>
      <c r="B9" s="97" t="s">
        <v>232</v>
      </c>
      <c r="C9" s="202">
        <v>0.1</v>
      </c>
      <c r="D9" s="185">
        <v>400000</v>
      </c>
      <c r="E9" s="183">
        <f>D9*C9</f>
        <v>40000</v>
      </c>
      <c r="F9" s="200"/>
      <c r="G9" s="100"/>
      <c r="H9" s="97" t="s">
        <v>164</v>
      </c>
    </row>
    <row r="10" spans="1:8" ht="15" customHeight="1" thickBot="1">
      <c r="G10" s="100"/>
    </row>
    <row r="11" spans="1:8" ht="33.75" customHeight="1" thickBot="1">
      <c r="C11" s="458" t="s">
        <v>163</v>
      </c>
      <c r="D11" s="459"/>
      <c r="E11" s="103">
        <f>SUM(E5:E9)</f>
        <v>1690000</v>
      </c>
      <c r="G11" s="100"/>
    </row>
    <row r="12" spans="1:8">
      <c r="G12" s="100"/>
    </row>
  </sheetData>
  <mergeCells count="2">
    <mergeCell ref="A2:F2"/>
    <mergeCell ref="C11:D11"/>
  </mergeCells>
  <hyperlinks>
    <hyperlink ref="A2:F2" location="'Ap. 3 Costos Directos'!A1" display="JARDÍN INFANTIL XXX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B1:L25"/>
  <sheetViews>
    <sheetView showGridLines="0" zoomScaleNormal="100" workbookViewId="0">
      <selection activeCell="B25" sqref="B25"/>
    </sheetView>
  </sheetViews>
  <sheetFormatPr baseColWidth="10" defaultColWidth="11.44140625" defaultRowHeight="13.2"/>
  <cols>
    <col min="1" max="1" width="6" style="26" customWidth="1"/>
    <col min="2" max="2" width="19" style="26" bestFit="1" customWidth="1"/>
    <col min="3" max="3" width="8.44140625" style="26" customWidth="1"/>
    <col min="4" max="4" width="11.44140625" style="26"/>
    <col min="5" max="5" width="12.44140625" style="26" customWidth="1"/>
    <col min="6" max="6" width="16.88671875" style="26" customWidth="1"/>
    <col min="7" max="7" width="10" style="26" customWidth="1"/>
    <col min="8" max="8" width="20" style="26" bestFit="1" customWidth="1"/>
    <col min="9" max="9" width="11.5546875" style="26" bestFit="1" customWidth="1"/>
    <col min="10" max="16384" width="11.44140625" style="26"/>
  </cols>
  <sheetData>
    <row r="1" spans="2:12" ht="13.8" thickBot="1"/>
    <row r="2" spans="2:12" ht="34.5" customHeight="1" thickBot="1">
      <c r="B2" s="463" t="s">
        <v>173</v>
      </c>
      <c r="C2" s="464"/>
      <c r="D2" s="464"/>
      <c r="E2" s="464"/>
      <c r="F2" s="464"/>
      <c r="G2" s="464"/>
      <c r="H2" s="464"/>
      <c r="I2" s="465"/>
    </row>
    <row r="4" spans="2:12" ht="37.5" customHeight="1">
      <c r="B4" s="442" t="s">
        <v>137</v>
      </c>
      <c r="C4" s="446"/>
      <c r="E4" s="442" t="s">
        <v>140</v>
      </c>
      <c r="F4" s="442"/>
      <c r="G4" s="55"/>
      <c r="H4" s="466" t="s">
        <v>165</v>
      </c>
      <c r="I4" s="467"/>
    </row>
    <row r="5" spans="2:12">
      <c r="B5" s="98" t="s">
        <v>205</v>
      </c>
      <c r="C5" s="69">
        <v>1059</v>
      </c>
      <c r="E5" s="468">
        <v>1133560</v>
      </c>
      <c r="F5" s="468"/>
      <c r="G5" s="56"/>
      <c r="H5" s="98" t="s">
        <v>205</v>
      </c>
      <c r="I5" s="92"/>
    </row>
    <row r="6" spans="2:12">
      <c r="B6" s="98" t="s">
        <v>190</v>
      </c>
      <c r="C6" s="69">
        <v>80</v>
      </c>
      <c r="H6" s="98" t="s">
        <v>190</v>
      </c>
      <c r="I6" s="92">
        <f>'Ap. 2 Ingresos C. Benef.'!D19</f>
        <v>0</v>
      </c>
    </row>
    <row r="7" spans="2:12">
      <c r="B7" s="98" t="s">
        <v>191</v>
      </c>
      <c r="C7" s="69">
        <v>54</v>
      </c>
      <c r="H7" s="98" t="s">
        <v>191</v>
      </c>
      <c r="I7" s="92">
        <f>'Ap. 2 Ingresos C. Benef.'!E19</f>
        <v>0</v>
      </c>
    </row>
    <row r="8" spans="2:12">
      <c r="B8" s="98" t="s">
        <v>192</v>
      </c>
      <c r="C8" s="69">
        <v>30</v>
      </c>
      <c r="H8" s="98" t="s">
        <v>192</v>
      </c>
      <c r="I8" s="92">
        <f>'Ap. 2 Ingresos C. Benef.'!F19</f>
        <v>0</v>
      </c>
      <c r="K8" s="60"/>
      <c r="L8" s="60"/>
    </row>
    <row r="9" spans="2:12">
      <c r="B9" s="154" t="s">
        <v>166</v>
      </c>
      <c r="C9" s="154">
        <f>SUM(C5:C8)</f>
        <v>1223</v>
      </c>
      <c r="H9" s="154" t="s">
        <v>167</v>
      </c>
      <c r="I9" s="154">
        <f>SUM(I6:I8)</f>
        <v>0</v>
      </c>
      <c r="K9" s="56"/>
      <c r="L9" s="56"/>
    </row>
    <row r="11" spans="2:12" ht="13.8" thickBot="1"/>
    <row r="12" spans="2:12" ht="18" customHeight="1" thickBot="1">
      <c r="B12" s="469" t="s">
        <v>139</v>
      </c>
      <c r="C12" s="470"/>
      <c r="D12" s="470"/>
      <c r="E12" s="470"/>
      <c r="F12" s="471"/>
      <c r="I12" s="105"/>
    </row>
    <row r="13" spans="2:12" ht="18" thickBot="1">
      <c r="B13" s="107">
        <f>E5</f>
        <v>1133560</v>
      </c>
      <c r="C13" s="108"/>
      <c r="D13" s="109">
        <f>C9</f>
        <v>1223</v>
      </c>
      <c r="E13" s="108"/>
      <c r="F13" s="110">
        <f>B13/D13</f>
        <v>926.86835650040882</v>
      </c>
      <c r="G13" s="58"/>
    </row>
    <row r="15" spans="2:12" ht="14.4" thickBot="1">
      <c r="D15" s="59"/>
      <c r="E15" s="59"/>
      <c r="F15" s="59"/>
      <c r="G15" s="59"/>
      <c r="H15" s="59"/>
    </row>
    <row r="16" spans="2:12" ht="14.4" thickBot="1">
      <c r="B16" s="460" t="s">
        <v>138</v>
      </c>
      <c r="C16" s="461"/>
      <c r="D16" s="461"/>
      <c r="E16" s="461"/>
      <c r="F16" s="462"/>
    </row>
    <row r="17" spans="2:6" ht="18" thickBot="1">
      <c r="B17" s="111">
        <f>I9</f>
        <v>0</v>
      </c>
      <c r="C17" s="112"/>
      <c r="D17" s="113">
        <f>F13</f>
        <v>926.86835650040882</v>
      </c>
      <c r="E17" s="113"/>
      <c r="F17" s="106">
        <f>B17*D17</f>
        <v>0</v>
      </c>
    </row>
    <row r="21" spans="2:6">
      <c r="B21" s="52">
        <v>99</v>
      </c>
    </row>
    <row r="23" spans="2:6">
      <c r="B23" s="26">
        <v>600</v>
      </c>
    </row>
    <row r="25" spans="2:6">
      <c r="B25" s="26">
        <f>+B21*B23</f>
        <v>59400</v>
      </c>
    </row>
  </sheetData>
  <mergeCells count="7">
    <mergeCell ref="B16:F16"/>
    <mergeCell ref="B4:C4"/>
    <mergeCell ref="B2:I2"/>
    <mergeCell ref="H4:I4"/>
    <mergeCell ref="E4:F4"/>
    <mergeCell ref="E5:F5"/>
    <mergeCell ref="B12:F12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Ap. 2 Ingresos C. Benef.</vt:lpstr>
      <vt:lpstr>Ap. 3 Costos Directos</vt:lpstr>
      <vt:lpstr>Ap. 4 Costos Indirectos</vt:lpstr>
      <vt:lpstr>Ap. 5 Tarifado </vt:lpstr>
      <vt:lpstr>INFO-REM</vt:lpstr>
      <vt:lpstr>INFO-CONS</vt:lpstr>
      <vt:lpstr>INFO-MANT</vt:lpstr>
      <vt:lpstr>INFO-ACT</vt:lpstr>
      <vt:lpstr>INFO DESAY</vt:lpstr>
      <vt:lpstr>INFO AMENITIES</vt:lpstr>
      <vt:lpstr>Hoja1</vt:lpstr>
      <vt:lpstr>Hoja2</vt:lpstr>
      <vt:lpstr>Hoja3</vt:lpstr>
      <vt:lpstr>CONUSMOS BASICOS</vt:lpstr>
      <vt:lpstr>Hoja4</vt:lpstr>
      <vt:lpstr>'Ap. 3 Costos Directos'!Área_de_impresión</vt:lpstr>
      <vt:lpstr>'Ap. 5 Tarifado '!Área_de_impresión</vt:lpstr>
      <vt:lpstr>'Ap. 3 Costos Directos'!Títulos_a_imprimir</vt:lpstr>
    </vt:vector>
  </TitlesOfParts>
  <Company>Direbien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Ejemplo Cálculo Tarifas</dc:subject>
  <dc:creator>Carolina Vera</dc:creator>
  <cp:lastModifiedBy>lmondaca</cp:lastModifiedBy>
  <cp:lastPrinted>2016-09-13T20:44:52Z</cp:lastPrinted>
  <dcterms:created xsi:type="dcterms:W3CDTF">2004-08-23T01:48:25Z</dcterms:created>
  <dcterms:modified xsi:type="dcterms:W3CDTF">2017-01-05T19:33:18Z</dcterms:modified>
</cp:coreProperties>
</file>