
<file path=[Content_Types].xml><?xml version="1.0" encoding="utf-8"?>
<Types xmlns="http://schemas.openxmlformats.org/package/2006/content-types">
  <Default Extension="xml" ContentType="application/xml"/>
  <Default Extension="jpeg" ContentType="image/jpeg"/>
  <Default Extension="png" ContentType="image/png"/>
  <Default Extension="vml" ContentType="application/vnd.openxmlformats-officedocument.vmlDrawi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910"/>
  <workbookPr codeName="ThisWorkbook" autoCompressPictures="0"/>
  <workbookProtection workbookAlgorithmName="SHA-512" workbookHashValue="/cH6D2V4yeXfVGCz8Fw3M8L7SBagwGFpMFngslPW1zNjgZ541iihT6zWwc8P6lPVjUMvAOcMNgIY6cpnmJqCGw==" workbookSaltValue="jFd4mF9WjDRzEBZIrF1big==" workbookSpinCount="100000" lockStructure="1"/>
  <bookViews>
    <workbookView xWindow="2220" yWindow="1000" windowWidth="24960" windowHeight="19680" tabRatio="932" activeTab="1"/>
  </bookViews>
  <sheets>
    <sheet name="INICIO" sheetId="12" r:id="rId1"/>
    <sheet name="PROGRAMA ARQ." sheetId="7" r:id="rId2"/>
    <sheet name="P.A. 1P REDUCIDO" sheetId="129" state="hidden" r:id="rId3"/>
    <sheet name="P.A. 2P " sheetId="24" state="hidden" r:id="rId4"/>
    <sheet name="GENERAL" sheetId="127" r:id="rId5"/>
    <sheet name="1.1" sheetId="80" r:id="rId6"/>
    <sheet name="1.2" sheetId="81" r:id="rId7"/>
    <sheet name="1.3" sheetId="83" r:id="rId8"/>
    <sheet name="1.4" sheetId="91" r:id="rId9"/>
    <sheet name="1.5" sheetId="92" r:id="rId10"/>
    <sheet name="1.6" sheetId="93" r:id="rId11"/>
    <sheet name="2.1" sheetId="94" r:id="rId12"/>
    <sheet name="2.2" sheetId="95" r:id="rId13"/>
    <sheet name="2.3" sheetId="96" r:id="rId14"/>
    <sheet name="2.4" sheetId="97" r:id="rId15"/>
    <sheet name="2.5" sheetId="98" r:id="rId16"/>
    <sheet name="2.6" sheetId="99" r:id="rId17"/>
    <sheet name="2.7" sheetId="100" r:id="rId18"/>
    <sheet name="2.8" sheetId="101" r:id="rId19"/>
    <sheet name="2.9" sheetId="103" r:id="rId20"/>
    <sheet name="2.10" sheetId="104" r:id="rId21"/>
    <sheet name="3.1" sheetId="111" r:id="rId22"/>
    <sheet name="3.2" sheetId="112" r:id="rId23"/>
    <sheet name="3.3" sheetId="113" r:id="rId24"/>
    <sheet name="3.4" sheetId="115" r:id="rId25"/>
    <sheet name="3.5" sheetId="128" r:id="rId26"/>
    <sheet name="3.6" sheetId="116" r:id="rId27"/>
    <sheet name="3.7" sheetId="105" r:id="rId28"/>
    <sheet name="3.8" sheetId="117" r:id="rId29"/>
    <sheet name="3.9" sheetId="130" r:id="rId30"/>
    <sheet name="4.1" sheetId="118" r:id="rId31"/>
    <sheet name="4.2" sheetId="119" r:id="rId32"/>
    <sheet name="5.1" sheetId="121" r:id="rId33"/>
    <sheet name="6.1" sheetId="122" r:id="rId34"/>
    <sheet name="6.2" sheetId="123" r:id="rId35"/>
    <sheet name="6.3" sheetId="124" r:id="rId36"/>
    <sheet name="6.4" sheetId="125" r:id="rId37"/>
  </sheets>
  <definedNames>
    <definedName name="_xlnm._FilterDatabase" localSheetId="5" hidden="1">'1.1'!$A$1:$N$105</definedName>
    <definedName name="_xlnm._FilterDatabase" localSheetId="6" hidden="1">'1.2'!$A$1:$M$81</definedName>
    <definedName name="_xlnm._FilterDatabase" localSheetId="7" hidden="1">'1.3'!$A$1:$N$89</definedName>
    <definedName name="_xlnm._FilterDatabase" localSheetId="8" hidden="1">'1.4'!$A$1:$N$104</definedName>
    <definedName name="_xlnm._FilterDatabase" localSheetId="9" hidden="1">'1.5'!$A$1:$M$82</definedName>
    <definedName name="_xlnm._FilterDatabase" localSheetId="10" hidden="1">'1.6'!$A$1:$N$89</definedName>
    <definedName name="_xlnm._FilterDatabase" localSheetId="20" hidden="1">'2.10'!$K$1:$K$51</definedName>
    <definedName name="_xlnm._FilterDatabase" localSheetId="13" hidden="1">'2.3'!$A$1:$M$69</definedName>
    <definedName name="_xlnm._FilterDatabase" localSheetId="14" hidden="1">'2.4'!$A$1:$M$67</definedName>
    <definedName name="_xlnm._FilterDatabase" localSheetId="15" hidden="1">'2.5'!$A$1:$M$63</definedName>
    <definedName name="_xlnm._FilterDatabase" localSheetId="16" hidden="1">'2.6'!$A$1:$M$71</definedName>
    <definedName name="_xlnm._FilterDatabase" localSheetId="17" hidden="1">'2.7'!$A$1:$M$88</definedName>
    <definedName name="_xlnm._FilterDatabase" localSheetId="18" hidden="1">'2.8'!$K$1:$K$72</definedName>
    <definedName name="_xlnm._FilterDatabase" localSheetId="19" hidden="1">'2.9'!$K$1:$K$52</definedName>
    <definedName name="_xlnm._FilterDatabase" localSheetId="21" hidden="1">'3.1'!$K$1:$K$109</definedName>
    <definedName name="_xlnm._FilterDatabase" localSheetId="22" hidden="1">'3.2'!$K$1:$K$111</definedName>
    <definedName name="_xlnm._FilterDatabase" localSheetId="23" hidden="1">'3.3'!$K$1:$K$99</definedName>
    <definedName name="_xlnm._FilterDatabase" localSheetId="24" hidden="1">'3.4'!$K$1:$K$103</definedName>
    <definedName name="_xlnm._FilterDatabase" localSheetId="30" hidden="1">'4.1'!$K$1:$K$73</definedName>
    <definedName name="_xlnm._FilterDatabase" localSheetId="31" hidden="1">'4.2'!$K$1:$K$68</definedName>
    <definedName name="_xlnm._FilterDatabase" localSheetId="35" hidden="1">'6.3'!$K$1:$K$83</definedName>
    <definedName name="_xlnm._FilterDatabase" localSheetId="4" hidden="1">GENERAL!$A$1:$M$89</definedName>
    <definedName name="_xlnm.Print_Area" localSheetId="5">'1.1'!$A$2:$I$98</definedName>
    <definedName name="_xlnm.Print_Area" localSheetId="6">'1.2'!$A$2:$I$81</definedName>
    <definedName name="_xlnm.Print_Area" localSheetId="7">'1.3'!$A$2:$I$89</definedName>
    <definedName name="_xlnm.Print_Area" localSheetId="8">'1.4'!$A$2:$I$97</definedName>
    <definedName name="_xlnm.Print_Area" localSheetId="9">'1.5'!$A$2:$I$82</definedName>
    <definedName name="_xlnm.Print_Area" localSheetId="10">'1.6'!$A$2:$I$89</definedName>
    <definedName name="_xlnm.Print_Area" localSheetId="11">'2.1'!$A$2:$I$62</definedName>
    <definedName name="_xlnm.Print_Area" localSheetId="12">'2.2'!$A$2:$I$58</definedName>
    <definedName name="_xlnm.Print_Area" localSheetId="13">'2.3'!$A$2:$I$61</definedName>
    <definedName name="_xlnm.Print_Area" localSheetId="21">'3.1'!$A$1:$I$106</definedName>
    <definedName name="_xlnm.Print_Area" localSheetId="22">'3.2'!$A$1:$I$107</definedName>
    <definedName name="_xlnm.Print_Area" localSheetId="23">'3.3'!$A$1:$I$95</definedName>
    <definedName name="_xlnm.Print_Area" localSheetId="25">'3.5'!$A$1:$I$60</definedName>
    <definedName name="_xlnm.Print_Area" localSheetId="26">'3.6'!$A$1:$I$57</definedName>
    <definedName name="_xlnm.Print_Area" localSheetId="28">'3.8'!$A$2:$I$74</definedName>
    <definedName name="_xlnm.Print_Area" localSheetId="29">'3.9'!$A$2:$I$73</definedName>
    <definedName name="_xlnm.Print_Area" localSheetId="31">'4.2'!$A$2:$I$58</definedName>
    <definedName name="_xlnm.Print_Area" localSheetId="32">'5.1'!$A$2:$I$48</definedName>
    <definedName name="_xlnm.Print_Area" localSheetId="33">'6.1'!$A$2:$I$47</definedName>
    <definedName name="_xlnm.Print_Area" localSheetId="34">'6.2'!$A$2:$I$47</definedName>
    <definedName name="_xlnm.Print_Area" localSheetId="35">'6.3'!$A$2:$I$72</definedName>
    <definedName name="_xlnm.Print_Area" localSheetId="4">GENERAL!$B$2:$I$86</definedName>
    <definedName name="_xlnm.Print_Area" localSheetId="2">'P.A. 1P REDUCIDO'!$A$1:$G$126</definedName>
    <definedName name="_xlnm.Print_Area" localSheetId="3">'P.A. 2P '!$A$1:$H$140</definedName>
    <definedName name="_xlnm.Print_Area" localSheetId="1">'PROGRAMA ARQ.'!$B$1:$I$71</definedName>
    <definedName name="_xlnm.Print_Titles" localSheetId="5">'1.1'!$2:$7</definedName>
    <definedName name="_xlnm.Print_Titles" localSheetId="6">'1.2'!$2:$7</definedName>
    <definedName name="_xlnm.Print_Titles" localSheetId="7">'1.3'!$2:$7</definedName>
    <definedName name="_xlnm.Print_Titles" localSheetId="8">'1.4'!$2:$7</definedName>
    <definedName name="_xlnm.Print_Titles" localSheetId="9">'1.5'!$2:$7</definedName>
    <definedName name="_xlnm.Print_Titles" localSheetId="10">'1.6'!$2:$7</definedName>
    <definedName name="_xlnm.Print_Titles" localSheetId="11">'2.1'!$2:$7</definedName>
    <definedName name="_xlnm.Print_Titles" localSheetId="20">'2.10'!$2:$7</definedName>
    <definedName name="_xlnm.Print_Titles" localSheetId="12">'2.2'!$2:$7</definedName>
    <definedName name="_xlnm.Print_Titles" localSheetId="13">'2.3'!$2:$7</definedName>
    <definedName name="_xlnm.Print_Titles" localSheetId="14">'2.4'!$2:$7</definedName>
    <definedName name="_xlnm.Print_Titles" localSheetId="15">'2.5'!$2:$7</definedName>
    <definedName name="_xlnm.Print_Titles" localSheetId="16">'2.6'!$2:$7</definedName>
    <definedName name="_xlnm.Print_Titles" localSheetId="17">'2.7'!$2:$7</definedName>
    <definedName name="_xlnm.Print_Titles" localSheetId="18">'2.8'!$2:$7</definedName>
    <definedName name="_xlnm.Print_Titles" localSheetId="19">'2.9'!$2:$7</definedName>
    <definedName name="_xlnm.Print_Titles" localSheetId="21">'3.1'!$2:$7</definedName>
    <definedName name="_xlnm.Print_Titles" localSheetId="22">'3.2'!$2:$7</definedName>
    <definedName name="_xlnm.Print_Titles" localSheetId="23">'3.3'!$2:$7</definedName>
    <definedName name="_xlnm.Print_Titles" localSheetId="24">'3.4'!$2:$7</definedName>
    <definedName name="_xlnm.Print_Titles" localSheetId="25">'3.5'!$2:$7</definedName>
    <definedName name="_xlnm.Print_Titles" localSheetId="26">'3.6'!$2:$7</definedName>
    <definedName name="_xlnm.Print_Titles" localSheetId="27">'3.7'!$2:$7</definedName>
    <definedName name="_xlnm.Print_Titles" localSheetId="28">'3.8'!$2:$7</definedName>
    <definedName name="_xlnm.Print_Titles" localSheetId="29">'3.9'!$2:$7</definedName>
    <definedName name="_xlnm.Print_Titles" localSheetId="30">'4.1'!$2:$7</definedName>
    <definedName name="_xlnm.Print_Titles" localSheetId="31">'4.2'!$2:$7</definedName>
    <definedName name="_xlnm.Print_Titles" localSheetId="32">'5.1'!$2:$7</definedName>
    <definedName name="_xlnm.Print_Titles" localSheetId="33">'6.1'!$2:$7</definedName>
    <definedName name="_xlnm.Print_Titles" localSheetId="34">'6.2'!$2:$7</definedName>
    <definedName name="_xlnm.Print_Titles" localSheetId="35">'6.3'!$2:$7</definedName>
    <definedName name="_xlnm.Print_Titles" localSheetId="36">'6.4'!$2:$7</definedName>
    <definedName name="_xlnm.Print_Titles" localSheetId="4">GENERAL!$2:$7</definedName>
    <definedName name="_xlnm.Print_Titles" localSheetId="2">'P.A. 1P REDUCIDO'!$1:$5</definedName>
    <definedName name="_xlnm.Print_Titles" localSheetId="3">'P.A. 2P '!$1:$5</definedName>
    <definedName name="_xlnm.Print_Titles" localSheetId="1">'PROGRAMA ARQ.'!$1:$5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6" i="7" l="1"/>
  <c r="D7" i="12"/>
  <c r="F38" i="7"/>
  <c r="D6" i="117"/>
  <c r="B6" i="117"/>
  <c r="B1" i="7"/>
  <c r="C3" i="7"/>
  <c r="F6" i="12"/>
  <c r="B7" i="12"/>
  <c r="I10" i="12"/>
  <c r="C6" i="117"/>
  <c r="C6" i="130"/>
  <c r="G63" i="130"/>
  <c r="G62" i="130"/>
  <c r="G61" i="130"/>
  <c r="G60" i="130"/>
  <c r="G43" i="130"/>
  <c r="G31" i="130"/>
  <c r="G30" i="130"/>
  <c r="G29" i="130"/>
  <c r="G28" i="130"/>
  <c r="G27" i="130"/>
  <c r="G26" i="130"/>
  <c r="G25" i="130"/>
  <c r="G24" i="130"/>
  <c r="G23" i="130"/>
  <c r="G22" i="130"/>
  <c r="G21" i="130"/>
  <c r="N8" i="130"/>
  <c r="D6" i="130"/>
  <c r="D16" i="130"/>
  <c r="B6" i="130"/>
  <c r="G43" i="7"/>
  <c r="I43" i="7"/>
  <c r="E20" i="7"/>
  <c r="D13" i="130"/>
  <c r="F37" i="7"/>
  <c r="F36" i="7"/>
  <c r="H60" i="7"/>
  <c r="I59" i="7"/>
  <c r="G41" i="7"/>
  <c r="I41" i="7"/>
  <c r="G44" i="7"/>
  <c r="I44" i="7"/>
  <c r="G31" i="7"/>
  <c r="I31" i="7"/>
  <c r="G25" i="7"/>
  <c r="I25" i="7"/>
  <c r="E19" i="7"/>
  <c r="F30" i="7"/>
  <c r="H49" i="7"/>
  <c r="G49" i="7"/>
  <c r="F53" i="112"/>
  <c r="F52" i="112"/>
  <c r="I49" i="7"/>
  <c r="G45" i="129"/>
  <c r="G44" i="129"/>
  <c r="K41" i="129"/>
  <c r="J41" i="129"/>
  <c r="I41" i="129"/>
  <c r="E41" i="129"/>
  <c r="G41" i="129"/>
  <c r="F40" i="129"/>
  <c r="E40" i="129"/>
  <c r="F39" i="129"/>
  <c r="E39" i="129"/>
  <c r="F38" i="129"/>
  <c r="E38" i="129"/>
  <c r="K36" i="129"/>
  <c r="J36" i="129"/>
  <c r="G36" i="129"/>
  <c r="K33" i="129"/>
  <c r="J33" i="129"/>
  <c r="G33" i="129"/>
  <c r="K31" i="129"/>
  <c r="J31" i="129"/>
  <c r="G31" i="129"/>
  <c r="K30" i="129"/>
  <c r="J30" i="129"/>
  <c r="E30" i="129"/>
  <c r="G30" i="129"/>
  <c r="G29" i="129"/>
  <c r="G26" i="129"/>
  <c r="G25" i="129"/>
  <c r="P23" i="129"/>
  <c r="K23" i="129"/>
  <c r="J23" i="129"/>
  <c r="I23" i="129"/>
  <c r="E23" i="129"/>
  <c r="G23" i="129"/>
  <c r="E22" i="129"/>
  <c r="F22" i="129"/>
  <c r="K22" i="129"/>
  <c r="E21" i="129"/>
  <c r="F21" i="129"/>
  <c r="E20" i="129"/>
  <c r="E19" i="129"/>
  <c r="F19" i="129"/>
  <c r="E18" i="129"/>
  <c r="F18" i="129"/>
  <c r="E17" i="129"/>
  <c r="F17" i="129"/>
  <c r="B15" i="129"/>
  <c r="G61" i="129"/>
  <c r="C9" i="129"/>
  <c r="D4" i="129"/>
  <c r="C8" i="129"/>
  <c r="E4" i="129"/>
  <c r="C7" i="129"/>
  <c r="G18" i="129"/>
  <c r="K18" i="129"/>
  <c r="G40" i="129"/>
  <c r="G38" i="129"/>
  <c r="B4" i="129"/>
  <c r="G39" i="129"/>
  <c r="P18" i="129"/>
  <c r="P19" i="129"/>
  <c r="J18" i="129"/>
  <c r="K17" i="129"/>
  <c r="I17" i="129"/>
  <c r="N17" i="129"/>
  <c r="J17" i="129"/>
  <c r="G17" i="129"/>
  <c r="P20" i="129"/>
  <c r="K20" i="129"/>
  <c r="J20" i="129"/>
  <c r="G20" i="129"/>
  <c r="I20" i="129"/>
  <c r="K19" i="129"/>
  <c r="J19" i="129"/>
  <c r="G19" i="129"/>
  <c r="N21" i="129"/>
  <c r="G21" i="129"/>
  <c r="K21" i="129"/>
  <c r="J21" i="129"/>
  <c r="I21" i="129"/>
  <c r="J22" i="129"/>
  <c r="P22" i="129"/>
  <c r="G22" i="129"/>
  <c r="C10" i="129"/>
  <c r="E5" i="129"/>
  <c r="G24" i="129"/>
  <c r="F46" i="111"/>
  <c r="L94" i="80"/>
  <c r="D6" i="7"/>
  <c r="D84" i="93"/>
  <c r="D94" i="80"/>
  <c r="D84" i="83"/>
  <c r="D93" i="91"/>
  <c r="G39" i="98"/>
  <c r="G38" i="98"/>
  <c r="G37" i="98"/>
  <c r="G36" i="98"/>
  <c r="G35" i="98"/>
  <c r="G34" i="98"/>
  <c r="G33" i="98"/>
  <c r="G32" i="98"/>
  <c r="G30" i="98"/>
  <c r="K81" i="93"/>
  <c r="K76" i="92"/>
  <c r="K75" i="92"/>
  <c r="L95" i="80"/>
  <c r="L91" i="80"/>
  <c r="K83" i="127"/>
  <c r="N8" i="111"/>
  <c r="C6" i="93"/>
  <c r="D89" i="93"/>
  <c r="B6" i="93"/>
  <c r="G64" i="117"/>
  <c r="G63" i="117"/>
  <c r="G62" i="117"/>
  <c r="G61" i="117"/>
  <c r="G44" i="117"/>
  <c r="G32" i="117"/>
  <c r="G23" i="117"/>
  <c r="G24" i="117"/>
  <c r="G25" i="117"/>
  <c r="G26" i="117"/>
  <c r="G27" i="117"/>
  <c r="G28" i="117"/>
  <c r="G29" i="117"/>
  <c r="G30" i="117"/>
  <c r="G31" i="117"/>
  <c r="G22" i="117"/>
  <c r="G23" i="116"/>
  <c r="G47" i="116"/>
  <c r="G46" i="116"/>
  <c r="G22" i="116"/>
  <c r="G25" i="128"/>
  <c r="G52" i="128"/>
  <c r="G51" i="128"/>
  <c r="G50" i="128"/>
  <c r="G55" i="115"/>
  <c r="G54" i="115"/>
  <c r="G53" i="115"/>
  <c r="F38" i="113"/>
  <c r="F37" i="113"/>
  <c r="F36" i="113"/>
  <c r="F35" i="113"/>
  <c r="F47" i="113"/>
  <c r="F34" i="113"/>
  <c r="F33" i="113"/>
  <c r="F40" i="113"/>
  <c r="F39" i="113"/>
  <c r="F81" i="113"/>
  <c r="N8" i="113"/>
  <c r="F43" i="112"/>
  <c r="F48" i="112"/>
  <c r="F50" i="112"/>
  <c r="F49" i="112"/>
  <c r="F47" i="112"/>
  <c r="F46" i="112"/>
  <c r="F45" i="112"/>
  <c r="F44" i="112"/>
  <c r="F42" i="112"/>
  <c r="F43" i="111"/>
  <c r="F50" i="111"/>
  <c r="F52" i="111"/>
  <c r="F51" i="111"/>
  <c r="F49" i="111"/>
  <c r="F48" i="111"/>
  <c r="F92" i="111"/>
  <c r="F48" i="113"/>
  <c r="F79" i="113"/>
  <c r="F91" i="112"/>
  <c r="F93" i="112"/>
  <c r="F51" i="112"/>
  <c r="F47" i="111"/>
  <c r="F45" i="111"/>
  <c r="F44" i="111"/>
  <c r="E36" i="7"/>
  <c r="C10" i="12"/>
  <c r="C12" i="12"/>
  <c r="E38" i="7"/>
  <c r="D6" i="94"/>
  <c r="D16" i="94"/>
  <c r="C6" i="94"/>
  <c r="B6" i="94"/>
  <c r="C13" i="12"/>
  <c r="D6" i="113"/>
  <c r="C6" i="113"/>
  <c r="D6" i="125"/>
  <c r="C6" i="125"/>
  <c r="B6" i="125"/>
  <c r="C6" i="124"/>
  <c r="B6" i="124"/>
  <c r="C11" i="12"/>
  <c r="F42" i="7"/>
  <c r="E37" i="7"/>
  <c r="G52" i="112"/>
  <c r="C16" i="12"/>
  <c r="C17" i="12"/>
  <c r="C14" i="12"/>
  <c r="C15" i="12"/>
  <c r="E30" i="7"/>
  <c r="G30" i="7"/>
  <c r="E21" i="7"/>
  <c r="E22" i="7"/>
  <c r="E23" i="7"/>
  <c r="E18" i="7"/>
  <c r="G55" i="92"/>
  <c r="C6" i="118"/>
  <c r="B6" i="118"/>
  <c r="C6" i="128"/>
  <c r="D60" i="128"/>
  <c r="B6" i="128"/>
  <c r="D6" i="116"/>
  <c r="C6" i="116"/>
  <c r="B6" i="116"/>
  <c r="D14" i="117"/>
  <c r="C6" i="115"/>
  <c r="D63" i="115"/>
  <c r="B6" i="115"/>
  <c r="L16" i="91"/>
  <c r="N8" i="125"/>
  <c r="N8" i="117"/>
  <c r="N8" i="116"/>
  <c r="N8" i="112"/>
  <c r="G44" i="105"/>
  <c r="G43" i="105"/>
  <c r="C6" i="105"/>
  <c r="B6" i="105"/>
  <c r="C6" i="104"/>
  <c r="B6" i="104"/>
  <c r="C6" i="103"/>
  <c r="B6" i="103"/>
  <c r="E18" i="24"/>
  <c r="F18" i="24"/>
  <c r="D6" i="100"/>
  <c r="D15" i="100"/>
  <c r="G44" i="100"/>
  <c r="G45" i="100"/>
  <c r="G46" i="100"/>
  <c r="G47" i="100"/>
  <c r="G48" i="100"/>
  <c r="G49" i="100"/>
  <c r="G50" i="100"/>
  <c r="G51" i="100"/>
  <c r="G52" i="100"/>
  <c r="G53" i="100"/>
  <c r="G43" i="100"/>
  <c r="C6" i="100"/>
  <c r="B6" i="100"/>
  <c r="D6" i="99"/>
  <c r="C6" i="99"/>
  <c r="B6" i="99"/>
  <c r="C6" i="98"/>
  <c r="B6" i="98"/>
  <c r="C6" i="97"/>
  <c r="B6" i="97"/>
  <c r="C6" i="96"/>
  <c r="B6" i="96"/>
  <c r="G51" i="96"/>
  <c r="C6" i="95"/>
  <c r="B6" i="95"/>
  <c r="G52" i="94"/>
  <c r="B6" i="92"/>
  <c r="C6" i="92"/>
  <c r="B6" i="91"/>
  <c r="C6" i="91"/>
  <c r="C6" i="83"/>
  <c r="B6" i="83"/>
  <c r="C6" i="80"/>
  <c r="B6" i="80"/>
  <c r="F38" i="24"/>
  <c r="G38" i="24"/>
  <c r="B15" i="24"/>
  <c r="C8" i="24"/>
  <c r="E4" i="24"/>
  <c r="F44" i="24"/>
  <c r="F45" i="24"/>
  <c r="G45" i="24"/>
  <c r="F43" i="24"/>
  <c r="E17" i="24"/>
  <c r="F17" i="24"/>
  <c r="G17" i="24"/>
  <c r="E24" i="24"/>
  <c r="F24" i="24"/>
  <c r="E25" i="24"/>
  <c r="F25" i="24"/>
  <c r="K25" i="24"/>
  <c r="E26" i="24"/>
  <c r="F26" i="24"/>
  <c r="P26" i="24"/>
  <c r="F39" i="24"/>
  <c r="G39" i="24"/>
  <c r="G50" i="24"/>
  <c r="G49" i="24"/>
  <c r="E33" i="24"/>
  <c r="G33" i="24"/>
  <c r="G28" i="24"/>
  <c r="G29" i="24"/>
  <c r="G34" i="24"/>
  <c r="G35" i="24"/>
  <c r="G37" i="24"/>
  <c r="G41" i="24"/>
  <c r="E19" i="24"/>
  <c r="E20" i="24"/>
  <c r="F20" i="24"/>
  <c r="P20" i="24"/>
  <c r="F22" i="24"/>
  <c r="G22" i="24"/>
  <c r="F23" i="24"/>
  <c r="L23" i="24"/>
  <c r="K16" i="80"/>
  <c r="L31" i="7"/>
  <c r="M31" i="7"/>
  <c r="M30" i="7"/>
  <c r="L30" i="7"/>
  <c r="C22" i="12"/>
  <c r="C9" i="24"/>
  <c r="D4" i="24"/>
  <c r="C7" i="24"/>
  <c r="C8" i="7"/>
  <c r="C9" i="7"/>
  <c r="C10" i="7"/>
  <c r="E5" i="7"/>
  <c r="E4" i="7"/>
  <c r="E3" i="130"/>
  <c r="F40" i="7"/>
  <c r="G40" i="7"/>
  <c r="I40" i="7"/>
  <c r="F39" i="7"/>
  <c r="G39" i="7"/>
  <c r="I39" i="7"/>
  <c r="F34" i="7"/>
  <c r="E34" i="7"/>
  <c r="F33" i="7"/>
  <c r="F27" i="7"/>
  <c r="G27" i="7"/>
  <c r="E33" i="7"/>
  <c r="I11" i="12"/>
  <c r="J11" i="12"/>
  <c r="G57" i="7"/>
  <c r="I57" i="7"/>
  <c r="D6" i="123"/>
  <c r="B6" i="123"/>
  <c r="L54" i="7"/>
  <c r="H54" i="7"/>
  <c r="J10" i="12"/>
  <c r="E26" i="7"/>
  <c r="F26" i="7"/>
  <c r="D6" i="95"/>
  <c r="D19" i="95"/>
  <c r="G29" i="7"/>
  <c r="I29" i="7"/>
  <c r="G23" i="24"/>
  <c r="F15" i="12"/>
  <c r="F20" i="7"/>
  <c r="D6" i="83"/>
  <c r="G56" i="7"/>
  <c r="F16" i="12"/>
  <c r="G38" i="7"/>
  <c r="L48" i="7"/>
  <c r="H48" i="7"/>
  <c r="G43" i="99"/>
  <c r="H30" i="7"/>
  <c r="I30" i="7"/>
  <c r="G81" i="113"/>
  <c r="H38" i="7"/>
  <c r="F23" i="7"/>
  <c r="G23" i="7"/>
  <c r="I23" i="7"/>
  <c r="F22" i="7"/>
  <c r="D6" i="92"/>
  <c r="D6" i="111"/>
  <c r="C6" i="111"/>
  <c r="G36" i="7"/>
  <c r="G37" i="7"/>
  <c r="I37" i="7"/>
  <c r="F39" i="123"/>
  <c r="G39" i="123"/>
  <c r="G58" i="129"/>
  <c r="G9" i="129"/>
  <c r="G8" i="129"/>
  <c r="G57" i="129"/>
  <c r="E34" i="129"/>
  <c r="F27" i="129"/>
  <c r="G27" i="129"/>
  <c r="F43" i="129"/>
  <c r="G43" i="129"/>
  <c r="F35" i="129"/>
  <c r="F42" i="129"/>
  <c r="G42" i="129"/>
  <c r="E35" i="129"/>
  <c r="F28" i="129"/>
  <c r="G28" i="129"/>
  <c r="F34" i="129"/>
  <c r="Y49" i="129"/>
  <c r="G10" i="129"/>
  <c r="G4" i="129"/>
  <c r="G115" i="129"/>
  <c r="E46" i="24"/>
  <c r="G54" i="91"/>
  <c r="F21" i="7"/>
  <c r="G21" i="7"/>
  <c r="I21" i="7"/>
  <c r="P23" i="24"/>
  <c r="J23" i="24"/>
  <c r="K23" i="24"/>
  <c r="F28" i="115"/>
  <c r="G28" i="115"/>
  <c r="F27" i="115"/>
  <c r="G27" i="115"/>
  <c r="F26" i="115"/>
  <c r="G26" i="115"/>
  <c r="F25" i="115"/>
  <c r="G25" i="115"/>
  <c r="F26" i="128"/>
  <c r="G26" i="128"/>
  <c r="E3" i="83"/>
  <c r="D17" i="117"/>
  <c r="D18" i="100"/>
  <c r="G56" i="80"/>
  <c r="F39" i="122"/>
  <c r="L22" i="24"/>
  <c r="K22" i="24"/>
  <c r="P22" i="24"/>
  <c r="D19" i="94"/>
  <c r="G50" i="112"/>
  <c r="G47" i="112"/>
  <c r="G93" i="112"/>
  <c r="G43" i="112"/>
  <c r="G91" i="112"/>
  <c r="G45" i="112"/>
  <c r="G33" i="113"/>
  <c r="G44" i="112"/>
  <c r="G36" i="113"/>
  <c r="G42" i="112"/>
  <c r="G79" i="113"/>
  <c r="G48" i="112"/>
  <c r="G38" i="113"/>
  <c r="F32" i="113"/>
  <c r="G80" i="113"/>
  <c r="G48" i="113"/>
  <c r="G34" i="113"/>
  <c r="F40" i="112"/>
  <c r="G40" i="112"/>
  <c r="F39" i="112"/>
  <c r="G39" i="112"/>
  <c r="F37" i="112"/>
  <c r="G37" i="112"/>
  <c r="F36" i="112"/>
  <c r="G36" i="112"/>
  <c r="F35" i="112"/>
  <c r="G35" i="112"/>
  <c r="G92" i="112"/>
  <c r="F41" i="112"/>
  <c r="G41" i="112"/>
  <c r="F38" i="112"/>
  <c r="G38" i="112"/>
  <c r="G51" i="112"/>
  <c r="G37" i="113"/>
  <c r="G53" i="112"/>
  <c r="G39" i="113"/>
  <c r="G40" i="113"/>
  <c r="G35" i="113"/>
  <c r="G49" i="112"/>
  <c r="G47" i="113"/>
  <c r="G46" i="112"/>
  <c r="G9" i="24"/>
  <c r="G46" i="111"/>
  <c r="G91" i="111"/>
  <c r="G92" i="111"/>
  <c r="F90" i="111"/>
  <c r="G90" i="111"/>
  <c r="G41" i="92"/>
  <c r="F21" i="24"/>
  <c r="L21" i="24"/>
  <c r="G68" i="24"/>
  <c r="G60" i="24"/>
  <c r="G46" i="99"/>
  <c r="G48" i="81"/>
  <c r="D6" i="112"/>
  <c r="B6" i="112"/>
  <c r="G20" i="24"/>
  <c r="G38" i="99"/>
  <c r="L17" i="24"/>
  <c r="F19" i="24"/>
  <c r="L19" i="24"/>
  <c r="G42" i="99"/>
  <c r="F18" i="7"/>
  <c r="H18" i="7"/>
  <c r="G39" i="81"/>
  <c r="B4" i="7"/>
  <c r="K20" i="24"/>
  <c r="F48" i="24"/>
  <c r="G48" i="24"/>
  <c r="G57" i="80"/>
  <c r="J20" i="24"/>
  <c r="G46" i="81"/>
  <c r="G52" i="81"/>
  <c r="L20" i="24"/>
  <c r="G45" i="81"/>
  <c r="G54" i="81"/>
  <c r="G49" i="92"/>
  <c r="G39" i="99"/>
  <c r="G44" i="81"/>
  <c r="G43" i="81"/>
  <c r="G73" i="81"/>
  <c r="G41" i="99"/>
  <c r="G51" i="81"/>
  <c r="G72" i="81"/>
  <c r="G56" i="81"/>
  <c r="G41" i="81"/>
  <c r="G73" i="92"/>
  <c r="G47" i="81"/>
  <c r="G38" i="81"/>
  <c r="G40" i="81"/>
  <c r="G74" i="92"/>
  <c r="F19" i="7"/>
  <c r="G43" i="92"/>
  <c r="E40" i="24"/>
  <c r="G48" i="92"/>
  <c r="I10" i="7"/>
  <c r="P18" i="24"/>
  <c r="K18" i="24"/>
  <c r="L18" i="24"/>
  <c r="G18" i="24"/>
  <c r="K17" i="24"/>
  <c r="J17" i="24"/>
  <c r="G54" i="80"/>
  <c r="B6" i="113"/>
  <c r="G8" i="24"/>
  <c r="G42" i="81"/>
  <c r="G58" i="80"/>
  <c r="G71" i="81"/>
  <c r="G37" i="99"/>
  <c r="E44" i="24"/>
  <c r="G44" i="24"/>
  <c r="C20" i="12"/>
  <c r="B4" i="24"/>
  <c r="G55" i="80"/>
  <c r="I9" i="7"/>
  <c r="L24" i="24"/>
  <c r="J24" i="24"/>
  <c r="E5" i="24"/>
  <c r="G55" i="91"/>
  <c r="G53" i="92"/>
  <c r="C19" i="12"/>
  <c r="E32" i="7"/>
  <c r="G52" i="92"/>
  <c r="G56" i="92"/>
  <c r="G46" i="92"/>
  <c r="G51" i="92"/>
  <c r="G45" i="92"/>
  <c r="G47" i="92"/>
  <c r="G57" i="92"/>
  <c r="G44" i="92"/>
  <c r="I11" i="7"/>
  <c r="P25" i="24"/>
  <c r="G56" i="91"/>
  <c r="K24" i="24"/>
  <c r="G57" i="91"/>
  <c r="G54" i="92"/>
  <c r="G42" i="92"/>
  <c r="G88" i="91"/>
  <c r="C21" i="12"/>
  <c r="F46" i="24"/>
  <c r="L46" i="24"/>
  <c r="F41" i="111"/>
  <c r="G41" i="111"/>
  <c r="F42" i="111"/>
  <c r="G42" i="111"/>
  <c r="G52" i="111"/>
  <c r="G48" i="111"/>
  <c r="F38" i="111"/>
  <c r="G38" i="111"/>
  <c r="G50" i="111"/>
  <c r="F37" i="111"/>
  <c r="G37" i="111"/>
  <c r="G51" i="111"/>
  <c r="F39" i="111"/>
  <c r="G39" i="111"/>
  <c r="F40" i="111"/>
  <c r="G40" i="111"/>
  <c r="G49" i="111"/>
  <c r="F36" i="111"/>
  <c r="G36" i="111"/>
  <c r="E4" i="130"/>
  <c r="C11" i="7"/>
  <c r="D4" i="7"/>
  <c r="G26" i="24"/>
  <c r="J26" i="24"/>
  <c r="L25" i="24"/>
  <c r="L26" i="24"/>
  <c r="G25" i="24"/>
  <c r="F32" i="24"/>
  <c r="G32" i="24"/>
  <c r="F31" i="24"/>
  <c r="G31" i="24"/>
  <c r="F40" i="24"/>
  <c r="F47" i="24"/>
  <c r="G47" i="24"/>
  <c r="G45" i="111"/>
  <c r="F30" i="24"/>
  <c r="G30" i="24"/>
  <c r="G24" i="24"/>
  <c r="K26" i="24"/>
  <c r="C10" i="24"/>
  <c r="G10" i="24"/>
  <c r="G47" i="111"/>
  <c r="G44" i="111"/>
  <c r="G65" i="24"/>
  <c r="E43" i="24"/>
  <c r="G43" i="24"/>
  <c r="G53" i="91"/>
  <c r="G43" i="111"/>
  <c r="E3" i="97"/>
  <c r="E3" i="91"/>
  <c r="E3" i="122"/>
  <c r="E3" i="124"/>
  <c r="E3" i="103"/>
  <c r="E3" i="115"/>
  <c r="E3" i="116"/>
  <c r="E3" i="95"/>
  <c r="E3" i="94"/>
  <c r="E3" i="104"/>
  <c r="E3" i="80"/>
  <c r="E3" i="113"/>
  <c r="E3" i="96"/>
  <c r="E3" i="125"/>
  <c r="E3" i="100"/>
  <c r="E3" i="121"/>
  <c r="E3" i="117"/>
  <c r="E3" i="119"/>
  <c r="E3" i="101"/>
  <c r="E3" i="105"/>
  <c r="E3" i="99"/>
  <c r="E3" i="92"/>
  <c r="E3" i="81"/>
  <c r="E3" i="127"/>
  <c r="E3" i="112"/>
  <c r="E3" i="123"/>
  <c r="E3" i="128"/>
  <c r="E3" i="98"/>
  <c r="E3" i="93"/>
  <c r="E3" i="118"/>
  <c r="E3" i="111"/>
  <c r="K9" i="7"/>
  <c r="AA48" i="7"/>
  <c r="I4" i="7"/>
  <c r="B4" i="130"/>
  <c r="H55" i="7"/>
  <c r="G49" i="95"/>
  <c r="G42" i="7"/>
  <c r="I42" i="7"/>
  <c r="M42" i="7"/>
  <c r="D6" i="105"/>
  <c r="L42" i="7"/>
  <c r="F32" i="7"/>
  <c r="H32" i="7"/>
  <c r="F28" i="7"/>
  <c r="G28" i="7"/>
  <c r="D16" i="95"/>
  <c r="G26" i="7"/>
  <c r="H26" i="7"/>
  <c r="L20" i="7"/>
  <c r="D16" i="83"/>
  <c r="K20" i="7"/>
  <c r="M20" i="7"/>
  <c r="D21" i="83"/>
  <c r="G20" i="7"/>
  <c r="H20" i="7"/>
  <c r="G50" i="93"/>
  <c r="G50" i="83"/>
  <c r="R20" i="7"/>
  <c r="G48" i="93"/>
  <c r="G48" i="83"/>
  <c r="K23" i="7"/>
  <c r="B6" i="111"/>
  <c r="G22" i="7"/>
  <c r="I22" i="7"/>
  <c r="H19" i="7"/>
  <c r="G19" i="7"/>
  <c r="G18" i="7"/>
  <c r="I56" i="7"/>
  <c r="D6" i="122"/>
  <c r="C6" i="122"/>
  <c r="R22" i="7"/>
  <c r="M22" i="7"/>
  <c r="D16" i="92"/>
  <c r="L22" i="7"/>
  <c r="D14" i="92"/>
  <c r="I27" i="7"/>
  <c r="H33" i="7"/>
  <c r="G33" i="7"/>
  <c r="L21" i="7"/>
  <c r="D16" i="91"/>
  <c r="D6" i="93"/>
  <c r="I38" i="7"/>
  <c r="H45" i="7"/>
  <c r="G34" i="7"/>
  <c r="I34" i="7"/>
  <c r="M23" i="7"/>
  <c r="D21" i="93"/>
  <c r="I36" i="7"/>
  <c r="L23" i="7"/>
  <c r="D16" i="93"/>
  <c r="R23" i="7"/>
  <c r="F38" i="123"/>
  <c r="G38" i="123"/>
  <c r="G41" i="123"/>
  <c r="G49" i="129"/>
  <c r="G55" i="129"/>
  <c r="G56" i="129"/>
  <c r="F72" i="129"/>
  <c r="G72" i="129"/>
  <c r="D6" i="115"/>
  <c r="G46" i="129"/>
  <c r="K35" i="129"/>
  <c r="J35" i="129"/>
  <c r="G35" i="129"/>
  <c r="G84" i="129"/>
  <c r="F32" i="97"/>
  <c r="G32" i="97"/>
  <c r="E32" i="129"/>
  <c r="F32" i="129"/>
  <c r="K34" i="129"/>
  <c r="G34" i="129"/>
  <c r="J34" i="129"/>
  <c r="E4" i="127"/>
  <c r="E4" i="96"/>
  <c r="E4" i="97"/>
  <c r="E4" i="105"/>
  <c r="E4" i="117"/>
  <c r="E4" i="125"/>
  <c r="E4" i="83"/>
  <c r="E4" i="98"/>
  <c r="E4" i="111"/>
  <c r="E4" i="118"/>
  <c r="E4" i="123"/>
  <c r="E4" i="124"/>
  <c r="E4" i="91"/>
  <c r="E4" i="99"/>
  <c r="E4" i="112"/>
  <c r="E4" i="119"/>
  <c r="E4" i="81"/>
  <c r="E4" i="93"/>
  <c r="E4" i="122"/>
  <c r="E4" i="103"/>
  <c r="E4" i="104"/>
  <c r="E4" i="92"/>
  <c r="E4" i="100"/>
  <c r="E4" i="113"/>
  <c r="E4" i="80"/>
  <c r="E4" i="101"/>
  <c r="E4" i="121"/>
  <c r="E4" i="94"/>
  <c r="E4" i="115"/>
  <c r="E4" i="95"/>
  <c r="E4" i="128"/>
  <c r="E4" i="116"/>
  <c r="G39" i="122"/>
  <c r="F38" i="122"/>
  <c r="D6" i="128"/>
  <c r="F52" i="115"/>
  <c r="G52" i="115"/>
  <c r="G32" i="113"/>
  <c r="F43" i="113"/>
  <c r="G43" i="113"/>
  <c r="F42" i="113"/>
  <c r="G42" i="113"/>
  <c r="F41" i="113"/>
  <c r="G41" i="113"/>
  <c r="F44" i="113"/>
  <c r="G44" i="113"/>
  <c r="J21" i="24"/>
  <c r="K21" i="24"/>
  <c r="G21" i="24"/>
  <c r="P19" i="24"/>
  <c r="C6" i="112"/>
  <c r="P21" i="7"/>
  <c r="K19" i="24"/>
  <c r="G19" i="24"/>
  <c r="Y55" i="24"/>
  <c r="K18" i="7"/>
  <c r="D25" i="80"/>
  <c r="L18" i="7"/>
  <c r="D16" i="80"/>
  <c r="D6" i="80"/>
  <c r="M18" i="7"/>
  <c r="D22" i="80"/>
  <c r="G40" i="24"/>
  <c r="P18" i="7"/>
  <c r="J46" i="24"/>
  <c r="M19" i="7"/>
  <c r="D15" i="81"/>
  <c r="L19" i="7"/>
  <c r="D13" i="81"/>
  <c r="R19" i="7"/>
  <c r="D6" i="81"/>
  <c r="C23" i="12"/>
  <c r="E36" i="24"/>
  <c r="G36" i="24"/>
  <c r="M21" i="7"/>
  <c r="D22" i="91"/>
  <c r="D6" i="91"/>
  <c r="K21" i="7"/>
  <c r="D25" i="91"/>
  <c r="D32" i="97"/>
  <c r="C6" i="123"/>
  <c r="F34" i="97"/>
  <c r="G34" i="97"/>
  <c r="F42" i="101"/>
  <c r="F33" i="97"/>
  <c r="G33" i="97"/>
  <c r="G46" i="24"/>
  <c r="G51" i="24"/>
  <c r="K46" i="24"/>
  <c r="Y54" i="24"/>
  <c r="G4" i="24"/>
  <c r="G129" i="24"/>
  <c r="D6" i="103"/>
  <c r="L33" i="7"/>
  <c r="M33" i="7"/>
  <c r="G43" i="104"/>
  <c r="G23" i="104"/>
  <c r="G42" i="104"/>
  <c r="D6" i="98"/>
  <c r="D6" i="96"/>
  <c r="G43" i="103"/>
  <c r="G44" i="103"/>
  <c r="L34" i="7"/>
  <c r="D6" i="104"/>
  <c r="M34" i="7"/>
  <c r="G54" i="7"/>
  <c r="G55" i="7"/>
  <c r="I55" i="7"/>
  <c r="H78" i="7"/>
  <c r="I78" i="7"/>
  <c r="G48" i="7"/>
  <c r="I48" i="7"/>
  <c r="B4" i="117"/>
  <c r="B4" i="104"/>
  <c r="B4" i="115"/>
  <c r="B4" i="81"/>
  <c r="B4" i="100"/>
  <c r="B4" i="111"/>
  <c r="B4" i="123"/>
  <c r="B4" i="101"/>
  <c r="B4" i="119"/>
  <c r="B4" i="93"/>
  <c r="B4" i="128"/>
  <c r="B4" i="112"/>
  <c r="I126" i="7"/>
  <c r="B4" i="92"/>
  <c r="B4" i="124"/>
  <c r="B4" i="105"/>
  <c r="B4" i="98"/>
  <c r="B4" i="125"/>
  <c r="B4" i="95"/>
  <c r="B4" i="83"/>
  <c r="B4" i="116"/>
  <c r="B4" i="103"/>
  <c r="B4" i="97"/>
  <c r="B4" i="99"/>
  <c r="B4" i="96"/>
  <c r="B4" i="113"/>
  <c r="B4" i="118"/>
  <c r="B4" i="91"/>
  <c r="B4" i="127"/>
  <c r="B4" i="80"/>
  <c r="B4" i="94"/>
  <c r="B4" i="122"/>
  <c r="B4" i="121"/>
  <c r="H28" i="7"/>
  <c r="I28" i="7"/>
  <c r="G32" i="7"/>
  <c r="G35" i="7"/>
  <c r="D6" i="97"/>
  <c r="D13" i="97"/>
  <c r="I26" i="7"/>
  <c r="I20" i="7"/>
  <c r="B6" i="122"/>
  <c r="F41" i="123"/>
  <c r="G24" i="7"/>
  <c r="I19" i="7"/>
  <c r="I18" i="7"/>
  <c r="H24" i="7"/>
  <c r="I33" i="7"/>
  <c r="G59" i="129"/>
  <c r="G64" i="129"/>
  <c r="K65" i="129"/>
  <c r="J32" i="129"/>
  <c r="G32" i="129"/>
  <c r="G37" i="129"/>
  <c r="G47" i="129"/>
  <c r="G48" i="129"/>
  <c r="G50" i="129"/>
  <c r="G51" i="129"/>
  <c r="G52" i="129"/>
  <c r="G53" i="129"/>
  <c r="K32" i="129"/>
  <c r="G39" i="101"/>
  <c r="F41" i="122"/>
  <c r="G38" i="122"/>
  <c r="G41" i="122"/>
  <c r="G27" i="24"/>
  <c r="G62" i="24"/>
  <c r="G55" i="24"/>
  <c r="G93" i="24"/>
  <c r="G94" i="24"/>
  <c r="G95" i="24"/>
  <c r="G96" i="24"/>
  <c r="G97" i="24"/>
  <c r="G119" i="24"/>
  <c r="L119" i="24"/>
  <c r="G42" i="24"/>
  <c r="G36" i="101"/>
  <c r="G41" i="101"/>
  <c r="G62" i="101"/>
  <c r="G34" i="101"/>
  <c r="G40" i="101"/>
  <c r="G37" i="101"/>
  <c r="G42" i="101"/>
  <c r="C6" i="81"/>
  <c r="B6" i="81"/>
  <c r="G61" i="101"/>
  <c r="G38" i="101"/>
  <c r="G35" i="101"/>
  <c r="D17" i="98"/>
  <c r="D14" i="98"/>
  <c r="I54" i="7"/>
  <c r="G58" i="7"/>
  <c r="G60" i="7"/>
  <c r="I60" i="7"/>
  <c r="D6" i="119"/>
  <c r="C6" i="119"/>
  <c r="B6" i="119"/>
  <c r="H35" i="7"/>
  <c r="D16" i="97"/>
  <c r="I45" i="7"/>
  <c r="G45" i="7"/>
  <c r="I24" i="7"/>
  <c r="G62" i="129"/>
  <c r="G104" i="129"/>
  <c r="J56" i="129"/>
  <c r="M65" i="129"/>
  <c r="G65" i="129"/>
  <c r="J65" i="129"/>
  <c r="F71" i="129"/>
  <c r="G71" i="129"/>
  <c r="G105" i="129"/>
  <c r="G83" i="129"/>
  <c r="G94" i="129"/>
  <c r="G64" i="24"/>
  <c r="G108" i="24"/>
  <c r="J108" i="24"/>
  <c r="G98" i="24"/>
  <c r="J97" i="24"/>
  <c r="M32" i="7"/>
  <c r="L32" i="7"/>
  <c r="G61" i="24"/>
  <c r="G63" i="24"/>
  <c r="F79" i="24"/>
  <c r="G79" i="24"/>
  <c r="G52" i="24"/>
  <c r="G53" i="24"/>
  <c r="G54" i="24"/>
  <c r="G86" i="24"/>
  <c r="G87" i="24"/>
  <c r="G88" i="24"/>
  <c r="G89" i="24"/>
  <c r="G90" i="24"/>
  <c r="G107" i="24"/>
  <c r="D6" i="121"/>
  <c r="C6" i="121"/>
  <c r="B6" i="121"/>
  <c r="G49" i="119"/>
  <c r="G48" i="119"/>
  <c r="I58" i="7"/>
  <c r="I95" i="7"/>
  <c r="H79" i="7"/>
  <c r="I79" i="7"/>
  <c r="I32" i="7"/>
  <c r="D6" i="101"/>
  <c r="G82" i="129"/>
  <c r="G93" i="129"/>
  <c r="F73" i="129"/>
  <c r="G73" i="129"/>
  <c r="I73" i="129"/>
  <c r="J102" i="129"/>
  <c r="G95" i="129"/>
  <c r="G85" i="129"/>
  <c r="G86" i="129"/>
  <c r="G106" i="129"/>
  <c r="J113" i="129"/>
  <c r="G75" i="129"/>
  <c r="G99" i="24"/>
  <c r="G66" i="24"/>
  <c r="G71" i="24"/>
  <c r="G72" i="24"/>
  <c r="G106" i="24"/>
  <c r="G109" i="24"/>
  <c r="G110" i="24"/>
  <c r="G112" i="24"/>
  <c r="G56" i="24"/>
  <c r="G57" i="24"/>
  <c r="G58" i="24"/>
  <c r="G59" i="24"/>
  <c r="F78" i="24"/>
  <c r="G78" i="24"/>
  <c r="G82" i="24"/>
  <c r="K90" i="24"/>
  <c r="J89" i="24"/>
  <c r="G118" i="24"/>
  <c r="J118" i="24"/>
  <c r="G37" i="121"/>
  <c r="G38" i="121"/>
  <c r="D6" i="124"/>
  <c r="I62" i="7"/>
  <c r="I63" i="7"/>
  <c r="D17" i="101"/>
  <c r="C6" i="101"/>
  <c r="B6" i="101"/>
  <c r="D14" i="101"/>
  <c r="G76" i="129"/>
  <c r="I76" i="129"/>
  <c r="G87" i="129"/>
  <c r="G88" i="129"/>
  <c r="G97" i="129"/>
  <c r="G96" i="129"/>
  <c r="G107" i="129"/>
  <c r="G108" i="129"/>
  <c r="J107" i="24"/>
  <c r="J106" i="24"/>
  <c r="G111" i="24"/>
  <c r="G113" i="24"/>
  <c r="G120" i="24"/>
  <c r="G121" i="24"/>
  <c r="G69" i="24"/>
  <c r="F80" i="24"/>
  <c r="G80" i="24"/>
  <c r="G83" i="24"/>
  <c r="G91" i="24"/>
  <c r="G92" i="24"/>
  <c r="G117" i="24"/>
  <c r="G105" i="24"/>
  <c r="J127" i="24"/>
  <c r="J119" i="24"/>
  <c r="O63" i="7"/>
  <c r="M63" i="7"/>
  <c r="G109" i="129"/>
  <c r="G110" i="129"/>
  <c r="G111" i="129"/>
  <c r="G113" i="129"/>
  <c r="G98" i="129"/>
  <c r="G89" i="129"/>
  <c r="G122" i="24"/>
  <c r="G123" i="24"/>
  <c r="G127" i="24"/>
  <c r="J113" i="24"/>
  <c r="G114" i="24"/>
  <c r="G115" i="24"/>
  <c r="G112" i="129"/>
  <c r="I89" i="129"/>
  <c r="G91" i="129"/>
  <c r="G90" i="129"/>
  <c r="I98" i="129"/>
  <c r="I100" i="129"/>
  <c r="G99" i="129"/>
  <c r="G100" i="129"/>
  <c r="J123" i="24"/>
  <c r="G124" i="24"/>
  <c r="G125" i="24"/>
  <c r="G126" i="24"/>
  <c r="G101" i="129"/>
  <c r="G102" i="129"/>
  <c r="G46" i="7"/>
  <c r="G47" i="7"/>
  <c r="G50" i="7"/>
  <c r="G51" i="7"/>
  <c r="G52" i="7"/>
  <c r="G53" i="7"/>
  <c r="I93" i="7"/>
  <c r="I94" i="7"/>
  <c r="I96" i="7"/>
  <c r="I97" i="7"/>
  <c r="I98" i="7"/>
  <c r="I99" i="7"/>
  <c r="I100" i="7"/>
  <c r="K100" i="7"/>
  <c r="I35" i="7"/>
  <c r="H46" i="7"/>
  <c r="I46" i="7"/>
  <c r="H47" i="7"/>
  <c r="H50" i="7"/>
  <c r="I50" i="7"/>
  <c r="I51" i="7"/>
  <c r="I71" i="7"/>
  <c r="D8" i="12"/>
  <c r="I101" i="7"/>
  <c r="I102" i="7"/>
  <c r="H51" i="7"/>
  <c r="H52" i="7"/>
  <c r="I52" i="7"/>
  <c r="I53" i="7"/>
  <c r="I47" i="7"/>
  <c r="D6" i="118"/>
  <c r="H53" i="7"/>
  <c r="I115" i="7"/>
  <c r="I105" i="7"/>
  <c r="I104" i="7"/>
  <c r="I116" i="7"/>
  <c r="H77" i="7"/>
  <c r="I77" i="7"/>
  <c r="I106" i="7"/>
  <c r="L113" i="7"/>
  <c r="I81" i="7"/>
  <c r="I82" i="7"/>
  <c r="K82" i="7"/>
  <c r="K79" i="7"/>
  <c r="I117" i="7"/>
  <c r="L124" i="7"/>
  <c r="I119" i="7"/>
  <c r="I118" i="7"/>
  <c r="I107" i="7"/>
  <c r="I108" i="7"/>
  <c r="I109" i="7"/>
  <c r="K111" i="7"/>
  <c r="I120" i="7"/>
  <c r="I121" i="7"/>
  <c r="I122" i="7"/>
  <c r="K109" i="7"/>
  <c r="I110" i="7"/>
  <c r="I111" i="7"/>
  <c r="I113" i="7"/>
  <c r="I124" i="7"/>
  <c r="I123" i="7"/>
  <c r="I112" i="7"/>
</calcChain>
</file>

<file path=xl/sharedStrings.xml><?xml version="1.0" encoding="utf-8"?>
<sst xmlns="http://schemas.openxmlformats.org/spreadsheetml/2006/main" count="6951" uniqueCount="1597">
  <si>
    <t>Sub total</t>
  </si>
  <si>
    <t>Superficie de muros (10%)</t>
  </si>
  <si>
    <t>TOTAL</t>
  </si>
  <si>
    <t>Adaptaciones al predio (empalmes, contención, suelo) 12%</t>
  </si>
  <si>
    <t>Calculo de
Coeficientes</t>
  </si>
  <si>
    <t>1 por establecimiento</t>
  </si>
  <si>
    <t xml:space="preserve">un recinto por establecimiento de hasta 4 niveles de sala cuna, un recinto adicional
 de igual  sup x incremento </t>
  </si>
  <si>
    <t>hasta 2 niveles; y 2 m2 de incremento por nivel</t>
  </si>
  <si>
    <t>Sobre 4 niveles se separa en 2 recintos que suman la sup correspondiente</t>
  </si>
  <si>
    <t>hasta 4 niveles; incremento de 3 m2 por nivel adicional</t>
  </si>
  <si>
    <t>1m2 por niño</t>
  </si>
  <si>
    <t>hasta 2 niveles;  con incremento de 0,5 m2 por nivel adicional</t>
  </si>
  <si>
    <t>La superficie señalada corresponde al nivel sala cuna para 20 lactantes. Cualquier cobertura inferior consultar con Nivel Central</t>
  </si>
  <si>
    <t>SALA CUNA</t>
  </si>
  <si>
    <t>NIVEL MEDIO</t>
  </si>
  <si>
    <t>CAPACIDAD ESTABLECIMIENTO</t>
  </si>
  <si>
    <t>REGIÓN</t>
  </si>
  <si>
    <t>TARAPACÁ</t>
  </si>
  <si>
    <t>ARICA Y PARINACOTA</t>
  </si>
  <si>
    <t>ANTOFAGASTA</t>
  </si>
  <si>
    <t>ATACAMA</t>
  </si>
  <si>
    <t>COQUIMBO</t>
  </si>
  <si>
    <t>VALPARAISO</t>
  </si>
  <si>
    <t>METROPOLITANA</t>
  </si>
  <si>
    <t>DEL LIBERTADOR BERNARDO O´HIGGINS</t>
  </si>
  <si>
    <t>DEL MAULE</t>
  </si>
  <si>
    <t>BIO BIO</t>
  </si>
  <si>
    <t>ARAUCANÍA</t>
  </si>
  <si>
    <t>LOS RIOS</t>
  </si>
  <si>
    <t>LOS LAGOS</t>
  </si>
  <si>
    <t>AYSÉN</t>
  </si>
  <si>
    <t>MAGALLANES</t>
  </si>
  <si>
    <t>2.1</t>
  </si>
  <si>
    <t>2.2</t>
  </si>
  <si>
    <t>2.3</t>
  </si>
  <si>
    <t>2.4</t>
  </si>
  <si>
    <t>2.5</t>
  </si>
  <si>
    <t>2.6</t>
  </si>
  <si>
    <t>2.7</t>
  </si>
  <si>
    <t>2.8</t>
  </si>
  <si>
    <t>2.9</t>
  </si>
  <si>
    <t>2.10</t>
  </si>
  <si>
    <t>2.11</t>
  </si>
  <si>
    <t>1.1</t>
  </si>
  <si>
    <t>1.2</t>
  </si>
  <si>
    <t>1.3</t>
  </si>
  <si>
    <t>1.4</t>
  </si>
  <si>
    <t>1.5</t>
  </si>
  <si>
    <t>1.6</t>
  </si>
  <si>
    <t>1,2 m2 por niño máximo exigible 100 m2</t>
  </si>
  <si>
    <t>3.1</t>
  </si>
  <si>
    <t>3.2</t>
  </si>
  <si>
    <t>3.3</t>
  </si>
  <si>
    <t>3.4</t>
  </si>
  <si>
    <t>3.5</t>
  </si>
  <si>
    <t>3.6</t>
  </si>
  <si>
    <t>4.1</t>
  </si>
  <si>
    <t>4.2</t>
  </si>
  <si>
    <t>NIVELES</t>
  </si>
  <si>
    <t>LACTANTES</t>
  </si>
  <si>
    <t>PÁRVULOS</t>
  </si>
  <si>
    <t>1.7</t>
  </si>
  <si>
    <t>Se comparte entre 2 salas de actividades SC</t>
  </si>
  <si>
    <t>2.12</t>
  </si>
  <si>
    <t>DIRECTORA</t>
  </si>
  <si>
    <t>TÉCNICOS SC</t>
  </si>
  <si>
    <t>EDUCADORA SC</t>
  </si>
  <si>
    <t>EDUCADORA NM</t>
  </si>
  <si>
    <t>TÉCNICOS NM</t>
  </si>
  <si>
    <t>TOTAL DOCENTES</t>
  </si>
  <si>
    <t>VOLUMEN DE AIRE X SALA (M3)</t>
  </si>
  <si>
    <t>MANIPULADORAS ALIMENTOS SC</t>
  </si>
  <si>
    <t>MANIPULADORAS ALIMENTOS NM</t>
  </si>
  <si>
    <t>PERSONAL DE SERVICIO</t>
  </si>
  <si>
    <t>TOTAL ADULTOS</t>
  </si>
  <si>
    <t>5,5 hasta 2 niveles; y 2 m2 de incremento por nivel</t>
  </si>
  <si>
    <t>LAVAPLATOS DOBLE</t>
  </si>
  <si>
    <t>LAVAFONDOS</t>
  </si>
  <si>
    <t>LAVAMANOS ADULTO</t>
  </si>
  <si>
    <t>CAMPANA EXTRACTORA</t>
  </si>
  <si>
    <t>COCINA 4 PLATOS</t>
  </si>
  <si>
    <t>FOGÓN 1 QUEMADOR</t>
  </si>
  <si>
    <t>FOGÓN 2 QUEMADORES</t>
  </si>
  <si>
    <t>VARIABLES INFRAESTRUCTURA META 2014-2018</t>
  </si>
  <si>
    <t>La cocina mínima permite la ampliación de cobertura hasta 4 niveles</t>
  </si>
  <si>
    <t>Exigible sobre 10 docentes</t>
  </si>
  <si>
    <t>Exigible en Zona Sur, debe permitir apertura de la cubierta</t>
  </si>
  <si>
    <t>UNIDAD BÁSICA SALA CUNA</t>
  </si>
  <si>
    <t>Capacidad Lactantes</t>
  </si>
  <si>
    <t>Capacidad Párvulos</t>
  </si>
  <si>
    <t>Capacidad Total</t>
  </si>
  <si>
    <t>Incluye llave agua fría y pileta</t>
  </si>
  <si>
    <t>5.1</t>
  </si>
  <si>
    <t>5.2</t>
  </si>
  <si>
    <t>Superficie Total Cubierta</t>
  </si>
  <si>
    <t>TOTAL recintos</t>
  </si>
  <si>
    <t>TOTAL Superficies útiles</t>
  </si>
  <si>
    <t>6.1</t>
  </si>
  <si>
    <t>6.2</t>
  </si>
  <si>
    <t>6.3</t>
  </si>
  <si>
    <t>6.4</t>
  </si>
  <si>
    <t>6.5</t>
  </si>
  <si>
    <t>Superficie Total Cerrada</t>
  </si>
  <si>
    <t>Superficie Total No Edificada</t>
  </si>
  <si>
    <t>TOTAL INVERSIÓN UF</t>
  </si>
  <si>
    <t>Equipamiento Patio (Juegos Infantiles)</t>
  </si>
  <si>
    <t>Superficies Cerradas (UF/M2)</t>
  </si>
  <si>
    <t>Superficies Cubiertas (UF/M2)</t>
  </si>
  <si>
    <t>Superficies No Edificadas (UF/M2) (Paisajismo, obras civiles y mobiliario patio)</t>
  </si>
  <si>
    <t>INVERSIÓN</t>
  </si>
  <si>
    <t>Contempla 2 unidades de frio (vertical u horizontal)</t>
  </si>
  <si>
    <t>m2/niño</t>
  </si>
  <si>
    <t>% DE ILUMINACIÓN NATURAL X SALA (M2)</t>
  </si>
  <si>
    <t>% DE VENTILACIÓN NATURAL X SALA (M2)</t>
  </si>
  <si>
    <t>Este recinto es compartido en el caso de existir 2 salas de actividades de Sala Cuna.
La superficie señalada corresponde al nivel sala cuna para 20 lactantes. Cualquier cobertura inferior consultar con Nivel Central</t>
  </si>
  <si>
    <t>Este recinto es compartido en el caso de existir 2 salas de actividades de Nivel Medio.
La superficie señalada corresponde al nivel medio para 24 párvulos. Cualquier cobertura inferior consultar con Nivel Central</t>
  </si>
  <si>
    <t>n/a</t>
  </si>
  <si>
    <t>Este recinto NO se comparte.</t>
  </si>
  <si>
    <t>PROGRAMA ARQUITECTÓNICO</t>
  </si>
  <si>
    <t>CRITERIOS DE INCREMENTO</t>
  </si>
  <si>
    <t>OBSERVACIONES</t>
  </si>
  <si>
    <t>OBSERVACIONES DEL PROGRAMA</t>
  </si>
  <si>
    <t>CARACTERIZACIÓN DEL RECINTO</t>
  </si>
  <si>
    <t>EQUIPAMIENTO</t>
  </si>
  <si>
    <t>MOBILIARIO FIJO</t>
  </si>
  <si>
    <t>RELACIONES ESPACIALES Y PROGRAMÁTICAS</t>
  </si>
  <si>
    <r>
      <rPr>
        <b/>
        <sz val="36"/>
        <color theme="1"/>
        <rFont val="Calibri"/>
        <family val="2"/>
        <scheme val="minor"/>
      </rPr>
      <t>2</t>
    </r>
    <r>
      <rPr>
        <b/>
        <sz val="11"/>
        <color theme="1"/>
        <rFont val="Calibri"/>
        <family val="2"/>
        <scheme val="minor"/>
      </rPr>
      <t xml:space="preserve"> 
Área Administrativa</t>
    </r>
  </si>
  <si>
    <r>
      <rPr>
        <b/>
        <sz val="36"/>
        <color theme="1"/>
        <rFont val="Calibri"/>
        <family val="2"/>
        <scheme val="minor"/>
      </rPr>
      <t>3</t>
    </r>
    <r>
      <rPr>
        <b/>
        <sz val="11"/>
        <color theme="1"/>
        <rFont val="Calibri"/>
        <family val="2"/>
        <scheme val="minor"/>
      </rPr>
      <t xml:space="preserve"> 
Área Servicios</t>
    </r>
  </si>
  <si>
    <r>
      <rPr>
        <b/>
        <sz val="36"/>
        <color theme="1"/>
        <rFont val="Calibri"/>
        <family val="2"/>
        <scheme val="minor"/>
      </rPr>
      <t xml:space="preserve">5
</t>
    </r>
    <r>
      <rPr>
        <b/>
        <sz val="11"/>
        <color theme="1"/>
        <rFont val="Calibri"/>
        <family val="2"/>
        <scheme val="minor"/>
      </rPr>
      <t xml:space="preserve"> Áreas Cubiertas</t>
    </r>
  </si>
  <si>
    <r>
      <rPr>
        <b/>
        <sz val="36"/>
        <rFont val="Calibri"/>
        <family val="2"/>
        <scheme val="minor"/>
      </rPr>
      <t>6</t>
    </r>
    <r>
      <rPr>
        <b/>
        <sz val="11"/>
        <rFont val="Calibri"/>
        <family val="2"/>
        <scheme val="minor"/>
      </rPr>
      <t xml:space="preserve">
Áreas no Construidas</t>
    </r>
  </si>
  <si>
    <t>SALA DE MUDAS Y HH.HH</t>
  </si>
  <si>
    <t>SALA DE MUDAS Y HH.HH COMPARTIDA</t>
  </si>
  <si>
    <t>MUEBLES</t>
  </si>
  <si>
    <t>PUERTAS</t>
  </si>
  <si>
    <t>VENTANAS</t>
  </si>
  <si>
    <t>REVESTIMIENTOS</t>
  </si>
  <si>
    <t>MUROS</t>
  </si>
  <si>
    <t>ESPECIALIDADES</t>
  </si>
  <si>
    <t>INSTALACIONES ELÉCTRICAS Y CCDD</t>
  </si>
  <si>
    <t>CLIMATIZACIÓN</t>
  </si>
  <si>
    <t>SEGURIDAD</t>
  </si>
  <si>
    <t xml:space="preserve">ACCESIBILIDAD </t>
  </si>
  <si>
    <t>INSTALACIONES SANITARIAS</t>
  </si>
  <si>
    <t>HABITABILIDAD</t>
  </si>
  <si>
    <t>CRITERIOS BIOCLIMÁTICOS</t>
  </si>
  <si>
    <t>UNIDAD BÁSICA NIVEL MEDIO</t>
  </si>
  <si>
    <t>SALA DE ACTIVIDADES NIVEL MEDIO</t>
  </si>
  <si>
    <t>SALA DE ACTIVIDADES SALA CUNA</t>
  </si>
  <si>
    <t>SALA DE HÁBITOS HIGIÉNICOS NIVEL MEDIO</t>
  </si>
  <si>
    <t>OFICINA DIRECCIÓN</t>
  </si>
  <si>
    <t>OFICINA EDUCADORAS</t>
  </si>
  <si>
    <t>HALL DE ESPERA</t>
  </si>
  <si>
    <t>SALA COMUNITARIA</t>
  </si>
  <si>
    <t>SALA DE AMAMANTAMIENTO</t>
  </si>
  <si>
    <t>BAÑO ACCESIBLE</t>
  </si>
  <si>
    <t>BAÑO DOCENTE</t>
  </si>
  <si>
    <t>BAÑO PERSONAL AUXILIAR</t>
  </si>
  <si>
    <t>BODEGA DE MATERIAL DIDÁCTICO</t>
  </si>
  <si>
    <t>BODEGA GENERAL</t>
  </si>
  <si>
    <t>BODEGA ASEO GENERAL</t>
  </si>
  <si>
    <t>COCINA GENERAL</t>
  </si>
  <si>
    <t>COCINA DE LECHE</t>
  </si>
  <si>
    <t>BODEGA ASEO UNIDAD DE ALIMENTACIÓN</t>
  </si>
  <si>
    <t>BAÑO MANIPULADORAS</t>
  </si>
  <si>
    <t xml:space="preserve">CIRCULACIONES </t>
  </si>
  <si>
    <t>PATIO CUBIERTO</t>
  </si>
  <si>
    <r>
      <rPr>
        <b/>
        <sz val="36"/>
        <color theme="1"/>
        <rFont val="Calibri"/>
        <family val="2"/>
        <scheme val="minor"/>
      </rPr>
      <t xml:space="preserve">4 </t>
    </r>
    <r>
      <rPr>
        <b/>
        <sz val="11"/>
        <color theme="1"/>
        <rFont val="Calibri"/>
        <family val="2"/>
        <scheme val="minor"/>
      </rPr>
      <t xml:space="preserve">
Circulaciones y Patios Cerrados </t>
    </r>
  </si>
  <si>
    <t>INVERNADERO</t>
  </si>
  <si>
    <t>PATIO GENERAL</t>
  </si>
  <si>
    <t>PATIO SERVICIO</t>
  </si>
  <si>
    <t>HUERTO</t>
  </si>
  <si>
    <t>CUMPLE</t>
  </si>
  <si>
    <t>NO CUMPLE</t>
  </si>
  <si>
    <t>Puerta de ancho libre 0,80 m</t>
  </si>
  <si>
    <t>Quincalleria puerta de palanca</t>
  </si>
  <si>
    <t>PERCHAS DOBLES</t>
  </si>
  <si>
    <t>MUDADOR</t>
  </si>
  <si>
    <t>LAVADERO</t>
  </si>
  <si>
    <t>FICHA ARQ</t>
  </si>
  <si>
    <t>PLANO ARQ. 2</t>
  </si>
  <si>
    <t xml:space="preserve">PLANO ARQ. 1 </t>
  </si>
  <si>
    <t>TOTAL NIVELES</t>
  </si>
  <si>
    <t>REGIÓN:</t>
  </si>
  <si>
    <t>RECINTO</t>
  </si>
  <si>
    <t>SALA MULTIUSO DOCENTE</t>
  </si>
  <si>
    <t>SALA MULTIUSO PÁRVULOS</t>
  </si>
  <si>
    <t>SUPERFICIE CONSTRUIDA PRIMER PISO</t>
  </si>
  <si>
    <t>COEFICIENTE DE OCUPACION DE SUELO</t>
  </si>
  <si>
    <t>COEFICIENTE DE CONSTRUCTIBILIDAD</t>
  </si>
  <si>
    <t>SUPERFICIE CONSTRUIDA SEGUNDO PISO</t>
  </si>
  <si>
    <t>CIRCULACION</t>
  </si>
  <si>
    <t>TOTAL SUPERFICIES</t>
  </si>
  <si>
    <t>TOTAL SUPERFICIE PRIMER PISO</t>
  </si>
  <si>
    <t>PATIOS PRIMER PISO</t>
  </si>
  <si>
    <t>TOTAL SUPERFICIE SEGUNDO PISO</t>
  </si>
  <si>
    <t>TOTAL SUPERFICIE REQUERIDA PRIMER PISO</t>
  </si>
  <si>
    <t>TOTAL SUPERFICIE REQUERIDA SEGUNDO PISO</t>
  </si>
  <si>
    <t>LADO VOLUMEN CUADRADO</t>
  </si>
  <si>
    <t>SUPERFICIE TERRENO CON DISTANCIAMIENTO Y ANTEJARDÍN</t>
  </si>
  <si>
    <t>SUP LIBRE</t>
  </si>
  <si>
    <t>CONSTRUCCION AISLADA C/ PATIO PERIMETRAL</t>
  </si>
  <si>
    <t>2.13</t>
  </si>
  <si>
    <t>BODEGA DE MATERIAL DIDÁCTICO SALA CUNA</t>
  </si>
  <si>
    <t>BODEGA DE MATERIAL DIDÁCTICO NIVEL MEDIO</t>
  </si>
  <si>
    <t>5.3</t>
  </si>
  <si>
    <t>SOMBREADERO PATIO PRIMER PISO</t>
  </si>
  <si>
    <t>SOMBREADERO PATIO SEGUNDO PISO</t>
  </si>
  <si>
    <t>4.3</t>
  </si>
  <si>
    <t>PATIOS SEGUNDO PISO SOMBREADERO</t>
  </si>
  <si>
    <t>CONSTRUCCION AISLADA C/PATIO PERIMETRAL</t>
  </si>
  <si>
    <t>CONSTRUCCION AISLADA C/PATIO INTERIOR</t>
  </si>
  <si>
    <t>SALA DE ACTIVIDADES SALA CUNA ACCESIBLE PRIMER PISO</t>
  </si>
  <si>
    <t>SALA DE MUDAS Y HH.HH ACCESIBLE PRIMER PISO</t>
  </si>
  <si>
    <t>1.8</t>
  </si>
  <si>
    <t>1.9</t>
  </si>
  <si>
    <t>1.10</t>
  </si>
  <si>
    <t>SALA DE AMAMANTAMIENTO ACCESIBLE PRIMER PISO</t>
  </si>
  <si>
    <t>2.14</t>
  </si>
  <si>
    <t>CÁLCULO DE SUPERFICIES POR PISO PARA ESTIMACIONES DE TERRENOS</t>
  </si>
  <si>
    <t>UNIDAD BÁSICA SALA CUNA SEGUNDO PISO</t>
  </si>
  <si>
    <t>UNIDAD BÁSICA SALA CUNA 1ER PISO</t>
  </si>
  <si>
    <t xml:space="preserve">PLANO ARQ. 3 </t>
  </si>
  <si>
    <t>N°</t>
  </si>
  <si>
    <t>AREA</t>
  </si>
  <si>
    <t>COD.</t>
  </si>
  <si>
    <t>PROGRAMA ARQUITECTÓNICO META PRESIDENCIAL PRIMERA INFANCIA / 1 PISO</t>
  </si>
  <si>
    <t>SUPERFICIE ÚTIL x SALA (m2)</t>
  </si>
  <si>
    <t>SUPERFICIE ÚTIL TOTAL (m2)</t>
  </si>
  <si>
    <t>VOLUMEN DE AIRE X SALA (m3)</t>
  </si>
  <si>
    <t>% DE ILUMINACIÓN NATURAL X SALA (m2)</t>
  </si>
  <si>
    <t>% DE VENTILACIÓN NATURAL X SALA (m2)</t>
  </si>
  <si>
    <t>ÍTEM</t>
  </si>
  <si>
    <t>Valor UF/m2</t>
  </si>
  <si>
    <t>Total M2</t>
  </si>
  <si>
    <t>Monto UF</t>
  </si>
  <si>
    <t>ÁREA</t>
  </si>
  <si>
    <t>PROGRAMA ARQUITECTÓNICO META PRESIDENCIAL PRIMERA INFANCIA / 2 PISOS</t>
  </si>
  <si>
    <t>2° PISO</t>
  </si>
  <si>
    <t>2°P</t>
  </si>
  <si>
    <t>+</t>
  </si>
  <si>
    <t>Lavables</t>
  </si>
  <si>
    <t>Iluminación Natural</t>
  </si>
  <si>
    <t>Ventilación Natural</t>
  </si>
  <si>
    <t>Confort Acústico</t>
  </si>
  <si>
    <t>Confort Térmico</t>
  </si>
  <si>
    <t>Orientación</t>
  </si>
  <si>
    <t>Asoleamiento</t>
  </si>
  <si>
    <t>Protecciones / Seguridad</t>
  </si>
  <si>
    <t>Pisos</t>
  </si>
  <si>
    <t>Muros</t>
  </si>
  <si>
    <t>Cielos</t>
  </si>
  <si>
    <t>Enchufes</t>
  </si>
  <si>
    <t>Interruptores</t>
  </si>
  <si>
    <t>Telefonía</t>
  </si>
  <si>
    <t>Citofonía</t>
  </si>
  <si>
    <t>Datos</t>
  </si>
  <si>
    <t>Calefacción</t>
  </si>
  <si>
    <t>Ventilación Forzada</t>
  </si>
  <si>
    <t>m2</t>
  </si>
  <si>
    <t>8% de la superficie útil del recinto, mínimo</t>
  </si>
  <si>
    <t>Colores claros en superficies para maximizar luz natural</t>
  </si>
  <si>
    <t>DS 548/89 MINEDUC Art 9- numeral 7-a)</t>
  </si>
  <si>
    <t>Diferencias de nivel superiores a 2cm deben contar con rampa según exigencia normativa.</t>
  </si>
  <si>
    <t>Diferencias de nivel y/o aperturas en suelo: máximo 2cm</t>
  </si>
  <si>
    <t>SEÑALETICA</t>
  </si>
  <si>
    <t>Lado Volumen  (supone edificación compacta cuadrada) (m)</t>
  </si>
  <si>
    <t>Ancho terreno (considera distanciamientos de 3m) (m)</t>
  </si>
  <si>
    <t>Largo terreno (considera distanciamiento 3m y 5 m antejardín) (m)</t>
  </si>
  <si>
    <t>SUPERFICIE CONSTRUIDA PRIMER PISO (m2)</t>
  </si>
  <si>
    <t>TERRENO ESTIMADO MÍNIMO SIN DISTANCIAMIENTO NI ANTEJARDIN (m2)</t>
  </si>
  <si>
    <t>SUPERFICIE TERRENO CON DISTANCIAMIENTO Y ANTEJARDÍN (m2)</t>
  </si>
  <si>
    <t>SUPERFICIE PATIO INTERIOR PROPUESTO (Patios de Extensión SC y NM) (m2)</t>
  </si>
  <si>
    <t>SUPERFICIE CONSTRUIDA PRIMER PISO + PATIO INTERIOR (m2)</t>
  </si>
  <si>
    <t>Lado Volumen (supone edificación cuadrada con patio interior) (m)</t>
  </si>
  <si>
    <t>* Para efectos de este estudio de cabida se estimó una construcción de lados iguales (cuadrada) y distanciamientos de 3m y antejardín de 5m. 
   Para estudios de cabida de los proyectos se deberá aplicar la normativa y ordenanza local.</t>
  </si>
  <si>
    <t>SUPERFICIE CONSTRUIDA SEGUNDO PISO (m2)</t>
  </si>
  <si>
    <t>%</t>
  </si>
  <si>
    <t>SUPERFICIE PATIO INTERIOR (Patio extensión SC y NM) (m2)</t>
  </si>
  <si>
    <t>SUPERFICIE TERRENO FINAL CON CUMPLIMIENTO OCUPACIÓN DE SUELO</t>
  </si>
  <si>
    <t>CONSTRUCCION AISLADA C/ PATIO INTERIOR</t>
  </si>
  <si>
    <t>TERRENO CALIDAD META</t>
  </si>
  <si>
    <t>ESTUDIO DE CABIDA EN 1 PISO*</t>
  </si>
  <si>
    <t>TERRENO 40% OCUPACIÓN SUELO</t>
  </si>
  <si>
    <t>CONSTRUCCION AISLADA C/ PATIO CENTRAL</t>
  </si>
  <si>
    <t>TERRENO 60% OCUPACIÓN SUELO (no recomendado)</t>
  </si>
  <si>
    <t>ESTUDIO DE CABIDA EN 2 PISOS*</t>
  </si>
  <si>
    <t>NOTAS:</t>
  </si>
  <si>
    <t>1.- Los montos de inversión son estimaciones referenciales y están basados en la experiencia de la JUNJI.</t>
  </si>
  <si>
    <t>3.- En el caso de terrenos irregulares en forma y pendiente que impidan la adopción total del programa arquitectónico, se consideran</t>
  </si>
  <si>
    <t>los siguientes criterios generales de aplicación:</t>
  </si>
  <si>
    <t>a.- Buscar un terreno apto para la implementación del programa arquitectónico.</t>
  </si>
  <si>
    <t>b.- Construir un establecimiento con una capacidad de atención menor y buscar otro terreno cercano para complementar oferta.</t>
  </si>
  <si>
    <t xml:space="preserve"> de superficie menor a lo indicado precedentemente.</t>
  </si>
  <si>
    <t>MARCO NORMATIVO</t>
  </si>
  <si>
    <t>Cercano al acceso principal</t>
  </si>
  <si>
    <t>Cercano a oficina directora y/o educadoras</t>
  </si>
  <si>
    <t>Se sugiere iluminación natural con un mínimo de:</t>
  </si>
  <si>
    <t xml:space="preserve"> Se sugiere ventanas operables para ventilación natural con una superficie mínima de:</t>
  </si>
  <si>
    <t>No aplica</t>
  </si>
  <si>
    <t xml:space="preserve">Se recomienda mantener  temperatura estable no menor a 15°C </t>
  </si>
  <si>
    <t>Sin exigencias específicas</t>
  </si>
  <si>
    <t>Puerta de ancho libre 0,90 m</t>
  </si>
  <si>
    <t>Recomendación META JUNJI</t>
  </si>
  <si>
    <t>JUNJI</t>
  </si>
  <si>
    <t>ACC.1</t>
  </si>
  <si>
    <t>Área libre de 0,70 m bajo lavamanos</t>
  </si>
  <si>
    <t>Radio de giro 1,50 m diámetro libre entre 0 y 0,70 m de altura sobre NPT</t>
  </si>
  <si>
    <t>Barra fija en muro a 0,40 m del eje de WC y 0,75 m de altura</t>
  </si>
  <si>
    <t>Área libre de 0,80 m de ancho en costado WC para transferencia</t>
  </si>
  <si>
    <t>Espejo sin inclinación, inmediatamente sobre el lavamanos</t>
  </si>
  <si>
    <t>Portarrollo papel higiénico a 0,40 m de NPT con fácil acceso desde WC</t>
  </si>
  <si>
    <t>Percha para colgar bastón o muleta a un costado de lavamanos y WC a una altura de 1,20 m desde NPT</t>
  </si>
  <si>
    <t>Dispensador de toallas de papel accionable con el codo y una mano a 1,20 m</t>
  </si>
  <si>
    <t xml:space="preserve">Dispensador de jabón accionable con el puño a 1,20 m </t>
  </si>
  <si>
    <t>ACC.2</t>
  </si>
  <si>
    <t>Seguro manual interior accionable con el codo</t>
  </si>
  <si>
    <t>Puerta no debe abatir sobre circulación</t>
  </si>
  <si>
    <t>Color que indique que corresponde a recinto adulto</t>
  </si>
  <si>
    <t>Celosía de acero inoxidable en peinazo</t>
  </si>
  <si>
    <t>Se sugiere vidrio tipo semilla o film 3m Dusted o similar, si la altura es inferior a 1,50 m</t>
  </si>
  <si>
    <t>Considerar malla mosquitero</t>
  </si>
  <si>
    <t xml:space="preserve">Se debe considerar diseño que impida el acceso desde el exterior (robos). Se privilegia solución arquitectónica. </t>
  </si>
  <si>
    <t>Lavable</t>
  </si>
  <si>
    <t>Antideslizante en seco y mojado</t>
  </si>
  <si>
    <t>De colores claros (blanco)</t>
  </si>
  <si>
    <t>Blanco</t>
  </si>
  <si>
    <t>Liso</t>
  </si>
  <si>
    <t>Pintura lavable (esmalte al agua)</t>
  </si>
  <si>
    <t>SUR</t>
  </si>
  <si>
    <t>Considerar equipo fluorescente compacto empotrado en cielo en centro del recinto</t>
  </si>
  <si>
    <t>Considerar equipo fluorescente compacto empotrado sobre espejo</t>
  </si>
  <si>
    <t>150 lux en el recinto</t>
  </si>
  <si>
    <t>Incluir radiador conectado a sistema de calefacción central</t>
  </si>
  <si>
    <t>Incorporar extracción forzada sobre WC accionable con interruptor de equipo de iluminación con apagado diferido</t>
  </si>
  <si>
    <t>Llave de paso para cada artefacto (lavamanos, WC y ducha higiénica)</t>
  </si>
  <si>
    <t>Incorporar pileta de desagüe para permitir lavado con agua ubicada entre WC y muro</t>
  </si>
  <si>
    <t>No deben agregarse palabras como “discapacitado”, 
“exclusivo”, “lisiado” u otros.</t>
  </si>
  <si>
    <t>Puerta de acceso no debiera dar directamente a una circulación pública (evita exponer al usuario)</t>
  </si>
  <si>
    <t>Ubicado en área de acceso restringido</t>
  </si>
  <si>
    <t xml:space="preserve">Grifería monomando de palanca </t>
  </si>
  <si>
    <t>LAVAMANOS</t>
  </si>
  <si>
    <t>WC</t>
  </si>
  <si>
    <t>PORTARROLLO</t>
  </si>
  <si>
    <t>ESPEJO</t>
  </si>
  <si>
    <t>DUCHA HIGIÉNICA</t>
  </si>
  <si>
    <t>BARRA DE APOYO FIJA</t>
  </si>
  <si>
    <t>BARRA DE APOYO ABATIBLE</t>
  </si>
  <si>
    <t>DISPENSADOR DE JABÓN</t>
  </si>
  <si>
    <t>DISPENSADOR DE TOALLA DE PAPEL</t>
  </si>
  <si>
    <t>GRIFERÍA LAVAMANOS</t>
  </si>
  <si>
    <t>h:1,20 m</t>
  </si>
  <si>
    <t>Acero Inoxidable</t>
  </si>
  <si>
    <t>Acero inoxidable; en costado libre WC</t>
  </si>
  <si>
    <t>Acero inoxidable; en muro costado WC</t>
  </si>
  <si>
    <t>Monomando de palanca de cuerpo alto</t>
  </si>
  <si>
    <t>Barra abatible en lateral libre a 0,40 m de eje de WC y 0,75 m de altura</t>
  </si>
  <si>
    <t>60x80 mínimo</t>
  </si>
  <si>
    <t>Llave de paso para cada artefacto (lavamanos y WC)</t>
  </si>
  <si>
    <t>Enchufe triple h:1,20 m a un costado de Lavamanos</t>
  </si>
  <si>
    <t xml:space="preserve">Interruptor h:1,20 m </t>
  </si>
  <si>
    <t>GRIFERÍA DUCHA</t>
  </si>
  <si>
    <t>Acero Inoxidable; en lavamanos y en ducha</t>
  </si>
  <si>
    <t>Monomando con ducha teléfono</t>
  </si>
  <si>
    <t>RECEPTÁCULO DUCHA</t>
  </si>
  <si>
    <t>0,70x0,70 m; Acrílico reforzado blanco</t>
  </si>
  <si>
    <t>Incorporar extracción forzada sobre ducha accionable con interruptor de equipo de iluminación con apagado diferido</t>
  </si>
  <si>
    <t>UNIDAD</t>
  </si>
  <si>
    <t>-</t>
  </si>
  <si>
    <t>El recinto no requiere iluminación natural y se deben evitar las ventanas para reducir el riesgo de robos.</t>
  </si>
  <si>
    <t>Vinculado a acceso de servicio (carga y descarga)</t>
  </si>
  <si>
    <t>Se sugiere orientación más desfavorable del terreno para privilegiar los recintos docentes (Sur o Poniente)</t>
  </si>
  <si>
    <t>Sin pedestal ni  vanitorio; instalado a 0,80 m desde NPT</t>
  </si>
  <si>
    <t>Modelo accesible; Asiento altura entre 0,46-0,48 m desde NPT</t>
  </si>
  <si>
    <t>A un costado de WC</t>
  </si>
  <si>
    <t>Blanco, con doble pulsador para ahorro de agua</t>
  </si>
  <si>
    <t>Se requiere la incorporación de celosias en parte inferior de puerta de acceso y ducto de ventilación a cubierta</t>
  </si>
  <si>
    <t>Cerradura seguro manual por dentro y apertura de emergencia por fuera</t>
  </si>
  <si>
    <t>Color que indique que corresponde a recinto de acceso restringido</t>
  </si>
  <si>
    <t>Cerradura seguro manual interior / llave exterior</t>
  </si>
  <si>
    <t>Tablero de madera pintada Esmalte Sintético (lavable)</t>
  </si>
  <si>
    <t>Repisa modulable en todos los muros; h:1,90; profundidad 0,40 m</t>
  </si>
  <si>
    <t>Se sugiere sistema de repisas con pilares ranurados a muro que permite movilidad de las repisas según requerimiento.</t>
  </si>
  <si>
    <t xml:space="preserve">Peinazo de acero inoxidable de 0,30 m </t>
  </si>
  <si>
    <t>Colores claros para facilitar limpieza</t>
  </si>
  <si>
    <t>Debe dejar despejado 0,50 m desde NPT para aseo</t>
  </si>
  <si>
    <t>Considerar equipo fluorescente hermético</t>
  </si>
  <si>
    <t xml:space="preserve">Enchufe triple h:1,20 m </t>
  </si>
  <si>
    <t>Cercano a Patio de Servicio</t>
  </si>
  <si>
    <t xml:space="preserve">Evitar asoleamiento. </t>
  </si>
  <si>
    <t xml:space="preserve">SUR </t>
  </si>
  <si>
    <t>Ventanas o lucarnas hacía el exterior del recinto.</t>
  </si>
  <si>
    <t>No Aplica.</t>
  </si>
  <si>
    <t>Art. 7 DS 548 MINEDUC</t>
  </si>
  <si>
    <t xml:space="preserve">Evitar Asolamiento. </t>
  </si>
  <si>
    <t xml:space="preserve">No Aplica. </t>
  </si>
  <si>
    <t xml:space="preserve">Relación Directa con cocinas.  </t>
  </si>
  <si>
    <t>TDR Colores + Plan de Emergencia</t>
  </si>
  <si>
    <t>No contempla</t>
  </si>
  <si>
    <t xml:space="preserve"> TDR Proyectos de Especialidades.</t>
  </si>
  <si>
    <t>CLIMATIZACION</t>
  </si>
  <si>
    <t>Art.7° DS 289 MINSAL</t>
  </si>
  <si>
    <t>Art. 9. 3 DS 548 MINEDUC</t>
  </si>
  <si>
    <t>Generalidades</t>
  </si>
  <si>
    <t>La operatividad de las ventanas no debe constituir riesgo de golpe para los niños</t>
  </si>
  <si>
    <t>Antepechos</t>
  </si>
  <si>
    <t>Especificaciones</t>
  </si>
  <si>
    <t>DS.548 
MINEDUC. Art. 9- Numeral 7.d)</t>
  </si>
  <si>
    <t>Puerta de escape</t>
  </si>
  <si>
    <r>
      <t>Ver Detalle Correspondiente</t>
    </r>
    <r>
      <rPr>
        <b/>
        <sz val="11"/>
        <color theme="1"/>
        <rFont val="Calibri"/>
        <family val="2"/>
        <scheme val="minor"/>
      </rPr>
      <t xml:space="preserve"> </t>
    </r>
    <r>
      <rPr>
        <b/>
        <i/>
        <sz val="11"/>
        <color theme="1"/>
        <rFont val="Calibri"/>
        <family val="2"/>
        <scheme val="minor"/>
      </rPr>
      <t>P.1. S.A.</t>
    </r>
  </si>
  <si>
    <t>Puerta de Acceso</t>
  </si>
  <si>
    <t>Buen trato</t>
  </si>
  <si>
    <t>Incendio</t>
  </si>
  <si>
    <t>No se permiten superficies rugosas en áreas de uso y transito de párvulos al interior y exterior del edificio, para evitar heridas por contacto.</t>
  </si>
  <si>
    <t>Revestimientos</t>
  </si>
  <si>
    <t>Vanos</t>
  </si>
  <si>
    <t>Art 4.2.20 Cap. V
 O.G.U.C.</t>
  </si>
  <si>
    <t>OGUC</t>
  </si>
  <si>
    <t>Se deben tomar en cuenta las medidas de prevención de riesgos y accidentes que contribuyan a proteger la integridad física de los niños y usuarios.</t>
  </si>
  <si>
    <t>Disposición de mobiliario permite desplazamiento y giro de una silla de ruedas</t>
  </si>
  <si>
    <t>Al menos uno de los recintos dentro de Ruta Accesible</t>
  </si>
  <si>
    <t>Se sugiere pavimentos claros en exterior fachadas sur.</t>
  </si>
  <si>
    <t>Evitar pavimentos reflectantes en exterior fachadas norte.</t>
  </si>
  <si>
    <t>Se sugiere uso de parrilla solar para optimizar la luz natural.</t>
  </si>
  <si>
    <t>NOR-ORIENTE Preferentemente.</t>
  </si>
  <si>
    <t>Ver soluciones Tipo</t>
  </si>
  <si>
    <t>Recinto emplazado lejos de fuentes de ruido exterior</t>
  </si>
  <si>
    <t>Volumen de Aire</t>
  </si>
  <si>
    <t>Ver cuadro Especificaciones Técnicas Cortinas</t>
  </si>
  <si>
    <t>TDR Colores</t>
  </si>
  <si>
    <t xml:space="preserve">El estándar de iluminación deberá provenir de ventanas ubicadas en las paredes y se podrá complementar con iluminación cenital. </t>
  </si>
  <si>
    <t>Ver Gráfico de Relaciones Espaciales</t>
  </si>
  <si>
    <t>con muros suficientes para el apoyo del equipamiento</t>
  </si>
  <si>
    <t xml:space="preserve">Se adjunta Bloque Sala de Actividades + EETT </t>
  </si>
  <si>
    <t>de la superficie del recinto</t>
  </si>
  <si>
    <t>Ventanas operables orientadas hacia el exterior</t>
  </si>
  <si>
    <t xml:space="preserve">Iluminación Artificial </t>
  </si>
  <si>
    <t>SEC</t>
  </si>
  <si>
    <t>Interruptor en interior del recinto. Costado de abertura puerta.</t>
  </si>
  <si>
    <t>Iluminación Artificial</t>
  </si>
  <si>
    <t>Ver gráfico de relaciones espaciales</t>
  </si>
  <si>
    <t xml:space="preserve">Preferentemente Ventilación Natural </t>
  </si>
  <si>
    <t>Evitar asoleamiento directo en meses de verano.</t>
  </si>
  <si>
    <t>Criterios Generales</t>
  </si>
  <si>
    <t>Art 4.2.20 Capitulo V
 O.G.U.C.</t>
  </si>
  <si>
    <t>Si fuera necesario se deberán contemplar sistemas de protección, priorizando de entre ellos las cortinas metálicas o de PVC enrollables exteriores.</t>
  </si>
  <si>
    <t>TDR Proyecto de especialidades</t>
  </si>
  <si>
    <t xml:space="preserve">Dispensador de jabón líquido </t>
  </si>
  <si>
    <t>Dispensador de toalla de papel de un solo uso</t>
  </si>
  <si>
    <t>TDR Proyecto de Especialidades</t>
  </si>
  <si>
    <t>UBICACIÓN</t>
  </si>
  <si>
    <t>Terreno</t>
  </si>
  <si>
    <t>DS 548 Art. 3 MINEDUC</t>
  </si>
  <si>
    <t>Entorno</t>
  </si>
  <si>
    <t>DS 548 Art. 4 MINEDUC</t>
  </si>
  <si>
    <t>Vegetación</t>
  </si>
  <si>
    <t>PARTIDO GENERAL</t>
  </si>
  <si>
    <t>Cierros</t>
  </si>
  <si>
    <t xml:space="preserve">El terreno deberá contar con cierros exteriores diseñados de manera tal que, sin presentar riesgos para los usuarios, permitan controlar el ingreso de éstos al local escolar. </t>
  </si>
  <si>
    <t>El diseño de los elementos no deberá ser trepable, ni poder sentarse o montar.</t>
  </si>
  <si>
    <t>El emplazamiento debe permitir vías de acceso y evacuación expeditas desde el interior de los recintos a las áreas exteriores, patios y circulaciones, así como desde estos hacia la calle o parques aledaños.</t>
  </si>
  <si>
    <t>Señalética</t>
  </si>
  <si>
    <t>Se debe considerar red húmeda de acuerdo a normativa.</t>
  </si>
  <si>
    <t>Estacionamientos</t>
  </si>
  <si>
    <t>Si existe la obligación por parte de las Ordenanzas Municipales, de disponer de estacionamientos al interior del establecimiento, esta área deberá estar cerrada perimetralmente, mediante reja o muro de diseño no trepable, de altura mínima 1.40mt., de forma tal que la independice de las áreas de uso y juego de los niños; por ello no se contabiliza dentro de la superficie de patio.</t>
  </si>
  <si>
    <t>INSTALACIONES</t>
  </si>
  <si>
    <t>Sus diseños, trazados y ubicación de aparatos y artefactos, deberán regirse por lo estipulado en las normativas vigentes que correspondan (SEC, RIDD)</t>
  </si>
  <si>
    <t>Instalaciones Sanitarias</t>
  </si>
  <si>
    <t>Gas</t>
  </si>
  <si>
    <t>Se debe considerar un ambiente con humedad baja para evitar daños en los objetos almacenados.</t>
  </si>
  <si>
    <t>Se debe considerar un ambiente con humedad baja para evitar daños en el material almacenado.</t>
  </si>
  <si>
    <t>Repisa modulable en muro de largo mayor; h:1,90; profundidad 0,40 m; el otro lado permite almacenar objetos de mayor tamaño.</t>
  </si>
  <si>
    <t>De acuerdo a Ficha Tipo .</t>
  </si>
  <si>
    <t>Ver Ficha Malla  tipo</t>
  </si>
  <si>
    <t>Contemplar Malla Mosquitera en vanos operables.</t>
  </si>
  <si>
    <t xml:space="preserve">Puerta  abatible hoja 90 cm . </t>
  </si>
  <si>
    <t>PUERTA</t>
  </si>
  <si>
    <t>Disposición del equipamiento  y artefactos permite desplazamiento y giro de una silla de ruedas</t>
  </si>
  <si>
    <t>DS 548  MINEDUC Art 9- numeral 8-b)</t>
  </si>
  <si>
    <t>Cerradura Libre Paso y sin pestillos</t>
  </si>
  <si>
    <t>Al menos uno de los recintos debe estar dentro de Ruta Accesible.</t>
  </si>
  <si>
    <t>Ver Detalle Ventana Tipo S.M.H.H.</t>
  </si>
  <si>
    <t>Recinto dentro de Ruta Accesible</t>
  </si>
  <si>
    <t xml:space="preserve">Se adjunta Bloque Sala de Extensión + EETT </t>
  </si>
  <si>
    <t>Exteriores</t>
  </si>
  <si>
    <t>Ambas</t>
  </si>
  <si>
    <r>
      <t>Ver Detalle Correspondiente</t>
    </r>
    <r>
      <rPr>
        <b/>
        <sz val="11"/>
        <color theme="1"/>
        <rFont val="Calibri"/>
        <family val="2"/>
        <scheme val="minor"/>
      </rPr>
      <t xml:space="preserve"> </t>
    </r>
    <r>
      <rPr>
        <b/>
        <i/>
        <sz val="11"/>
        <color theme="1"/>
        <rFont val="Calibri"/>
        <family val="2"/>
        <scheme val="minor"/>
      </rPr>
      <t>P.1. S.MUDAS</t>
    </r>
  </si>
  <si>
    <t xml:space="preserve">Se adjunta Bloque Sala Amamantar + EETT </t>
  </si>
  <si>
    <t>Debe contar con las siguientes superficies de vanos para iluminación natural :</t>
  </si>
  <si>
    <t>Debe contar con las siguientes superficies de vanos para iluminación natural:</t>
  </si>
  <si>
    <t>Debe contar con las siguientes superficies de vanos para ventilación natural:</t>
  </si>
  <si>
    <t>Art 4.5.5 Capitulo V; O.G.U.C.</t>
  </si>
  <si>
    <t>Contiguo y con relación directa con Sala de Mudas y Hábitos Higiénicos, Sala de Extensión y Patio de Extensión correspondiente.</t>
  </si>
  <si>
    <t>Debe ubicarse distanciado de la calle, fuente de riesgo y de contaminación acústica.</t>
  </si>
  <si>
    <t>El uso de luz cenital, debe contar con sistema de regulación, para permitir oscurecer el recinto durante la siesta.</t>
  </si>
  <si>
    <t>Contemplar tamizadores de luz(o cortinas) según especificación.</t>
  </si>
  <si>
    <t xml:space="preserve">Art 4.5.5 Capitulo V; O.G.U.C.
</t>
  </si>
  <si>
    <t>Ventilación debe ser superior cruzada.</t>
  </si>
  <si>
    <t>Debe contar con las siguientes superficies de vanos operables para la ventilación natural:</t>
  </si>
  <si>
    <t>m3</t>
  </si>
  <si>
    <t>Mínimo de 6 m3 de aire por Lactante. / 7.75 sugerido</t>
  </si>
  <si>
    <t>Solucionar tema reverberancia y ruido al interior del recinto / revestimientos.</t>
  </si>
  <si>
    <t>META JUNJI</t>
  </si>
  <si>
    <t>Mantener temperatura estable no menor a 15°C, a través de calefacción central con radiadores, si es necesario.</t>
  </si>
  <si>
    <t>Contar con termostato y regulador de temperatura exclusivo para este recinto.</t>
  </si>
  <si>
    <t>Puertas de escape</t>
  </si>
  <si>
    <t>Se debe señalizar la puerta de escape con equipo de iluminación de emergencia</t>
  </si>
  <si>
    <t>La puerta de escape debe conectar a una zona de seguridad</t>
  </si>
  <si>
    <t>Puerta de escape de ancho libre mínimo 0,80 m</t>
  </si>
  <si>
    <t>Puerta de escape debe ubicarse en el extremo opuesto encontrado a la puerta principal</t>
  </si>
  <si>
    <t>3.7</t>
  </si>
  <si>
    <t>COCINA SALA CUNA</t>
  </si>
  <si>
    <t>3.8</t>
  </si>
  <si>
    <t>BODEGA DE ALIMENTOS NO PERECIBLES Y REFRIGERADOS</t>
  </si>
  <si>
    <t>BODEGA DE ALIMENTOS PERECIBLES</t>
  </si>
  <si>
    <t>Debe ser visualmente abarcable y no tener puntos ciegos para evitar malos tratos.</t>
  </si>
  <si>
    <t>Se debe encontrar solución arquitectónica para evitar protecciones o rejas fijas en las ventanas.</t>
  </si>
  <si>
    <t>Barra metálica diámetro 1½”colocada a 0.40 m, del NPT frente a espejo</t>
  </si>
  <si>
    <t>Espejo de 1.10 m alto x 1.50 m de ancho instalado a 0,30 m del NPT</t>
  </si>
  <si>
    <t>Pizarra magnética blanca sin portaplumón de 1,50 x 1,00 m del NPT (uso lactante) instalada a h: 0.30 m del NPT</t>
  </si>
  <si>
    <t>Perchero adosado al muro con 20 ganchos individuales; altura de  colocación 0.90 m, del NPT</t>
  </si>
  <si>
    <t xml:space="preserve">Closet para guardar colchonetas, frazadas y materiales. Dimensión mínima: ancho 3,00 m x profundidad 0,70 m x altura 2,00 m </t>
  </si>
  <si>
    <t xml:space="preserve">Consultar especificación de mobiliario </t>
  </si>
  <si>
    <t>Abatimiento hacia el exterior del recinto y en sentido de la evacuación.</t>
  </si>
  <si>
    <t>P1. SA</t>
  </si>
  <si>
    <t>Art. 4.5.13 O.G.U.C. 
JUNJI
Art. 9. 3 DS 548 MINEDUC</t>
  </si>
  <si>
    <t>Art. 4.5.13 O.G.U.C.  
JUNJI</t>
  </si>
  <si>
    <t>Cerradura con seguro manual interior y llave exterior.</t>
  </si>
  <si>
    <t>Considerar tope de puerta magnético que permita mantener la hoja abierta.</t>
  </si>
  <si>
    <t>Peinazo de acero Inoxidable, h: 0,30 m.</t>
  </si>
  <si>
    <t>Color que indique que corresponde a recinto docente.</t>
  </si>
  <si>
    <t>Mirilla: h:1,40 m, ancho 0,30 m; desde 0,30 m del NPT. Vidrio laminado.</t>
  </si>
  <si>
    <t>En hoja fija/abatible considerar picaporte inferior de 0,15 m y superior de 0,30 m.</t>
  </si>
  <si>
    <t>Terminaciones Lisas</t>
  </si>
  <si>
    <t xml:space="preserve">Colores Claros </t>
  </si>
  <si>
    <t xml:space="preserve">Blando </t>
  </si>
  <si>
    <t>Con capacidad de reducción del sonido de impacto</t>
  </si>
  <si>
    <t>Fácil de limpiar</t>
  </si>
  <si>
    <t>Continuo</t>
  </si>
  <si>
    <t>Plan de Emergencia</t>
  </si>
  <si>
    <t>Calefacción central con radiadores según área climática</t>
  </si>
  <si>
    <t>Conexión a red inalámbrica del establecimiento</t>
  </si>
  <si>
    <t>Enchufes deben instalarse a 1,30 m sobre NPT</t>
  </si>
  <si>
    <t>Considerar un (1) Equipo con Kit de Emergencia que facilite la evacuación.</t>
  </si>
  <si>
    <t>Contemplar 4 enchufes triples repartidos en el recinto.</t>
  </si>
  <si>
    <t>POR RECINTO</t>
  </si>
  <si>
    <t xml:space="preserve">Debe contar con las siguientes superficies de vanos para iluminación natural : </t>
  </si>
  <si>
    <t xml:space="preserve">Debe contar con las siguientes superficies de vanos para ventilación natural : </t>
  </si>
  <si>
    <t>8% de superficie útil del recinto</t>
  </si>
  <si>
    <t>4% de superficie útil del recinto</t>
  </si>
  <si>
    <t>Los colores predominantes de las superficies de este recinto deben ser claros, para evidenciar posible suciedad.</t>
  </si>
  <si>
    <t xml:space="preserve">Ventilación debe ser superior y cruzada. </t>
  </si>
  <si>
    <t>La ventana debe dar directamente al exterior.</t>
  </si>
  <si>
    <t>Sin exigencias específicas.</t>
  </si>
  <si>
    <t>Este recinto se vincula al circuito de calefacción de las Salas de Actividades Sala Cuna.</t>
  </si>
  <si>
    <t>Ver esquema de Ventilación Cruzada</t>
  </si>
  <si>
    <t>El NPT debe estar a nivel con el de la Sala de Actividades.</t>
  </si>
  <si>
    <t>Contemplar lavamanos sin pedestal.</t>
  </si>
  <si>
    <t>Considerar grifería gerontológica para tineta, con el objeto de facilitar su manejo con las manos ocupadas.</t>
  </si>
  <si>
    <t>Piso antideslizante en seco y en mojado</t>
  </si>
  <si>
    <t>Radiadores no disminuyen superficie útil del recinto</t>
  </si>
  <si>
    <t>Radiadores no obstruyen circulación ni vía de escape</t>
  </si>
  <si>
    <t>Artefactos</t>
  </si>
  <si>
    <t>Sobre el sector de mudadores debe contemplarse una ventana que permita la visión completa de la Sala de Actividades y desde ésta a la Sala de Mudas.</t>
  </si>
  <si>
    <t>Los artefactos especificados deben tener bordes redondeados y superficies lisas.</t>
  </si>
  <si>
    <t>Mesón de mudas, de 0.80x0.80 m c/u, instalados a 0.80 m del NPT, con cubierta lavable.</t>
  </si>
  <si>
    <t>Debe incluir protección lateral, para evitar la caídas, a 1,15 m del NPT.</t>
  </si>
  <si>
    <t>Bañera 0,8m x 0,6m x 0,35m según EETT</t>
  </si>
  <si>
    <t>BAÑERA</t>
  </si>
  <si>
    <t>LAVAMANOS LACTANTE</t>
  </si>
  <si>
    <t>MESÓN MUDADOR</t>
  </si>
  <si>
    <t>Espacio central para bañera emplazada en borde externo</t>
  </si>
  <si>
    <t>DISPENSADOR DE TOALLAS DE PAPEL</t>
  </si>
  <si>
    <t>Dispensadores deben permitir su uso con una sola mano</t>
  </si>
  <si>
    <t>Instalado a 1,30 m del NPT.</t>
  </si>
  <si>
    <t>Instalado a 1,30 m de NPT.</t>
  </si>
  <si>
    <t>Considerar materiales de absorción acústica</t>
  </si>
  <si>
    <t>Considerar aislación en muros y tabiques para evitar contaminación sonora entre recintos</t>
  </si>
  <si>
    <t>GRIFERIA LAVAMANOS ADULTO</t>
  </si>
  <si>
    <t>GRIFERIA LAVAMANOS LACTANTE</t>
  </si>
  <si>
    <t>GRIFERÍA BAÑERA</t>
  </si>
  <si>
    <t>Monomando de palanca</t>
  </si>
  <si>
    <t>Monomando de palanca gerontológica y cuello cisne</t>
  </si>
  <si>
    <t>WC Kinder, para vaciado de fecas y creación de hábitos.</t>
  </si>
  <si>
    <t>Las actividades que se realizan al interior de este recinto son:
Cambio de muda de lactantes (Mudador)
Aseo de lactantes (Bañera)
Desarrollo y aprendizaje de Hábitos Higiénicos (Aseo personal y uso de bacinicas) 
Organización y almacenaje de artículos de aseo personal lactantes (Pañales, Cepillo de dientes, Toallas) (Cubículos y Perchas).</t>
  </si>
  <si>
    <t>Lavamanos sin pedestal instalado a 0,80 m del NPT</t>
  </si>
  <si>
    <t>Lavamanos sin pedestal instalado a 0,50 m del NPT</t>
  </si>
  <si>
    <t>Contiguo y con relación directa física y visual con la Sala de Actividades correspondiente.</t>
  </si>
  <si>
    <t>CASILLERO MURAL</t>
  </si>
  <si>
    <t>PERCHERO MURAL</t>
  </si>
  <si>
    <t>Espacio para 7 sillas porta-bacinica</t>
  </si>
  <si>
    <t>Instalados a  1.30 m del NPT. Los casilleros deben ir a muro en un máximo de 2 hileras</t>
  </si>
  <si>
    <t>Casillero mural por lactante, de 0.20 x 0.20 x 0.30 m (profundidad) c/u.</t>
  </si>
  <si>
    <t>Peinazo de Acero Inoxidable 0,30 m</t>
  </si>
  <si>
    <t>CASILLERO</t>
  </si>
  <si>
    <t>PERCHERO</t>
  </si>
  <si>
    <t>Buen Trato</t>
  </si>
  <si>
    <t>PIZARRA ADULTO</t>
  </si>
  <si>
    <t>PIZARRA LACTANTE</t>
  </si>
  <si>
    <t>BARRA</t>
  </si>
  <si>
    <t>Celosía ventilación de acero inoxidable en peinazo</t>
  </si>
  <si>
    <t>PUERTA SMHH</t>
  </si>
  <si>
    <t>Sobre 1,60 m del NPT.</t>
  </si>
  <si>
    <t>Mosquitero</t>
  </si>
  <si>
    <t>General</t>
  </si>
  <si>
    <t>Triple. Instalado a 1,3 del NPT. Lejano a fuentes de agua</t>
  </si>
  <si>
    <t>400 lux mínimo</t>
  </si>
  <si>
    <t>Incluir radiador conectado a sistema de calefacción central, si es necesario.</t>
  </si>
  <si>
    <t xml:space="preserve">Debe decir:  </t>
  </si>
  <si>
    <t>No considera</t>
  </si>
  <si>
    <t>Instalado a un costado de lavamanos y bañera</t>
  </si>
  <si>
    <t>Llave de paso para cada artefacto (lavamanos, WC y bañera) y una llave de paso adicional para el recinto completo</t>
  </si>
  <si>
    <t>Incorporar pileta de desagüe para permitir lavado con agua.</t>
  </si>
  <si>
    <t>BAÑO PERSONAL DE SERVICIO</t>
  </si>
  <si>
    <t>Este recinto debe ser de:</t>
  </si>
  <si>
    <t>Volumetría simple</t>
  </si>
  <si>
    <t>Los colores predominantes de las superficies de este recinto deben ser claros para maximizar luz natural.</t>
  </si>
  <si>
    <t>Para uso en limpieza de artículos de arte</t>
  </si>
  <si>
    <t>Closet para material de uso exclusivo Sala de Extensión. 2,00x2,00x0,40 m mínimo</t>
  </si>
  <si>
    <t>Consultar especificación de mobiliario</t>
  </si>
  <si>
    <t xml:space="preserve">Contiguo y con relación directa con Salas de Actividades y Patio de extensión correspondiente.
Este recinto puede ser compartido por hasta 2 salas de actividades. 
Se busca lograr integración visual y/o espacial de este recinto con las salas de actividades. En todo caso su uso no debe perturbar visual ni acústicamente las funciones de la sala de actividades contigua. </t>
  </si>
  <si>
    <t>Puerta de escape debe ubicarse en el extremo opuesto encontrado a las puertas desde las Salas de Actividades</t>
  </si>
  <si>
    <t>Se sugiere dos hojas que permitan apertura en 180° (o una en 90° a muro y otra en 180°) para una mejor conexión visual y espacial de este espacio con la Sala de Actividades respectiva.</t>
  </si>
  <si>
    <t>Art. 4.5.13 OGUC / JUNJI</t>
  </si>
  <si>
    <t>Todos los paramentos vidriados bajo 0,90m deben considerar vidrio laminado</t>
  </si>
  <si>
    <t>Con zócalo sanitario</t>
  </si>
  <si>
    <t>Llave de paso en lavadero</t>
  </si>
  <si>
    <t>200 lux</t>
  </si>
  <si>
    <t>Se aplica criterio de Sala de Actividades</t>
  </si>
  <si>
    <t>Ver Detalle Ventana Tipo Sala de Extensión.</t>
  </si>
  <si>
    <t>Muebles</t>
  </si>
  <si>
    <t>Puertas de closet deben ser abatibles y no de correderas</t>
  </si>
  <si>
    <t>El abatimiento de las puertas no debe obstruir la circulación ni las vías de escape</t>
  </si>
  <si>
    <t>Contiguo y con relación directa con Sala de Hábitos Higiénicos, Sala de Extensión y Patio de Extensión correspondiente.</t>
  </si>
  <si>
    <t>No puede constituirse en servidumbre de paso, a excepción de Sala de Hábitos Higiénicos y Sala de Extensión</t>
  </si>
  <si>
    <t>Altura media sugerida mínima piso-cielo: 2.50 m desde el NPT.</t>
  </si>
  <si>
    <t>Barra recta de apoyo a 0,50 cm desde NPT en cara interior</t>
  </si>
  <si>
    <t>Iluminación debe considerar de 2 a 3 encendidos para adecuarse a distintos requerimientos educativos y ambientales</t>
  </si>
  <si>
    <t>La ubicación de la tineta, banqueta y mudador plegable debe estar de preferencia separada visualmente para los párvulos, del resto del recinto.</t>
  </si>
  <si>
    <t>Contar con termostato y regulador de temperatura exclusivo para este recinto y su sala de hábitos higiénicos respectiva.</t>
  </si>
  <si>
    <t>Contar con termostato y regulador de temperatura exclusivo para esta área.</t>
  </si>
  <si>
    <t>Este recinto se vincula al circuito de calefacción de la Sala de Actividades Nivel Medio correspondiente.</t>
  </si>
  <si>
    <t>Considerar grifería gerontológica para bañera, con el objeto de facilitar su manejo con las manos ocupadas.</t>
  </si>
  <si>
    <t>Contemplar todos los lavamanos sin pedestal.</t>
  </si>
  <si>
    <t>Considerar barra fija de apoyo de 0,60 m mínimo a un costado de WC a muro (no considerar barra abatible por riesgo para los párvulos)</t>
  </si>
  <si>
    <t>El aprendizaje de traspaso desde la silla de ruedas al WC deberá realizarse en el Baño Accesible</t>
  </si>
  <si>
    <t>Las actividades que se realizan al interior de este recinto son:
- Desarrollo y aprendizaje de Hábitos Higiénicos (Aseo personal y uso de WC) 
- Organización y almacenaje de artículos de aseo personal párvulos (Cepillo de dientes, Toallas) (Posavasos y Perchas).
- Aseo de párvulos (Tineta)</t>
  </si>
  <si>
    <t>Debe contemplarse una ventana que permita la visión completa de la Sala de Actividades y desde ésta a la Sala de Hábitos Higiénicos.</t>
  </si>
  <si>
    <t>TINETA</t>
  </si>
  <si>
    <t>Tineta 1,0m x 0,6m x 0,35m según EETT</t>
  </si>
  <si>
    <t>WC Kinder</t>
  </si>
  <si>
    <t>GRIFERÍA TINETA</t>
  </si>
  <si>
    <t>Monomando de palanca gerontológica, cuello cisne y ducha teléfono</t>
  </si>
  <si>
    <t>Instalado a 0,60 m del NPT a un costado de WCs</t>
  </si>
  <si>
    <t>Instalado a 1,30 m de NPT a un costado de Tineta</t>
  </si>
  <si>
    <t>PERCHERO PORTAVASO MURAL</t>
  </si>
  <si>
    <t xml:space="preserve">Perchero mural, 24 perchas individuales y 24 portavasos, instalado a 0,90 m del NPT. </t>
  </si>
  <si>
    <t>Instalado a un costado de lavamanos y tineta</t>
  </si>
  <si>
    <t>Para uso alternativo de niño/a en silla de ruedas</t>
  </si>
  <si>
    <t>BARRA DE APOYO</t>
  </si>
  <si>
    <t>P. PERCHA</t>
  </si>
  <si>
    <t>Recta, acero inoxidable, 0,60 m, a un costado WC, instalada a 0,60 m del NPT</t>
  </si>
  <si>
    <t>Banqueta apoyo tineta, 0,60 x 0,60 m x 0,5m altura</t>
  </si>
  <si>
    <t>PUERTA HH</t>
  </si>
  <si>
    <t>60x80 mínimo, instalado inmediatamente sobre lavamanos</t>
  </si>
  <si>
    <t>Lavable (Porcelanato o vinílico)</t>
  </si>
  <si>
    <t>Lavable (Cerámico blanco brillante)</t>
  </si>
  <si>
    <t>Incorporar extracción forzada accionable con interruptor de equipo de iluminación con apagado diferido</t>
  </si>
  <si>
    <t>Llave de paso para cada artefacto (lavamanos, WCs y tineta) y una llave de paso adicional para el recinto completo</t>
  </si>
  <si>
    <t xml:space="preserve">DS 548 MINEDUC </t>
  </si>
  <si>
    <t>DS 548/89 MINEDUC</t>
  </si>
  <si>
    <t>Ver esquemas de criterios bioclimáticos</t>
  </si>
  <si>
    <t>Ver esquema de Criterios Bioclimáticos</t>
  </si>
  <si>
    <t>Ver esquema de solución tipo</t>
  </si>
  <si>
    <t>Ver esquema de soluciones de aislación acústica</t>
  </si>
  <si>
    <t>Ver esquema de soluciones de Iluminación Natural</t>
  </si>
  <si>
    <t>En ventanas principales se debe contemplar antepecho de un máximo de 0,45 m del NPT para asegurar visión al exterior por parte de los lactantes.</t>
  </si>
  <si>
    <t>En ventanas principales se debe contemplar antepecho de un máximo de 0,45 m del NPT para asegurar visión al exterior por parte de los párvulos.</t>
  </si>
  <si>
    <t>SALA EXPANSIÓN SALA CUNA</t>
  </si>
  <si>
    <t>SALA EXPANSIÓN NIVEL MEDIO</t>
  </si>
  <si>
    <t>PATIO CERRADO</t>
  </si>
  <si>
    <t>POR RECINTI</t>
  </si>
  <si>
    <t>FICHA ARQ.</t>
  </si>
  <si>
    <t>Sin exigencias especificas.</t>
  </si>
  <si>
    <t>Perchero adosado al muro con 2 ganchos</t>
  </si>
  <si>
    <t>DTO  594 MINSAL  art. 5</t>
  </si>
  <si>
    <t xml:space="preserve">Blanco </t>
  </si>
  <si>
    <t>Considerar instalación telefonía.</t>
  </si>
  <si>
    <t>Considerar instalación citofonía.</t>
  </si>
  <si>
    <t xml:space="preserve">Perchero adosado al muro con dos ganchos </t>
  </si>
  <si>
    <t>Se sugiere tener ventana interna hacia pasillo para facilitar control visual.</t>
  </si>
  <si>
    <t>TDR ESPECIALIDADES</t>
  </si>
  <si>
    <t>OFICINA DE EDUCADORAS</t>
  </si>
  <si>
    <t xml:space="preserve">Considera aislación en muros y tabiques para evitar contaminación sonora entre recintos. </t>
  </si>
  <si>
    <t>Debe estar en ruta accesible</t>
  </si>
  <si>
    <t>Detalle Closet</t>
  </si>
  <si>
    <t>Cerradura seguro manual por dentro y llave por fuera</t>
  </si>
  <si>
    <t>Incluir radiador conectado a sistema de calefacción central.</t>
  </si>
  <si>
    <t>Contemplar llave de paso por artefacto.</t>
  </si>
  <si>
    <t>Disposición de mobiliario permite desplazamiento y giro de una silla de ruedas.</t>
  </si>
  <si>
    <t>Botiquín para primeros auxilios, adosado a muro; blanco con cruz roja.</t>
  </si>
  <si>
    <t xml:space="preserve">Closet </t>
  </si>
  <si>
    <t>De acuerdo a Ficha</t>
  </si>
  <si>
    <t>Sillas</t>
  </si>
  <si>
    <t>Conexión a red de citofonía.</t>
  </si>
  <si>
    <t>Privado</t>
  </si>
  <si>
    <t>Acogedor</t>
  </si>
  <si>
    <t>Preferentemente con iluminación natural.</t>
  </si>
  <si>
    <t>Estar dentro de Ruta Accesible.</t>
  </si>
  <si>
    <t>Disposición de mobiliario y equipamiento, permite desplazamiento y giro de una silla de ruedas.</t>
  </si>
  <si>
    <t>Asegurar calidad del aire al interior del recinto.</t>
  </si>
  <si>
    <t>x</t>
  </si>
  <si>
    <t>Puerta de acceso no debiera dar directamente a una circulación pública (evita exponer al usuario).</t>
  </si>
  <si>
    <t>FICHA BAÑO ACCESIBLE</t>
  </si>
  <si>
    <t>Puerta debe abatir hacia el interior del recinto.</t>
  </si>
  <si>
    <t>Considerar malla mosquitero.</t>
  </si>
  <si>
    <t>Llave de paso general por recinto.</t>
  </si>
  <si>
    <t>BAÑO ACCESSIBLE</t>
  </si>
  <si>
    <t>BAÑO PERSONAL DOCENTE</t>
  </si>
  <si>
    <t>DS 594 MINSAL</t>
  </si>
  <si>
    <t>Vinculado a Salas de Actividades</t>
  </si>
  <si>
    <t>Ficha Repisa</t>
  </si>
  <si>
    <r>
      <rPr>
        <b/>
        <sz val="11"/>
        <color theme="1"/>
        <rFont val="Calibri"/>
        <family val="2"/>
        <scheme val="minor"/>
      </rPr>
      <t>BODEGA MATERIAL DIDACTICO</t>
    </r>
    <r>
      <rPr>
        <sz val="11"/>
        <color theme="1"/>
        <rFont val="Calibri"/>
        <family val="2"/>
        <scheme val="minor"/>
      </rPr>
      <t xml:space="preserve"> / Bodega Material Didáctico Sala Cuna / Bodega Material Didáctico Nivel Medio ; según corresponda</t>
    </r>
  </si>
  <si>
    <t>Se requiere la incorporación de celosias en parte inferior de puerta de acceso y ducto de ventilación a cubierta.</t>
  </si>
  <si>
    <t>Peinazo de acero inoxidable de 0,30 m .</t>
  </si>
  <si>
    <t>TDR COLORES</t>
  </si>
  <si>
    <t xml:space="preserve">Repisa modulable perimetral profundidad 40 cms </t>
  </si>
  <si>
    <t>No puede ser servidumbre de paso hacia otros recintos.</t>
  </si>
  <si>
    <t>Distribución óptima, para no obstaculizar el paso y uso del equipamiento al interior del recinto.</t>
  </si>
  <si>
    <t xml:space="preserve">LAVAMANOS </t>
  </si>
  <si>
    <t>de acero inoxidable</t>
  </si>
  <si>
    <t>Art. 34 del DS 977 DEL MINSAL</t>
  </si>
  <si>
    <t>CORTINAS</t>
  </si>
  <si>
    <t>Debe estar en ruta accesible.</t>
  </si>
  <si>
    <t>Color que indique que corresponde a recinto de acceso restringido.</t>
  </si>
  <si>
    <t>Proporciones regulares y volumetría simple</t>
  </si>
  <si>
    <t>Inmediata al acceso principal del establecimiento</t>
  </si>
  <si>
    <t>Quincallería puerta de palanca</t>
  </si>
  <si>
    <t xml:space="preserve">Closet Mural de 0,40 m de profundidad </t>
  </si>
  <si>
    <t>Control visual del ingreso y salida de personas. Considerar vano hacia el acceso.</t>
  </si>
  <si>
    <t>Considera aislación en muros y tabiques entre recintos</t>
  </si>
  <si>
    <t>Mantener temperatura estable no menor a 15°C , a través de calefacción central con radiadores, si es necesario.</t>
  </si>
  <si>
    <t>Se debe incluir en el circuito de calefacción general del establecimiento</t>
  </si>
  <si>
    <t>Superficie mínima sugerida para iluminación natural</t>
  </si>
  <si>
    <t>Superficie mínima sugerida para ventilación natural</t>
  </si>
  <si>
    <t>Ventanas orientadas hacia el exterior</t>
  </si>
  <si>
    <t>Se sugiere la iluminación y ventilación natural.</t>
  </si>
  <si>
    <t xml:space="preserve">Ver Especificaciones Técnicas de Arquitectura Tipo </t>
  </si>
  <si>
    <t>Botón de accionamiento de alarma de emergencias.</t>
  </si>
  <si>
    <t>Espacio para 1 estación de trabajo, 1 silla ergonométrica, 1 repisa 120x120x42, 2 sillas de visitas.</t>
  </si>
  <si>
    <t>Fácil limpieza.</t>
  </si>
  <si>
    <t>Antideslizante</t>
  </si>
  <si>
    <t>Sólido</t>
  </si>
  <si>
    <t>Pintura lavable</t>
  </si>
  <si>
    <t>Superficies lisas</t>
  </si>
  <si>
    <t>400 Lux</t>
  </si>
  <si>
    <t>Triple, en cada muro del recinto, en lo posible.</t>
  </si>
  <si>
    <t>Triple, bajo estación de trabajo</t>
  </si>
  <si>
    <t>Interruptor en interior del recinto a un costado del acceso.</t>
  </si>
  <si>
    <t>Considerar instalación citofonía con apertura de reja exterior.</t>
  </si>
  <si>
    <t>Considerar módem y router para conexión inalámbrica a internet.</t>
  </si>
  <si>
    <t>Considerar tablero de Corrientes débiles</t>
  </si>
  <si>
    <t>Considerar espacio para tablero eléctrico general (TDA)</t>
  </si>
  <si>
    <t>Cuando el volumen de aire sea menor a 10 m3/trabajador</t>
  </si>
  <si>
    <t>Considerar instalación telefonía</t>
  </si>
  <si>
    <t>Equipos Fluorescentes de alta eficiencia,  estructura suspendida en línea.</t>
  </si>
  <si>
    <t>Preferentemente debe ser emplazada en área inmediata al acceso principal del establecimiento, como una medida de control de éste y para la atención de apoderados.
Próximo a Oficina de Directora.</t>
  </si>
  <si>
    <t>Conexión a redes inalámbricas</t>
  </si>
  <si>
    <t xml:space="preserve">Abatimiento hacia el interior del recinto. </t>
  </si>
  <si>
    <t>Triple</t>
  </si>
  <si>
    <t>Conexión a redes inalámbricas.</t>
  </si>
  <si>
    <t>No considera.</t>
  </si>
  <si>
    <t>Debe decir:</t>
  </si>
  <si>
    <t>Circulación a salas multiuso, recintos docentes y de servicio.</t>
  </si>
  <si>
    <t xml:space="preserve">Contiguo y con relación directa con Oficina Educadoras y Oficina Directora. </t>
  </si>
  <si>
    <t>Ver solución antivandalica</t>
  </si>
  <si>
    <t>Film antivandálico por ambas caras.</t>
  </si>
  <si>
    <t>En extremo sur la puerta deberá contemplar chiflonera para evitar fuga de temperatura interior.</t>
  </si>
  <si>
    <t xml:space="preserve">Se debe privilegiar la existencia de un suelo continuo respecto del nivel de terreno exterior. </t>
  </si>
  <si>
    <t>En caso de existir una diferencia de nivel al acceso, ésta deberá resolverse a través de rampa única que cumpla con las condiciones establecidas en la ordenanza y no de gradas.</t>
  </si>
  <si>
    <t>Apertura de puertas hacia el exterior</t>
  </si>
  <si>
    <t>Puertas de acceso deben permitir ver hacia el exterior</t>
  </si>
  <si>
    <t>Fichero mural 1.00 x 1.00, altura de colocación 0.90m del NPT</t>
  </si>
  <si>
    <t>BUZÓN</t>
  </si>
  <si>
    <t>FICHERO</t>
  </si>
  <si>
    <t>Espacio para asientos o banca de espera para 4 personas mínimo</t>
  </si>
  <si>
    <t>Abatimiento hacia exterior</t>
  </si>
  <si>
    <t>Dos hojas</t>
  </si>
  <si>
    <t>Contemplar Mirilla para adulto y niño/a o ser vidriada.</t>
  </si>
  <si>
    <t>Cerradura con llave interior y exterior y sistema de apertura eléctrica controlado desde Oficina Directora y con pulsor de salida en un costado a 1,30 m desde el NPT mínimo.</t>
  </si>
  <si>
    <t>Se sugiere uso de vestíbulo con doble puerta o chiflonera, en todas las regiones, para control climático y seguridad de niños y niñas.</t>
  </si>
  <si>
    <t xml:space="preserve">En caso de existir vestíbulo de doble puerta se debe considerar un área de 0,50 m lateral a puerta y al menos 1,20 m libre desde puerta abierta hasta la siguiente puerta, con el fin de poder acceder en una silla de ruedas. </t>
  </si>
  <si>
    <t>Ver esquema de vestíbulo accesible</t>
  </si>
  <si>
    <t xml:space="preserve">Peinazo resistente a los golpes de 0,30 m </t>
  </si>
  <si>
    <t>Vidrios deben ser laminados y/o contemplar film antivandálico por ambas caras.</t>
  </si>
  <si>
    <t>100 lux</t>
  </si>
  <si>
    <t>Luz cálida</t>
  </si>
  <si>
    <t>Considerar sensor de movimiento temporizado para accionamiento fuera de horario.</t>
  </si>
  <si>
    <t>Enchufe simple para aseo 1.30 m de N.P.T.</t>
  </si>
  <si>
    <t>Considerar pulsor de apertura puerta salida</t>
  </si>
  <si>
    <t>Colores de acuerdo a términos de referencia de colores</t>
  </si>
  <si>
    <t>Contiguo y con relación directa al área de administración.</t>
  </si>
  <si>
    <t>Debe considerar Iluminación Natural</t>
  </si>
  <si>
    <t>Debe estar en Ruta accesible</t>
  </si>
  <si>
    <t>Debe estar en Ruta Accesible</t>
  </si>
  <si>
    <t>Ver Documento Accesibilidad META JUNJI</t>
  </si>
  <si>
    <t>Se sugiere uso de Clósets para amortiguación de ruidos entre recintos.</t>
  </si>
  <si>
    <t>CLOSET</t>
  </si>
  <si>
    <t xml:space="preserve">Considerar sistema de cortinas seguro, resistente y de color neutro </t>
  </si>
  <si>
    <t>Ver ficha de cortinas</t>
  </si>
  <si>
    <t>Espacio para mesa reuniones diámetro 0,90 m con 4 sillas</t>
  </si>
  <si>
    <t>FICHERO MURAL</t>
  </si>
  <si>
    <t>Buzón de sugerencias a 1,30 m de altura sobre el NPT</t>
  </si>
  <si>
    <t>LAVACOPAS</t>
  </si>
  <si>
    <t>CLOSET KITCHENETTE</t>
  </si>
  <si>
    <t>Lavacopas acero inoxidable en mesón closet kitchenette h:0,90 m</t>
  </si>
  <si>
    <t>Closet Mural para guardar materiales. Incorpora lavacopas, mesón lateral de 0,60 m mínimo y espacio para Frigobar y Hervidor.</t>
  </si>
  <si>
    <t>Espacio para Sillas. Asiento 36x36 cm</t>
  </si>
  <si>
    <t>1 cada 2 docentes</t>
  </si>
  <si>
    <t>Espacio para Lockers de 2 módulos, alto 1,66m x ancho 0,29m x fondo 0,50m</t>
  </si>
  <si>
    <t xml:space="preserve">Mínimo 1 hoja abatible en el sentido de la evacuación. Ancho libre 0,90 m  </t>
  </si>
  <si>
    <t>Ancho determinado por cálculo de puertas de escape según normativa O.G.U.C. Mínimo 1,40 m considerando la hoja abatible de 0,90 m libre mínimo)</t>
  </si>
  <si>
    <t>Abatimiento hacia el interior del recinto</t>
  </si>
  <si>
    <t>Enchufe simple a 0,30 m en Closet/Kitchenette (Frigobar).</t>
  </si>
  <si>
    <t>Enchufe de Fuerza a 1,3 m en Closet/Kitchenette (Hervidor).</t>
  </si>
  <si>
    <t>Enchufe triple a 1,3 m en Closet/Kitchenette.</t>
  </si>
  <si>
    <t>Enchufes triples distribuidos en recinto.</t>
  </si>
  <si>
    <t>Solo considera si no es posible la ventilación natural</t>
  </si>
  <si>
    <t>Llave de paso para lavacopas</t>
  </si>
  <si>
    <t>Cuando el volumen de aire sea menor a 10m3/trabajador</t>
  </si>
  <si>
    <t>Color debe señalar si son puertas de escape</t>
  </si>
  <si>
    <t>300 lux</t>
  </si>
  <si>
    <t>Contemplar las siguientes áreas independizables:
- Atención profesional (Box de atención)
- Reunión y/o Espera (Sala de reunión)</t>
  </si>
  <si>
    <t>Fichero mural 1.00 x 1.00, altura de colocación 0.90m, del NPT</t>
  </si>
  <si>
    <t>Mobiliario permite acercamiento desde una silla de ruedas (no presenta faldón)</t>
  </si>
  <si>
    <t>BOTIQUÍN</t>
  </si>
  <si>
    <t>Espacio para Camilla de largo 1.20 m., ancho 0.60 m. y 0.60m., de alto.</t>
  </si>
  <si>
    <t>Espacio para Mesa de Reunión, diámetro: 0,90 m</t>
  </si>
  <si>
    <t>Espacio para escritorio 1,50 x 0,70</t>
  </si>
  <si>
    <t>Enchufes triples a 0,30 m de altura</t>
  </si>
  <si>
    <t>Confortable</t>
  </si>
  <si>
    <t>Requiere de un lavamanos, un sillón y un espacio para guardar una frazada.</t>
  </si>
  <si>
    <t>Contiguo y/o con relación directa a Sala de Actividades Sala Cuna.</t>
  </si>
  <si>
    <t>La proximidad es para resguardar al lactante de cambios de temperatura.</t>
  </si>
  <si>
    <t>Quincallería de Palanca en puerta.</t>
  </si>
  <si>
    <t xml:space="preserve">Contemplar tabique vidriado hacia Sala de Actividades. </t>
  </si>
  <si>
    <t>DISPENSADOR TOALLA DE PAPEL</t>
  </si>
  <si>
    <t>Espacio para Sillón tipo "poltrona" con apoya brazos</t>
  </si>
  <si>
    <t>Instalado a 1,20 m a un costado lavamanos</t>
  </si>
  <si>
    <t>Lavamanos sin pedestal con agua Fría y caliente, altura 0,80 m</t>
  </si>
  <si>
    <t>Puerta a Sala de Actividades (interna)</t>
  </si>
  <si>
    <t>Interiores (Sala de Actividades).</t>
  </si>
  <si>
    <t>Se privilegiará el contacto visual directo de la madre con la Sala de Actividades Sala Cuna correspondiente.</t>
  </si>
  <si>
    <t>150 lux</t>
  </si>
  <si>
    <t>Ver alternativas tipo propuestas</t>
  </si>
  <si>
    <t xml:space="preserve">Enchufe triple instalado a mínimo de 1.30mt del NPT. </t>
  </si>
  <si>
    <t>Incorporar cuando no exista ventilación natural</t>
  </si>
  <si>
    <t xml:space="preserve">Espacio para mueble para frazadas </t>
  </si>
  <si>
    <t>Altura antepecho: 0,95 m del NPT. Evita la visión de los lactantes a la madre amamantando pero permite a ésta ver hacia la sala.</t>
  </si>
  <si>
    <t>Contemplar vidrio empavonado o cortina para otorgar privacidad con el exterior.</t>
  </si>
  <si>
    <t>Llave de paso para lavamanos</t>
  </si>
  <si>
    <t>Si fuera mediterráneo, debe incluir luz cenital.</t>
  </si>
  <si>
    <t>Se tendrán que contemplar tamizadores de luz y/o cortinas para resguardar la intimidad madre-hijo.</t>
  </si>
  <si>
    <t>Preferentemente con ventilación Natural.</t>
  </si>
  <si>
    <t xml:space="preserve">Mantener temperatura estable no menor a 15°C , a través de radiador conectado a calefacción preferentemente central. </t>
  </si>
  <si>
    <t>iluminación Artificial</t>
  </si>
  <si>
    <t>Considerar apliqué decorativo con luz cálida, dimmeable a un costado sillón de amamantamiento.</t>
  </si>
  <si>
    <t xml:space="preserve">Agua fría y caliente </t>
  </si>
  <si>
    <t>Considerar la posibilidad de aislar acústicamente el box de atención para mayor privacidad.</t>
  </si>
  <si>
    <t>Señalética de escape luminosa con kit de emergencia</t>
  </si>
  <si>
    <t>Proporciones regulares</t>
  </si>
  <si>
    <t>Versátil (acoger variedad de actividades durante el día)</t>
  </si>
  <si>
    <t>Art. 4.5.5 Cap. 5 O.G.U.C.</t>
  </si>
  <si>
    <t>Se tendrán que contemplar tamizadores de luz (o cortinas) según especificación.</t>
  </si>
  <si>
    <t>Utilización de otros recintos que actúen como amortiguador del sonido.</t>
  </si>
  <si>
    <t>Utilización de closets que actúen como amortiguador del sonido entre recintos.</t>
  </si>
  <si>
    <t>Ancho libre 0,90 m con abatimiento en sentido de la evacuación.</t>
  </si>
  <si>
    <t>Quincallería de Palanca en puerta</t>
  </si>
  <si>
    <t>Vías de Evacuación</t>
  </si>
  <si>
    <t>Abatimiento de puerta en forma total y en sentido de la evacuación.</t>
  </si>
  <si>
    <t xml:space="preserve">Considerar equipo fluorescente adosado a muro frente a tineta, asimétrico (iluminación a tineta) </t>
  </si>
  <si>
    <t xml:space="preserve">proporciones regulares </t>
  </si>
  <si>
    <t>Ver Detalle Ventana Tipo Sala Actividades.</t>
  </si>
  <si>
    <t xml:space="preserve">Pizarra magnética blanca sin portaplumón de 0,70 x 1,00 m instalada a h: 1,15 m. del NPT (uso adulto). </t>
  </si>
  <si>
    <t xml:space="preserve">Considerar equipo fluorescente adosado a muro frente a mudadores, asimétrico (iluminación a mesón) </t>
  </si>
  <si>
    <t>De ubicación fácilmente identificable (visible pero discreto)</t>
  </si>
  <si>
    <t>Se sugiere vidrio tipo semilla o film 3m empavonado o similar, si la altura es inferior a 1,50 m</t>
  </si>
  <si>
    <t>Baño debe estar claramente señalizado con el Símbolo Internacional de Accesibilidad (SIA)</t>
  </si>
  <si>
    <t>En área del establecimiento contemplada para poner a disposición de la comunidad.</t>
  </si>
  <si>
    <t>de la superficie útil del recinto, mínimo</t>
  </si>
  <si>
    <t>Ancho libre 0,90 m; 1 hoja</t>
  </si>
  <si>
    <t>Sin pedestal ni vanitorio; instalado a 0,80 m desde NPT</t>
  </si>
  <si>
    <t>Apertura de puerta hacia el exterior, en sentido de la evacuación.</t>
  </si>
  <si>
    <t>Se sugiere ventanas operables para ventilación natural con una superficie mínima de:</t>
  </si>
  <si>
    <t>Puerta no debe abatir sobre circulación.</t>
  </si>
  <si>
    <t>COEFICIENTE DE OCUPACIÓN DE SUELO</t>
  </si>
  <si>
    <t>8.4 mínimo; 0,5 m2 por cada nivel de aumento sobre 2 niveles</t>
  </si>
  <si>
    <t>13,5 m2 mínimo y 5,5 m2 de aumento por nivel adicional</t>
  </si>
  <si>
    <t xml:space="preserve">12 m2 mínimo y 1,5m2 de incremento por nivel sobre 2 niveles </t>
  </si>
  <si>
    <t>mínimo, incremento de 1,5 m2 por nivel</t>
  </si>
  <si>
    <t>Se sustrae superficie de patio techado, sombreadero y patios extensión SC y NM</t>
  </si>
  <si>
    <t>CALCULO DE PATIOS NORMATIVO (Incluye: Patios Extensión SC y NM, General, Cubierto o Sombreadero según corresponda)</t>
  </si>
  <si>
    <t>Aumento de superficie para cumplimiento ocupación de suelo 60%</t>
  </si>
  <si>
    <t>Aumento de superficie para cumplimiento ocupación de suelo 40%</t>
  </si>
  <si>
    <t>SUPERFICIE MÍNIMA DE TERRENO DE ACUERDO A DECRETO 1574/71; APRUEBA REGLAMENTO DE LA LEY 17.301, QUE CREA LA JUNTA NACIONAL DE JARDINES INFANTILES; Artículo 47, letra A; a):La superfice mínima de terreno para la instalación de jardines infantiles será de quince (15) metros cuadrados por niño, en caso de construcción en un piso y de trece (13) metros cuadrados por niño en edificaciones de dos pisos.</t>
  </si>
  <si>
    <t>Estante mural 0,15x0,15x0,15 m con llave para artículos de aseo personal.</t>
  </si>
  <si>
    <t>1 hoja; 0,80 m libre</t>
  </si>
  <si>
    <t xml:space="preserve">Se requiere la incorporación de celosías en parte inferior de puerta de acceso y ducto de ventilación a cubierta. </t>
  </si>
  <si>
    <t>No requiere iluminación natural y se deben evitar las ventanas para reducir el riesgo de robos.</t>
  </si>
  <si>
    <t>Priorizar áreas interiores (mediterráneas) para este recinto.</t>
  </si>
  <si>
    <t>Cerradura seguro manual por dentro y llave exterior</t>
  </si>
  <si>
    <t>Iluminación artificial</t>
  </si>
  <si>
    <t>ESTANTE MURAL</t>
  </si>
  <si>
    <t>REPISA MODULABLE</t>
  </si>
  <si>
    <t>Se debe considerar un ambiente con baja humedad para evitar daños en el material didáctico.</t>
  </si>
  <si>
    <t>Forma parte del área de servicios y debe estar próximo a cocinas.</t>
  </si>
  <si>
    <t xml:space="preserve">Según área de servicios. </t>
  </si>
  <si>
    <t>ESTANTERIA PERIMETRAL</t>
  </si>
  <si>
    <t>BODEGA DE ASEO UNIDAD DE ALIMENTACIÓN.</t>
  </si>
  <si>
    <t xml:space="preserve">No puede existir comunicación directa entre este recinto y cocinas. </t>
  </si>
  <si>
    <t>Puerta debe abatir hacia el interior del recinto</t>
  </si>
  <si>
    <t>BANQUETA</t>
  </si>
  <si>
    <t>Sin requerimientos específicos.</t>
  </si>
  <si>
    <t>No Contempla</t>
  </si>
  <si>
    <t>No se permitirán hojas de puertas de vaivén, corredera, ni plegables. Sólo se consideran hojas de puerta de abatir</t>
  </si>
  <si>
    <t xml:space="preserve">Antideslizantes en seco y mojado </t>
  </si>
  <si>
    <t>De fácil limpieza.</t>
  </si>
  <si>
    <t>No se permiten superficies rugosas en áreas de uso y transito de párvulos al interior.</t>
  </si>
  <si>
    <t>Muros de pasillos serán de superficie lisa y de fácil limpieza.</t>
  </si>
  <si>
    <t xml:space="preserve">Superficie lisa y de fácil limpieza. </t>
  </si>
  <si>
    <t>Soporte para actividades grupales.</t>
  </si>
  <si>
    <t>Contiguo y con relación directa a las Salas de Actividades.</t>
  </si>
  <si>
    <t>Ver Doc. "Orientaciones generales para elaboración de Proyectos Arquitectura para Primera Infancia"</t>
  </si>
  <si>
    <t>JUEGOS</t>
  </si>
  <si>
    <t>De existir vanos de ventanas superiores deben considerar material resistente a impactos o adhesivos de protección por ambos lados de la superficie vidriada, para evitar accidentes en los usuarios, en caso de rotura y caída del material.</t>
  </si>
  <si>
    <t>Conexión a citofonía.</t>
  </si>
  <si>
    <t>no aplica</t>
  </si>
  <si>
    <t>Relación directa con el Patio General .</t>
  </si>
  <si>
    <t>Sin requerimientos especificos</t>
  </si>
  <si>
    <t>Preferentemente Poniente</t>
  </si>
  <si>
    <t xml:space="preserve">Deberá contar con señaletica de evacuación. </t>
  </si>
  <si>
    <t>Seguro</t>
  </si>
  <si>
    <t>Ficha tipo Mobiliario Paisajismo</t>
  </si>
  <si>
    <r>
      <t>Ver Detalle Correspondiente</t>
    </r>
    <r>
      <rPr>
        <b/>
        <sz val="11"/>
        <color theme="1"/>
        <rFont val="Calibri"/>
        <family val="2"/>
        <scheme val="minor"/>
      </rPr>
      <t xml:space="preserve"> </t>
    </r>
  </si>
  <si>
    <t>TDR COLOR</t>
  </si>
  <si>
    <t xml:space="preserve">En áreas de uso y tránsito de párvulos, los enchufes deben instalarse a una altura mínima de 1.30mt del NPT. </t>
  </si>
  <si>
    <t>Preferentemente Norte, Oriente, Poniente</t>
  </si>
  <si>
    <t>Las pendientes del terreno que puedan provocar caídas deben estar protegidas con barandas.</t>
  </si>
  <si>
    <t>Toboganes con protecciones laterales y de una sola pieza.</t>
  </si>
  <si>
    <t>Elementos que ofrezcan estímulos y respuestas a los sentidos.</t>
  </si>
  <si>
    <t>El ancho mínimo libre de la o las puertas de los cierros exteriores que se consulten en la línea oficial, deberá ser igual a la suma de los anchos de las puertas de salida al exterior de los edificios que enfrenten dichos cierros.</t>
  </si>
  <si>
    <t>Articulo 4.5.12 OGUC</t>
  </si>
  <si>
    <t>Se debe resguardar que los cierros en los patios no obstruyan las vías de evacuación hacia una zona de seguridad establecida.</t>
  </si>
  <si>
    <t xml:space="preserve">VEGETACIÓN </t>
  </si>
  <si>
    <t>Se recomienda buscar especies que no requieran de cuidados especiales.</t>
  </si>
  <si>
    <t>Las plantas y/o arboles deben disponerse de modo que complementen el confort del edificio: proporcionen sombra, protección contra el viento, etc.</t>
  </si>
  <si>
    <t>PATIO DE JUEGOS</t>
  </si>
  <si>
    <t xml:space="preserve">No se recomienda asoleamiento directo en verano. </t>
  </si>
  <si>
    <t xml:space="preserve">Pendiente para evacuación de agua. </t>
  </si>
  <si>
    <t>Revestimiento exterior liso.</t>
  </si>
  <si>
    <t>PATIO DE SERVICIO</t>
  </si>
  <si>
    <t>Instalación Eléctrica</t>
  </si>
  <si>
    <t>Para facilitar el desplazamiento  de trabajadores,  los pasillos deberán  mantenerse libres de obstáculos.</t>
  </si>
  <si>
    <t>de acero inoxidable  (1.00 x0.66 x 0.36 m)</t>
  </si>
  <si>
    <t>Extracción Forzada en campana.</t>
  </si>
  <si>
    <t>Todos los artefactos con agua fría y Caliente</t>
  </si>
  <si>
    <t xml:space="preserve">No aplica </t>
  </si>
  <si>
    <t>PATIO EXPANSIÓN SALA CUNA</t>
  </si>
  <si>
    <t>PATIO EXPANSIÓN NIVEL MEDIO</t>
  </si>
  <si>
    <t>SALA EXPANSIÓN SALA CUNA ACCESIBLE PRIMER PISO</t>
  </si>
  <si>
    <t>PATIO EXPANSIÓN SALA CUNA EN PRIMER PISO</t>
  </si>
  <si>
    <t>DISPENSADOR DE JABÓN LÍQUIDO</t>
  </si>
  <si>
    <t>Destinado a la preparación de alimentos para párvulos, correspondiente a las Salas de Actividades de Nivel Medio. 
La cocina funciona con personal exclusivo para este trabajo (Manipuladoras de Alimentos) y corresponde a una concesión externa a JUNJI. 
En este recinto se cocinan adicionalmente las raciones para los adultos que comen en el establecimiento.</t>
  </si>
  <si>
    <t>Bodegas de alimento</t>
  </si>
  <si>
    <t>Baño Manipuladoras</t>
  </si>
  <si>
    <t xml:space="preserve">Relación directa hacía el patio de servicio </t>
  </si>
  <si>
    <t>Contar con iluminación Natural.</t>
  </si>
  <si>
    <t>Contar con vanos operables hacía el exterior del recinto, ya que es un lugar que genera mucho calor y humedad.</t>
  </si>
  <si>
    <t>instalado a 0.85 m del NPT a un costado del lavamanos</t>
  </si>
  <si>
    <t>Instalado a 1,20 m próximo a lavamanos.</t>
  </si>
  <si>
    <t xml:space="preserve">Acero inoxidable ancho 0.60 m., y 0.85 m. alto. </t>
  </si>
  <si>
    <t>4 ganchos individuales instalados alejados del punto de cocción y sobre h: 1.30 m / Para colgar delantales</t>
  </si>
  <si>
    <t>Circulaciones entre equipamiento de al menos 1,20 para evitar accidentes</t>
  </si>
  <si>
    <t xml:space="preserve">Puertas de 0,80 m ancho libre </t>
  </si>
  <si>
    <t>Acceso desde Establecimiento</t>
  </si>
  <si>
    <t>MESÓN PRE-LAVADO</t>
  </si>
  <si>
    <t>Acero Inoxidable; 0,70 m largo, 0,60 fondo y 0,85 m alto</t>
  </si>
  <si>
    <t xml:space="preserve">Acero inoxidable; 0,60 m largo, 0,60 m fondo y 0,85 m alto </t>
  </si>
  <si>
    <t>LAVADERO ALIMENTOS</t>
  </si>
  <si>
    <t>Evitar duplicar si hay ambas cocinas, ubicar en área compartida.</t>
  </si>
  <si>
    <t xml:space="preserve">Grifería de palanca </t>
  </si>
  <si>
    <t>MESÓN DE PREPARACIÓN 0,90 m</t>
  </si>
  <si>
    <t>MESÓN DE PREPARACIÓN 1,40 m</t>
  </si>
  <si>
    <t>GRIFERÍA CUELLO CISNE</t>
  </si>
  <si>
    <t>Altura mínima caño 0,25 m, giratoria, monomando palanca</t>
  </si>
  <si>
    <t>GRIFERÍA PRE LAVADO</t>
  </si>
  <si>
    <t>Deberá cubrir el área total en que se ubican artefactos de cocción (fogones y/o cocina de 4 platos). Ducto de 10”, extracción forzada al exterior. Acero Inoxidable</t>
  </si>
  <si>
    <t xml:space="preserve">Debe cumplir con flujos normativos al interior del recinto, es decir área de lavado, área de preparación, área de cocción y área de entrega. </t>
  </si>
  <si>
    <t>Espacio para carro de 0,90 m x 0,60 m</t>
  </si>
  <si>
    <t>MUEBLE COLGANTE 1,40 m</t>
  </si>
  <si>
    <t>MUEBLE COLGANTE 0,90 m</t>
  </si>
  <si>
    <t>0,90 m largo, 0,60 m alto, 0,40 m fondo. Incluye puertas, una repisa y separación intermedia. Instalado a 1,30 m del NPT sobre mesón 0,90 m.</t>
  </si>
  <si>
    <t>1,40 m largo, 0,60 m alto, 0,40 m fondo. Incluye puertas, una repisa y separación intermedia. Instalado a 1,30 m del NPT sobre mesón 1,40 m.</t>
  </si>
  <si>
    <t>Cuello Cisne, Monomando de palanca, Altura mínima caño 0,25 m, giratoria</t>
  </si>
  <si>
    <t>1 hoja, 0,80 m ancho libre</t>
  </si>
  <si>
    <t>Cerradura con llave exterior y seguro manual interior</t>
  </si>
  <si>
    <t>Acceso a Patio de Servicio</t>
  </si>
  <si>
    <t>1 hoja, 0,90 m ancho libre</t>
  </si>
  <si>
    <t>Estructura de aluminio o PVC; vidriado</t>
  </si>
  <si>
    <t>Apertura hacia el interior del recinto</t>
  </si>
  <si>
    <t>Cerradura con llave interior y exterior</t>
  </si>
  <si>
    <t>Puerta Mosquitera</t>
  </si>
  <si>
    <t>Apertura hacia el exterior del recinto</t>
  </si>
  <si>
    <t xml:space="preserve">Marco y puerta de aluminio exterior para malla mosquitera       </t>
  </si>
  <si>
    <t xml:space="preserve">Altura mínima debe ser de 1.15m del NPT con el objeto de dar un respaldo al mesón de preparación. </t>
  </si>
  <si>
    <t>Distribución interior</t>
  </si>
  <si>
    <t>Porcelanato técnico específico para Cocinas</t>
  </si>
  <si>
    <t>Resistente a golpes</t>
  </si>
  <si>
    <t>Color claro</t>
  </si>
  <si>
    <t xml:space="preserve">Porcelanato o cerámica primera selección </t>
  </si>
  <si>
    <t>Fácil de limpiar y desinfectar</t>
  </si>
  <si>
    <t>Esmalte sanitizante</t>
  </si>
  <si>
    <t>Equipo fluorescente, alta eficiencia</t>
  </si>
  <si>
    <t>550 lux</t>
  </si>
  <si>
    <t>Herméticos</t>
  </si>
  <si>
    <t>Resistente a humedad y calor</t>
  </si>
  <si>
    <t>Considerar extintor de uso exclusivo cocina, de fácil alcance</t>
  </si>
  <si>
    <t>Incorporar equipo con kit de emergencia</t>
  </si>
  <si>
    <t>Enchufes triples 10A, instalado sobre mesón a 1,30 m</t>
  </si>
  <si>
    <t>Enchufes triples 16A, instalado sobre mesón a 1,30 m</t>
  </si>
  <si>
    <t>Arranque campana en cielo</t>
  </si>
  <si>
    <t>Interruptor en interior del recinto. Costado acceso principal.</t>
  </si>
  <si>
    <t>Pileta de desagüe en centro del recinto para evacuación de agua de lavado</t>
  </si>
  <si>
    <t>Instalaciones de gas según normativa SEC</t>
  </si>
  <si>
    <t>Llave de paso de gas no debe obstruir circulación ni funcionamiento</t>
  </si>
  <si>
    <t>Agua fría y caliente</t>
  </si>
  <si>
    <t>Alcantarillado</t>
  </si>
  <si>
    <t>Considerar sifones de cobre en todos los lavafondos</t>
  </si>
  <si>
    <t xml:space="preserve">Destinado a la preparación de alimentos para lactantes, correspondiente a las Salas de Actividades de Sala Cuna. 
La cocina funciona con personal exclusivo para este trabajo (Manipuladoras de Alimentos) y corresponde a una concesión externa a JUNJI. </t>
  </si>
  <si>
    <t>Acceso compartido con Cocina Sala Cuna. Área de pre lavado de verduras es común.</t>
  </si>
  <si>
    <t>Ver esquema de funcionamiento Cocinas</t>
  </si>
  <si>
    <t>Acceso compartido con Cocina General. Área de pre lavado de verduras es común.</t>
  </si>
  <si>
    <t>2 ganchos individuales instalados alejados del punto de cocción y sobre h: 1.30 m / Para colgar delantales</t>
  </si>
  <si>
    <t>La división entre ambas Cocinas se sugiere en tabiquería de aluminio vidriado.</t>
  </si>
  <si>
    <t>1,25 m X 0,45 m; Acero inoxidable</t>
  </si>
  <si>
    <t>Con brazo hidráulico o bisagra con resorte</t>
  </si>
  <si>
    <t>De fácil limpieza</t>
  </si>
  <si>
    <t xml:space="preserve">Destinado exclusivamente a la preparación de formulas lácteas. 
La cocina de leche funciona con personal exclusivo para este trabajo (Manipuladoras de Alimentos) y corresponde a una concesión externa a JUNJI. </t>
  </si>
  <si>
    <t>Debe ser un recinto independiente a Cocina General y/o Cocina Sala Cuna</t>
  </si>
  <si>
    <t>Circulación hacia Salas de Actividades Sala Cuna</t>
  </si>
  <si>
    <t>Contar con vanos operables hacía el exterior del recinto, ya que es un lugar que genera calor y humedad.</t>
  </si>
  <si>
    <t>COCINA 2 PLATOS</t>
  </si>
  <si>
    <t>Encimera, Gas</t>
  </si>
  <si>
    <t>Deberá cubrir el área total en que se ubican artefactos de cocción (cocina de 2 o 4 platos). Ducto de 4 a 6”, extracción forzada al exterior. Acero Inoxidable</t>
  </si>
  <si>
    <t>Considerar sifones de cobre en lavaplatos y lavafondos</t>
  </si>
  <si>
    <t>Considerar sifones de cobre en lavaplatos o lavafondos</t>
  </si>
  <si>
    <t>Especificar tipos de calefacción, radiadores o calefactores y protecciones cuando corresponda.</t>
  </si>
  <si>
    <t>Contar con áreas definidas y debidamente señalizadas de seguridad y evacuación en caso de emergencia.</t>
  </si>
  <si>
    <t xml:space="preserve">Vías de Evacuación
Pasillos </t>
  </si>
  <si>
    <t>Debe contar con la siguiente superficie de vanos operables minima para la ventilación natural:</t>
  </si>
  <si>
    <t>Debe contar con la siguiente superficie de vanos mínima para iluminación natural :</t>
  </si>
  <si>
    <t xml:space="preserve">Considerar elementos arquitectónicos de absorción acústica. (Paneles de cielo y/o muro, pizarras de corcho o mobiliario fijo) </t>
  </si>
  <si>
    <t>Considerar morfología interior que reduzca el efecto de caja de resonancia. Cielos y/o muros no paralelos, quiebres en cielo, lucarnas, etc.</t>
  </si>
  <si>
    <t xml:space="preserve">NOR-ORIENTE </t>
  </si>
  <si>
    <t>NOR-ORIENTE</t>
  </si>
  <si>
    <t xml:space="preserve">Iluminación debe tener al menos 3 encendidos para distintos usos </t>
  </si>
  <si>
    <t>Considerar iluminación directa e indirecta</t>
  </si>
  <si>
    <t xml:space="preserve">Perchero mural, 20 ganchos individuales, instalado a 1,20 m del NPT (bajo casilleros). </t>
  </si>
  <si>
    <t>Ventilación en puerta y a cubierta.</t>
  </si>
  <si>
    <t xml:space="preserve">Conservar ambiente fresco y seco para almacenar alimentos. </t>
  </si>
  <si>
    <t>Evitar asoleamiento</t>
  </si>
  <si>
    <t>Contemplar cerrojo de seguridad adicional</t>
  </si>
  <si>
    <t>REFRIGERADOR</t>
  </si>
  <si>
    <t>REPISAS</t>
  </si>
  <si>
    <t>Abastecimiento desde el exterior a través de Patio de Servicio.</t>
  </si>
  <si>
    <t>Quincallería puertas de palanca</t>
  </si>
  <si>
    <t>Malla en celosía. Impedir el ingreso de vectores</t>
  </si>
  <si>
    <t>Lisos</t>
  </si>
  <si>
    <t xml:space="preserve">Colores claros </t>
  </si>
  <si>
    <t>Solido</t>
  </si>
  <si>
    <t>CAPACIDAD:</t>
  </si>
  <si>
    <t>2.- Se recomienda realizar un estudio de costos según la realidad del proyecto.</t>
  </si>
  <si>
    <t>a.- Siempre buscar un terreno apto para la implementación del programa arquitectónico.</t>
  </si>
  <si>
    <t>c.- Se han elaborado programas para uno y dos pisos. Este último, se aplicaría solo en caso de predios</t>
  </si>
  <si>
    <t>Equipo Fluorescente Hermético</t>
  </si>
  <si>
    <t xml:space="preserve">Enchufe simple 16 A para Unidades de Refrigeración. </t>
  </si>
  <si>
    <t>Enchufe triple</t>
  </si>
  <si>
    <t>Interruptor iluminación</t>
  </si>
  <si>
    <t>Interruptor extracción Forzada</t>
  </si>
  <si>
    <t>Considerar extracción forzada de encendido independiente a equipos de iluminación. Caudal mínimo 600 m3/h</t>
  </si>
  <si>
    <t>MESÓN BALANZA</t>
  </si>
  <si>
    <t>ESTANTE 4 PARRILLAS</t>
  </si>
  <si>
    <t>Acero inoxidable; 1,20 m largo, 0,45 m fondo y 1,80 m alto. Repisas con rejilla para frutas y verduras.</t>
  </si>
  <si>
    <t>Enchufe triple (incluye enchufe Balanza)</t>
  </si>
  <si>
    <t>Ventilación pasiva, contemplando como mínimo ducto de ventilación a cubierta y celosía en puerta.</t>
  </si>
  <si>
    <t>Enchufe de fuerza doble</t>
  </si>
  <si>
    <t>Activa iluminación y extracción forzada</t>
  </si>
  <si>
    <t>Considerar extracción forzada de encendido conjunto a equipo de iluminación. Caudal mínimo 300 m3/h</t>
  </si>
  <si>
    <t>Llave de paso para recinto</t>
  </si>
  <si>
    <t xml:space="preserve">Pileta de desagüe en el centro del recinto </t>
  </si>
  <si>
    <t>RECEPTÁCULO LAVAMOPA</t>
  </si>
  <si>
    <t>GRIFERÍA LAVAMOPA</t>
  </si>
  <si>
    <t xml:space="preserve">Considera lavarropa 60x40 fibra de vidrio o enlozado sobre atril metálico. </t>
  </si>
  <si>
    <t>Forma parte del Área de Servicios.</t>
  </si>
  <si>
    <t xml:space="preserve">En el caso de no poder dar solución a través del diseño arquitectónico, se sugiere uso de persianas enrollables exteriores de PVC o Metálicas. </t>
  </si>
  <si>
    <t xml:space="preserve">Repisa modulable perimetral profundidad 0,40 m </t>
  </si>
  <si>
    <t>Repisa modulable perimetral profundidad 0,40 m</t>
  </si>
  <si>
    <t>0,60x0,80 m mínimo</t>
  </si>
  <si>
    <t>4 LOCKERS METÁLICOS</t>
  </si>
  <si>
    <t>0,56 frente x 0,45 fondo x 1,70 m alto, total conjunto de 4</t>
  </si>
  <si>
    <t>Ancho mínimo 70 cms; dispuesto a un costado de lockers</t>
  </si>
  <si>
    <t>1 hoja 0,80 m ancho libre</t>
  </si>
  <si>
    <t xml:space="preserve">Área de lockers y vestidor debe quedar separado por una puerta del área de baño y ducha para facilitar el uso simultáneo. </t>
  </si>
  <si>
    <t xml:space="preserve">Monomando de palanca </t>
  </si>
  <si>
    <t>AMBAS (Acceso a Recinto y acceso a Baño y Ducha)</t>
  </si>
  <si>
    <t>Considerar equipo fluorescente compacto, hermético (IP44 o superior) sobrepuesto en cielo frente a receptáculo de ducha</t>
  </si>
  <si>
    <t>Considerar equipo fluorescente compacto sobrepuesto sobre espejo y en área lockers</t>
  </si>
  <si>
    <t>Interruptor h:1,20 m, 1 solo golpe para ambos recintos</t>
  </si>
  <si>
    <t>Acero Inoxidable, h:1,80 m, 2 en vestidor y 2 en baño</t>
  </si>
  <si>
    <t xml:space="preserve">CARACTERIZACIÓN </t>
  </si>
  <si>
    <t>Vinculación y Relación con todas las Áreas y recintos del Establecimiento.</t>
  </si>
  <si>
    <t>Deben ser instalados a una altura mínima de 1.30 m del NPT.</t>
  </si>
  <si>
    <t xml:space="preserve">Deben ser expeditas, claras y fáciles de entender; evitando tropiezos y aglomeraciones. </t>
  </si>
  <si>
    <t xml:space="preserve">Circulaciones interiores no podrán realizarse mediante servidumbre de paso por recintos docentes ni de servicio, entendiéndose por servidumbre de paso, el tránsito a través de un recinto para acceder a otro. </t>
  </si>
  <si>
    <t>En zona sur se debe mantener temperatura estable no menor a 15°C , a través de radiadores y calefacción central.</t>
  </si>
  <si>
    <t>Las circulaciones pueden servir como elemento de protección solar.</t>
  </si>
  <si>
    <t>Las circulaciones no deben impedir la ventilación natural de los recintos aledaños.</t>
  </si>
  <si>
    <t>Las circulaciones no deben impedir la iluminación natural de los recintos aledaños.</t>
  </si>
  <si>
    <t>Las circulaciones deben tener iluminación natural.</t>
  </si>
  <si>
    <t>Las circulaciones deben tener ventilación natural.</t>
  </si>
  <si>
    <t>Las circulaciones pueden servir como elemento de protección acústica hacia agentes externos de ruido.</t>
  </si>
  <si>
    <t>Todas las circulaciones deben ser cubiertas.</t>
  </si>
  <si>
    <t>Se debe evitar las superficies demasiado irregulares o rugosas ya que dificultan el desplazamiento de coches y sillas de ruedas.</t>
  </si>
  <si>
    <t>La pendiente transversal de la circulación no debe superar el 2%.</t>
  </si>
  <si>
    <t xml:space="preserve">Se debe generar una ruta accesible, la que debe considerarse en un mismo nivel de terreno o con diferencias de nivel que puedan salvarse a lo largo de las circulaciones en pendientes inferiores a 8%. </t>
  </si>
  <si>
    <t>PATIO CERRADO PRIMER PISO</t>
  </si>
  <si>
    <t>PATIO CERRADO SEGUNDO PISO</t>
  </si>
  <si>
    <t>La circulación debe ser un área libre de riesgos no solo a nivel de suelo sino hasta los 2,10 m desde el NPT. Se debe tener especial cuidado con elementos que sobresalgan más de 0,20m sobre la circulación y que no puedan ser detectados por un bastón, tales como extintores, gabinetes de red húmeda, ramas de árboles, toldos o mobiliario adosado.</t>
  </si>
  <si>
    <t>Se debe considerar que si los pasillos sirven como vía de evacuación, tendrán un ancho libre mínimo de medio centímetro por persona, calculado conforme a la carga de ocupación de la superficie servida, con un ancho mínimo de 1,50 m en circulaciones principales y 1,10 m en circulaciones interiores.</t>
  </si>
  <si>
    <t>Anchos de acuerdo a capítulo IV de Ordenanza General de Urbanismo y Construcciones.</t>
  </si>
  <si>
    <t xml:space="preserve">En el caso de terrenos con pendiente natural superiores al 8% se recomienda aterrazar el terreno considerando diferencias de nivel salvables a través de una rampa de un máximo de dos tramos de 9 m con descanso intermedio de 1,5m y que cumpla con las condiciones establecidas en este documento. Esta medida busca evitar el uso de rampas con un excesivo número de tramos, lo que la hace poco practicable para el uso diario. </t>
  </si>
  <si>
    <t>Las rampas deben tener un ancho mínimo de 0,90 m</t>
  </si>
  <si>
    <t>La pendiente máxima de las rampas deben ser del 8%</t>
  </si>
  <si>
    <t>Ruta accesible</t>
  </si>
  <si>
    <t>Terrenos con pendiente</t>
  </si>
  <si>
    <t>Rampas</t>
  </si>
  <si>
    <t>Pendiente transversal</t>
  </si>
  <si>
    <t>Área libre de riesgos</t>
  </si>
  <si>
    <t>Pasamanos</t>
  </si>
  <si>
    <t>Cuando la diferencia de nivel a salvar supere los 0,72 m se debe seccionar la rampa en tramos de 9m de largo máximo con descansos de 1,5 m.</t>
  </si>
  <si>
    <t>Debe incorporar pasamanos cuando el largo de la rampa sea mayor a 1m</t>
  </si>
  <si>
    <t>Pasamanos debe tener un diámetro entre 3,5 y 4,5 cm y debe estar separado 5 cm del muro.</t>
  </si>
  <si>
    <t>Debe existir un área libre de 1,50 de largo por el ancho de la rampa al inicio y término de ésta para maniobras de acceso y egreso.</t>
  </si>
  <si>
    <t>Pasamanos deberá ser continuo y debe comenzar 0,30 m antes de la rampa y terminar 0,30 m después de finalizada.</t>
  </si>
  <si>
    <t xml:space="preserve">Debe existir al menos 3 alturas de pasamanos: 0,95 m para adultos, 0,70 m para niños, niñas y personas en silla de ruedas y 0,10-0,20 m desde NPT para protección de personas con discapacidad visual y prevención de caídas. </t>
  </si>
  <si>
    <t>Todos los cambios de sentido en una rampa deben ser realizados en una superficie horizontal que permita el giro de la silla de ruedas (diámetro 1,50 m)</t>
  </si>
  <si>
    <t>Para asegurar una "accesibilidad desapercibida" a los establecimientos, las soluciones planteadas para salvar los desniveles no deben tener carácter exclusivo, por ejemplo en el caso de requerir salvar dos gradas en un acceso es preferible crear una sola rampa de todo el ancho del acceso. De esta manera se asegura que un establecimiento que recibe diariamente coches pueda ser seguro para todos sus usuarios.</t>
  </si>
  <si>
    <t xml:space="preserve"> La superficie del pasamanos debe ser continua, sin resaltos, cantos filosos, ni superficies ásperas que interrumpan el desplazamiento de la mano sobre él hasta el final del recorrido</t>
  </si>
  <si>
    <t>Diferencia de nivel en terreno adyacente</t>
  </si>
  <si>
    <t>Cuando la altura del piso sobre el suelo adyacente sea de entre 0,30 m y 1 m, se deberá disponer un borde resistente de una altura no inferior a 0,30 m, precedido de un cambio de textura en el pavimento a 0,50 m del borde</t>
  </si>
  <si>
    <t>En el caso de diferencias de nivel superiores a 1m deberán contar con una protección no escalable de una altura
mínima de 1,40 m.</t>
  </si>
  <si>
    <t>Las vías de escape deberán estar debidamente señalizadas.</t>
  </si>
  <si>
    <t>En el caso de considerar muebles se deberá respetar el ancho mínimo exigido por normativa. Se sugiere realizar retranqueos en la circulación para la ubicación de bancas u otro mobiliario.</t>
  </si>
  <si>
    <t>2 hojas, Mínimo 1 abatible hoja 0,90 m y una fija/abatible de 0,50m.</t>
  </si>
  <si>
    <t>Ancho real debe ser calculado de acuerdo a la exigencia normativa OGUC. La puerta operable deberá tener siempre un ancho mínimo libre de 0,90 m.</t>
  </si>
  <si>
    <t>Toda superficie vidriada deberá ser laminada y/o con film antivandálico.</t>
  </si>
  <si>
    <t>Considerar equipos de iluminación de ahorro de energía.</t>
  </si>
  <si>
    <t xml:space="preserve">Los equipos de iluminación deben contar con protección que evite el desprendimiento de sus partes </t>
  </si>
  <si>
    <t>Se sugiere crear líneas de iluminación que ayuden a orientar la direccionalidad de la circulación.</t>
  </si>
  <si>
    <t>En la zona sur se debe incorporar radiadores conectados a la red de calefacción central.</t>
  </si>
  <si>
    <t>Se debe considerar la instalación de todos los equipos con kit de emergencia necesarios, ubicados orientando hacia las vías de evacuación.</t>
  </si>
  <si>
    <t>Se debe considerar señalética luminosa con kit de emergencia que indique las vías de escape.</t>
  </si>
  <si>
    <t xml:space="preserve">Deberá contar con señalética de evacuación en todo su recorrido. </t>
  </si>
  <si>
    <t>Todo equipamiento dispuesto en las circulaciones debe ser instalado fuera del área libre de riesgo, prefiriéndose el empotramiento en muros.</t>
  </si>
  <si>
    <t>Las circulaciones en toda su extensión deben presentar una iluminación continua, promedio 100 lux</t>
  </si>
  <si>
    <t>Se debe considerar un plano en cada recinto, que señale las vías de evacuación en caso de emergencia. La señalética en las circulaciones deberá estar en correspondencia con este plano.</t>
  </si>
  <si>
    <t>Se recomienda ancho de 5,0 m o superior. El mínimo exigido es 3,0 m.</t>
  </si>
  <si>
    <t>Debe considerar iluminación natural</t>
  </si>
  <si>
    <t>Debe considerar ventilación natural</t>
  </si>
  <si>
    <t xml:space="preserve">Mantener temperatura estable no menor a 15°C, a través de radiadores conectados a red de calefacción central. </t>
  </si>
  <si>
    <t>Se debe evitar el asoleamiento directo en meses de verano.</t>
  </si>
  <si>
    <t>El nivel de piso terminado debe ser continuo.</t>
  </si>
  <si>
    <t>Ver solución de rampa combinada con escalera</t>
  </si>
  <si>
    <t>En caso de existir diferencias de nivel se debe privilegiar soluciones universales tales como rampas o rampas combinadas con escaleras. La implementación de una rampa en combinación con gradas puede generar espacios de encuentro y descanso.</t>
  </si>
  <si>
    <t>Muros serán de superficie lisa y de fácil limpieza. Privilegiar superficies vidriadas.</t>
  </si>
  <si>
    <t>Todas las superficies vidriadas inferiores a los 0,90m deben ser laminadas o contar con film antivandálico</t>
  </si>
  <si>
    <t xml:space="preserve">Privilegiar tabiques vidriados y puertas ventanas para maximizar relación visual y fisica interior-exterior. </t>
  </si>
  <si>
    <t>Preferentemente Norte u Oriente.</t>
  </si>
  <si>
    <t>Contemplar juegos modulares transportables para uso en estaciones frías.</t>
  </si>
  <si>
    <t>En ventanas asegurar algunos vanos que permitan la vista lejana de los párvulos. Altura antepechos de estos vanos máximo 0,45 m sobre el NPT</t>
  </si>
  <si>
    <t>Enchufes de fuerza para aseo a una altura mínima de 1.30 m del N.P.T.</t>
  </si>
  <si>
    <t xml:space="preserve">Enchufe triple </t>
  </si>
  <si>
    <t>Debe contar con calefacción central con radiadores.</t>
  </si>
  <si>
    <t xml:space="preserve">Este recinto deberá contar con señalética de evacuación claramente definida. </t>
  </si>
  <si>
    <t>100 lux mínimo</t>
  </si>
  <si>
    <t xml:space="preserve">Equipos de iluminación sobrepuestos de ahorro de energía y que impidan que los elementos que los componen puedan caer. </t>
  </si>
  <si>
    <t xml:space="preserve">Relacionado programáticamente con la cocina general. </t>
  </si>
  <si>
    <t>Manguera de riego, largo 25 m. Con carro porta manguera</t>
  </si>
  <si>
    <t>No debe obstruir la iluminación natural de los recintos docentes.</t>
  </si>
  <si>
    <t>Se debe propiciar la ventilación cruzada para evitar el sobrecalentamiento del área en meses de verano.</t>
  </si>
  <si>
    <t>Se debe evitar el efecto invernadero a través de ventilación cruzada y/o la correcta orientación de esta área.</t>
  </si>
  <si>
    <t>La disposición de la cubierta debe asegurar que la sombra proyectada se encuentra en una superficie útil.</t>
  </si>
  <si>
    <t>Se debe evitar la radiación solar directa.</t>
  </si>
  <si>
    <t>Sin requerimientos específicos</t>
  </si>
  <si>
    <t>No se permiten superficies rugosas en áreas de uso y transito de párvulos.</t>
  </si>
  <si>
    <t>En el caso de considerar una cubierta translucida (policarbonato o similar) se deberá disponer celosías o entramado que genere sombra.</t>
  </si>
  <si>
    <t>Adicionalmente se puede considerar iluminación decorativa para resaltar elementos relevantes de la arquitectura.</t>
  </si>
  <si>
    <t>Considerar pendientes de un máximo 2% para evacuación de agua de limpieza.</t>
  </si>
  <si>
    <t>Considerar en caso de requerirse rejillas de desagüe conectadas al sistema de alcantarillado para la recolección de agua utilizada en la limpieza del patio.</t>
  </si>
  <si>
    <t>Los interruptores deben contar con 2 o 3 encendidos para ir graduando niveles lumínicos y consumo eléctrico.</t>
  </si>
  <si>
    <t>Contar con Señalética y Plan de Emergencia.</t>
  </si>
  <si>
    <t xml:space="preserve">de proporciones regulares </t>
  </si>
  <si>
    <t xml:space="preserve">Contiguo y con relación directa con Sala de Actividades y preferentemente con Sala de Expansión. </t>
  </si>
  <si>
    <t>Recinto emplazado lejos de fuentes de ruido.</t>
  </si>
  <si>
    <t>Se debe evitar el sobrecalentamiento del área cuidando la reflexión en los revestimientos de piso y muros.</t>
  </si>
  <si>
    <t>Debe considerar un 25% de la superficie con protección de radiación solar (sombreadero, árboles, estructura con vegetación, etc.), privilegiando soluciones que puedan modificarse según las estaciones del año (Vegetación caduca, tela tensada removible, etc).</t>
  </si>
  <si>
    <t xml:space="preserve">En caso de existir diferencias de nivel con la Sala de Actividades adyacente, se deberá proyectar al menos una rampa que cumpla con todas las condiciones establecidas en artículo 4.1.7. de OGUC </t>
  </si>
  <si>
    <t>La rampa debe formar parte del diseño general del conjunto y considerarse como una alternativa de uso preferente ante las gradas.</t>
  </si>
  <si>
    <t>Las vías de escape, deberán estar debidamente señalizadas.</t>
  </si>
  <si>
    <t>Se deberá delimitar este espacio idealmente a través de soluciones arquitectónicas y/o muros vegetales.</t>
  </si>
  <si>
    <t>Puede incorporarse mobiliario en obra de exterior (escaños) como parte del paisajismo</t>
  </si>
  <si>
    <t>Terminaciones no rugosas</t>
  </si>
  <si>
    <t>Evitar colores que reflecten demasiado la luz solar</t>
  </si>
  <si>
    <t>Enchufe doble para exterior; al menos 1 para cada Sala de Actividades adyacente.</t>
  </si>
  <si>
    <t xml:space="preserve">altura mínima de 1.30 m del NPT. </t>
  </si>
  <si>
    <t>Este recinto deberá contar con señalética de evacuación.</t>
  </si>
  <si>
    <t>Equipo Plafón Hermético para exterior, con ahorro de energia; al menos 1 frente a cada Sala de Actividades adyacente.</t>
  </si>
  <si>
    <t>Dentro de Sala de Actividades correspondiente a cada equipo de iluminación.</t>
  </si>
  <si>
    <t xml:space="preserve">Espacio abierto donde se debe evitar que exista sombra excesiva </t>
  </si>
  <si>
    <t>Debe encontrarse dentro de la Ruta Accesible</t>
  </si>
  <si>
    <t>No se permiten superficies rugosas en áreas de uso y tránsito de lactantes al interior y exterior del edificio, para evitar heridas por contacto.</t>
  </si>
  <si>
    <t>No se permiten superficies rugosas en áreas de uso y tránsito de párvulos al interior y exterior del edificio, para evitar heridas por contacto.</t>
  </si>
  <si>
    <t>En muros medianeros se sugiere uso de muros verdes, jardines, huertos colgantes o una terminación armónica con el conjunto arquitectónico.</t>
  </si>
  <si>
    <t>Es el patio el lugar donde los niños y niñas aprenden jugando. El juego es la forma en que conocen y se relacionan con el medio que los rodea.</t>
  </si>
  <si>
    <t>Debe garantizar una permanencia protegida a los niños y niñas</t>
  </si>
  <si>
    <t>Contiguo y con relación directa a las Salas de Actividades</t>
  </si>
  <si>
    <t>Contemplar proyectores de área con aletas antideslumbrantes que cubran toda el área del patio. Éstos deben ir montados sobre los muros perimetrales al patio.</t>
  </si>
  <si>
    <t>Contemplar adicionalmente bolardos (faroles) de iluminación indirecta en aquellos sectores que no sean cubiertos por los proyectores de área.</t>
  </si>
  <si>
    <t>Interruptores de iluminación de patio y exterior se ubica en tablero de alimentación central.</t>
  </si>
  <si>
    <t>TIMBRE</t>
  </si>
  <si>
    <t>Considerar la instalación de un timbre tipo colegial para emergencia con activación desde la Oficina de Directora.</t>
  </si>
  <si>
    <t>Se deberá considerar dos llaves de jardín agua fría, con pileta de desagüe.</t>
  </si>
  <si>
    <t>Juegos modulares fijos</t>
  </si>
  <si>
    <t xml:space="preserve">En caso de existir diferencias de nivel con las circulaciones  adyacentes, se deberán proyectar al menos dos rampas en extremos opuestos del patio,  que cumplan con todas las condiciones establecidas en artículo 4.1.7. de OGUC </t>
  </si>
  <si>
    <t>Las rampas deben formar parte del diseño general del conjunto y considerarse como una alternativa de uso preferente ante las gradas.</t>
  </si>
  <si>
    <t>Las ramas o troncos inclinados de árboles pueden resultar peligrosos si invaden las vías de paso, por ello no deben estar a alturas inferiores a 2 m.</t>
  </si>
  <si>
    <t>En el caso de considerar rejas, éstas no deben ser escalables.</t>
  </si>
  <si>
    <t>Pendientes</t>
  </si>
  <si>
    <t>Ver especies sugeridas por zona climática</t>
  </si>
  <si>
    <t>Equipamiento</t>
  </si>
  <si>
    <t>Se deben evitar las aristas, cantos vivos, ángulos peligrosos y bordes afilados o puntiagudos.</t>
  </si>
  <si>
    <t xml:space="preserve">Contar con áreas de seguridad definidas y debidamente señalizadas. </t>
  </si>
  <si>
    <t xml:space="preserve">Vías de Evacuación
</t>
  </si>
  <si>
    <t xml:space="preserve">JUEGOS </t>
  </si>
  <si>
    <t>Los juegos deben garantizar la integridad de los niños. No se permite juegos giratorios, balancines o columpios. 
Se recomiendan:</t>
  </si>
  <si>
    <t>ASTA DE BANDERA</t>
  </si>
  <si>
    <t xml:space="preserve">Los juegos deben ser sencillos de arreglar y de mantener </t>
  </si>
  <si>
    <t>Separación de áreas</t>
  </si>
  <si>
    <t>Patio Sala Cuna y Nivel Medio</t>
  </si>
  <si>
    <t>Se deben separar las áreas correspondiente a Patio de lactantes (Sala Cuna) del de Párvulos (Nivel Medio). Se debe privilegiar soluciones arquitectónicas o muros vegetales a rejas.</t>
  </si>
  <si>
    <t>Considerar pendientes de un máximo 2% para evacuación de agua lluvia.</t>
  </si>
  <si>
    <t>En zona bajo y alrededor de juegos se debe contemplar una superficie que amortigue las caidas. Pueden ser naturales (pasto) o sintéticos (goma o caucho)</t>
  </si>
  <si>
    <t>RIEGO</t>
  </si>
  <si>
    <t>Considerar sistemas de evacuación de aguas lluvia conectado al sistema general.</t>
  </si>
  <si>
    <t xml:space="preserve">Esta área deberá contar con señalética de evacuación. </t>
  </si>
  <si>
    <t xml:space="preserve">Acceso desde el exterior. </t>
  </si>
  <si>
    <t>Preferentemente sur</t>
  </si>
  <si>
    <t>Debe encontrarse dentro de la ruta accesible, especialmente considerando que es el punto de entrada de materiales y alimentos que deben ser transportados de forma segura y sin sobresaltos.</t>
  </si>
  <si>
    <t>La zona de gas debe encontrarse a 3,0 m mínimo de distancia a vanos.</t>
  </si>
  <si>
    <t>Aislar la basura del resto del equipamiento, considerando un gabinete para prevenir la presencia de vectores.</t>
  </si>
  <si>
    <t>GABINETE GAS</t>
  </si>
  <si>
    <t xml:space="preserve">Área descubierta. </t>
  </si>
  <si>
    <t>Evitar sobrecalentamiento del sector, privilegiando orientación sur y asegurando ventilación natural.</t>
  </si>
  <si>
    <t>Se debe evitar el encajonamiento que pueda producir sobrecalentamiento en meses de verano.</t>
  </si>
  <si>
    <t>GABINETE BASURA</t>
  </si>
  <si>
    <t>LAVADERO TRAPEROS</t>
  </si>
  <si>
    <t>Acceso desde el interior y exterior del establecimiento.</t>
  </si>
  <si>
    <t xml:space="preserve">Debe estar separado al área de juego de los niños. </t>
  </si>
  <si>
    <t xml:space="preserve">Se debe privilegiar una solución arquitectónica para la separación del patio de servicio del área de niños y niñas. </t>
  </si>
  <si>
    <t>Cercano a bodega de Aseo General</t>
  </si>
  <si>
    <t>Gabinete en estructura metálica y revestimiento de plancha de acero y malla metálica. Debe estar protegido de la lluvia y contar con ventilación natural. Dimensiones suficientes para albergar caldera de calefacción y agua caliente, califonts, cilindros de gas, etc.</t>
  </si>
  <si>
    <t>Gabinete en estructura metálica y revestimiento de plancha de acero y malla metálica. Debe estar protegido de la lluvia y contar con ventilación natural. Dimensiones suficientes para albergar al menos dos contenedores de basura de 120 lts.</t>
  </si>
  <si>
    <t>GRIFERÍA LAVADERO</t>
  </si>
  <si>
    <t>Lavarropa fibra de vidrio, metacrilato o acero esmaltado 0,70 x 0,60 m dimension aproximada. Considerar atril de soporte.</t>
  </si>
  <si>
    <t>Llave de bola agua fría</t>
  </si>
  <si>
    <t xml:space="preserve">Reja de acceso ancho mínimo libre 0,90 m. Se recomienda ancho 1,50 con una hoja 0,90 m y otra 0,60 m </t>
  </si>
  <si>
    <t>Considera chapa con llave interior y exterior</t>
  </si>
  <si>
    <t xml:space="preserve">Pavimentado en su totalidad. (Pavimento de exterior). </t>
  </si>
  <si>
    <t>Equipo Plafón Hermético para exterior, con ahorro de energia.</t>
  </si>
  <si>
    <t>Considerar arranques eléctricos para caldera</t>
  </si>
  <si>
    <t>Triple para exterior</t>
  </si>
  <si>
    <t>Instalado a 1,30 m,  cercano al acceso desde el interior del establecimiento.</t>
  </si>
  <si>
    <t xml:space="preserve">Gas </t>
  </si>
  <si>
    <t xml:space="preserve">Deben existir dos redes de gas independientes con sus respectivos medidores. Una para el concesionario (Cocinas y Baño Manipuladora)  y otro para el Jardín Infantil y/o Sala Cuna (Bañeras sala de muda y/o sala de hábitos higiénicos y ducha baño auxiliar).  </t>
  </si>
  <si>
    <t>Pileta o rejilla de desagüe</t>
  </si>
  <si>
    <t xml:space="preserve">Señalética en gabinete de gas. </t>
  </si>
  <si>
    <t>Señalética de basura.</t>
  </si>
  <si>
    <t>Señalética de extintor.</t>
  </si>
  <si>
    <t>Considerar extintor cercano a sector de caldera</t>
  </si>
  <si>
    <t>CONSIDERACIONES GENERALES</t>
  </si>
  <si>
    <t xml:space="preserve">No podrá tener elementos que representen situaciones de riesgo para los usuarios tales como:                                                                                                                                                                                                                                                          </t>
  </si>
  <si>
    <t xml:space="preserve">En el entorno del terreno donde se emplace el local no podrán existir:                                                                                                                                       </t>
  </si>
  <si>
    <t>No deberá haber plantas con espinas, tampoco especies toxicas. Así también no pueden existir arbustos y árboles frutales que tengan frutos o semillas peligrosos que puedan ser introducidos por fosas nasales, que puedan ser ingeridos por los niños y niñas sin estar limpios y maduros ni que atraigan insectos peligrosos.</t>
  </si>
  <si>
    <t>La Orientación del Edificio debe permitir optimizar los recursos lumínicos y de calor al interior de los recintos educativos.</t>
  </si>
  <si>
    <t xml:space="preserve">Se establece para las zonas climáticas señaladas en cuadro adjunto la necesidad de contar con un sistema de calefacción central a través de caldera y radiadores con agua caliente. </t>
  </si>
  <si>
    <t>En su entorno inmediato no deberán existir sectores que pongan en peligro la integridad física de los alumnos, tales como:</t>
  </si>
  <si>
    <t>Los locales escolares deberán estar ubicados en lugares alejados a lo menos en 300 metros de focos de insalubridad, entendiéndose por tales:</t>
  </si>
  <si>
    <t>Vías Férreas</t>
  </si>
  <si>
    <t>Vías de alta velocidad</t>
  </si>
  <si>
    <t>Canales abiertos</t>
  </si>
  <si>
    <t xml:space="preserve">Locales que atenten contra la moral y las buenas costumbres, a una distancia igual o inferior a 200 m.  </t>
  </si>
  <si>
    <t>Pantanos</t>
  </si>
  <si>
    <t>Industrias peligrosas contaminantes</t>
  </si>
  <si>
    <t>A distancia no inferior a 300m:</t>
  </si>
  <si>
    <t>Basurales</t>
  </si>
  <si>
    <t xml:space="preserve">Cortes verticales de más de 50 centímetros.  </t>
  </si>
  <si>
    <t xml:space="preserve">Pendientes superiores a 45° horizontal.     </t>
  </si>
  <si>
    <t xml:space="preserve">Líneas de alta tensión. </t>
  </si>
  <si>
    <t xml:space="preserve">Canales y pozos abiertos.   </t>
  </si>
  <si>
    <t>Torres de alta tensión</t>
  </si>
  <si>
    <t>Canales</t>
  </si>
  <si>
    <t>Cruces ferroviarios</t>
  </si>
  <si>
    <t>Descargas de aguas servidas e industriales</t>
  </si>
  <si>
    <t>Otras situaciones que pongan en peligro la seguridad.</t>
  </si>
  <si>
    <t>Antenas de telefonía celular y de radiofrecuencia.</t>
  </si>
  <si>
    <t xml:space="preserve">Recintos educativos hacia el norte, oriente o nororiente.                                  </t>
  </si>
  <si>
    <t>Baños, cocinas, bodegas  y/o área administrativa, hacia el sur.</t>
  </si>
  <si>
    <r>
      <rPr>
        <b/>
        <sz val="36"/>
        <color theme="1"/>
        <rFont val="Calibri"/>
        <family val="2"/>
        <scheme val="minor"/>
      </rPr>
      <t>1</t>
    </r>
    <r>
      <rPr>
        <b/>
        <sz val="11"/>
        <color theme="1"/>
        <rFont val="Calibri"/>
        <family val="2"/>
        <scheme val="minor"/>
      </rPr>
      <t xml:space="preserve"> 
Área del Aprendizaje (Ex Área Docente)</t>
    </r>
  </si>
  <si>
    <r>
      <rPr>
        <b/>
        <sz val="36"/>
        <color theme="1"/>
        <rFont val="Calibri"/>
        <family val="2"/>
        <scheme val="minor"/>
      </rPr>
      <t>1</t>
    </r>
    <r>
      <rPr>
        <b/>
        <sz val="11"/>
        <color theme="1"/>
        <rFont val="Calibri"/>
        <family val="2"/>
        <scheme val="minor"/>
      </rPr>
      <t xml:space="preserve"> 
Área del Aprendizaje 
(Ex Área Docente)</t>
    </r>
  </si>
  <si>
    <t>La distribución programática deberá asegurar que el área del aprendizaje se encuentre alejada y protegida de la calle y otras fuentes de ruido.</t>
  </si>
  <si>
    <t>Ventilación natural</t>
  </si>
  <si>
    <t>Confort térmico</t>
  </si>
  <si>
    <t>Se debe dar cumplimiento a lo establecido en la Norma Técnica MINVU n° 11 (NTM 11), la cual considera 3 partes, enfocadas en los siguientes temas de habitabilidad: 1) Acondicionamiento acústico, 2) Comportamiento higrotérmico y 3) Calidad del aire interior</t>
  </si>
  <si>
    <t>Todos los recintos del programa arquitectónico exceptuando bodegas debieran contar con iluminación natural.</t>
  </si>
  <si>
    <t>ORIENTACIÓN</t>
  </si>
  <si>
    <t>ACCESIBILIDAD</t>
  </si>
  <si>
    <t>Los volúmenes del área del aprendizaje deben permitir siempre la ventilación cruzada hacia espacios exteriores.</t>
  </si>
  <si>
    <t>Los límites deben estar bien definidos, con separación física respecto a las áreas poco seguras. Con delimitaciones naturales o artificiales, que no cuenten con aristas vivas.</t>
  </si>
  <si>
    <t>Las pendientes del terreno que puedan provocar caídas deben ser protegidas con barandas.</t>
  </si>
  <si>
    <t>Pavimentos deben ser absorbentes al impacto, con textura ligera, antideslizante en seco y mojado y nivelado para evitar tropiezas.</t>
  </si>
  <si>
    <t>Todas las instalaciones, eléctrica, sanitarias y gas (en caso de gas natural y de cañería) deberán contar con empalme y medidor independiente de otros locales.</t>
  </si>
  <si>
    <t>Generar una ruta accesible que dé acceso de forma autónoma a todos los recintos necesarios para que cada uno de los usuarios del establecimiento pueda realizar las actividades que les competa.</t>
  </si>
  <si>
    <t xml:space="preserve">En el caso de terrenos con pendiente natural superiores al 8% se recomienda aterrazar el terreno considerando diferencias de nivel salvables a través de una rampa de un máximo de dos tramos de 9 m con descanso intermedio y que cumpla con las condiciones establecidas en el artículo 4.1.7. de la O.G.U.C. Esta medida busca evitar el uso de rampas con un excesivo número de tramos, lo que la hace poco practicable para el uso diario. </t>
  </si>
  <si>
    <t>La ruta accesible debe considerarse en un mismo nivel de terreno o con diferencias de nivel que puedan salvarse a lo largo de las circulaciones en pendientes suaves, inferiores a 8%.</t>
  </si>
  <si>
    <t>Se sugiere que todos los elementos, accesorios y artefactos puedan ser accionados con el codo. Esta medida asegura que adultos cargando a un lactante puedan hacer uso seguro de la infraestructura.</t>
  </si>
  <si>
    <t>Se sugiere incorporar fachadas y cubiertas ventiladas como una manera de mejorar el confort térmico, evitar el sobrecalentamiento de las fachadas y entretechos y evitar los puentes térmicos.</t>
  </si>
  <si>
    <t>Todos los recintos ubicados dentro de esta ruta accesible deben considerar un ancho mínimo de puerta de 0,80 m libre, manillas y griferías de palanca y la distribución y tipo de mobiliario que no limite el acercamiento y giro de una silla de ruedas al interior</t>
  </si>
  <si>
    <t>Se sugiere desarrollar la idea de "bordes programáticos" que den contención y protección de las actividades que se alberga. Las rejas y cierros pueden constituirse en protecciones solares, huertos colgantes, muros verdes, sombreaderos, protecciones acústicas, etc.</t>
  </si>
  <si>
    <t xml:space="preserve">Se sugiere incorporar dentro del diseño arquitectónico, un espacio de "plaza de encuentro" en el antejardín, considerando la necesidad de acoger a padres y apoderados y a la comunidad en torno al Jardín Infantil </t>
  </si>
  <si>
    <t>Criterios generales</t>
  </si>
  <si>
    <t>Se sugiere en la medida de lo posible dar soluciones arquitectónicas para responder a posibles actos vandálicos.</t>
  </si>
  <si>
    <t xml:space="preserve">Los cierros y/o bordes del patio deben ser seguros para los párvulos y no trepables, de una altura mínima 1.80 m </t>
  </si>
  <si>
    <t>Todas las luminarias deben considerar equipos eficientes, de ahorro de energía y de encendido inmediato.</t>
  </si>
  <si>
    <t>El índice de reproducción cromática en recintos de aprendizaje debe ser superior a 80.</t>
  </si>
  <si>
    <t>Evacuación Aguas lluvia</t>
  </si>
  <si>
    <t xml:space="preserve">Se debe incorporar en los proyectos sanitarios el sistema de recolección y evacuación de aguas lluvia. </t>
  </si>
  <si>
    <t>Reutilización de Aguas Lluvia</t>
  </si>
  <si>
    <t>En aquellas zonas geográficas con pluviometrías que permitan recolectar el agua lluvia se sugiere la instalación de estanques de recolección para su uso en el riego de huerto, invernadero y/o patio de juegos.</t>
  </si>
  <si>
    <t>Deberán contemplarse dos redes de gas independientes en suministro y artefactos:
1- Red para servicios de alimentación concesionados, Cocina General, Cocina de Leche y Baño Personal Manipulador.
2- Red para servicios de la Sala Cuna y Jardín Infantil: Tinetas, Bañeras, Baño Personal Auxiliar y lavamanos en regiones de Aysén y Magallanes.</t>
  </si>
  <si>
    <t>En general se debe privilegiar el uso de colores claros para el máximo aprovechamiento de la iluminación natural</t>
  </si>
  <si>
    <t>Considerar extintores según normativa</t>
  </si>
  <si>
    <t>LENGUAJE ARQUITECTÓNICO</t>
  </si>
  <si>
    <t xml:space="preserve">RELACIÓN ENTORNO CERCANO Y LUGAR </t>
  </si>
  <si>
    <t>En zonas climáticas templadas la disposición del programa podrá ser disgregada para mayor confort térmico.</t>
  </si>
  <si>
    <t>Expresión</t>
  </si>
  <si>
    <t xml:space="preserve">En antejardín se debe disponer Asta de Bandera </t>
  </si>
  <si>
    <t>Volumetría</t>
  </si>
  <si>
    <t>Simple y esencial. La forma responde a la función y a los requerimientos de los niños y niñas.</t>
  </si>
  <si>
    <t>Mínima. No debe considerar ornamentos innecesarios ni seguir con un "estilo" ya que se busca trascender a una tendencia temporal.</t>
  </si>
  <si>
    <t xml:space="preserve">Legible. El diseño debe ser claro, fácil de entender y comprender por los niños y niñas. </t>
  </si>
  <si>
    <t>Función</t>
  </si>
  <si>
    <t>Confortable y seguro. El diseño debe invitar, sostener y acoger a los niños y niñas.</t>
  </si>
  <si>
    <t>Respetuoso con el medio ambiente. Tanto en su materialidad como en su proceso constructivo y su permanencia en el tiempo.</t>
  </si>
  <si>
    <t>Diseño discreto, mesurado y considerando la escala del niño en todos los aspectos.</t>
  </si>
  <si>
    <t>DISTRIBUCIÓN PROGRAMÁTICA EN EL TERRENO</t>
  </si>
  <si>
    <t>CODIGO DE RECINTO</t>
  </si>
  <si>
    <t>NOMBRE</t>
  </si>
  <si>
    <t>SUPERFICIE</t>
  </si>
  <si>
    <t>INDICADORES</t>
  </si>
  <si>
    <t>TEMA</t>
  </si>
  <si>
    <t>SUB-TEMA</t>
  </si>
  <si>
    <t>DESCRIPCIÓN</t>
  </si>
  <si>
    <t>Se establecen dos tipos de programas: 
1) FIJO: Corresponde a los recintos del área del aprendizaje. Las dimensiones, proporciones, relaciones y características de sus volúmenes deben seguir los lineamientos establecidos y estandarizados en el presente documento. La variación asociada a clima y lugar deberá ser acogida por la envolvente y el emplazamiento.
2) VARIABLE: Corresponde al área administrativa y de servicio. Estos volúmenes podrán adaptarse al terreno, condiciones específicas del entorno y son los encargados de recoger el espíritu del lugar y vincularse con éste. Lo anterior incluye la fachada, antejardín y cierros perimetrales, los que deben conformarse en una unidad armónica.</t>
  </si>
  <si>
    <t>En zonas climáticas frías el programa debe tender a formar un volumen único para facilitar el control de la temperatura y ahorro de energía.</t>
  </si>
  <si>
    <t>Debe diseñarse un plan de evacuación. Este incorporará señalética de escape legible tanto para adultos como niños y niñas. Adicionalmente se dispondrá de planos de evacuación por cada recinto de uso y transito de párvulos y lactantes.</t>
  </si>
  <si>
    <t xml:space="preserve">Se debe poner especial énfasis en la selección de la temperatura de color de la luz artificial, considerando una luz más neutra en espacios que requieran de mayor concentración y una luz más cálida en espacios en donde se requiera un efecto relajante. La luz blanca fría sólo se utilizará en recintos de servicio como las cocinas y bodegas. </t>
  </si>
  <si>
    <t>CAPACIDAD ESTABLECIMIENTO:</t>
  </si>
  <si>
    <t>Altura media sugerida mínima piso-cielo: 2.50 m desde NPT</t>
  </si>
  <si>
    <t>Considerar materiales con absorción acústica</t>
  </si>
  <si>
    <t>RELACIONES ESPACIALES Y 
PROGRAMÁTICAS</t>
  </si>
  <si>
    <t>RELACIONES ESPACIALES Y
 PROGRAMÁTICAS</t>
  </si>
  <si>
    <t>Disposición de mobiliario permite desplazamiento y giro 
de una silla de ruedas</t>
  </si>
  <si>
    <r>
      <t xml:space="preserve">EQUIPAMIENTO COMPARTIDO
</t>
    </r>
    <r>
      <rPr>
        <sz val="11"/>
        <color theme="1"/>
        <rFont val="Calibri"/>
        <family val="2"/>
        <scheme val="minor"/>
      </rPr>
      <t>Se ubica en área compartida por cocina párvulos y sala cuna</t>
    </r>
  </si>
  <si>
    <t>Su emplazamiento no debe obstruir el espacio 
de circulación</t>
  </si>
  <si>
    <t>RECOMENDACIÓN 
META JUNJI</t>
  </si>
  <si>
    <t>MINSAL + DS 548 ART.4</t>
  </si>
  <si>
    <t>DS 548 ART. 4</t>
  </si>
  <si>
    <t>MINSAL + DS 548 ART. 4</t>
  </si>
  <si>
    <t xml:space="preserve">DS 548 Art. 4 </t>
  </si>
  <si>
    <t>DS 298 Art 5 MINSAL + DS 548 ART. 4</t>
  </si>
  <si>
    <t>DS 298 Art 5 MINSAL + DS 548 ART.4</t>
  </si>
  <si>
    <t>DS 298 Art 5 MINSAL</t>
  </si>
  <si>
    <t>DS 298 Art 5 MINSAL +DS 548</t>
  </si>
  <si>
    <t>Emplazamiento</t>
  </si>
  <si>
    <t xml:space="preserve">DS 548 Art. 3 MINEDUC </t>
  </si>
  <si>
    <t xml:space="preserve">Ley 20.599 REGULA LA INSTALACIÓN DE ANTENAS EMISORAS Y TRANSMISORAS DE SERVICIOS DE TELECOMUNICACIONES
</t>
  </si>
  <si>
    <t>RECOMENDACIÓN  META JUNJI</t>
  </si>
  <si>
    <t>RECOMENDACIÓN META JUNJI</t>
  </si>
  <si>
    <t>JUNJI-OGUC Art. 4.5.9</t>
  </si>
  <si>
    <t>Revisar lo del Asiento</t>
  </si>
  <si>
    <t>RIDAA Art. 53-a)</t>
  </si>
  <si>
    <t xml:space="preserve">Considerar red húmeda de acuerdo a normativa. </t>
  </si>
  <si>
    <t>JUNJI- DS 548-Art.5</t>
  </si>
  <si>
    <t xml:space="preserve"> O.G.U.C. Art. 4.5.5 Cap. 5</t>
  </si>
  <si>
    <t xml:space="preserve"> O.G.U.C. Art. 4.5.13</t>
  </si>
  <si>
    <t xml:space="preserve"> O.G.U.C.  Art. 4.5.13
JUNJI
Art. 9. 3 DS 548 MINEDUC</t>
  </si>
  <si>
    <t xml:space="preserve"> O.G.U.C. - DS 548</t>
  </si>
  <si>
    <t>O.G.U.C. Art. 4.5.13   
JUNJI</t>
  </si>
  <si>
    <t>JUNJI-DS 548</t>
  </si>
  <si>
    <t>JUNJI - OGUC</t>
  </si>
  <si>
    <t>RECOMMETA JUNJI</t>
  </si>
  <si>
    <t>MINSAL 289 Art.13</t>
  </si>
  <si>
    <t>RECOMENDACIÓN JUNJI</t>
  </si>
  <si>
    <t>Mínimo 1 hoja abatible en el sentido de la evacuación.  
1 hoja, 0,90 m ancho libre</t>
  </si>
  <si>
    <t>1 hoja, 0,90 m ancho libre con abatimiento en sentido de la evacuación.</t>
  </si>
  <si>
    <t xml:space="preserve">DS.548 Art. 9- Numeral 7.d) -META JUNJI
</t>
  </si>
  <si>
    <t>1,30 m  ancho libre  en 2 hojas, 1 abatible hoja 0,90 m y una fija/abatible de 0,40m.</t>
  </si>
  <si>
    <t>RECOMENDACIÓN JUNJI- OGUC</t>
  </si>
  <si>
    <t>180 lux</t>
  </si>
  <si>
    <t>DS 548 Art. 9. 3 DS 548 MINEDUC</t>
  </si>
  <si>
    <t>DS 548 Art. 7  MINEDUC</t>
  </si>
  <si>
    <t>SALA DE EXPANSIÓN SALA CUNA</t>
  </si>
  <si>
    <t>v</t>
  </si>
  <si>
    <t>RECOMENDACIÓN  JUNJI</t>
  </si>
  <si>
    <t xml:space="preserve">DS.548 MINEDUC
</t>
  </si>
  <si>
    <t xml:space="preserve">Puerta  1 hoja, abatible hoja 90 cm . </t>
  </si>
  <si>
    <t>300 lux mínimo</t>
  </si>
  <si>
    <t>SALA DE HABITOS HIGIÉNICOS</t>
  </si>
  <si>
    <t>Puerta de escape de ancho libre mínimo 0,90 m</t>
  </si>
  <si>
    <t>Puerta de escape de 1 hoja,  ancho libre mínimo  0,90 m</t>
  </si>
  <si>
    <t xml:space="preserve">OGUC Art 4.5.5,  </t>
  </si>
  <si>
    <t>Closet para material de uso exclusivo Sala de Expansión. 2,00x2,00x0,40 m mínimo</t>
  </si>
  <si>
    <t>MINEDUC + META JUNJI</t>
  </si>
  <si>
    <t>La disposición del mobiliario deberá permitir la circulación de una persona en silla de ruedas.</t>
  </si>
  <si>
    <t>RECOMENDACIÓN META JUNJI - ONEMI</t>
  </si>
  <si>
    <t xml:space="preserve">1 hoja. Ancho libre de 0,90 m;Abatimiento interior </t>
  </si>
  <si>
    <t xml:space="preserve">FRIGOBAR </t>
  </si>
  <si>
    <t>Instalado bajo meson</t>
  </si>
  <si>
    <t>instalado al final del flujo.</t>
  </si>
  <si>
    <t xml:space="preserve"> RECOMENDACIÓN JUNJI</t>
  </si>
  <si>
    <t>1 Hoja, Ancho libre de 0,90 m</t>
  </si>
  <si>
    <t xml:space="preserve"> SEC</t>
  </si>
  <si>
    <t>1 Hoja, Ancho libre 0,90 m</t>
  </si>
  <si>
    <t>DTO  594 MINSAL</t>
  </si>
  <si>
    <t xml:space="preserve">DTO  594 MINSAL </t>
  </si>
  <si>
    <t>MINSAL</t>
  </si>
  <si>
    <t>bvb</t>
  </si>
  <si>
    <t>DS 977 MINSAL</t>
  </si>
  <si>
    <t xml:space="preserve">DS 977 MINSAL </t>
  </si>
  <si>
    <t xml:space="preserve"> DS 594 MINSAL</t>
  </si>
  <si>
    <t>DS 977 DEL MINSAL</t>
  </si>
  <si>
    <t xml:space="preserve"> DS 977 MINSAL</t>
  </si>
  <si>
    <t>DS 548 MINEDUC/ DS 289 MINSAL</t>
  </si>
  <si>
    <t xml:space="preserve"> DS 977 DEL MINSAL</t>
  </si>
  <si>
    <t>DS 548 MINEDUC</t>
  </si>
  <si>
    <t>DS 289 MINSAL</t>
  </si>
  <si>
    <t>Todas las circulaciones serán cerradas perimetralmente en locales ubicados en las siguientes zonas geográficas:
andina, central interior al sur de los ríos Ñuble e Itata,
sur litoral, sur interior y sur extrema.</t>
  </si>
  <si>
    <t xml:space="preserve">OGUC </t>
  </si>
  <si>
    <t>DS 458 MINEDUC</t>
  </si>
  <si>
    <t>Esta puerta debe distar de la puerta de acceso a lo menos 5 m.</t>
  </si>
  <si>
    <t>LAVAPLATOS SIMPLE INDUSTRIAL</t>
  </si>
  <si>
    <t>1,40 m X 0,60 m; Acero inoxidable</t>
  </si>
  <si>
    <t>Perchero adosado al muro con 24 ganchos individuales; altura de  colocación 0.90 m, del NPT</t>
  </si>
  <si>
    <t>REFRIGERADOR 310 lt</t>
  </si>
  <si>
    <t>REFRIGERADOR 420 lt</t>
  </si>
  <si>
    <t>CONGELADOR 100-120 lt</t>
  </si>
  <si>
    <t>Congelador horizontal; 0,80 X 0,60 X 0,85 m</t>
  </si>
  <si>
    <t>Congelador horizontal; 1,00 X 0,65 X 0,90 m</t>
  </si>
  <si>
    <t>Refrigerador doméstico; 0,60 X 0,70 X 1,80 m</t>
  </si>
  <si>
    <t>Refrigerador Industrial; 0,70 X 0,70 X 1,90 m</t>
  </si>
  <si>
    <t>CONGELADOR 180-200 lt</t>
  </si>
  <si>
    <t>La distribución interior debe asegurar que el recorrido de los alimentos ya preparados no sea a través de las áreas sucias (área de lavado)</t>
  </si>
  <si>
    <t>Ancho libre 0,90 m mínimo; 1 hoja.</t>
  </si>
  <si>
    <t>Espejos laterales a Mudadores, 0,80 m x 0,30 m, con marco aluminio</t>
  </si>
  <si>
    <t>LAVAMANOS PÁRVULOS</t>
  </si>
  <si>
    <t>GRIFERIA LAVAMANOS PÁRVULOS</t>
  </si>
  <si>
    <t>Agua fría y caliente en todos los artefactos</t>
  </si>
  <si>
    <t>Agua fría y caliente en lavadero pinceles</t>
  </si>
  <si>
    <t>Agua Fría y caliente en Lavacopas</t>
  </si>
  <si>
    <t>Agua Fría y Caliente en lavamanos</t>
  </si>
  <si>
    <t>Agua fría y caliente en lavamanos y ducha higiénica</t>
  </si>
  <si>
    <t>Agua fría y caliente en lavamanos</t>
  </si>
  <si>
    <t>Agua fría y caliente en ducha y lavamanos</t>
  </si>
  <si>
    <t>Agua fría y caliente.</t>
  </si>
  <si>
    <t>Se deben separar las áreas de uso y transito de niños de aquellas áreas de estacionamientos y de servicio. Se debe privilegiar soluciones arquitectónicas o muros vegetales a rejas.</t>
  </si>
  <si>
    <t>Agua fría y caliente en lavarropas</t>
  </si>
  <si>
    <t xml:space="preserve">Puertas </t>
  </si>
  <si>
    <t>Corresponde a un área de aprendizaje, cuya actividad esencial es la recreación, que permite el desarrollo de potencialidades y aprendizaje de conceptos pedagógicos en lactantes y párvulos, estimulando la psicomotricidad y liberando  energías que llevan al desarrollo de una vida sana.</t>
  </si>
  <si>
    <t>Modificado 10-09-14</t>
  </si>
  <si>
    <t>FICHAS TIPO</t>
  </si>
  <si>
    <t>Corregido 09/10</t>
  </si>
  <si>
    <t>Ancho terreno (considera distanciamientos de 3m y 1,4m) (m)</t>
  </si>
  <si>
    <t>Largo terreno (considera distanciamiento y antejardín de 3m) (m)</t>
  </si>
  <si>
    <t>Considerar llave de bola a muro (fría y caliente)</t>
  </si>
  <si>
    <t>Corregido 21/10/14</t>
  </si>
  <si>
    <t>Lavamanos sin pedestal instalado a 0,60 m del NPT</t>
  </si>
  <si>
    <t>CORREGIDO 21/10/14</t>
  </si>
  <si>
    <t>Lavamanos sin pedestal instalado a 0,75 m del NPT</t>
  </si>
  <si>
    <t>CORREGIDO 21/10/13</t>
  </si>
  <si>
    <t>Nombre Corregido 21/10</t>
  </si>
  <si>
    <t>CRITERIOS DE REDUCCIÓN</t>
  </si>
  <si>
    <t>2 PISOS / REQUIERE ELEVADOR O SIMILAR</t>
  </si>
  <si>
    <t>SIN REDUCCIÓN</t>
  </si>
  <si>
    <t>PISOS:</t>
  </si>
  <si>
    <t>1 hoja Ancho libre 0,90 m con abatimiento en sentido de la evacuación.</t>
  </si>
  <si>
    <t>SUPERFICIE 2° PISO</t>
  </si>
  <si>
    <t xml:space="preserve">SALA DE MUDAS Y HH.HH </t>
  </si>
  <si>
    <t>SUPERFICIE PATIO INTERIOR PROPUESTO (Patio General) (m2)</t>
  </si>
  <si>
    <t>LLENAR SEGÚN REQUERIMIENTOS DE REDUCCIÓN</t>
  </si>
  <si>
    <t>INDICAR REGIÓN</t>
  </si>
  <si>
    <t>Elegir de menú desplegable en celdas amarillas</t>
  </si>
  <si>
    <t>SUPERFICIE 1er PISO</t>
  </si>
  <si>
    <t>BAÑO PERSONAL</t>
  </si>
  <si>
    <t>OBS. JUNJI</t>
  </si>
  <si>
    <t>CONSOLIDADO</t>
  </si>
  <si>
    <t>OBS. INTEGRA</t>
  </si>
  <si>
    <t>Reponer Sala de Expansión Sala Cuna</t>
  </si>
  <si>
    <t>Se incorpora este recinto en 2° piso siempre que la capacidad sea superior a 1+1</t>
  </si>
  <si>
    <t>Considerar una Of. Adm. adicional para capacidades mayores a 1+1</t>
  </si>
  <si>
    <t>Cambiar el nombre a Sala multiuso. Integra lo utilizará como Comedor.</t>
  </si>
  <si>
    <t>Cambiar el nombre a Sala multiuso. Integra usará como Sala Docente.</t>
  </si>
  <si>
    <t>Todas las bodegas debiesen juntarse en un solo recinto (2.11;2.12;3.6 y 3.7)</t>
  </si>
  <si>
    <t>Se acoge observación JUNJI y aumenta superficie.</t>
  </si>
  <si>
    <t xml:space="preserve">Se acoge observación JUNJI y se aumenta superficie. </t>
  </si>
  <si>
    <t>Se acoge observación INTEGRA y se denomina Baño personal con Ducha, considerando 2 recintos para uso indistinto según requerimientos de cada institución y proyecto.</t>
  </si>
  <si>
    <t>Cambiar el nombre a Baño Personal.</t>
  </si>
  <si>
    <t xml:space="preserve">Se incorpora área para elevador </t>
  </si>
  <si>
    <t>Revisar los metrajes ya que son restrictivos y podrían no ser viables.</t>
  </si>
  <si>
    <t>Se agrega 1 recinto siempre.</t>
  </si>
  <si>
    <t>Se distribuyen recintos en 2 pisos y considera área para elevador.</t>
  </si>
  <si>
    <t>SUPERFICIE MÍNIMA DE TERRENO DE ACUERDO A DECRETO 1574/71; APRUEBA REGLAMENTO DE LA LEY 17.301, QUE CREA LA JUNTA NACIONAL DE JARDINES INFANTILES; Artículo 47, letra A; a):La superficie mínima de terreno para la instalación de jardines infantiles será de quince (15) metros cuadrados por niño, en caso de construcción en un piso y de trece (13) metros cuadrados por niño en edificaciones de dos pisos.</t>
  </si>
  <si>
    <t>Este recinto es de uso exclusivo de amamantamiento y no de control salud por lo que no requiere mayor superficie.</t>
  </si>
  <si>
    <t>Se modifica nombre para dar uso según requerimiento de cada institución.</t>
  </si>
  <si>
    <r>
      <t xml:space="preserve">SALA MULTIUSO 2  </t>
    </r>
    <r>
      <rPr>
        <sz val="11"/>
        <color theme="0" tint="-0.499984740745262"/>
        <rFont val="Calibri"/>
        <family val="2"/>
        <scheme val="minor"/>
      </rPr>
      <t>(Comunitaria)</t>
    </r>
  </si>
  <si>
    <r>
      <t xml:space="preserve">SALA MULTIUSO 1  </t>
    </r>
    <r>
      <rPr>
        <sz val="11"/>
        <color theme="0" tint="-0.499984740745262"/>
        <rFont val="Calibri"/>
        <family val="2"/>
        <scheme val="minor"/>
      </rPr>
      <t>(Docente)</t>
    </r>
  </si>
  <si>
    <t>No se acoge aumento ya que la superficie es casi la misma.</t>
  </si>
  <si>
    <t>Se acoge observación.</t>
  </si>
  <si>
    <t>Se acoge disminución de superficie.</t>
  </si>
  <si>
    <t>No se acoge observación.</t>
  </si>
  <si>
    <t>BAÑO PERSONAL MANIPULADORAS</t>
  </si>
  <si>
    <t>Se reducen patios a mínimo normativo.</t>
  </si>
  <si>
    <t>REDUCCIÓN PATIOS</t>
  </si>
  <si>
    <r>
      <rPr>
        <b/>
        <sz val="36"/>
        <color theme="1"/>
        <rFont val="Calibri"/>
        <family val="2"/>
        <scheme val="minor"/>
      </rPr>
      <t>5</t>
    </r>
    <r>
      <rPr>
        <b/>
        <sz val="11"/>
        <color theme="1"/>
        <rFont val="Calibri"/>
        <family val="2"/>
        <scheme val="minor"/>
      </rPr>
      <t xml:space="preserve"> Áreas Cubiertas</t>
    </r>
  </si>
  <si>
    <t>INDICAR N° DE NIVELES SALA CUNA</t>
  </si>
  <si>
    <t>INDICAR N° DE NIVELES MEDIO</t>
  </si>
  <si>
    <t>No puede constituirse en servidumbre de paso, a excepción de Sala de Mudas y Sala de Expansión</t>
  </si>
  <si>
    <t>DISTRIBUCIÓN SUGERIDA</t>
  </si>
  <si>
    <t>SUPERFICIE TERRENO REFERENCIAL</t>
  </si>
  <si>
    <t>1 S. EXP. CADA 2 S. ACT.</t>
  </si>
  <si>
    <t>1 OFICINA SOBRE 1+1</t>
  </si>
  <si>
    <r>
      <t xml:space="preserve">OFICINA 1 </t>
    </r>
    <r>
      <rPr>
        <sz val="11"/>
        <color theme="0" tint="-0.499984740745262"/>
        <rFont val="Calibri"/>
        <family val="2"/>
        <scheme val="minor"/>
      </rPr>
      <t>(Dirección)</t>
    </r>
  </si>
  <si>
    <r>
      <t>OFICINA 2</t>
    </r>
    <r>
      <rPr>
        <sz val="11"/>
        <color theme="0" tint="-0.499984740745262"/>
        <rFont val="Calibri"/>
        <family val="2"/>
        <scheme val="minor"/>
      </rPr>
      <t xml:space="preserve"> (Educadoras o Adm.)</t>
    </r>
  </si>
  <si>
    <t>CARACTERIZACIÓN INCLUYE EQUIPAMIENTO</t>
  </si>
  <si>
    <t>EN 2 PISOS SE ADICIONA 1M2 PARA CONTROL SALUD EN 2°PISO</t>
  </si>
  <si>
    <t>SE INCORPORA EN 1+1 EN 2 PISOS</t>
  </si>
  <si>
    <t>EN 2° PISO SOLO EN TERRENOS MÍNIMOS</t>
  </si>
  <si>
    <r>
      <t xml:space="preserve">BODEGA DE ALIMENTOS 1 </t>
    </r>
    <r>
      <rPr>
        <sz val="11"/>
        <color theme="0" tint="-0.499984740745262"/>
        <rFont val="Calibri"/>
        <family val="2"/>
        <scheme val="minor"/>
      </rPr>
      <t>(No Perecibles y Refrigerados)</t>
    </r>
  </si>
  <si>
    <r>
      <t xml:space="preserve">BODEGA DE ALIMENTOS 2 </t>
    </r>
    <r>
      <rPr>
        <sz val="11"/>
        <color theme="0" tint="-0.499984740745262"/>
        <rFont val="Calibri"/>
        <family val="2"/>
        <scheme val="minor"/>
      </rPr>
      <t>(Perecibles)</t>
    </r>
  </si>
  <si>
    <r>
      <t>BODEGA ASEO 1</t>
    </r>
    <r>
      <rPr>
        <sz val="11"/>
        <color theme="0" tint="-0.499984740745262"/>
        <rFont val="Calibri"/>
        <family val="2"/>
        <scheme val="minor"/>
      </rPr>
      <t xml:space="preserve"> (Unidad de Alimentación)</t>
    </r>
  </si>
  <si>
    <r>
      <t xml:space="preserve">BODEGA ASEO 2 </t>
    </r>
    <r>
      <rPr>
        <sz val="11"/>
        <color theme="0" tint="-0.499984740745262"/>
        <rFont val="Calibri"/>
        <family val="2"/>
        <scheme val="minor"/>
      </rPr>
      <t>(General)</t>
    </r>
  </si>
  <si>
    <r>
      <t xml:space="preserve">BAÑO PERSONAL C/ DUCHA 2 </t>
    </r>
    <r>
      <rPr>
        <sz val="11"/>
        <color theme="0" tint="-0.499984740745262"/>
        <rFont val="Calibri"/>
        <family val="2"/>
        <scheme val="minor"/>
      </rPr>
      <t>(General)</t>
    </r>
  </si>
  <si>
    <r>
      <t xml:space="preserve">BAÑO PERSONAL C/ DUCHA 1  </t>
    </r>
    <r>
      <rPr>
        <sz val="11"/>
        <color theme="0" tint="-0.499984740745262"/>
        <rFont val="Calibri"/>
        <family val="2"/>
        <scheme val="minor"/>
      </rPr>
      <t>(Unidad de Alimentación)</t>
    </r>
  </si>
  <si>
    <t>SE SEPARA POR INSTALACION GAS/ JUNJI - CONCESIONARIO</t>
  </si>
  <si>
    <t>SE CORRIGE  90 CADA 30 PARV. Y 60 CADA 20 LACT.</t>
  </si>
  <si>
    <r>
      <t>PATIO CERRADO</t>
    </r>
    <r>
      <rPr>
        <sz val="11"/>
        <color theme="0" tint="-0.499984740745262"/>
        <rFont val="Calibri"/>
        <family val="2"/>
        <scheme val="minor"/>
      </rPr>
      <t xml:space="preserve"> (Cubierto y cerrado perimetralmente)</t>
    </r>
  </si>
  <si>
    <t>SE ACLARA NOMBRE</t>
  </si>
  <si>
    <r>
      <t>PATIO CUBIERTO</t>
    </r>
    <r>
      <rPr>
        <sz val="11"/>
        <color theme="0" tint="-0.499984740745262"/>
        <rFont val="Calibri"/>
        <family val="2"/>
        <scheme val="minor"/>
      </rPr>
      <t xml:space="preserve"> (Cubierto y abierto perimetralmente)</t>
    </r>
  </si>
  <si>
    <t>3 M2 PARA 1+1, 5 M2 PARA 2+2, 7 M2 PARA 3+3 / en área servicio</t>
  </si>
  <si>
    <t>3.9</t>
  </si>
  <si>
    <t>BODEGA GENERAL*</t>
  </si>
  <si>
    <t>SE ACLARA FLEXIBILIDAD EN NUMERO DE RECINTOS *</t>
  </si>
  <si>
    <r>
      <t>ÁREA ELEVADOR</t>
    </r>
    <r>
      <rPr>
        <sz val="11"/>
        <color theme="0" tint="-0.499984740745262"/>
        <rFont val="Calibri"/>
        <family val="2"/>
        <scheme val="minor"/>
      </rPr>
      <t xml:space="preserve"> (En 2 pisos. 1,8 m x 1,8 m)</t>
    </r>
  </si>
  <si>
    <t xml:space="preserve">Superficie de muros </t>
  </si>
  <si>
    <t>Considerar equipos fluorescentes compactos, herméticos (IP44 o superior) sobrepuestos en cielo</t>
  </si>
  <si>
    <t>Equipos de iluminación fluorescente compacto sobrepuestos en cielo o Equipo LED tipo palmeta.</t>
  </si>
  <si>
    <t>Equipos de iluminación fluorescente compacto sobrepuestos en cielo</t>
  </si>
  <si>
    <t>Equipo de iluminación fluorescente compacto sobrepuestos en cielo</t>
  </si>
  <si>
    <t xml:space="preserve">Las puertas de recintos docentes en donde se señale requerimiento de apertura hacia el exterior, no deben obstaculizar la circulación. La solución de apertura en 180° no es permitida por no evitar posibles golpes a quienes se encuentren en el exterior del recinto. Se sugiere retranquear puertas u otra solución arquitectónica similar. </t>
  </si>
  <si>
    <t>DS 594 Minal Art.45-46-47</t>
  </si>
  <si>
    <t>No podrá emplazarse en zonas de posibles derrumbes, avalanchas, inundaciones u otras situaciones riesgosas</t>
  </si>
  <si>
    <t>No podrán emplazarse torres soporte de antenas y sistemas radiantes de transmisión de telecomunicaciones en sitios ubicados a una distancia menor a cuatro veces la altura de la torre, de los deslindes de estos establecimientos, con un mínimo de  50  m de distancia.</t>
  </si>
  <si>
    <t xml:space="preserve">PROGRAMA ARQUITECTÓNICO META </t>
  </si>
  <si>
    <t>PROGRAMA ARQUITECTÓNICO META c/ PATIO MÍNIMO
- Reduce patios a mínimo normativo</t>
  </si>
  <si>
    <t>PROGRAMA ARQUITECTÓNICO META EN 2 PISOS 
- Reduce patios a mínimo normativo
- Distribuye recintos en 2 pisos (Distribución sugerida)</t>
  </si>
  <si>
    <t xml:space="preserve">MUDADOR </t>
  </si>
  <si>
    <t>Notas:</t>
  </si>
  <si>
    <t>2.- Producto del diseño arquitectónico, la superficie total construida podrá variar hasta 15%.</t>
  </si>
  <si>
    <t>1.- El número de recintos Bodega General puede variar según diseño (punto 2.10).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</si>
</sst>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_-;\-* #,##0_-;_-* &quot;-&quot;_-;_-@_-"/>
    <numFmt numFmtId="165" formatCode="_-&quot;$&quot;\ * #,##0.00_-;\-&quot;$&quot;\ * #,##0.00_-;_-&quot;$&quot;\ * &quot;-&quot;??_-;_-@_-"/>
    <numFmt numFmtId="166" formatCode="_-* #,##0.00_-;\-* #,##0.00_-;_-* &quot;-&quot;??_-;_-@_-"/>
    <numFmt numFmtId="167" formatCode="0.0"/>
    <numFmt numFmtId="168" formatCode="#,##0.0"/>
    <numFmt numFmtId="169" formatCode="0.000"/>
    <numFmt numFmtId="170" formatCode="_-* #,##0.00_-;\-* #,##0.00_-;_-* &quot;-&quot;_-;_-@_-"/>
  </numFmts>
  <fonts count="37" x14ac:knownFonts="1">
    <font>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3" tint="-0.249977111117893"/>
      <name val="Calibri"/>
      <family val="2"/>
      <scheme val="minor"/>
    </font>
    <font>
      <b/>
      <u/>
      <sz val="11"/>
      <color theme="1"/>
      <name val="Calibri"/>
      <family val="2"/>
      <scheme val="minor"/>
    </font>
    <font>
      <sz val="11"/>
      <color rgb="FFFF0000"/>
      <name val="Calibri"/>
      <family val="2"/>
      <scheme val="minor"/>
    </font>
    <font>
      <b/>
      <i/>
      <sz val="11"/>
      <color theme="0" tint="-0.34998626667073579"/>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b/>
      <sz val="36"/>
      <color theme="1"/>
      <name val="Calibri"/>
      <family val="2"/>
      <scheme val="minor"/>
    </font>
    <font>
      <b/>
      <sz val="36"/>
      <name val="Calibri"/>
      <family val="2"/>
      <scheme val="minor"/>
    </font>
    <font>
      <b/>
      <sz val="20"/>
      <color theme="1"/>
      <name val="Calibri"/>
      <family val="2"/>
      <scheme val="minor"/>
    </font>
    <font>
      <b/>
      <sz val="18"/>
      <color theme="1"/>
      <name val="Calibri"/>
      <family val="2"/>
      <scheme val="minor"/>
    </font>
    <font>
      <b/>
      <sz val="28"/>
      <color theme="1"/>
      <name val="Calibri"/>
      <family val="2"/>
      <scheme val="minor"/>
    </font>
    <font>
      <sz val="11"/>
      <color theme="1"/>
      <name val="Calibri"/>
      <family val="2"/>
      <scheme val="minor"/>
    </font>
    <font>
      <sz val="10.5"/>
      <color theme="1"/>
      <name val="Calibri"/>
      <family val="2"/>
    </font>
    <font>
      <sz val="11"/>
      <color theme="1"/>
      <name val="Calibri"/>
      <family val="2"/>
    </font>
    <font>
      <b/>
      <i/>
      <sz val="11"/>
      <color theme="1"/>
      <name val="Calibri"/>
      <family val="2"/>
      <scheme val="minor"/>
    </font>
    <font>
      <b/>
      <sz val="11"/>
      <color rgb="FFFF0000"/>
      <name val="Calibri"/>
      <family val="2"/>
      <scheme val="minor"/>
    </font>
    <font>
      <sz val="11"/>
      <color rgb="FF303030"/>
      <name val="Calibri"/>
      <family val="2"/>
      <scheme val="minor"/>
    </font>
    <font>
      <b/>
      <sz val="24"/>
      <color theme="1"/>
      <name val="Calibri"/>
      <family val="2"/>
      <scheme val="minor"/>
    </font>
    <font>
      <b/>
      <sz val="16"/>
      <color theme="1"/>
      <name val="Calibri"/>
      <family val="2"/>
      <scheme val="minor"/>
    </font>
    <font>
      <b/>
      <sz val="16"/>
      <name val="Calibri"/>
      <family val="2"/>
      <scheme val="minor"/>
    </font>
    <font>
      <sz val="16"/>
      <color theme="1"/>
      <name val="Calibri"/>
      <family val="2"/>
      <scheme val="minor"/>
    </font>
    <font>
      <strike/>
      <sz val="11"/>
      <color theme="1"/>
      <name val="Calibri"/>
      <family val="2"/>
      <scheme val="minor"/>
    </font>
    <font>
      <b/>
      <sz val="14"/>
      <name val="Calibri"/>
      <family val="2"/>
      <scheme val="minor"/>
    </font>
    <font>
      <b/>
      <sz val="11"/>
      <color theme="0" tint="-0.34998626667073579"/>
      <name val="Calibri"/>
      <family val="2"/>
      <scheme val="minor"/>
    </font>
    <font>
      <sz val="11"/>
      <color theme="0" tint="-0.499984740745262"/>
      <name val="Calibri"/>
      <family val="2"/>
      <scheme val="minor"/>
    </font>
    <font>
      <b/>
      <sz val="10"/>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00B0F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00000"/>
        <bgColor indexed="64"/>
      </patternFill>
    </fill>
    <fill>
      <patternFill patternType="solid">
        <fgColor rgb="FFFCF1A2"/>
        <bgColor indexed="64"/>
      </patternFill>
    </fill>
    <fill>
      <patternFill patternType="solid">
        <fgColor rgb="FF92D050"/>
        <bgColor indexed="64"/>
      </patternFill>
    </fill>
  </fills>
  <borders count="8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medium">
        <color auto="1"/>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style="thin">
        <color auto="1"/>
      </right>
      <top/>
      <bottom/>
      <diagonal/>
    </border>
    <border>
      <left style="thin">
        <color auto="1"/>
      </left>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style="medium">
        <color auto="1"/>
      </right>
      <top style="thin">
        <color auto="1"/>
      </top>
      <bottom style="thin">
        <color auto="1"/>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bottom/>
      <diagonal/>
    </border>
    <border>
      <left style="medium">
        <color auto="1"/>
      </left>
      <right style="medium">
        <color auto="1"/>
      </right>
      <top style="thin">
        <color auto="1"/>
      </top>
      <bottom/>
      <diagonal/>
    </border>
    <border>
      <left style="thin">
        <color auto="1"/>
      </left>
      <right style="thin">
        <color auto="1"/>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s>
  <cellStyleXfs count="5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5" fontId="22" fillId="0" borderId="0" applyFont="0" applyFill="0" applyBorder="0" applyAlignment="0" applyProtection="0"/>
    <xf numFmtId="166" fontId="22" fillId="0" borderId="0" applyFont="0" applyFill="0" applyBorder="0" applyAlignment="0" applyProtection="0"/>
  </cellStyleXfs>
  <cellXfs count="2103">
    <xf numFmtId="0" fontId="0" fillId="0" borderId="0" xfId="0"/>
    <xf numFmtId="0" fontId="1" fillId="0" borderId="0" xfId="0" applyFont="1"/>
    <xf numFmtId="0" fontId="0" fillId="0" borderId="0" xfId="0" applyFont="1"/>
    <xf numFmtId="0" fontId="0" fillId="0" borderId="0" xfId="0" applyFont="1" applyAlignment="1">
      <alignment horizontal="left" vertical="top" wrapText="1"/>
    </xf>
    <xf numFmtId="0" fontId="5" fillId="0" borderId="0" xfId="0" applyFont="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1" xfId="0" applyFont="1" applyFill="1" applyBorder="1" applyAlignment="1">
      <alignment vertical="center"/>
    </xf>
    <xf numFmtId="2" fontId="0" fillId="0" borderId="1" xfId="0" applyNumberFormat="1" applyFont="1" applyFill="1" applyBorder="1" applyAlignment="1">
      <alignment horizontal="center" vertical="center"/>
    </xf>
    <xf numFmtId="0" fontId="0" fillId="0" borderId="5" xfId="0" applyFont="1" applyFill="1" applyBorder="1" applyAlignment="1">
      <alignment vertical="center"/>
    </xf>
    <xf numFmtId="0" fontId="5" fillId="0" borderId="7" xfId="0" applyFont="1" applyFill="1" applyBorder="1" applyAlignment="1">
      <alignment horizontal="right" vertical="center"/>
    </xf>
    <xf numFmtId="2" fontId="0" fillId="0" borderId="6" xfId="0" applyNumberFormat="1" applyFont="1" applyFill="1" applyBorder="1" applyAlignment="1">
      <alignment horizontal="center" vertical="center"/>
    </xf>
    <xf numFmtId="0" fontId="0" fillId="0" borderId="0" xfId="0" applyFont="1" applyFill="1" applyBorder="1" applyAlignment="1">
      <alignment vertical="center"/>
    </xf>
    <xf numFmtId="2" fontId="0" fillId="0" borderId="0" xfId="0" applyNumberFormat="1" applyFont="1" applyFill="1" applyBorder="1" applyAlignment="1">
      <alignment horizontal="center" vertical="center"/>
    </xf>
    <xf numFmtId="2" fontId="0" fillId="0" borderId="0" xfId="0" applyNumberFormat="1" applyFont="1" applyFill="1" applyAlignment="1">
      <alignment horizontal="center" vertical="center"/>
    </xf>
    <xf numFmtId="2" fontId="6" fillId="0" borderId="0" xfId="0" applyNumberFormat="1" applyFont="1" applyFill="1" applyAlignment="1">
      <alignment horizontal="center" vertical="center"/>
    </xf>
    <xf numFmtId="0" fontId="0" fillId="0" borderId="1" xfId="0" applyFont="1" applyFill="1" applyBorder="1" applyAlignment="1">
      <alignment horizontal="left" vertical="center" wrapText="1"/>
    </xf>
    <xf numFmtId="3" fontId="0" fillId="0" borderId="0" xfId="0" applyNumberFormat="1" applyFont="1"/>
    <xf numFmtId="0" fontId="6" fillId="0" borderId="0" xfId="0" applyFont="1" applyAlignment="1"/>
    <xf numFmtId="0" fontId="5" fillId="0" borderId="0" xfId="0" applyFont="1" applyFill="1" applyAlignment="1">
      <alignment vertical="center"/>
    </xf>
    <xf numFmtId="0" fontId="0" fillId="0" borderId="0" xfId="0" applyFont="1" applyFill="1" applyBorder="1" applyAlignment="1">
      <alignment horizontal="center" vertical="center" wrapText="1"/>
    </xf>
    <xf numFmtId="0" fontId="6" fillId="0" borderId="1" xfId="0" applyFont="1" applyFill="1" applyBorder="1" applyAlignment="1">
      <alignment vertical="center"/>
    </xf>
    <xf numFmtId="2" fontId="6" fillId="0" borderId="1" xfId="0" applyNumberFormat="1" applyFont="1" applyFill="1" applyBorder="1" applyAlignment="1">
      <alignment horizontal="center" vertical="center"/>
    </xf>
    <xf numFmtId="0" fontId="8" fillId="0" borderId="0" xfId="0" applyFont="1"/>
    <xf numFmtId="167" fontId="0" fillId="0" borderId="0" xfId="0" applyNumberFormat="1" applyFont="1" applyAlignment="1">
      <alignment horizontal="center" vertical="center"/>
    </xf>
    <xf numFmtId="167" fontId="0" fillId="0" borderId="0" xfId="0" applyNumberFormat="1" applyFont="1" applyAlignment="1">
      <alignment horizontal="center" vertical="center" wrapText="1"/>
    </xf>
    <xf numFmtId="0" fontId="5" fillId="0" borderId="3" xfId="0" applyFont="1" applyFill="1" applyBorder="1" applyAlignment="1">
      <alignment horizontal="right" vertical="center"/>
    </xf>
    <xf numFmtId="167" fontId="0" fillId="0" borderId="0" xfId="0" applyNumberFormat="1" applyFont="1" applyAlignment="1" applyProtection="1">
      <alignment horizontal="center" vertical="center"/>
      <protection hidden="1"/>
    </xf>
    <xf numFmtId="0" fontId="0" fillId="0" borderId="3" xfId="0" applyFont="1" applyBorder="1"/>
    <xf numFmtId="0" fontId="5" fillId="0" borderId="2" xfId="0" applyFont="1" applyFill="1" applyBorder="1" applyAlignment="1">
      <alignment horizontal="left" vertical="center"/>
    </xf>
    <xf numFmtId="2" fontId="5" fillId="2" borderId="12"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Border="1"/>
    <xf numFmtId="0" fontId="0" fillId="0" borderId="17" xfId="0" applyFont="1" applyBorder="1"/>
    <xf numFmtId="0" fontId="0" fillId="0" borderId="22" xfId="0" applyFont="1" applyBorder="1"/>
    <xf numFmtId="0" fontId="11" fillId="0" borderId="0" xfId="0" applyFont="1" applyFill="1" applyAlignment="1">
      <alignment vertical="center"/>
    </xf>
    <xf numFmtId="0" fontId="11" fillId="0" borderId="0" xfId="0" applyFont="1" applyAlignment="1">
      <alignment vertical="center"/>
    </xf>
    <xf numFmtId="167" fontId="10" fillId="0" borderId="0" xfId="0" applyNumberFormat="1" applyFont="1" applyAlignment="1">
      <alignment horizontal="center" vertical="center"/>
    </xf>
    <xf numFmtId="167" fontId="10" fillId="0" borderId="0" xfId="0" applyNumberFormat="1" applyFont="1" applyAlignment="1">
      <alignment horizontal="center" vertical="center" wrapText="1"/>
    </xf>
    <xf numFmtId="0" fontId="0" fillId="0" borderId="24" xfId="0" applyFill="1" applyBorder="1" applyAlignment="1">
      <alignment vertical="center"/>
    </xf>
    <xf numFmtId="0" fontId="0" fillId="0" borderId="16" xfId="0" applyFont="1" applyBorder="1" applyAlignment="1">
      <alignment vertical="center"/>
    </xf>
    <xf numFmtId="0" fontId="0" fillId="0" borderId="21" xfId="0" applyFont="1" applyBorder="1" applyAlignment="1">
      <alignment vertical="center"/>
    </xf>
    <xf numFmtId="0" fontId="0" fillId="0" borderId="8" xfId="0" applyFont="1" applyFill="1" applyBorder="1" applyAlignment="1">
      <alignment horizontal="center" vertical="center"/>
    </xf>
    <xf numFmtId="0" fontId="0" fillId="0" borderId="14" xfId="0" applyFont="1" applyBorder="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26" xfId="0" applyFill="1" applyBorder="1" applyAlignment="1">
      <alignment vertical="center"/>
    </xf>
    <xf numFmtId="0" fontId="0" fillId="0" borderId="7" xfId="0"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0" xfId="0" applyFont="1" applyFill="1" applyBorder="1" applyAlignment="1">
      <alignment vertical="center"/>
    </xf>
    <xf numFmtId="0" fontId="0" fillId="0" borderId="19" xfId="0" applyFont="1" applyFill="1" applyBorder="1" applyAlignment="1">
      <alignment vertical="center"/>
    </xf>
    <xf numFmtId="0" fontId="0" fillId="0" borderId="26" xfId="0" applyFont="1" applyFill="1" applyBorder="1" applyAlignment="1">
      <alignment vertical="center"/>
    </xf>
    <xf numFmtId="168" fontId="5" fillId="0" borderId="0" xfId="0" applyNumberFormat="1" applyFont="1" applyFill="1" applyBorder="1" applyAlignment="1">
      <alignment horizontal="center" vertical="center"/>
    </xf>
    <xf numFmtId="0" fontId="0" fillId="0" borderId="0" xfId="0" applyFont="1" applyFill="1"/>
    <xf numFmtId="0" fontId="5" fillId="0" borderId="0" xfId="0" applyFont="1" applyFill="1" applyBorder="1" applyAlignment="1">
      <alignment horizontal="center"/>
    </xf>
    <xf numFmtId="0" fontId="0" fillId="0" borderId="0" xfId="0" applyFont="1" applyFill="1" applyBorder="1"/>
    <xf numFmtId="2" fontId="5" fillId="0" borderId="0" xfId="0" applyNumberFormat="1" applyFont="1" applyFill="1" applyBorder="1" applyAlignment="1">
      <alignment horizontal="center" vertical="center"/>
    </xf>
    <xf numFmtId="167" fontId="7"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Fill="1"/>
    <xf numFmtId="0" fontId="5" fillId="0" borderId="7" xfId="0" applyFont="1" applyBorder="1" applyAlignment="1">
      <alignment vertical="center"/>
    </xf>
    <xf numFmtId="0" fontId="0" fillId="0" borderId="26" xfId="0" applyFont="1" applyBorder="1" applyAlignment="1">
      <alignment vertical="center"/>
    </xf>
    <xf numFmtId="0" fontId="0" fillId="0" borderId="19" xfId="0" applyFont="1" applyBorder="1" applyAlignment="1">
      <alignment vertical="center"/>
    </xf>
    <xf numFmtId="0" fontId="0" fillId="0" borderId="24" xfId="0" applyFont="1" applyBorder="1" applyAlignment="1">
      <alignment vertical="center"/>
    </xf>
    <xf numFmtId="0" fontId="5" fillId="3" borderId="2" xfId="0" applyFont="1" applyFill="1" applyBorder="1" applyAlignment="1">
      <alignment vertical="center"/>
    </xf>
    <xf numFmtId="0" fontId="5" fillId="0" borderId="0" xfId="0" applyFont="1" applyBorder="1" applyAlignment="1">
      <alignment vertical="center"/>
    </xf>
    <xf numFmtId="1" fontId="0" fillId="0" borderId="0" xfId="0" applyNumberFormat="1" applyFont="1" applyFill="1" applyBorder="1" applyAlignment="1">
      <alignment horizontal="center" vertical="center"/>
    </xf>
    <xf numFmtId="0" fontId="9" fillId="0" borderId="0" xfId="0" applyFont="1"/>
    <xf numFmtId="0" fontId="0" fillId="0" borderId="21" xfId="0" applyFont="1" applyFill="1" applyBorder="1" applyAlignment="1">
      <alignment vertical="center"/>
    </xf>
    <xf numFmtId="2" fontId="0" fillId="0" borderId="1"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5" xfId="0" applyFont="1" applyFill="1" applyBorder="1" applyAlignment="1">
      <alignment horizontal="center" vertical="center"/>
    </xf>
    <xf numFmtId="1" fontId="0" fillId="0" borderId="27" xfId="0" applyNumberFormat="1" applyFont="1" applyFill="1" applyBorder="1" applyAlignment="1">
      <alignment horizontal="center" vertical="center"/>
    </xf>
    <xf numFmtId="1" fontId="0" fillId="0" borderId="20" xfId="0" applyNumberFormat="1" applyFont="1" applyFill="1" applyBorder="1" applyAlignment="1">
      <alignment horizontal="center" vertical="center"/>
    </xf>
    <xf numFmtId="1" fontId="0" fillId="0" borderId="8" xfId="0" applyNumberFormat="1" applyFont="1" applyFill="1" applyBorder="1" applyAlignment="1">
      <alignment horizontal="center" vertical="center"/>
    </xf>
    <xf numFmtId="0" fontId="0" fillId="0" borderId="0" xfId="0" applyFill="1" applyBorder="1"/>
    <xf numFmtId="2" fontId="6" fillId="0" borderId="0" xfId="0" applyNumberFormat="1" applyFont="1" applyFill="1" applyBorder="1" applyAlignment="1">
      <alignment horizontal="center" vertical="center"/>
    </xf>
    <xf numFmtId="0" fontId="13" fillId="0" borderId="0" xfId="0" applyFont="1"/>
    <xf numFmtId="0" fontId="14" fillId="0" borderId="0" xfId="0" applyFont="1" applyAlignment="1">
      <alignment vertical="center"/>
    </xf>
    <xf numFmtId="0" fontId="12" fillId="0" borderId="0" xfId="0" applyFont="1" applyAlignment="1">
      <alignment horizontal="center" vertical="center"/>
    </xf>
    <xf numFmtId="169" fontId="6" fillId="0" borderId="0" xfId="0" applyNumberFormat="1" applyFont="1" applyAlignment="1">
      <alignment horizontal="center" vertical="center"/>
    </xf>
    <xf numFmtId="0" fontId="5" fillId="0" borderId="0" xfId="0" applyFont="1" applyFill="1" applyBorder="1" applyAlignment="1">
      <alignment horizontal="right" vertical="center"/>
    </xf>
    <xf numFmtId="0" fontId="6" fillId="0" borderId="0" xfId="0" applyFont="1" applyFill="1" applyAlignment="1"/>
    <xf numFmtId="167" fontId="0" fillId="0" borderId="0" xfId="0" applyNumberFormat="1" applyFont="1" applyFill="1" applyAlignment="1">
      <alignment horizontal="center" vertical="center"/>
    </xf>
    <xf numFmtId="0" fontId="7" fillId="0" borderId="35" xfId="0" applyFont="1" applyFill="1" applyBorder="1" applyAlignment="1">
      <alignment horizontal="righ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167" fontId="7" fillId="2" borderId="12" xfId="0" applyNumberFormat="1" applyFont="1" applyFill="1" applyBorder="1" applyAlignment="1">
      <alignment horizontal="center" vertical="center"/>
    </xf>
    <xf numFmtId="2" fontId="5" fillId="4" borderId="12" xfId="0" applyNumberFormat="1" applyFont="1" applyFill="1" applyBorder="1" applyAlignment="1">
      <alignment horizontal="center" vertical="center"/>
    </xf>
    <xf numFmtId="0" fontId="5" fillId="4" borderId="7" xfId="0" applyFont="1" applyFill="1" applyBorder="1" applyAlignment="1">
      <alignment horizontal="right" vertical="center"/>
    </xf>
    <xf numFmtId="0" fontId="5" fillId="4" borderId="3" xfId="0" applyFont="1" applyFill="1" applyBorder="1" applyAlignment="1">
      <alignment horizontal="right" vertical="center"/>
    </xf>
    <xf numFmtId="0" fontId="0" fillId="4" borderId="3" xfId="0" applyFont="1" applyFill="1" applyBorder="1"/>
    <xf numFmtId="167" fontId="7" fillId="4" borderId="12" xfId="0" applyNumberFormat="1" applyFont="1" applyFill="1" applyBorder="1" applyAlignment="1">
      <alignment horizontal="center" vertical="center"/>
    </xf>
    <xf numFmtId="0" fontId="7" fillId="4" borderId="7" xfId="0" applyFont="1" applyFill="1" applyBorder="1" applyAlignment="1">
      <alignment horizontal="right" vertical="center"/>
    </xf>
    <xf numFmtId="0" fontId="0" fillId="4" borderId="3" xfId="0" applyFont="1" applyFill="1" applyBorder="1" applyAlignment="1">
      <alignment vertical="center"/>
    </xf>
    <xf numFmtId="0" fontId="0" fillId="0" borderId="3" xfId="0" applyFont="1" applyFill="1" applyBorder="1"/>
    <xf numFmtId="0" fontId="16" fillId="0" borderId="3" xfId="0" applyFont="1" applyFill="1" applyBorder="1" applyAlignment="1">
      <alignment vertical="center"/>
    </xf>
    <xf numFmtId="0" fontId="16" fillId="0" borderId="4" xfId="0" applyFont="1" applyFill="1" applyBorder="1" applyAlignment="1">
      <alignment horizontal="center" vertical="center"/>
    </xf>
    <xf numFmtId="2" fontId="16" fillId="0" borderId="12" xfId="0" applyNumberFormat="1" applyFont="1" applyBorder="1"/>
    <xf numFmtId="0" fontId="16" fillId="0" borderId="12" xfId="0" applyFont="1" applyFill="1" applyBorder="1"/>
    <xf numFmtId="4" fontId="0" fillId="0" borderId="1" xfId="0" applyNumberFormat="1" applyFont="1" applyFill="1" applyBorder="1" applyAlignment="1">
      <alignment horizontal="center" vertical="center"/>
    </xf>
    <xf numFmtId="0" fontId="0" fillId="0" borderId="16" xfId="0" applyFont="1" applyFill="1" applyBorder="1" applyAlignment="1">
      <alignment vertical="center"/>
    </xf>
    <xf numFmtId="0" fontId="0" fillId="0" borderId="17" xfId="0" applyFont="1" applyFill="1" applyBorder="1" applyAlignment="1">
      <alignment vertical="center"/>
    </xf>
    <xf numFmtId="4" fontId="0" fillId="0" borderId="20" xfId="0" applyNumberFormat="1" applyFont="1" applyBorder="1"/>
    <xf numFmtId="9" fontId="0" fillId="0" borderId="22" xfId="0" applyNumberFormat="1" applyFont="1" applyFill="1" applyBorder="1" applyAlignment="1">
      <alignment vertical="center"/>
    </xf>
    <xf numFmtId="4" fontId="0" fillId="0" borderId="22" xfId="0" applyNumberFormat="1" applyFont="1" applyFill="1" applyBorder="1" applyAlignment="1">
      <alignment horizontal="center" vertical="center"/>
    </xf>
    <xf numFmtId="4" fontId="0" fillId="0" borderId="23" xfId="0" applyNumberFormat="1" applyFont="1" applyBorder="1"/>
    <xf numFmtId="9" fontId="0" fillId="0" borderId="3" xfId="0" applyNumberFormat="1" applyFont="1" applyFill="1" applyBorder="1" applyAlignment="1">
      <alignment vertical="center"/>
    </xf>
    <xf numFmtId="4" fontId="0" fillId="0" borderId="4" xfId="0" applyNumberFormat="1" applyFont="1" applyFill="1" applyBorder="1" applyAlignment="1">
      <alignment horizontal="center" vertical="center"/>
    </xf>
    <xf numFmtId="4" fontId="15" fillId="0" borderId="36" xfId="0" applyNumberFormat="1" applyFont="1" applyBorder="1"/>
    <xf numFmtId="4" fontId="0" fillId="0" borderId="5" xfId="0" applyNumberFormat="1" applyFont="1" applyFill="1" applyBorder="1" applyAlignment="1">
      <alignment horizontal="center" vertical="center"/>
    </xf>
    <xf numFmtId="4" fontId="0" fillId="0" borderId="25" xfId="0" applyNumberFormat="1" applyFont="1" applyBorder="1"/>
    <xf numFmtId="2" fontId="6" fillId="0" borderId="20" xfId="0" applyNumberFormat="1" applyFont="1" applyFill="1" applyBorder="1" applyAlignment="1">
      <alignment horizontal="center" vertical="center"/>
    </xf>
    <xf numFmtId="2" fontId="0" fillId="0" borderId="20" xfId="0" applyNumberFormat="1" applyFont="1" applyFill="1" applyBorder="1" applyAlignment="1">
      <alignment horizontal="center" vertical="center"/>
    </xf>
    <xf numFmtId="0" fontId="0" fillId="0" borderId="22" xfId="0" applyFont="1" applyFill="1" applyBorder="1" applyAlignment="1">
      <alignment vertical="center"/>
    </xf>
    <xf numFmtId="2" fontId="0" fillId="0" borderId="22" xfId="0" applyNumberFormat="1" applyFont="1" applyFill="1" applyBorder="1" applyAlignment="1">
      <alignment horizontal="center" vertical="center"/>
    </xf>
    <xf numFmtId="2" fontId="0" fillId="0" borderId="23" xfId="0" applyNumberFormat="1" applyFont="1" applyFill="1" applyBorder="1" applyAlignment="1">
      <alignment horizontal="center" vertical="center"/>
    </xf>
    <xf numFmtId="2" fontId="0" fillId="0" borderId="17" xfId="0" applyNumberFormat="1" applyFont="1" applyFill="1" applyBorder="1" applyAlignment="1">
      <alignment horizontal="center" vertical="center"/>
    </xf>
    <xf numFmtId="2" fontId="0" fillId="0" borderId="18" xfId="0" applyNumberFormat="1" applyFont="1" applyFill="1" applyBorder="1" applyAlignment="1">
      <alignment horizontal="center" vertical="center"/>
    </xf>
    <xf numFmtId="0" fontId="6" fillId="0" borderId="19" xfId="0" applyFont="1" applyFill="1" applyBorder="1" applyAlignment="1">
      <alignment vertical="center"/>
    </xf>
    <xf numFmtId="2" fontId="6" fillId="0" borderId="22" xfId="0" applyNumberFormat="1" applyFont="1" applyFill="1" applyBorder="1" applyAlignment="1">
      <alignment horizontal="center" vertical="center"/>
    </xf>
    <xf numFmtId="0" fontId="0" fillId="0" borderId="30" xfId="0" applyFont="1" applyFill="1" applyBorder="1" applyAlignment="1">
      <alignment horizontal="center" vertical="center"/>
    </xf>
    <xf numFmtId="167" fontId="7" fillId="2" borderId="36" xfId="0" applyNumberFormat="1" applyFont="1" applyFill="1" applyBorder="1" applyAlignment="1">
      <alignment horizontal="center" vertical="center"/>
    </xf>
    <xf numFmtId="0" fontId="0" fillId="0" borderId="16" xfId="0" applyFont="1" applyFill="1" applyBorder="1" applyAlignment="1">
      <alignment horizontal="left" vertical="center"/>
    </xf>
    <xf numFmtId="0" fontId="0" fillId="0" borderId="21" xfId="0" applyFont="1" applyFill="1" applyBorder="1" applyAlignment="1">
      <alignment horizontal="left" vertical="center"/>
    </xf>
    <xf numFmtId="0" fontId="0" fillId="0" borderId="21" xfId="0" applyFont="1" applyBorder="1"/>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9" xfId="0" applyFont="1" applyFill="1" applyBorder="1" applyAlignment="1">
      <alignment horizontal="left" vertical="center" wrapText="1"/>
    </xf>
    <xf numFmtId="2" fontId="0" fillId="0" borderId="20"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0" fontId="6" fillId="0" borderId="0" xfId="0" applyFont="1" applyAlignment="1">
      <alignment vertical="top"/>
    </xf>
    <xf numFmtId="0" fontId="6" fillId="0" borderId="0" xfId="0" applyFont="1" applyFill="1" applyAlignment="1">
      <alignment vertical="top"/>
    </xf>
    <xf numFmtId="0" fontId="12" fillId="0" borderId="0" xfId="0" applyFont="1" applyAlignment="1">
      <alignment horizontal="center" vertical="center"/>
    </xf>
    <xf numFmtId="0" fontId="5" fillId="0" borderId="0" xfId="0" applyFont="1" applyFill="1" applyBorder="1" applyAlignment="1">
      <alignment horizontal="center" vertical="center" wrapText="1"/>
    </xf>
    <xf numFmtId="167" fontId="0" fillId="0" borderId="0" xfId="0" applyNumberFormat="1" applyFont="1" applyFill="1" applyAlignment="1">
      <alignment horizontal="center" vertical="center" wrapText="1"/>
    </xf>
    <xf numFmtId="0" fontId="6" fillId="0" borderId="0" xfId="0" applyFont="1" applyAlignment="1">
      <alignment horizontal="left" vertical="top"/>
    </xf>
    <xf numFmtId="0" fontId="16" fillId="0" borderId="2" xfId="0" applyFont="1" applyFill="1" applyBorder="1" applyAlignment="1">
      <alignment vertical="center" wrapText="1"/>
    </xf>
    <xf numFmtId="0" fontId="5" fillId="0" borderId="14" xfId="0" applyFont="1" applyFill="1" applyBorder="1" applyAlignment="1">
      <alignment horizontal="right" vertical="center"/>
    </xf>
    <xf numFmtId="0" fontId="5" fillId="0" borderId="40" xfId="0" applyFont="1" applyFill="1" applyBorder="1" applyAlignment="1">
      <alignment horizontal="right" vertical="center"/>
    </xf>
    <xf numFmtId="0" fontId="0" fillId="0" borderId="40" xfId="0" applyFont="1" applyFill="1" applyBorder="1"/>
    <xf numFmtId="2" fontId="5" fillId="2" borderId="42" xfId="0" applyNumberFormat="1" applyFont="1" applyFill="1" applyBorder="1" applyAlignment="1">
      <alignment horizontal="center" vertical="center"/>
    </xf>
    <xf numFmtId="0" fontId="0" fillId="0" borderId="45" xfId="0" applyFont="1" applyFill="1" applyBorder="1" applyAlignment="1">
      <alignment vertical="center"/>
    </xf>
    <xf numFmtId="0" fontId="0" fillId="0" borderId="46" xfId="0" applyFont="1" applyFill="1" applyBorder="1" applyAlignment="1">
      <alignment vertical="center"/>
    </xf>
    <xf numFmtId="0" fontId="0" fillId="0" borderId="46" xfId="0" applyFont="1" applyBorder="1"/>
    <xf numFmtId="2" fontId="0" fillId="0" borderId="37" xfId="0" applyNumberFormat="1" applyFont="1" applyFill="1" applyBorder="1" applyAlignment="1">
      <alignment horizontal="center" vertical="center"/>
    </xf>
    <xf numFmtId="0" fontId="0" fillId="0" borderId="46" xfId="0" applyFont="1" applyFill="1" applyBorder="1" applyAlignment="1">
      <alignment horizontal="center" vertical="center"/>
    </xf>
    <xf numFmtId="0" fontId="7" fillId="0" borderId="14" xfId="0" applyFont="1" applyFill="1" applyBorder="1" applyAlignment="1">
      <alignment horizontal="right" vertical="center"/>
    </xf>
    <xf numFmtId="2" fontId="0" fillId="0" borderId="0" xfId="0" applyNumberFormat="1" applyFont="1" applyFill="1" applyBorder="1" applyAlignment="1">
      <alignment horizontal="center" vertical="center" wrapText="1"/>
    </xf>
    <xf numFmtId="0" fontId="16" fillId="0" borderId="0" xfId="0" applyFont="1" applyFill="1" applyBorder="1"/>
    <xf numFmtId="4" fontId="0" fillId="0" borderId="0" xfId="0" applyNumberFormat="1" applyFont="1" applyFill="1" applyBorder="1"/>
    <xf numFmtId="4" fontId="15" fillId="0" borderId="0" xfId="0" applyNumberFormat="1" applyFont="1" applyFill="1" applyBorder="1"/>
    <xf numFmtId="2" fontId="16" fillId="0" borderId="0" xfId="0" applyNumberFormat="1" applyFont="1" applyFill="1" applyBorder="1"/>
    <xf numFmtId="0" fontId="12" fillId="0" borderId="0"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2" fontId="6" fillId="0" borderId="19" xfId="0" applyNumberFormat="1" applyFont="1" applyFill="1" applyBorder="1" applyAlignment="1">
      <alignment horizontal="center" vertical="center"/>
    </xf>
    <xf numFmtId="2" fontId="0" fillId="0" borderId="19" xfId="0" applyNumberFormat="1" applyFont="1" applyFill="1" applyBorder="1" applyAlignment="1">
      <alignment horizontal="center" vertical="center"/>
    </xf>
    <xf numFmtId="2" fontId="6" fillId="0" borderId="21" xfId="0" applyNumberFormat="1" applyFont="1" applyFill="1" applyBorder="1" applyAlignment="1">
      <alignment horizontal="center" vertical="center"/>
    </xf>
    <xf numFmtId="2" fontId="6" fillId="0" borderId="23" xfId="0" applyNumberFormat="1" applyFont="1" applyFill="1" applyBorder="1" applyAlignment="1">
      <alignment horizontal="center" vertical="center"/>
    </xf>
    <xf numFmtId="2" fontId="6" fillId="0" borderId="7" xfId="0" applyNumberFormat="1" applyFont="1" applyFill="1" applyBorder="1" applyAlignment="1">
      <alignment horizontal="center" vertical="center"/>
    </xf>
    <xf numFmtId="2" fontId="6" fillId="0" borderId="53"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0" fillId="0" borderId="20" xfId="0" applyFont="1" applyFill="1" applyBorder="1" applyAlignment="1">
      <alignment horizontal="center" vertical="center"/>
    </xf>
    <xf numFmtId="0" fontId="0" fillId="0" borderId="11" xfId="0" applyFont="1" applyFill="1" applyBorder="1" applyAlignment="1">
      <alignment vertical="center"/>
    </xf>
    <xf numFmtId="0" fontId="0" fillId="0" borderId="32" xfId="0" applyFont="1" applyFill="1" applyBorder="1" applyAlignment="1">
      <alignment vertical="center"/>
    </xf>
    <xf numFmtId="0" fontId="14" fillId="0" borderId="1" xfId="0" applyFont="1" applyBorder="1" applyAlignment="1">
      <alignment vertical="center"/>
    </xf>
    <xf numFmtId="0" fontId="13" fillId="0" borderId="19" xfId="0" applyFont="1" applyBorder="1"/>
    <xf numFmtId="0" fontId="5" fillId="0" borderId="20" xfId="0" applyFont="1" applyBorder="1" applyAlignment="1">
      <alignment vertical="center"/>
    </xf>
    <xf numFmtId="0" fontId="13" fillId="0" borderId="21" xfId="0" applyFont="1" applyBorder="1"/>
    <xf numFmtId="0" fontId="14" fillId="0" borderId="22" xfId="0" applyFont="1" applyBorder="1" applyAlignment="1">
      <alignment vertical="center"/>
    </xf>
    <xf numFmtId="0" fontId="5" fillId="0" borderId="23" xfId="0" applyFont="1" applyBorder="1" applyAlignment="1">
      <alignment vertical="center"/>
    </xf>
    <xf numFmtId="0" fontId="14" fillId="0" borderId="3" xfId="0" applyFont="1" applyBorder="1" applyAlignment="1">
      <alignment vertical="center"/>
    </xf>
    <xf numFmtId="0" fontId="12" fillId="0" borderId="0" xfId="0" applyFont="1" applyAlignment="1">
      <alignment vertical="center"/>
    </xf>
    <xf numFmtId="2" fontId="0" fillId="0" borderId="0" xfId="0" applyNumberFormat="1" applyFill="1"/>
    <xf numFmtId="0" fontId="0" fillId="6" borderId="19" xfId="0" applyFont="1" applyFill="1" applyBorder="1" applyAlignment="1">
      <alignment vertical="center"/>
    </xf>
    <xf numFmtId="0" fontId="0" fillId="6" borderId="1" xfId="0" applyFont="1" applyFill="1" applyBorder="1" applyAlignment="1">
      <alignment vertical="center"/>
    </xf>
    <xf numFmtId="2" fontId="0" fillId="6" borderId="1" xfId="0" applyNumberFormat="1" applyFont="1" applyFill="1" applyBorder="1" applyAlignment="1">
      <alignment horizontal="center" vertical="center"/>
    </xf>
    <xf numFmtId="2" fontId="0" fillId="6" borderId="20" xfId="0" applyNumberFormat="1" applyFont="1" applyFill="1" applyBorder="1" applyAlignment="1">
      <alignment horizontal="center" vertical="center"/>
    </xf>
    <xf numFmtId="2" fontId="0" fillId="6" borderId="1" xfId="0" applyNumberFormat="1" applyFont="1" applyFill="1" applyBorder="1" applyAlignment="1">
      <alignment horizontal="center" vertical="center" wrapText="1"/>
    </xf>
    <xf numFmtId="2" fontId="0" fillId="0" borderId="4" xfId="0" applyNumberFormat="1" applyFill="1" applyBorder="1"/>
    <xf numFmtId="0" fontId="0" fillId="0" borderId="44" xfId="0" applyFont="1" applyFill="1" applyBorder="1" applyAlignment="1">
      <alignment horizontal="center"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0" xfId="0" applyFont="1" applyFill="1" applyBorder="1" applyAlignment="1">
      <alignment horizontal="center" vertical="center"/>
    </xf>
    <xf numFmtId="0" fontId="0" fillId="0" borderId="47" xfId="0" applyFont="1" applyFill="1" applyBorder="1" applyAlignment="1">
      <alignment vertical="center"/>
    </xf>
    <xf numFmtId="2" fontId="0" fillId="0" borderId="58" xfId="0" applyNumberFormat="1" applyBorder="1"/>
    <xf numFmtId="167" fontId="0" fillId="0" borderId="0" xfId="0" applyNumberFormat="1" applyFill="1"/>
    <xf numFmtId="167" fontId="10" fillId="0" borderId="0" xfId="0" applyNumberFormat="1" applyFont="1" applyFill="1" applyAlignment="1">
      <alignment horizontal="center" vertical="center"/>
    </xf>
    <xf numFmtId="0" fontId="5" fillId="4" borderId="14" xfId="0" applyFont="1" applyFill="1" applyBorder="1" applyAlignment="1">
      <alignment horizontal="right" vertical="center"/>
    </xf>
    <xf numFmtId="2" fontId="0" fillId="0" borderId="25" xfId="0" applyNumberFormat="1" applyFont="1" applyFill="1" applyBorder="1" applyAlignment="1">
      <alignment horizontal="center" vertical="center"/>
    </xf>
    <xf numFmtId="0" fontId="0" fillId="0" borderId="19" xfId="0" applyFont="1" applyFill="1" applyBorder="1" applyAlignment="1">
      <alignment horizontal="left" vertical="center"/>
    </xf>
    <xf numFmtId="0" fontId="0" fillId="6" borderId="21" xfId="0" applyFont="1" applyFill="1" applyBorder="1" applyAlignment="1">
      <alignment horizontal="left" vertical="center"/>
    </xf>
    <xf numFmtId="2" fontId="0" fillId="6" borderId="23" xfId="0" applyNumberFormat="1" applyFont="1" applyFill="1" applyBorder="1" applyAlignment="1">
      <alignment horizontal="center" vertical="center"/>
    </xf>
    <xf numFmtId="2" fontId="0" fillId="6" borderId="25" xfId="0" applyNumberFormat="1" applyFont="1" applyFill="1" applyBorder="1" applyAlignment="1">
      <alignment horizontal="center" vertical="center"/>
    </xf>
    <xf numFmtId="0" fontId="0" fillId="0" borderId="17" xfId="0" applyFont="1" applyFill="1" applyBorder="1"/>
    <xf numFmtId="2" fontId="16" fillId="0" borderId="12" xfId="0" applyNumberFormat="1" applyFont="1" applyFill="1" applyBorder="1"/>
    <xf numFmtId="0" fontId="0" fillId="0" borderId="59" xfId="0" applyFont="1" applyFill="1" applyBorder="1" applyAlignment="1">
      <alignment vertical="center"/>
    </xf>
    <xf numFmtId="0" fontId="0" fillId="0" borderId="30" xfId="0" applyFont="1" applyFill="1" applyBorder="1" applyAlignment="1">
      <alignment vertical="center"/>
    </xf>
    <xf numFmtId="2" fontId="0" fillId="0" borderId="55" xfId="0" applyNumberFormat="1" applyBorder="1"/>
    <xf numFmtId="0" fontId="0" fillId="6" borderId="11" xfId="0" applyFont="1" applyFill="1" applyBorder="1" applyAlignment="1">
      <alignment vertical="center"/>
    </xf>
    <xf numFmtId="0" fontId="0" fillId="0" borderId="17" xfId="0" applyFont="1" applyFill="1" applyBorder="1" applyAlignment="1">
      <alignment horizontal="center" vertical="center"/>
    </xf>
    <xf numFmtId="0" fontId="0" fillId="0" borderId="1" xfId="0" applyFont="1" applyFill="1" applyBorder="1" applyAlignment="1">
      <alignment horizontal="center" vertical="center"/>
    </xf>
    <xf numFmtId="2" fontId="0" fillId="0" borderId="41" xfId="0" applyNumberFormat="1" applyFill="1" applyBorder="1"/>
    <xf numFmtId="2" fontId="0" fillId="0" borderId="56" xfId="0" applyNumberFormat="1" applyFill="1" applyBorder="1"/>
    <xf numFmtId="0" fontId="5" fillId="0" borderId="2" xfId="0" applyFont="1" applyFill="1" applyBorder="1" applyAlignment="1">
      <alignment vertical="center"/>
    </xf>
    <xf numFmtId="0" fontId="0" fillId="0" borderId="4" xfId="0" applyBorder="1"/>
    <xf numFmtId="0" fontId="13" fillId="0" borderId="0" xfId="0" applyFont="1" applyBorder="1"/>
    <xf numFmtId="0" fontId="14" fillId="0" borderId="0" xfId="0" applyFont="1" applyBorder="1" applyAlignment="1">
      <alignment vertical="center"/>
    </xf>
    <xf numFmtId="0" fontId="0" fillId="0" borderId="0" xfId="0" applyFont="1" applyBorder="1"/>
    <xf numFmtId="0" fontId="14" fillId="0" borderId="40" xfId="0" applyFont="1" applyBorder="1" applyAlignment="1">
      <alignment vertical="center"/>
    </xf>
    <xf numFmtId="2" fontId="0" fillId="0" borderId="47" xfId="0" applyNumberFormat="1" applyFont="1" applyFill="1" applyBorder="1" applyAlignment="1">
      <alignment vertical="center" wrapText="1"/>
    </xf>
    <xf numFmtId="0" fontId="0" fillId="0" borderId="47" xfId="0" applyFont="1" applyFill="1" applyBorder="1" applyAlignment="1">
      <alignment vertical="center" textRotation="90" wrapText="1"/>
    </xf>
    <xf numFmtId="0" fontId="0" fillId="0" borderId="47" xfId="0" applyFont="1" applyFill="1" applyBorder="1" applyAlignment="1">
      <alignment vertical="center" wrapText="1"/>
    </xf>
    <xf numFmtId="0" fontId="19" fillId="0" borderId="0" xfId="0" applyFont="1" applyAlignment="1">
      <alignment vertical="center"/>
    </xf>
    <xf numFmtId="0" fontId="0" fillId="0" borderId="6" xfId="0" applyFont="1" applyFill="1" applyBorder="1" applyAlignment="1">
      <alignment vertical="center"/>
    </xf>
    <xf numFmtId="2" fontId="6" fillId="0" borderId="6" xfId="0" applyNumberFormat="1" applyFont="1" applyFill="1" applyBorder="1" applyAlignment="1">
      <alignment horizontal="center" vertical="center"/>
    </xf>
    <xf numFmtId="2" fontId="6" fillId="0" borderId="2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8" xfId="0" applyFont="1" applyFill="1" applyBorder="1" applyAlignment="1">
      <alignment horizontal="center" vertical="center" wrapText="1"/>
    </xf>
    <xf numFmtId="2" fontId="6" fillId="0" borderId="26"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6" fillId="0" borderId="60"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0" fillId="0" borderId="30" xfId="0" applyFont="1" applyBorder="1"/>
    <xf numFmtId="0" fontId="0" fillId="0" borderId="34" xfId="0" applyFont="1" applyBorder="1"/>
    <xf numFmtId="0" fontId="0" fillId="0" borderId="34" xfId="0" applyFont="1" applyFill="1" applyBorder="1" applyAlignment="1">
      <alignment horizontal="center" vertical="center"/>
    </xf>
    <xf numFmtId="0" fontId="0" fillId="0" borderId="13" xfId="0" applyFont="1" applyFill="1" applyBorder="1" applyAlignment="1">
      <alignment horizontal="center" vertical="center"/>
    </xf>
    <xf numFmtId="0" fontId="14" fillId="0" borderId="7" xfId="0" applyFont="1" applyBorder="1" applyAlignment="1">
      <alignment vertical="center"/>
    </xf>
    <xf numFmtId="0" fontId="0" fillId="0" borderId="41"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56" xfId="0" applyFont="1" applyFill="1" applyBorder="1" applyAlignment="1">
      <alignment vertical="center"/>
    </xf>
    <xf numFmtId="0" fontId="0" fillId="0" borderId="37" xfId="0" applyFont="1" applyFill="1" applyBorder="1" applyAlignment="1">
      <alignment vertical="center"/>
    </xf>
    <xf numFmtId="0" fontId="20" fillId="0" borderId="0" xfId="0" applyFont="1" applyFill="1" applyBorder="1" applyAlignment="1">
      <alignment horizontal="left" vertical="center" indent="1"/>
    </xf>
    <xf numFmtId="0" fontId="13" fillId="0" borderId="0" xfId="0" applyFont="1" applyFill="1" applyBorder="1"/>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2" fontId="0" fillId="0" borderId="0" xfId="0" applyNumberFormat="1" applyFill="1" applyBorder="1"/>
    <xf numFmtId="167" fontId="0" fillId="0" borderId="0" xfId="0" applyNumberFormat="1" applyFill="1" applyBorder="1"/>
    <xf numFmtId="2" fontId="5" fillId="0" borderId="0" xfId="0" applyNumberFormat="1" applyFont="1" applyFill="1" applyBorder="1"/>
    <xf numFmtId="0" fontId="0" fillId="0" borderId="56" xfId="0" applyBorder="1"/>
    <xf numFmtId="0" fontId="0" fillId="0" borderId="0" xfId="0" applyFont="1" applyFill="1" applyBorder="1" applyAlignment="1">
      <alignment horizontal="left" vertical="center" indent="1"/>
    </xf>
    <xf numFmtId="4" fontId="0" fillId="0" borderId="6" xfId="0" applyNumberFormat="1" applyFont="1" applyFill="1" applyBorder="1" applyAlignment="1">
      <alignment horizontal="center" vertical="center"/>
    </xf>
    <xf numFmtId="4" fontId="0" fillId="0" borderId="27" xfId="0" applyNumberFormat="1" applyFont="1" applyBorder="1"/>
    <xf numFmtId="0" fontId="0" fillId="0" borderId="53" xfId="0" applyFont="1" applyFill="1" applyBorder="1" applyAlignment="1">
      <alignment horizontal="center" vertical="top" wrapText="1"/>
    </xf>
    <xf numFmtId="0" fontId="0" fillId="0" borderId="53" xfId="0" applyFont="1" applyFill="1" applyBorder="1" applyAlignment="1">
      <alignment horizontal="left" vertical="center" wrapText="1" indent="1"/>
    </xf>
    <xf numFmtId="0" fontId="0" fillId="0" borderId="8" xfId="0" applyFont="1" applyFill="1" applyBorder="1" applyAlignment="1">
      <alignment horizontal="left" vertical="center" indent="1"/>
    </xf>
    <xf numFmtId="0" fontId="0" fillId="0" borderId="63" xfId="0" applyFont="1" applyFill="1" applyBorder="1" applyAlignment="1">
      <alignment horizontal="left" vertical="center" indent="1"/>
    </xf>
    <xf numFmtId="0" fontId="0" fillId="0" borderId="52" xfId="0" applyFont="1" applyFill="1" applyBorder="1" applyAlignment="1">
      <alignment vertical="center"/>
    </xf>
    <xf numFmtId="0" fontId="0" fillId="0" borderId="51" xfId="0" applyFont="1" applyFill="1" applyBorder="1" applyAlignment="1">
      <alignment vertical="center"/>
    </xf>
    <xf numFmtId="0" fontId="15" fillId="0" borderId="3" xfId="0" applyFont="1" applyFill="1" applyBorder="1" applyAlignment="1">
      <alignment vertical="center"/>
    </xf>
    <xf numFmtId="0" fontId="0" fillId="0" borderId="39" xfId="0" applyFont="1" applyFill="1" applyBorder="1" applyAlignment="1">
      <alignment horizontal="left" vertical="center" indent="1"/>
    </xf>
    <xf numFmtId="0" fontId="0" fillId="0" borderId="41" xfId="0" applyFont="1" applyFill="1" applyBorder="1" applyAlignment="1">
      <alignment horizontal="left" vertical="center" indent="1"/>
    </xf>
    <xf numFmtId="0" fontId="14" fillId="0" borderId="39" xfId="0" applyFont="1" applyBorder="1" applyAlignment="1">
      <alignment vertical="center"/>
    </xf>
    <xf numFmtId="0" fontId="0" fillId="0" borderId="40" xfId="0" applyFont="1" applyBorder="1"/>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3" fillId="0" borderId="16" xfId="0" applyFont="1" applyBorder="1"/>
    <xf numFmtId="0" fontId="14" fillId="0" borderId="17" xfId="0" applyFont="1" applyBorder="1" applyAlignment="1">
      <alignment vertical="center"/>
    </xf>
    <xf numFmtId="0" fontId="5" fillId="0" borderId="18" xfId="0" applyFont="1" applyBorder="1" applyAlignment="1">
      <alignment vertical="center"/>
    </xf>
    <xf numFmtId="0" fontId="0" fillId="0" borderId="22" xfId="0" applyFont="1" applyFill="1" applyBorder="1" applyAlignment="1">
      <alignment horizontal="center" vertical="center"/>
    </xf>
    <xf numFmtId="0" fontId="0" fillId="0" borderId="39" xfId="0" applyFont="1" applyFill="1" applyBorder="1" applyAlignment="1">
      <alignment vertical="center" wrapText="1"/>
    </xf>
    <xf numFmtId="0" fontId="0" fillId="0" borderId="45" xfId="0" applyFont="1" applyFill="1" applyBorder="1" applyAlignment="1">
      <alignment vertical="center" wrapText="1"/>
    </xf>
    <xf numFmtId="0" fontId="6" fillId="0" borderId="4" xfId="0" applyFont="1" applyFill="1" applyBorder="1" applyAlignment="1">
      <alignment horizontal="center" vertical="center" wrapText="1"/>
    </xf>
    <xf numFmtId="0" fontId="0" fillId="0" borderId="64" xfId="0" applyFont="1" applyFill="1" applyBorder="1" applyAlignment="1">
      <alignment horizontal="center" vertical="center"/>
    </xf>
    <xf numFmtId="0" fontId="0" fillId="0" borderId="11" xfId="0" applyFont="1" applyBorder="1" applyAlignment="1">
      <alignment vertical="center"/>
    </xf>
    <xf numFmtId="0" fontId="0" fillId="6" borderId="51" xfId="0" applyFont="1" applyFill="1" applyBorder="1" applyAlignment="1">
      <alignment vertical="center"/>
    </xf>
    <xf numFmtId="0" fontId="0" fillId="0" borderId="39" xfId="0" applyFont="1" applyFill="1" applyBorder="1" applyAlignment="1">
      <alignment horizontal="left" vertical="center"/>
    </xf>
    <xf numFmtId="0" fontId="0" fillId="0" borderId="41" xfId="0" applyFont="1" applyFill="1" applyBorder="1" applyAlignment="1">
      <alignment horizontal="left" vertical="center"/>
    </xf>
    <xf numFmtId="0" fontId="5" fillId="0" borderId="0" xfId="0" applyFont="1" applyFill="1" applyBorder="1" applyAlignment="1">
      <alignment vertical="center" textRotation="90"/>
    </xf>
    <xf numFmtId="0" fontId="14" fillId="0" borderId="0" xfId="0" applyFont="1" applyFill="1" applyAlignment="1">
      <alignment vertical="center"/>
    </xf>
    <xf numFmtId="0" fontId="12" fillId="0" borderId="0" xfId="0" applyFont="1" applyFill="1" applyAlignment="1">
      <alignment horizontal="center" vertical="center"/>
    </xf>
    <xf numFmtId="0" fontId="0" fillId="6" borderId="52" xfId="0" applyFont="1" applyFill="1" applyBorder="1" applyAlignment="1">
      <alignment vertical="center"/>
    </xf>
    <xf numFmtId="0" fontId="0" fillId="6" borderId="6" xfId="0" applyFont="1" applyFill="1" applyBorder="1" applyAlignment="1">
      <alignment vertical="center"/>
    </xf>
    <xf numFmtId="2" fontId="6" fillId="6" borderId="6" xfId="0" applyNumberFormat="1" applyFont="1" applyFill="1" applyBorder="1" applyAlignment="1">
      <alignment horizontal="center" vertical="center"/>
    </xf>
    <xf numFmtId="2" fontId="6" fillId="6" borderId="27" xfId="0" applyNumberFormat="1" applyFont="1" applyFill="1" applyBorder="1" applyAlignment="1">
      <alignment horizontal="center" vertical="center"/>
    </xf>
    <xf numFmtId="2" fontId="0" fillId="6" borderId="12" xfId="0" applyNumberFormat="1" applyFont="1" applyFill="1" applyBorder="1" applyAlignment="1">
      <alignment horizontal="center" vertical="center"/>
    </xf>
    <xf numFmtId="0" fontId="14" fillId="5" borderId="39" xfId="0" applyFont="1" applyFill="1" applyBorder="1" applyAlignment="1">
      <alignment vertical="center"/>
    </xf>
    <xf numFmtId="0" fontId="14" fillId="5" borderId="45" xfId="0" applyFont="1" applyFill="1" applyBorder="1" applyAlignment="1">
      <alignment vertical="center"/>
    </xf>
    <xf numFmtId="0" fontId="0" fillId="5" borderId="41" xfId="0" applyFont="1" applyFill="1" applyBorder="1" applyAlignment="1">
      <alignment horizontal="center" vertical="center"/>
    </xf>
    <xf numFmtId="0" fontId="0" fillId="5" borderId="37" xfId="0" applyFont="1" applyFill="1" applyBorder="1" applyAlignment="1">
      <alignment horizontal="center" vertical="center"/>
    </xf>
    <xf numFmtId="0" fontId="14" fillId="8" borderId="39" xfId="0" applyFont="1" applyFill="1" applyBorder="1" applyAlignment="1">
      <alignment vertical="center"/>
    </xf>
    <xf numFmtId="0" fontId="14" fillId="8" borderId="45" xfId="0" applyFont="1" applyFill="1" applyBorder="1" applyAlignment="1">
      <alignment vertical="center"/>
    </xf>
    <xf numFmtId="0" fontId="0" fillId="8" borderId="41" xfId="0" applyFont="1" applyFill="1" applyBorder="1" applyAlignment="1">
      <alignment horizontal="center" vertical="center"/>
    </xf>
    <xf numFmtId="0" fontId="0" fillId="8" borderId="37" xfId="0" applyFont="1" applyFill="1" applyBorder="1" applyAlignment="1">
      <alignment horizontal="center" vertical="center"/>
    </xf>
    <xf numFmtId="0" fontId="20" fillId="0" borderId="0" xfId="0" applyFont="1" applyFill="1" applyBorder="1" applyAlignment="1">
      <alignment horizontal="left" vertical="center" indent="1"/>
    </xf>
    <xf numFmtId="0" fontId="20" fillId="0" borderId="56" xfId="0" applyFont="1" applyFill="1" applyBorder="1" applyAlignment="1">
      <alignment horizontal="left" vertical="center" indent="1"/>
    </xf>
    <xf numFmtId="0" fontId="5" fillId="0" borderId="0" xfId="0" applyFont="1" applyBorder="1" applyAlignment="1">
      <alignment horizontal="center" vertical="center" textRotation="90" wrapText="1"/>
    </xf>
    <xf numFmtId="0" fontId="0" fillId="0" borderId="0" xfId="0" applyBorder="1"/>
    <xf numFmtId="0" fontId="5" fillId="0" borderId="0" xfId="0" applyFont="1" applyBorder="1"/>
    <xf numFmtId="0" fontId="0" fillId="0" borderId="65" xfId="0" applyFont="1" applyFill="1" applyBorder="1" applyAlignment="1">
      <alignment vertical="center"/>
    </xf>
    <xf numFmtId="0" fontId="0" fillId="0" borderId="10" xfId="0" applyFont="1" applyFill="1" applyBorder="1" applyAlignment="1">
      <alignment vertical="center"/>
    </xf>
    <xf numFmtId="0" fontId="0" fillId="0" borderId="28" xfId="0" applyFont="1" applyFill="1" applyBorder="1" applyAlignment="1">
      <alignment vertical="center"/>
    </xf>
    <xf numFmtId="0" fontId="0" fillId="0" borderId="33" xfId="0" applyFont="1" applyFill="1" applyBorder="1" applyAlignment="1">
      <alignment horizontal="center" vertical="center"/>
    </xf>
    <xf numFmtId="2" fontId="0" fillId="0" borderId="67" xfId="0" applyNumberFormat="1" applyBorder="1"/>
    <xf numFmtId="167" fontId="0" fillId="0" borderId="55" xfId="0" applyNumberFormat="1" applyBorder="1"/>
    <xf numFmtId="0" fontId="0" fillId="0" borderId="29" xfId="0" applyFont="1" applyFill="1" applyBorder="1" applyAlignment="1">
      <alignment vertical="center"/>
    </xf>
    <xf numFmtId="2" fontId="0" fillId="0" borderId="68" xfId="0" applyNumberFormat="1" applyBorder="1"/>
    <xf numFmtId="0" fontId="0" fillId="0" borderId="50" xfId="0" applyFont="1" applyFill="1" applyBorder="1" applyAlignment="1">
      <alignment vertical="center"/>
    </xf>
    <xf numFmtId="0" fontId="0" fillId="0" borderId="54" xfId="0" applyFont="1" applyFill="1" applyBorder="1" applyAlignment="1">
      <alignment vertical="center"/>
    </xf>
    <xf numFmtId="2" fontId="0" fillId="0" borderId="70" xfId="0" applyNumberFormat="1" applyBorder="1"/>
    <xf numFmtId="0" fontId="0" fillId="0" borderId="49" xfId="0" applyFont="1" applyFill="1" applyBorder="1" applyAlignment="1">
      <alignment vertical="center"/>
    </xf>
    <xf numFmtId="0" fontId="0" fillId="0" borderId="59" xfId="0" applyFont="1" applyFill="1" applyBorder="1" applyAlignment="1">
      <alignment horizontal="left" vertical="center" indent="1"/>
    </xf>
    <xf numFmtId="0" fontId="0" fillId="0" borderId="57" xfId="0" applyFont="1" applyFill="1" applyBorder="1" applyAlignment="1">
      <alignment horizontal="left" vertical="center" indent="1"/>
    </xf>
    <xf numFmtId="0" fontId="0" fillId="0" borderId="69" xfId="0" applyFont="1" applyFill="1" applyBorder="1" applyAlignment="1">
      <alignment horizontal="left" vertical="center" indent="1"/>
    </xf>
    <xf numFmtId="0" fontId="0" fillId="0" borderId="66" xfId="0" applyFont="1" applyFill="1" applyBorder="1" applyAlignment="1">
      <alignment horizontal="left" vertical="center" indent="1"/>
    </xf>
    <xf numFmtId="167" fontId="0" fillId="0" borderId="0" xfId="0" applyNumberFormat="1" applyFont="1" applyBorder="1" applyAlignment="1">
      <alignment horizontal="center" vertical="center"/>
    </xf>
    <xf numFmtId="0" fontId="6" fillId="0" borderId="0" xfId="0" applyFont="1" applyBorder="1" applyAlignment="1">
      <alignment vertical="top"/>
    </xf>
    <xf numFmtId="4" fontId="5" fillId="0" borderId="4" xfId="0" applyNumberFormat="1" applyFont="1" applyBorder="1"/>
    <xf numFmtId="0" fontId="0" fillId="0" borderId="0" xfId="0" applyFont="1" applyFill="1" applyBorder="1" applyAlignment="1"/>
    <xf numFmtId="0" fontId="0" fillId="0" borderId="0" xfId="0" applyFill="1" applyBorder="1" applyAlignment="1"/>
    <xf numFmtId="169" fontId="0" fillId="0" borderId="0" xfId="0" applyNumberFormat="1" applyFill="1"/>
    <xf numFmtId="0" fontId="5" fillId="0" borderId="59" xfId="0" applyFont="1" applyFill="1" applyBorder="1" applyAlignment="1">
      <alignment vertical="center"/>
    </xf>
    <xf numFmtId="4" fontId="5" fillId="0" borderId="55" xfId="0" applyNumberFormat="1" applyFont="1" applyBorder="1"/>
    <xf numFmtId="0" fontId="5" fillId="0" borderId="57" xfId="0" applyFont="1" applyFill="1" applyBorder="1" applyAlignment="1">
      <alignment vertical="center"/>
    </xf>
    <xf numFmtId="4" fontId="5" fillId="0" borderId="58" xfId="0" applyNumberFormat="1" applyFont="1" applyBorder="1"/>
    <xf numFmtId="0" fontId="0" fillId="0" borderId="69" xfId="0" applyFont="1" applyFill="1" applyBorder="1" applyAlignment="1">
      <alignment vertical="center"/>
    </xf>
    <xf numFmtId="0" fontId="14" fillId="0" borderId="2" xfId="0" applyFont="1" applyFill="1" applyBorder="1" applyAlignment="1">
      <alignment vertical="center"/>
    </xf>
    <xf numFmtId="0" fontId="0" fillId="0" borderId="41" xfId="0" applyBorder="1" applyAlignment="1"/>
    <xf numFmtId="0" fontId="0" fillId="0" borderId="56" xfId="0" applyBorder="1" applyAlignment="1"/>
    <xf numFmtId="0" fontId="0" fillId="0" borderId="47" xfId="0" applyFont="1" applyFill="1" applyBorder="1" applyAlignment="1">
      <alignment horizontal="left" vertical="center" indent="2"/>
    </xf>
    <xf numFmtId="0" fontId="0" fillId="0" borderId="0" xfId="0" applyBorder="1" applyAlignment="1"/>
    <xf numFmtId="0" fontId="0" fillId="0" borderId="45" xfId="0" applyFont="1" applyFill="1" applyBorder="1" applyAlignment="1">
      <alignment horizontal="left" vertical="center" indent="3"/>
    </xf>
    <xf numFmtId="0" fontId="0" fillId="0" borderId="46" xfId="0" applyBorder="1"/>
    <xf numFmtId="0" fontId="0" fillId="0" borderId="37" xfId="0" applyBorder="1"/>
    <xf numFmtId="0" fontId="0" fillId="0" borderId="67" xfId="0" applyBorder="1" applyAlignment="1"/>
    <xf numFmtId="0" fontId="0" fillId="0" borderId="55" xfId="0" applyBorder="1" applyAlignment="1"/>
    <xf numFmtId="165" fontId="0" fillId="0" borderId="0" xfId="517" applyFont="1" applyFill="1"/>
    <xf numFmtId="0" fontId="0" fillId="0" borderId="0" xfId="0" applyBorder="1" applyAlignment="1">
      <alignment vertical="top"/>
    </xf>
    <xf numFmtId="0" fontId="0" fillId="0" borderId="0" xfId="0" applyBorder="1" applyAlignment="1">
      <alignment horizontal="center" vertical="center"/>
    </xf>
    <xf numFmtId="0" fontId="0" fillId="0" borderId="0" xfId="0" applyBorder="1" applyAlignment="1">
      <alignment vertical="center"/>
    </xf>
    <xf numFmtId="0" fontId="0" fillId="0" borderId="3" xfId="0" applyBorder="1"/>
    <xf numFmtId="0" fontId="0" fillId="0" borderId="40" xfId="0" applyBorder="1"/>
    <xf numFmtId="0" fontId="0" fillId="0" borderId="3" xfId="0" applyBorder="1" applyAlignment="1">
      <alignment horizontal="center" vertical="center"/>
    </xf>
    <xf numFmtId="0" fontId="0" fillId="0" borderId="42" xfId="0" applyFill="1" applyBorder="1" applyAlignment="1">
      <alignment horizontal="center" vertical="center"/>
    </xf>
    <xf numFmtId="0" fontId="0" fillId="0" borderId="42" xfId="0" applyBorder="1" applyAlignment="1">
      <alignment horizontal="center" vertical="center"/>
    </xf>
    <xf numFmtId="2" fontId="6" fillId="0" borderId="0" xfId="0" applyNumberFormat="1" applyFont="1" applyFill="1" applyBorder="1" applyAlignment="1">
      <alignment horizontal="left" vertical="center"/>
    </xf>
    <xf numFmtId="0" fontId="5" fillId="0" borderId="46" xfId="0" applyFont="1" applyFill="1" applyBorder="1" applyAlignment="1">
      <alignment horizontal="right" vertical="center"/>
    </xf>
    <xf numFmtId="2" fontId="5" fillId="2" borderId="36" xfId="0" applyNumberFormat="1" applyFont="1" applyFill="1" applyBorder="1" applyAlignment="1">
      <alignment horizontal="center" vertical="center"/>
    </xf>
    <xf numFmtId="0" fontId="5" fillId="0" borderId="71" xfId="0" applyFont="1" applyFill="1" applyBorder="1" applyAlignment="1">
      <alignment horizontal="right" vertical="center"/>
    </xf>
    <xf numFmtId="0" fontId="0" fillId="0" borderId="0" xfId="0" applyFill="1" applyBorder="1" applyAlignment="1">
      <alignment vertical="top"/>
    </xf>
    <xf numFmtId="0" fontId="0" fillId="0" borderId="0" xfId="0" applyFill="1" applyBorder="1" applyAlignment="1">
      <alignment vertical="top" wrapText="1"/>
    </xf>
    <xf numFmtId="2" fontId="0" fillId="0" borderId="0" xfId="0" applyNumberFormat="1" applyFill="1" applyBorder="1" applyAlignment="1">
      <alignment vertical="top"/>
    </xf>
    <xf numFmtId="2" fontId="0" fillId="0" borderId="0" xfId="0" applyNumberFormat="1" applyFill="1" applyBorder="1" applyAlignment="1">
      <alignment vertical="top" wrapText="1"/>
    </xf>
    <xf numFmtId="2" fontId="0" fillId="0" borderId="0" xfId="0" applyNumberFormat="1" applyFill="1" applyBorder="1" applyAlignment="1">
      <alignment horizontal="center" vertical="center" wrapText="1"/>
    </xf>
    <xf numFmtId="0" fontId="0" fillId="0" borderId="0" xfId="0" applyFill="1" applyBorder="1" applyAlignment="1">
      <alignment vertical="center"/>
    </xf>
    <xf numFmtId="0" fontId="0" fillId="0" borderId="0" xfId="0" applyFont="1" applyFill="1" applyBorder="1" applyAlignment="1">
      <alignment horizontal="center" vertical="center"/>
    </xf>
    <xf numFmtId="0" fontId="5" fillId="0" borderId="0" xfId="0" applyFont="1" applyBorder="1" applyAlignment="1">
      <alignment vertical="top"/>
    </xf>
    <xf numFmtId="0" fontId="0" fillId="0" borderId="0" xfId="0" applyBorder="1" applyAlignment="1">
      <alignment wrapText="1"/>
    </xf>
    <xf numFmtId="2" fontId="0" fillId="0" borderId="0" xfId="0" applyNumberFormat="1" applyBorder="1"/>
    <xf numFmtId="0" fontId="0" fillId="0" borderId="0" xfId="0" applyBorder="1" applyAlignment="1">
      <alignment horizontal="left" vertical="top" indent="1"/>
    </xf>
    <xf numFmtId="2" fontId="0" fillId="0" borderId="0" xfId="0" applyNumberFormat="1" applyBorder="1" applyAlignment="1">
      <alignment wrapText="1"/>
    </xf>
    <xf numFmtId="0" fontId="0" fillId="0" borderId="0" xfId="0" applyBorder="1" applyAlignment="1">
      <alignment horizontal="left" indent="1"/>
    </xf>
    <xf numFmtId="2" fontId="0" fillId="0" borderId="0" xfId="0" applyNumberFormat="1" applyFill="1" applyBorder="1" applyAlignment="1">
      <alignment wrapText="1"/>
    </xf>
    <xf numFmtId="0" fontId="0" fillId="0" borderId="0" xfId="0" applyFill="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top" wrapText="1"/>
    </xf>
    <xf numFmtId="0" fontId="0" fillId="0" borderId="0" xfId="0" applyBorder="1" applyAlignment="1">
      <alignment horizontal="center" vertical="center"/>
    </xf>
    <xf numFmtId="2" fontId="0" fillId="0" borderId="0" xfId="0" applyNumberFormat="1" applyBorder="1" applyAlignment="1">
      <alignment vertical="top"/>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2" fontId="6" fillId="0" borderId="0" xfId="0" applyNumberFormat="1" applyFont="1" applyFill="1" applyBorder="1" applyAlignment="1">
      <alignment horizontal="left" vertical="top"/>
    </xf>
    <xf numFmtId="0" fontId="0" fillId="0" borderId="40" xfId="0" applyFill="1" applyBorder="1" applyAlignment="1">
      <alignment horizontal="center" vertical="center"/>
    </xf>
    <xf numFmtId="0" fontId="0" fillId="0" borderId="46"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xf>
    <xf numFmtId="0" fontId="0" fillId="0" borderId="36" xfId="0" applyBorder="1" applyAlignment="1">
      <alignment horizontal="center" vertical="center"/>
    </xf>
    <xf numFmtId="0" fontId="0" fillId="0" borderId="43" xfId="0" applyBorder="1" applyAlignment="1">
      <alignment horizontal="center" vertical="center" wrapText="1"/>
    </xf>
    <xf numFmtId="0" fontId="0" fillId="7" borderId="0" xfId="0" applyFill="1" applyBorder="1" applyAlignment="1">
      <alignment horizontal="center" vertical="center"/>
    </xf>
    <xf numFmtId="0" fontId="0" fillId="0" borderId="0" xfId="0" applyFill="1" applyBorder="1" applyAlignment="1">
      <alignment horizontal="left" vertical="top"/>
    </xf>
    <xf numFmtId="0" fontId="0" fillId="0" borderId="40" xfId="0" applyFont="1" applyBorder="1" applyAlignment="1">
      <alignment vertical="top" wrapText="1"/>
    </xf>
    <xf numFmtId="0" fontId="0" fillId="0" borderId="40" xfId="0" applyBorder="1" applyAlignment="1">
      <alignment vertical="top"/>
    </xf>
    <xf numFmtId="0" fontId="0" fillId="0" borderId="40" xfId="0" applyBorder="1" applyAlignment="1">
      <alignment horizontal="center" vertical="center"/>
    </xf>
    <xf numFmtId="0" fontId="0" fillId="0" borderId="46" xfId="0" applyBorder="1" applyAlignment="1">
      <alignment vertical="top"/>
    </xf>
    <xf numFmtId="0" fontId="0" fillId="0" borderId="46" xfId="0" applyBorder="1" applyAlignment="1">
      <alignment horizontal="center" vertical="center"/>
    </xf>
    <xf numFmtId="0" fontId="0" fillId="0" borderId="41" xfId="0" applyBorder="1" applyAlignment="1">
      <alignment vertical="top"/>
    </xf>
    <xf numFmtId="0" fontId="0" fillId="0" borderId="56" xfId="0" applyBorder="1" applyAlignment="1">
      <alignment vertical="top"/>
    </xf>
    <xf numFmtId="0" fontId="0" fillId="0" borderId="56" xfId="0" applyFill="1" applyBorder="1" applyAlignment="1">
      <alignment vertical="top"/>
    </xf>
    <xf numFmtId="2" fontId="0" fillId="0" borderId="46" xfId="0" applyNumberFormat="1" applyBorder="1" applyAlignment="1">
      <alignment horizontal="center" vertical="center" wrapText="1"/>
    </xf>
    <xf numFmtId="2" fontId="6" fillId="0" borderId="40" xfId="0" applyNumberFormat="1" applyFont="1" applyFill="1" applyBorder="1" applyAlignment="1">
      <alignment vertical="center" wrapText="1"/>
    </xf>
    <xf numFmtId="2" fontId="6" fillId="0" borderId="46" xfId="0" applyNumberFormat="1" applyFont="1" applyFill="1" applyBorder="1" applyAlignment="1">
      <alignment vertical="center" wrapText="1"/>
    </xf>
    <xf numFmtId="0" fontId="0" fillId="0" borderId="37" xfId="0" applyBorder="1" applyAlignment="1">
      <alignment vertical="top"/>
    </xf>
    <xf numFmtId="0" fontId="0" fillId="0" borderId="46" xfId="0" applyBorder="1" applyAlignment="1">
      <alignment vertical="center"/>
    </xf>
    <xf numFmtId="0" fontId="0" fillId="0" borderId="40" xfId="0" applyFill="1" applyBorder="1" applyAlignment="1">
      <alignment vertical="center"/>
    </xf>
    <xf numFmtId="0" fontId="0" fillId="0" borderId="40" xfId="0" applyBorder="1" applyAlignment="1">
      <alignment vertical="center"/>
    </xf>
    <xf numFmtId="0" fontId="16" fillId="0" borderId="40" xfId="0" applyFont="1" applyBorder="1" applyAlignment="1">
      <alignment horizontal="center" vertical="center"/>
    </xf>
    <xf numFmtId="2" fontId="6" fillId="0" borderId="40" xfId="0" applyNumberFormat="1" applyFont="1" applyFill="1" applyBorder="1" applyAlignment="1">
      <alignment horizontal="center" vertical="center"/>
    </xf>
    <xf numFmtId="0" fontId="0" fillId="0" borderId="46" xfId="0" applyBorder="1" applyAlignment="1">
      <alignment horizontal="center" vertical="center" wrapText="1"/>
    </xf>
    <xf numFmtId="0" fontId="0" fillId="0" borderId="40" xfId="0" applyBorder="1" applyAlignment="1">
      <alignment horizontal="center" vertical="center" wrapText="1"/>
    </xf>
    <xf numFmtId="0" fontId="0" fillId="0" borderId="41" xfId="0" applyFill="1" applyBorder="1" applyAlignment="1">
      <alignment vertical="top"/>
    </xf>
    <xf numFmtId="0" fontId="0" fillId="0" borderId="37" xfId="0" applyFill="1" applyBorder="1" applyAlignment="1">
      <alignment vertical="top"/>
    </xf>
    <xf numFmtId="0" fontId="0" fillId="0" borderId="46" xfId="0" applyFill="1" applyBorder="1" applyAlignment="1">
      <alignment horizontal="center" vertical="center" wrapText="1"/>
    </xf>
    <xf numFmtId="2" fontId="0" fillId="0" borderId="56" xfId="0" applyNumberFormat="1" applyFill="1" applyBorder="1" applyAlignment="1">
      <alignment vertical="top"/>
    </xf>
    <xf numFmtId="0" fontId="0" fillId="0" borderId="42" xfId="0" applyFill="1" applyBorder="1" applyAlignment="1">
      <alignment vertical="top"/>
    </xf>
    <xf numFmtId="0" fontId="0" fillId="0" borderId="43" xfId="0" applyFill="1" applyBorder="1" applyAlignment="1">
      <alignment vertical="top"/>
    </xf>
    <xf numFmtId="0" fontId="0" fillId="0" borderId="36" xfId="0" applyFill="1" applyBorder="1" applyAlignment="1">
      <alignment vertical="top"/>
    </xf>
    <xf numFmtId="0" fontId="0" fillId="0" borderId="40" xfId="0" applyFill="1" applyBorder="1" applyAlignment="1">
      <alignment horizontal="center" vertical="center" wrapText="1"/>
    </xf>
    <xf numFmtId="2" fontId="0" fillId="0" borderId="46" xfId="0" applyNumberFormat="1" applyFill="1" applyBorder="1" applyAlignment="1">
      <alignment horizontal="center" vertical="center" wrapText="1"/>
    </xf>
    <xf numFmtId="0" fontId="0" fillId="0" borderId="43" xfId="0" applyFill="1" applyBorder="1" applyAlignment="1">
      <alignment vertical="top" wrapText="1"/>
    </xf>
    <xf numFmtId="0" fontId="0" fillId="0" borderId="36" xfId="0" applyFill="1" applyBorder="1" applyAlignment="1">
      <alignment vertical="top" wrapText="1"/>
    </xf>
    <xf numFmtId="2" fontId="0" fillId="0" borderId="43" xfId="0" applyNumberFormat="1" applyFill="1" applyBorder="1" applyAlignment="1">
      <alignment vertical="top"/>
    </xf>
    <xf numFmtId="2" fontId="0" fillId="0" borderId="36" xfId="0" applyNumberFormat="1" applyFill="1" applyBorder="1" applyAlignment="1">
      <alignment vertical="top"/>
    </xf>
    <xf numFmtId="0" fontId="5" fillId="0" borderId="43" xfId="0" applyFont="1" applyFill="1" applyBorder="1" applyAlignment="1">
      <alignment textRotation="90" wrapText="1"/>
    </xf>
    <xf numFmtId="0" fontId="5" fillId="0" borderId="2" xfId="0" applyFont="1" applyFill="1" applyBorder="1" applyAlignment="1">
      <alignment horizontal="left" vertical="top" wrapText="1"/>
    </xf>
    <xf numFmtId="0" fontId="0" fillId="0" borderId="3" xfId="0" applyFill="1" applyBorder="1" applyAlignment="1">
      <alignment horizontal="center" vertical="center"/>
    </xf>
    <xf numFmtId="0" fontId="0" fillId="0" borderId="12" xfId="0" applyFill="1" applyBorder="1" applyAlignment="1">
      <alignment vertical="top"/>
    </xf>
    <xf numFmtId="0" fontId="26" fillId="0" borderId="3" xfId="0" applyFont="1" applyFill="1" applyBorder="1" applyAlignment="1">
      <alignment horizontal="center" vertical="center"/>
    </xf>
    <xf numFmtId="0" fontId="0" fillId="0" borderId="12" xfId="0" applyFill="1" applyBorder="1" applyAlignment="1">
      <alignment vertical="top" wrapText="1"/>
    </xf>
    <xf numFmtId="0" fontId="5" fillId="0" borderId="39" xfId="0" applyFont="1" applyFill="1" applyBorder="1" applyAlignment="1">
      <alignment vertical="top" wrapText="1"/>
    </xf>
    <xf numFmtId="0" fontId="5" fillId="0" borderId="47" xfId="0" applyFont="1" applyFill="1" applyBorder="1" applyAlignment="1">
      <alignment vertical="top" wrapText="1"/>
    </xf>
    <xf numFmtId="0" fontId="0" fillId="0" borderId="56" xfId="0" applyFill="1" applyBorder="1"/>
    <xf numFmtId="0" fontId="0" fillId="0" borderId="2" xfId="0" applyFill="1" applyBorder="1" applyAlignment="1">
      <alignment vertical="top"/>
    </xf>
    <xf numFmtId="0" fontId="0" fillId="0" borderId="42" xfId="0" applyBorder="1" applyAlignment="1">
      <alignment vertical="top" wrapText="1"/>
    </xf>
    <xf numFmtId="0" fontId="0" fillId="0" borderId="43" xfId="0" applyBorder="1" applyAlignment="1">
      <alignment vertical="top" wrapText="1"/>
    </xf>
    <xf numFmtId="0" fontId="0" fillId="0" borderId="36" xfId="0" applyBorder="1" applyAlignment="1">
      <alignment vertical="top" wrapText="1"/>
    </xf>
    <xf numFmtId="0" fontId="0" fillId="0" borderId="12" xfId="0" applyBorder="1" applyAlignment="1">
      <alignment vertical="top"/>
    </xf>
    <xf numFmtId="0" fontId="0" fillId="0" borderId="42" xfId="0" applyBorder="1" applyAlignment="1">
      <alignment vertical="top"/>
    </xf>
    <xf numFmtId="0" fontId="0" fillId="0" borderId="43" xfId="0" applyBorder="1" applyAlignment="1">
      <alignment vertical="top"/>
    </xf>
    <xf numFmtId="2" fontId="0" fillId="0" borderId="43" xfId="0" applyNumberFormat="1" applyBorder="1" applyAlignment="1">
      <alignment vertical="top"/>
    </xf>
    <xf numFmtId="2" fontId="0" fillId="0" borderId="36" xfId="0" applyNumberFormat="1" applyBorder="1" applyAlignment="1">
      <alignment vertical="top"/>
    </xf>
    <xf numFmtId="0" fontId="0" fillId="0" borderId="36" xfId="0" applyBorder="1" applyAlignment="1">
      <alignment vertical="top"/>
    </xf>
    <xf numFmtId="0" fontId="5" fillId="7" borderId="36" xfId="0" applyFont="1" applyFill="1" applyBorder="1" applyAlignment="1">
      <alignment horizontal="center" vertical="center" textRotation="90"/>
    </xf>
    <xf numFmtId="0" fontId="5" fillId="10" borderId="12" xfId="0" applyFont="1" applyFill="1" applyBorder="1" applyAlignment="1">
      <alignment horizontal="center" vertical="center" textRotation="90"/>
    </xf>
    <xf numFmtId="0" fontId="0" fillId="7" borderId="46" xfId="0" applyFill="1" applyBorder="1" applyAlignment="1">
      <alignment horizontal="center" vertical="center"/>
    </xf>
    <xf numFmtId="0" fontId="0" fillId="0" borderId="36" xfId="0" applyFill="1" applyBorder="1" applyAlignment="1">
      <alignment horizontal="center" vertical="center"/>
    </xf>
    <xf numFmtId="0" fontId="0" fillId="0" borderId="43" xfId="0" applyFill="1" applyBorder="1" applyAlignment="1">
      <alignment horizontal="center" vertical="center"/>
    </xf>
    <xf numFmtId="0" fontId="26" fillId="0" borderId="12" xfId="0" applyFont="1" applyBorder="1" applyAlignment="1">
      <alignment horizontal="center" vertical="center"/>
    </xf>
    <xf numFmtId="0" fontId="26" fillId="0" borderId="42" xfId="0" applyFont="1" applyBorder="1" applyAlignment="1">
      <alignment horizontal="center" vertical="center"/>
    </xf>
    <xf numFmtId="0" fontId="5" fillId="0" borderId="2" xfId="0" applyFont="1" applyBorder="1" applyAlignment="1">
      <alignment vertical="center" wrapText="1"/>
    </xf>
    <xf numFmtId="0" fontId="0" fillId="0" borderId="12" xfId="0" applyBorder="1" applyAlignment="1">
      <alignment vertical="top" wrapText="1"/>
    </xf>
    <xf numFmtId="0" fontId="0" fillId="0" borderId="43" xfId="0" applyBorder="1" applyAlignment="1">
      <alignment vertical="center"/>
    </xf>
    <xf numFmtId="0" fontId="0" fillId="0" borderId="36" xfId="0" applyBorder="1" applyAlignment="1">
      <alignment vertical="center"/>
    </xf>
    <xf numFmtId="0" fontId="0" fillId="0" borderId="43" xfId="0" applyBorder="1" applyAlignment="1">
      <alignment horizontal="left" vertical="top"/>
    </xf>
    <xf numFmtId="2" fontId="6" fillId="0" borderId="43" xfId="0" applyNumberFormat="1" applyFont="1" applyFill="1" applyBorder="1" applyAlignment="1">
      <alignment horizontal="center" vertical="center"/>
    </xf>
    <xf numFmtId="2" fontId="6" fillId="0" borderId="43" xfId="0" applyNumberFormat="1" applyFont="1" applyFill="1" applyBorder="1" applyAlignment="1">
      <alignment horizontal="center" vertical="center" wrapText="1"/>
    </xf>
    <xf numFmtId="0" fontId="0" fillId="0" borderId="43" xfId="0" applyFill="1" applyBorder="1" applyAlignment="1">
      <alignment horizontal="center" vertical="center" wrapText="1"/>
    </xf>
    <xf numFmtId="2" fontId="0" fillId="0" borderId="36" xfId="0" applyNumberFormat="1" applyFill="1" applyBorder="1" applyAlignment="1">
      <alignment horizontal="center" vertical="center" wrapText="1"/>
    </xf>
    <xf numFmtId="0" fontId="0" fillId="0" borderId="0" xfId="0" applyBorder="1" applyAlignment="1">
      <alignment horizontal="left" vertical="top"/>
    </xf>
    <xf numFmtId="0" fontId="0" fillId="0" borderId="0" xfId="0" applyFont="1" applyBorder="1" applyAlignment="1">
      <alignment horizontal="left" vertical="top"/>
    </xf>
    <xf numFmtId="0" fontId="0" fillId="0" borderId="0" xfId="0" applyBorder="1" applyAlignment="1">
      <alignment horizontal="center" vertical="center"/>
    </xf>
    <xf numFmtId="0" fontId="0" fillId="0" borderId="0" xfId="0" applyBorder="1" applyAlignment="1">
      <alignment horizontal="center"/>
    </xf>
    <xf numFmtId="0" fontId="0" fillId="0" borderId="46" xfId="0" applyFill="1" applyBorder="1" applyAlignment="1">
      <alignment vertical="center"/>
    </xf>
    <xf numFmtId="0" fontId="0" fillId="0" borderId="39" xfId="0" applyFill="1" applyBorder="1" applyAlignment="1">
      <alignment horizontal="center" vertical="center"/>
    </xf>
    <xf numFmtId="0" fontId="0" fillId="0" borderId="47" xfId="0" applyFill="1" applyBorder="1" applyAlignment="1">
      <alignment vertical="center"/>
    </xf>
    <xf numFmtId="0" fontId="0" fillId="11" borderId="47" xfId="0" applyFill="1" applyBorder="1" applyAlignment="1">
      <alignment vertical="center"/>
    </xf>
    <xf numFmtId="0" fontId="0" fillId="0" borderId="45" xfId="0" applyFill="1" applyBorder="1" applyAlignment="1">
      <alignment vertical="center"/>
    </xf>
    <xf numFmtId="0" fontId="0" fillId="0" borderId="47" xfId="0" applyBorder="1"/>
    <xf numFmtId="0" fontId="0" fillId="0" borderId="43" xfId="0" applyBorder="1"/>
    <xf numFmtId="0" fontId="0" fillId="7" borderId="43" xfId="0" applyFill="1" applyBorder="1" applyAlignment="1">
      <alignment horizontal="center" vertical="center"/>
    </xf>
    <xf numFmtId="0" fontId="0" fillId="7" borderId="42" xfId="0" applyFill="1" applyBorder="1" applyAlignment="1">
      <alignment horizontal="center" vertical="center" wrapText="1"/>
    </xf>
    <xf numFmtId="0" fontId="16" fillId="0" borderId="0" xfId="0" applyFont="1" applyBorder="1" applyAlignment="1">
      <alignment horizontal="center" vertical="center"/>
    </xf>
    <xf numFmtId="0" fontId="0" fillId="0" borderId="39" xfId="0" applyBorder="1" applyAlignment="1">
      <alignment vertical="center"/>
    </xf>
    <xf numFmtId="0" fontId="0" fillId="0" borderId="47" xfId="0" applyBorder="1" applyAlignment="1">
      <alignment vertical="center"/>
    </xf>
    <xf numFmtId="0" fontId="0" fillId="0" borderId="45" xfId="0" applyBorder="1" applyAlignment="1">
      <alignment vertical="center"/>
    </xf>
    <xf numFmtId="0" fontId="0" fillId="0" borderId="47" xfId="0" applyFill="1" applyBorder="1" applyAlignment="1">
      <alignment horizontal="center" vertical="center"/>
    </xf>
    <xf numFmtId="2" fontId="6" fillId="7" borderId="43" xfId="0" applyNumberFormat="1" applyFont="1" applyFill="1" applyBorder="1" applyAlignment="1">
      <alignment horizontal="center" vertical="center" wrapText="1"/>
    </xf>
    <xf numFmtId="2" fontId="0" fillId="0" borderId="0" xfId="0" applyNumberFormat="1" applyBorder="1" applyAlignment="1">
      <alignment horizontal="left" vertical="top" wrapText="1"/>
    </xf>
    <xf numFmtId="0" fontId="5" fillId="0" borderId="0" xfId="0" applyFont="1" applyBorder="1" applyAlignment="1">
      <alignment horizontal="left" vertical="top"/>
    </xf>
    <xf numFmtId="0" fontId="0" fillId="7" borderId="0" xfId="0" applyFill="1" applyBorder="1" applyAlignment="1">
      <alignment horizontal="center" vertical="center" wrapText="1"/>
    </xf>
    <xf numFmtId="2" fontId="0" fillId="7" borderId="0" xfId="0" applyNumberFormat="1" applyFill="1" applyBorder="1" applyAlignment="1">
      <alignment horizontal="center" vertical="center" wrapText="1"/>
    </xf>
    <xf numFmtId="0" fontId="0" fillId="7" borderId="0" xfId="0" applyFill="1" applyBorder="1"/>
    <xf numFmtId="0" fontId="0" fillId="9" borderId="0" xfId="0" applyFill="1" applyBorder="1"/>
    <xf numFmtId="0" fontId="5" fillId="0" borderId="0" xfId="0" applyFont="1" applyBorder="1" applyAlignment="1">
      <alignment horizontal="left"/>
    </xf>
    <xf numFmtId="0" fontId="0" fillId="0" borderId="0" xfId="0" applyBorder="1" applyAlignment="1">
      <alignment vertical="top"/>
    </xf>
    <xf numFmtId="0" fontId="0" fillId="0" borderId="0" xfId="0" applyFont="1" applyBorder="1" applyAlignment="1">
      <alignment vertical="top" wrapText="1"/>
    </xf>
    <xf numFmtId="0" fontId="0" fillId="0" borderId="0" xfId="0" applyBorder="1" applyAlignment="1">
      <alignment horizontal="left" vertical="top" wrapText="1"/>
    </xf>
    <xf numFmtId="0" fontId="0" fillId="0" borderId="0" xfId="0" applyBorder="1" applyAlignment="1">
      <alignment horizontal="left"/>
    </xf>
    <xf numFmtId="0" fontId="0" fillId="0" borderId="0" xfId="0" quotePrefix="1" applyBorder="1" applyAlignment="1">
      <alignment horizontal="left" vertical="top" wrapText="1"/>
    </xf>
    <xf numFmtId="0" fontId="5" fillId="7" borderId="0" xfId="0" applyFont="1" applyFill="1" applyBorder="1" applyAlignment="1">
      <alignment horizontal="center" vertical="center" textRotation="90" wrapText="1"/>
    </xf>
    <xf numFmtId="0" fontId="0" fillId="0" borderId="0" xfId="0" applyFill="1" applyBorder="1" applyAlignment="1">
      <alignment horizontal="left" indent="1"/>
    </xf>
    <xf numFmtId="0" fontId="0" fillId="0" borderId="0" xfId="0" applyFont="1" applyBorder="1" applyAlignment="1">
      <alignment vertical="top"/>
    </xf>
    <xf numFmtId="0" fontId="0" fillId="0" borderId="0" xfId="0" applyBorder="1" applyAlignment="1">
      <alignment horizontal="center" vertical="top" wrapText="1"/>
    </xf>
    <xf numFmtId="0" fontId="0" fillId="0" borderId="0" xfId="0" applyBorder="1" applyAlignment="1">
      <alignment horizontal="center" vertical="top"/>
    </xf>
    <xf numFmtId="2" fontId="10" fillId="0" borderId="0" xfId="0" applyNumberFormat="1" applyFont="1" applyFill="1" applyBorder="1" applyAlignment="1">
      <alignment wrapText="1"/>
    </xf>
    <xf numFmtId="0" fontId="0" fillId="9" borderId="0" xfId="0" applyFill="1" applyBorder="1" applyAlignment="1">
      <alignment wrapText="1"/>
    </xf>
    <xf numFmtId="0" fontId="10" fillId="0" borderId="0" xfId="0" applyFont="1" applyFill="1" applyBorder="1"/>
    <xf numFmtId="0" fontId="5" fillId="0" borderId="0" xfId="0" applyFont="1" applyFill="1" applyBorder="1"/>
    <xf numFmtId="0" fontId="0" fillId="0" borderId="0" xfId="0" applyFont="1" applyFill="1" applyBorder="1" applyAlignment="1">
      <alignment vertical="top" wrapText="1"/>
    </xf>
    <xf numFmtId="0" fontId="5" fillId="0" borderId="0" xfId="0" applyFont="1" applyFill="1" applyBorder="1" applyAlignment="1">
      <alignment vertical="top"/>
    </xf>
    <xf numFmtId="0" fontId="0" fillId="0" borderId="0" xfId="0" applyFill="1" applyBorder="1" applyAlignment="1">
      <alignment wrapText="1"/>
    </xf>
    <xf numFmtId="0" fontId="0" fillId="0" borderId="0" xfId="0" applyBorder="1" applyAlignment="1">
      <alignment horizontal="center" vertical="center" wrapText="1"/>
    </xf>
    <xf numFmtId="0" fontId="0" fillId="0" borderId="46" xfId="0" applyFill="1" applyBorder="1"/>
    <xf numFmtId="0" fontId="24"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24" fillId="0" borderId="0" xfId="0" applyFont="1" applyFill="1" applyBorder="1" applyAlignment="1">
      <alignment vertical="top" wrapText="1"/>
    </xf>
    <xf numFmtId="0" fontId="0" fillId="0" borderId="1" xfId="0" applyFill="1" applyBorder="1" applyAlignment="1">
      <alignment vertical="top"/>
    </xf>
    <xf numFmtId="0" fontId="0" fillId="0" borderId="1" xfId="0" applyBorder="1" applyAlignment="1">
      <alignment vertical="top"/>
    </xf>
    <xf numFmtId="0" fontId="0" fillId="0" borderId="11" xfId="0" applyFill="1" applyBorder="1" applyAlignment="1">
      <alignment vertical="top"/>
    </xf>
    <xf numFmtId="0" fontId="5" fillId="10" borderId="53" xfId="0" applyFont="1" applyFill="1" applyBorder="1" applyAlignment="1">
      <alignment horizontal="center" vertical="center" textRotation="90"/>
    </xf>
    <xf numFmtId="0" fontId="5" fillId="10" borderId="53" xfId="0" applyFont="1" applyFill="1" applyBorder="1" applyAlignment="1">
      <alignment horizontal="center" vertical="center" textRotation="90" wrapText="1"/>
    </xf>
    <xf numFmtId="0" fontId="0" fillId="0" borderId="6" xfId="0" applyFill="1" applyBorder="1" applyAlignment="1">
      <alignment vertical="top"/>
    </xf>
    <xf numFmtId="0" fontId="0" fillId="0" borderId="20" xfId="0" applyFill="1" applyBorder="1" applyAlignment="1">
      <alignment vertical="top"/>
    </xf>
    <xf numFmtId="0" fontId="0" fillId="0" borderId="22" xfId="0" applyFill="1" applyBorder="1" applyAlignment="1">
      <alignment vertical="top"/>
    </xf>
    <xf numFmtId="0" fontId="0" fillId="0" borderId="23" xfId="0" applyFill="1" applyBorder="1" applyAlignment="1">
      <alignment vertical="top"/>
    </xf>
    <xf numFmtId="0" fontId="0" fillId="0" borderId="60" xfId="0" applyFill="1" applyBorder="1" applyAlignment="1">
      <alignment horizontal="center" vertical="center"/>
    </xf>
    <xf numFmtId="0" fontId="0" fillId="0" borderId="61" xfId="0" applyFill="1" applyBorder="1" applyAlignment="1">
      <alignment horizontal="center" vertical="center"/>
    </xf>
    <xf numFmtId="0" fontId="0" fillId="0" borderId="62" xfId="0" applyFill="1" applyBorder="1" applyAlignment="1">
      <alignment horizontal="center" vertical="center"/>
    </xf>
    <xf numFmtId="0" fontId="0" fillId="0" borderId="59" xfId="0" applyFill="1" applyBorder="1" applyAlignment="1">
      <alignment vertical="top" wrapText="1"/>
    </xf>
    <xf numFmtId="0" fontId="0" fillId="0" borderId="59" xfId="0" applyFill="1" applyBorder="1" applyAlignment="1">
      <alignment vertical="top"/>
    </xf>
    <xf numFmtId="0" fontId="0" fillId="0" borderId="66" xfId="0" applyFill="1" applyBorder="1" applyAlignment="1">
      <alignment vertical="top"/>
    </xf>
    <xf numFmtId="0" fontId="0" fillId="0" borderId="69" xfId="0" applyFill="1" applyBorder="1" applyAlignment="1">
      <alignment vertical="top" wrapText="1"/>
    </xf>
    <xf numFmtId="0" fontId="0" fillId="0" borderId="17" xfId="0" applyFill="1" applyBorder="1" applyAlignment="1">
      <alignment vertical="top"/>
    </xf>
    <xf numFmtId="0" fontId="0" fillId="0" borderId="18" xfId="0" applyFill="1" applyBorder="1" applyAlignment="1">
      <alignment vertical="top"/>
    </xf>
    <xf numFmtId="0" fontId="0" fillId="0" borderId="19" xfId="0" applyFill="1" applyBorder="1" applyAlignment="1">
      <alignment vertical="top" wrapText="1"/>
    </xf>
    <xf numFmtId="0" fontId="0" fillId="0" borderId="73" xfId="0" applyFill="1" applyBorder="1" applyAlignment="1">
      <alignment horizontal="center" vertical="center"/>
    </xf>
    <xf numFmtId="0" fontId="0" fillId="0" borderId="5" xfId="0" applyFill="1" applyBorder="1" applyAlignment="1">
      <alignment vertical="top"/>
    </xf>
    <xf numFmtId="0" fontId="0" fillId="0" borderId="25" xfId="0" applyFill="1" applyBorder="1" applyAlignment="1">
      <alignment vertical="top"/>
    </xf>
    <xf numFmtId="0" fontId="0" fillId="0" borderId="27" xfId="0" applyFill="1" applyBorder="1" applyAlignment="1">
      <alignment vertical="top"/>
    </xf>
    <xf numFmtId="0" fontId="0" fillId="0" borderId="9" xfId="0" applyFill="1" applyBorder="1" applyAlignment="1">
      <alignment vertical="top"/>
    </xf>
    <xf numFmtId="0" fontId="0" fillId="0" borderId="72" xfId="0" applyFill="1" applyBorder="1" applyAlignment="1">
      <alignment vertical="top"/>
    </xf>
    <xf numFmtId="0" fontId="0" fillId="0" borderId="66" xfId="0" applyFill="1" applyBorder="1" applyAlignment="1">
      <alignment vertical="top" wrapText="1"/>
    </xf>
    <xf numFmtId="0" fontId="0" fillId="0" borderId="23" xfId="0" applyFont="1" applyFill="1" applyBorder="1" applyAlignment="1">
      <alignment horizontal="left" vertical="top" wrapText="1"/>
    </xf>
    <xf numFmtId="0" fontId="5" fillId="0" borderId="4" xfId="0" applyFont="1" applyFill="1" applyBorder="1" applyAlignment="1">
      <alignment horizontal="left" vertical="top" wrapText="1"/>
    </xf>
    <xf numFmtId="0" fontId="0" fillId="0" borderId="23" xfId="0" applyFont="1" applyFill="1" applyBorder="1" applyAlignment="1">
      <alignment horizontal="left" vertical="top"/>
    </xf>
    <xf numFmtId="0" fontId="0" fillId="0" borderId="65" xfId="0" applyFill="1" applyBorder="1" applyAlignment="1">
      <alignment vertical="top" wrapText="1"/>
    </xf>
    <xf numFmtId="0" fontId="0" fillId="0" borderId="19" xfId="0" applyFill="1" applyBorder="1" applyAlignment="1">
      <alignment vertical="top"/>
    </xf>
    <xf numFmtId="0" fontId="0" fillId="0" borderId="21" xfId="0" applyFill="1" applyBorder="1" applyAlignment="1">
      <alignment vertical="top"/>
    </xf>
    <xf numFmtId="0" fontId="0" fillId="0" borderId="31" xfId="0" applyFill="1" applyBorder="1" applyAlignment="1">
      <alignment vertical="top"/>
    </xf>
    <xf numFmtId="0" fontId="0" fillId="0" borderId="20" xfId="0" applyBorder="1" applyAlignment="1">
      <alignment vertical="top"/>
    </xf>
    <xf numFmtId="2" fontId="0" fillId="0" borderId="59" xfId="0" applyNumberFormat="1" applyFill="1" applyBorder="1" applyAlignment="1">
      <alignment vertical="top" wrapText="1"/>
    </xf>
    <xf numFmtId="0" fontId="0" fillId="0" borderId="57" xfId="0" applyFill="1" applyBorder="1" applyAlignment="1">
      <alignment vertical="top" wrapText="1"/>
    </xf>
    <xf numFmtId="0" fontId="0" fillId="0" borderId="51" xfId="0" applyFill="1" applyBorder="1" applyAlignment="1">
      <alignment vertical="top"/>
    </xf>
    <xf numFmtId="0" fontId="0" fillId="0" borderId="19" xfId="0" applyFill="1" applyBorder="1" applyAlignment="1">
      <alignment horizontal="left" vertical="top" wrapText="1"/>
    </xf>
    <xf numFmtId="2" fontId="0" fillId="0" borderId="19" xfId="0" applyNumberFormat="1" applyFill="1" applyBorder="1" applyAlignment="1">
      <alignment vertical="top" wrapText="1"/>
    </xf>
    <xf numFmtId="0" fontId="24" fillId="0" borderId="59" xfId="0" applyFont="1" applyFill="1" applyBorder="1" applyAlignment="1">
      <alignment horizontal="justify" vertical="top"/>
    </xf>
    <xf numFmtId="0" fontId="0" fillId="0" borderId="22" xfId="0" applyBorder="1" applyAlignment="1">
      <alignment vertical="top"/>
    </xf>
    <xf numFmtId="2" fontId="0" fillId="0" borderId="66" xfId="0" applyNumberFormat="1" applyFill="1" applyBorder="1" applyAlignment="1">
      <alignment vertical="top" wrapText="1"/>
    </xf>
    <xf numFmtId="0" fontId="0" fillId="0" borderId="22" xfId="0" applyFill="1" applyBorder="1"/>
    <xf numFmtId="0" fontId="0" fillId="0" borderId="53" xfId="0" applyFill="1" applyBorder="1" applyAlignment="1">
      <alignment vertical="top"/>
    </xf>
    <xf numFmtId="0" fontId="5" fillId="0" borderId="56" xfId="0" applyFont="1" applyFill="1" applyBorder="1" applyAlignment="1">
      <alignment horizontal="left" vertical="top" wrapText="1"/>
    </xf>
    <xf numFmtId="2" fontId="0" fillId="0" borderId="65" xfId="0" applyNumberFormat="1" applyFill="1" applyBorder="1" applyAlignment="1">
      <alignment vertical="top" wrapText="1"/>
    </xf>
    <xf numFmtId="0" fontId="24" fillId="0" borderId="65" xfId="0" applyFont="1" applyFill="1" applyBorder="1" applyAlignment="1">
      <alignment horizontal="justify" vertical="top"/>
    </xf>
    <xf numFmtId="0" fontId="0" fillId="0" borderId="66" xfId="0" applyFill="1" applyBorder="1" applyAlignment="1">
      <alignment wrapText="1"/>
    </xf>
    <xf numFmtId="0" fontId="0" fillId="0" borderId="23" xfId="0" applyFill="1" applyBorder="1"/>
    <xf numFmtId="0" fontId="0" fillId="0" borderId="2" xfId="0" applyFill="1" applyBorder="1" applyAlignment="1">
      <alignment vertical="top" wrapText="1"/>
    </xf>
    <xf numFmtId="0" fontId="0" fillId="0" borderId="8" xfId="0" applyFill="1" applyBorder="1" applyAlignment="1">
      <alignment vertical="top"/>
    </xf>
    <xf numFmtId="0" fontId="24" fillId="0" borderId="66" xfId="0" applyFont="1" applyFill="1" applyBorder="1" applyAlignment="1">
      <alignment horizontal="justify" vertical="top"/>
    </xf>
    <xf numFmtId="0" fontId="24" fillId="0" borderId="59" xfId="0" applyFont="1" applyFill="1" applyBorder="1" applyAlignment="1">
      <alignment horizontal="justify" vertical="top" wrapText="1"/>
    </xf>
    <xf numFmtId="0" fontId="0" fillId="0" borderId="59" xfId="0" applyFill="1" applyBorder="1"/>
    <xf numFmtId="0" fontId="0" fillId="0" borderId="65" xfId="0" applyFill="1" applyBorder="1" applyAlignment="1">
      <alignment vertical="top"/>
    </xf>
    <xf numFmtId="0" fontId="0" fillId="0" borderId="65" xfId="0" applyFill="1" applyBorder="1"/>
    <xf numFmtId="0" fontId="0" fillId="0" borderId="0" xfId="0" applyFill="1" applyBorder="1" applyAlignment="1">
      <alignment horizontal="center" vertical="top"/>
    </xf>
    <xf numFmtId="0" fontId="0" fillId="0" borderId="64" xfId="0" applyFill="1" applyBorder="1" applyAlignment="1">
      <alignment horizontal="center" vertical="center"/>
    </xf>
    <xf numFmtId="0" fontId="0" fillId="0" borderId="61" xfId="0" applyFill="1" applyBorder="1" applyAlignment="1">
      <alignment horizontal="center" vertical="center" wrapText="1"/>
    </xf>
    <xf numFmtId="0" fontId="0" fillId="0" borderId="12" xfId="0" applyFill="1" applyBorder="1" applyAlignment="1">
      <alignment horizontal="center" vertical="center"/>
    </xf>
    <xf numFmtId="0" fontId="26" fillId="0" borderId="43" xfId="0" applyFont="1" applyFill="1" applyBorder="1" applyAlignment="1">
      <alignment horizontal="center" vertical="center"/>
    </xf>
    <xf numFmtId="0" fontId="0" fillId="0" borderId="62" xfId="0" applyFill="1" applyBorder="1" applyAlignment="1">
      <alignment horizontal="center" vertical="center" wrapText="1"/>
    </xf>
    <xf numFmtId="0" fontId="0" fillId="0" borderId="60" xfId="0" applyFill="1" applyBorder="1" applyAlignment="1">
      <alignment horizontal="center" vertical="center" wrapText="1"/>
    </xf>
    <xf numFmtId="0" fontId="5" fillId="0" borderId="60" xfId="0" applyFont="1" applyFill="1" applyBorder="1" applyAlignment="1">
      <alignment horizontal="center" vertical="center" textRotation="90"/>
    </xf>
    <xf numFmtId="0" fontId="5" fillId="10" borderId="8" xfId="0" applyFont="1" applyFill="1" applyBorder="1" applyAlignment="1">
      <alignment horizontal="center" vertical="center" textRotation="90" wrapText="1"/>
    </xf>
    <xf numFmtId="9" fontId="0" fillId="0" borderId="0" xfId="0" applyNumberFormat="1" applyBorder="1" applyAlignment="1">
      <alignment horizontal="right" vertical="center"/>
    </xf>
    <xf numFmtId="2" fontId="6" fillId="0" borderId="0" xfId="0" applyNumberFormat="1" applyFont="1" applyFill="1" applyBorder="1" applyAlignment="1">
      <alignment vertical="top" wrapText="1"/>
    </xf>
    <xf numFmtId="0" fontId="5" fillId="7" borderId="0" xfId="0" applyFont="1" applyFill="1" applyBorder="1" applyAlignment="1">
      <alignment vertical="center" textRotation="90" wrapText="1"/>
    </xf>
    <xf numFmtId="0" fontId="14" fillId="0" borderId="0" xfId="0" applyFont="1" applyFill="1" applyBorder="1" applyAlignment="1">
      <alignment horizontal="center" vertical="top" wrapText="1"/>
    </xf>
    <xf numFmtId="0" fontId="0" fillId="0" borderId="0" xfId="0" applyFont="1" applyFill="1" applyBorder="1" applyAlignment="1">
      <alignment horizontal="center" vertical="center" textRotation="90" wrapText="1"/>
    </xf>
    <xf numFmtId="4" fontId="5" fillId="0" borderId="12" xfId="0" applyNumberFormat="1" applyFont="1" applyBorder="1" applyAlignment="1">
      <alignment horizontal="center" vertical="center"/>
    </xf>
    <xf numFmtId="0" fontId="13" fillId="0" borderId="0" xfId="0" applyFont="1" applyFill="1" applyBorder="1" applyAlignment="1">
      <alignment horizontal="left" vertical="top" wrapText="1"/>
    </xf>
    <xf numFmtId="4" fontId="5" fillId="0" borderId="0" xfId="0" applyNumberFormat="1" applyFont="1" applyBorder="1" applyAlignment="1">
      <alignment horizontal="center" vertical="center"/>
    </xf>
    <xf numFmtId="2" fontId="6" fillId="0" borderId="0" xfId="0" applyNumberFormat="1" applyFont="1" applyFill="1" applyBorder="1" applyAlignment="1">
      <alignment horizontal="center" vertical="center" wrapText="1"/>
    </xf>
    <xf numFmtId="2" fontId="6" fillId="0" borderId="0" xfId="0" applyNumberFormat="1" applyFont="1" applyFill="1" applyBorder="1" applyAlignment="1">
      <alignment vertical="center" wrapText="1"/>
    </xf>
    <xf numFmtId="0" fontId="0" fillId="0" borderId="0" xfId="0" quotePrefix="1" applyBorder="1" applyAlignment="1">
      <alignment wrapText="1"/>
    </xf>
    <xf numFmtId="0" fontId="0" fillId="0" borderId="17" xfId="0" applyBorder="1" applyAlignment="1">
      <alignment vertical="top" wrapText="1"/>
    </xf>
    <xf numFmtId="0" fontId="0" fillId="0" borderId="17" xfId="0" applyBorder="1" applyAlignment="1">
      <alignment vertical="top"/>
    </xf>
    <xf numFmtId="2" fontId="0" fillId="0" borderId="1" xfId="0" applyNumberFormat="1" applyBorder="1" applyAlignment="1">
      <alignment vertical="top" wrapText="1"/>
    </xf>
    <xf numFmtId="0" fontId="0" fillId="0" borderId="1" xfId="0" applyBorder="1" applyAlignment="1">
      <alignment vertical="top" wrapText="1"/>
    </xf>
    <xf numFmtId="0" fontId="0" fillId="0" borderId="23" xfId="0" applyBorder="1"/>
    <xf numFmtId="0" fontId="0" fillId="0" borderId="53" xfId="0" applyBorder="1" applyAlignment="1">
      <alignment vertical="top"/>
    </xf>
    <xf numFmtId="0" fontId="0" fillId="0" borderId="0" xfId="0" applyFill="1" applyBorder="1" applyAlignment="1">
      <alignment horizontal="center" vertical="top" wrapText="1"/>
    </xf>
    <xf numFmtId="0" fontId="5" fillId="0" borderId="0" xfId="0" applyFont="1" applyFill="1" applyBorder="1" applyAlignment="1">
      <alignment horizontal="center" vertical="center" textRotation="90" wrapText="1"/>
    </xf>
    <xf numFmtId="0" fontId="5" fillId="0" borderId="0" xfId="0" applyFont="1" applyFill="1" applyBorder="1" applyAlignment="1">
      <alignment horizontal="left" vertical="top"/>
    </xf>
    <xf numFmtId="0" fontId="0" fillId="0" borderId="0" xfId="0" applyFill="1" applyBorder="1" applyAlignment="1">
      <alignment horizontal="center" vertical="top"/>
    </xf>
    <xf numFmtId="0" fontId="0" fillId="0" borderId="0" xfId="0" applyBorder="1" applyAlignment="1">
      <alignment horizontal="left" vertical="top"/>
    </xf>
    <xf numFmtId="0" fontId="0" fillId="0" borderId="0" xfId="0" applyFont="1" applyBorder="1" applyAlignment="1">
      <alignment horizontal="left" vertical="top"/>
    </xf>
    <xf numFmtId="0" fontId="0" fillId="0" borderId="0" xfId="0" applyFill="1" applyBorder="1" applyAlignment="1">
      <alignment horizontal="left" vertical="top"/>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33" xfId="0" applyFont="1" applyBorder="1"/>
    <xf numFmtId="0" fontId="0" fillId="0" borderId="33" xfId="0" applyFont="1" applyFill="1" applyBorder="1" applyAlignment="1">
      <alignment vertical="center"/>
    </xf>
    <xf numFmtId="0" fontId="5" fillId="0" borderId="0" xfId="0" applyFont="1"/>
    <xf numFmtId="0" fontId="0" fillId="0" borderId="46" xfId="0" applyBorder="1" applyAlignment="1"/>
    <xf numFmtId="0" fontId="0" fillId="0" borderId="37" xfId="0" applyBorder="1" applyAlignment="1"/>
    <xf numFmtId="0" fontId="5" fillId="0" borderId="0" xfId="0" applyFont="1" applyFill="1" applyBorder="1" applyAlignment="1">
      <alignment horizontal="left" vertical="top" textRotation="90" wrapText="1"/>
    </xf>
    <xf numFmtId="0" fontId="0" fillId="0" borderId="20" xfId="0" applyFont="1" applyFill="1" applyBorder="1" applyAlignment="1">
      <alignment horizontal="left" vertical="top"/>
    </xf>
    <xf numFmtId="0" fontId="0" fillId="0" borderId="23" xfId="0" applyFill="1" applyBorder="1" applyAlignment="1">
      <alignment horizontal="left" vertical="top"/>
    </xf>
    <xf numFmtId="0" fontId="5" fillId="0" borderId="47" xfId="0" applyFont="1" applyFill="1" applyBorder="1" applyAlignment="1">
      <alignment horizontal="left" vertical="top" wrapText="1"/>
    </xf>
    <xf numFmtId="0" fontId="0" fillId="0" borderId="18" xfId="0" applyFont="1" applyFill="1" applyBorder="1" applyAlignment="1">
      <alignment horizontal="left" vertical="top"/>
    </xf>
    <xf numFmtId="0" fontId="0" fillId="0" borderId="18" xfId="0" applyFill="1" applyBorder="1" applyAlignment="1">
      <alignment horizontal="left" vertical="top"/>
    </xf>
    <xf numFmtId="0" fontId="0" fillId="0" borderId="18" xfId="0" applyFont="1" applyFill="1" applyBorder="1" applyAlignment="1">
      <alignment horizontal="left" vertical="top" wrapText="1"/>
    </xf>
    <xf numFmtId="0" fontId="0" fillId="0" borderId="20" xfId="0" applyFont="1" applyFill="1" applyBorder="1" applyAlignment="1">
      <alignment horizontal="left" vertical="top" wrapText="1"/>
    </xf>
    <xf numFmtId="0" fontId="0" fillId="0" borderId="0" xfId="0" applyBorder="1" applyAlignment="1">
      <alignment horizontal="left" vertical="top"/>
    </xf>
    <xf numFmtId="0" fontId="0" fillId="0" borderId="0" xfId="0" applyFont="1" applyBorder="1" applyAlignment="1">
      <alignment horizontal="left" vertical="top"/>
    </xf>
    <xf numFmtId="2" fontId="6" fillId="7" borderId="0" xfId="0" applyNumberFormat="1" applyFont="1" applyFill="1" applyBorder="1" applyAlignment="1">
      <alignment horizontal="center" vertical="center" wrapText="1"/>
    </xf>
    <xf numFmtId="0" fontId="5" fillId="0" borderId="43" xfId="0" applyFont="1" applyFill="1" applyBorder="1" applyAlignment="1">
      <alignment horizontal="center" vertical="center" textRotation="90"/>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0" fillId="0" borderId="0" xfId="0"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center" vertical="top" wrapText="1"/>
    </xf>
    <xf numFmtId="0" fontId="0" fillId="0" borderId="9" xfId="0" applyBorder="1" applyAlignment="1">
      <alignment vertical="top"/>
    </xf>
    <xf numFmtId="0" fontId="0" fillId="0" borderId="1" xfId="0" applyFill="1" applyBorder="1" applyAlignment="1">
      <alignment horizontal="center" vertical="center"/>
    </xf>
    <xf numFmtId="0" fontId="0" fillId="0" borderId="1" xfId="0" applyFill="1" applyBorder="1" applyAlignment="1">
      <alignment vertical="top" wrapText="1"/>
    </xf>
    <xf numFmtId="0" fontId="0" fillId="0" borderId="1" xfId="0" applyFill="1" applyBorder="1" applyAlignment="1">
      <alignment horizontal="left" vertical="top" wrapText="1"/>
    </xf>
    <xf numFmtId="0" fontId="0" fillId="0" borderId="1" xfId="0" applyFill="1" applyBorder="1" applyAlignment="1">
      <alignment horizontal="center" vertical="top"/>
    </xf>
    <xf numFmtId="2" fontId="0" fillId="0" borderId="1" xfId="0" applyNumberFormat="1" applyFill="1" applyBorder="1" applyAlignment="1">
      <alignment vertical="top"/>
    </xf>
    <xf numFmtId="0" fontId="0" fillId="0" borderId="1" xfId="0" applyFill="1" applyBorder="1"/>
    <xf numFmtId="2" fontId="0" fillId="0" borderId="1" xfId="0" applyNumberFormat="1" applyFill="1" applyBorder="1" applyAlignment="1">
      <alignment vertical="top" wrapText="1"/>
    </xf>
    <xf numFmtId="0" fontId="24" fillId="0" borderId="1" xfId="0" applyFont="1" applyFill="1" applyBorder="1" applyAlignment="1">
      <alignment horizontal="justify" vertical="top"/>
    </xf>
    <xf numFmtId="0" fontId="0" fillId="0" borderId="1" xfId="0" applyFill="1" applyBorder="1" applyAlignment="1">
      <alignment horizontal="left" vertical="top"/>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0" borderId="1" xfId="0" applyFill="1" applyBorder="1" applyAlignment="1">
      <alignment horizontal="center"/>
    </xf>
    <xf numFmtId="0" fontId="24" fillId="0" borderId="1" xfId="0" applyFont="1" applyFill="1" applyBorder="1" applyAlignment="1">
      <alignment horizontal="justify"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xf numFmtId="0" fontId="0" fillId="0" borderId="1" xfId="0" applyFont="1" applyBorder="1" applyAlignment="1">
      <alignment vertical="top" wrapText="1"/>
    </xf>
    <xf numFmtId="0" fontId="0" fillId="0" borderId="1" xfId="0" applyBorder="1" applyAlignment="1">
      <alignment wrapText="1"/>
    </xf>
    <xf numFmtId="2" fontId="0" fillId="0" borderId="1" xfId="0" applyNumberFormat="1" applyBorder="1"/>
    <xf numFmtId="2" fontId="0" fillId="0" borderId="1" xfId="0" applyNumberFormat="1" applyBorder="1" applyAlignment="1">
      <alignment wrapText="1"/>
    </xf>
    <xf numFmtId="0" fontId="0" fillId="0" borderId="1" xfId="0" applyBorder="1" applyAlignment="1">
      <alignment horizontal="center" vertical="top"/>
    </xf>
    <xf numFmtId="2" fontId="0" fillId="0" borderId="1" xfId="0" applyNumberFormat="1" applyBorder="1" applyAlignment="1">
      <alignment vertical="top"/>
    </xf>
    <xf numFmtId="2" fontId="0" fillId="0" borderId="1" xfId="0" applyNumberFormat="1" applyFill="1" applyBorder="1" applyAlignment="1">
      <alignment horizontal="left" vertical="top" wrapText="1"/>
    </xf>
    <xf numFmtId="0" fontId="24" fillId="0" borderId="1" xfId="0" applyFont="1" applyFill="1" applyBorder="1" applyAlignment="1">
      <alignment horizontal="left" vertical="top" wrapText="1"/>
    </xf>
    <xf numFmtId="0" fontId="24" fillId="0" borderId="1" xfId="0" applyFont="1" applyFill="1" applyBorder="1" applyAlignment="1">
      <alignment horizontal="justify" vertical="center"/>
    </xf>
    <xf numFmtId="2" fontId="0" fillId="0" borderId="1" xfId="0" applyNumberFormat="1" applyFill="1" applyBorder="1" applyAlignment="1">
      <alignment wrapText="1"/>
    </xf>
    <xf numFmtId="0" fontId="24" fillId="0" borderId="1" xfId="0" applyFont="1" applyBorder="1" applyAlignment="1">
      <alignment horizontal="justify" vertical="top"/>
    </xf>
    <xf numFmtId="2" fontId="0" fillId="0" borderId="1" xfId="0" applyNumberFormat="1" applyFill="1" applyBorder="1" applyAlignment="1">
      <alignment horizontal="right" vertical="top"/>
    </xf>
    <xf numFmtId="2" fontId="0" fillId="0" borderId="1" xfId="0" applyNumberFormat="1" applyBorder="1" applyAlignment="1">
      <alignment horizontal="left" vertical="top"/>
    </xf>
    <xf numFmtId="0" fontId="0" fillId="7" borderId="1" xfId="0" applyFill="1" applyBorder="1" applyAlignment="1">
      <alignment horizontal="center" vertical="center"/>
    </xf>
    <xf numFmtId="0" fontId="0" fillId="0" borderId="1" xfId="0" applyBorder="1" applyAlignment="1">
      <alignment horizontal="center"/>
    </xf>
    <xf numFmtId="0" fontId="0" fillId="7" borderId="1" xfId="0" applyFill="1" applyBorder="1" applyAlignment="1">
      <alignment vertical="top"/>
    </xf>
    <xf numFmtId="0" fontId="24" fillId="0" borderId="1" xfId="0" applyFont="1" applyBorder="1" applyAlignment="1">
      <alignment horizontal="justify" vertical="center"/>
    </xf>
    <xf numFmtId="0" fontId="5" fillId="0" borderId="0" xfId="0" applyFont="1" applyBorder="1" applyAlignment="1">
      <alignment vertical="center" textRotation="90" wrapText="1"/>
    </xf>
    <xf numFmtId="0" fontId="0" fillId="0" borderId="46" xfId="0" applyFill="1" applyBorder="1" applyAlignment="1">
      <alignment vertical="center" wrapText="1"/>
    </xf>
    <xf numFmtId="0" fontId="29" fillId="10" borderId="12" xfId="0" applyFont="1" applyFill="1" applyBorder="1" applyAlignment="1">
      <alignment horizontal="center" vertical="center" wrapText="1"/>
    </xf>
    <xf numFmtId="0" fontId="5" fillId="0" borderId="40" xfId="0" applyFont="1" applyFill="1" applyBorder="1" applyAlignment="1">
      <alignment horizontal="center" vertical="center" textRotation="90"/>
    </xf>
    <xf numFmtId="0" fontId="5" fillId="0" borderId="40" xfId="0" applyFont="1" applyFill="1" applyBorder="1" applyAlignment="1">
      <alignment horizontal="center" vertical="center" textRotation="90" wrapText="1"/>
    </xf>
    <xf numFmtId="0" fontId="5" fillId="0" borderId="41" xfId="0" applyFont="1" applyFill="1" applyBorder="1" applyAlignment="1">
      <alignment horizontal="center" vertical="center" textRotation="90" wrapText="1"/>
    </xf>
    <xf numFmtId="2" fontId="15" fillId="0" borderId="39" xfId="0" applyNumberFormat="1" applyFont="1" applyFill="1" applyBorder="1" applyAlignment="1">
      <alignment horizontal="left" vertical="top"/>
    </xf>
    <xf numFmtId="0" fontId="15" fillId="0" borderId="12" xfId="0" applyFont="1" applyFill="1" applyBorder="1" applyAlignment="1">
      <alignment horizontal="left" vertical="top" wrapText="1"/>
    </xf>
    <xf numFmtId="0" fontId="0" fillId="0" borderId="13" xfId="0" applyFill="1" applyBorder="1" applyAlignment="1">
      <alignment vertical="top" wrapText="1"/>
    </xf>
    <xf numFmtId="0" fontId="0" fillId="0" borderId="70" xfId="0" applyFill="1" applyBorder="1" applyAlignment="1">
      <alignment vertical="top" wrapText="1"/>
    </xf>
    <xf numFmtId="2" fontId="15" fillId="0" borderId="2" xfId="0" applyNumberFormat="1" applyFont="1" applyFill="1" applyBorder="1" applyAlignment="1">
      <alignment horizontal="left" vertical="top"/>
    </xf>
    <xf numFmtId="0" fontId="5" fillId="0" borderId="3" xfId="0" applyFont="1" applyFill="1" applyBorder="1" applyAlignment="1">
      <alignment horizontal="center" vertical="center" textRotation="90"/>
    </xf>
    <xf numFmtId="0" fontId="5" fillId="0" borderId="3" xfId="0" applyFont="1" applyFill="1" applyBorder="1" applyAlignment="1">
      <alignment horizontal="center" vertical="center" textRotation="90" wrapText="1"/>
    </xf>
    <xf numFmtId="0" fontId="5" fillId="0" borderId="4" xfId="0" applyFont="1" applyFill="1" applyBorder="1" applyAlignment="1">
      <alignment horizontal="center" vertical="center" textRotation="90" wrapText="1"/>
    </xf>
    <xf numFmtId="0" fontId="10" fillId="0" borderId="47" xfId="0" applyFont="1" applyFill="1" applyBorder="1" applyAlignment="1">
      <alignment vertical="top"/>
    </xf>
    <xf numFmtId="0" fontId="5" fillId="0" borderId="0" xfId="0" applyFont="1" applyFill="1" applyBorder="1" applyAlignment="1">
      <alignment horizontal="center" vertical="top"/>
    </xf>
    <xf numFmtId="0" fontId="0" fillId="0" borderId="56" xfId="0" applyBorder="1" applyAlignment="1">
      <alignment horizontal="left" vertical="top"/>
    </xf>
    <xf numFmtId="0" fontId="0" fillId="0" borderId="67" xfId="0" applyFill="1" applyBorder="1" applyAlignment="1">
      <alignment vertical="top"/>
    </xf>
    <xf numFmtId="0" fontId="0" fillId="0" borderId="55" xfId="0" applyFill="1" applyBorder="1" applyAlignment="1">
      <alignment horizontal="center" vertical="top" wrapText="1"/>
    </xf>
    <xf numFmtId="0" fontId="5" fillId="10" borderId="7" xfId="0" applyFont="1" applyFill="1" applyBorder="1" applyAlignment="1">
      <alignment horizontal="center" vertical="center" textRotation="90"/>
    </xf>
    <xf numFmtId="0" fontId="5" fillId="14" borderId="7" xfId="0" applyFont="1" applyFill="1" applyBorder="1" applyAlignment="1">
      <alignment horizontal="left" vertical="top" textRotation="90"/>
    </xf>
    <xf numFmtId="0" fontId="5" fillId="14" borderId="53" xfId="0" applyFont="1" applyFill="1" applyBorder="1" applyAlignment="1">
      <alignment horizontal="left" vertical="top" textRotation="90"/>
    </xf>
    <xf numFmtId="0" fontId="5" fillId="14" borderId="8" xfId="0" applyFont="1" applyFill="1" applyBorder="1" applyAlignment="1">
      <alignment horizontal="left" vertical="top" textRotation="90" wrapText="1"/>
    </xf>
    <xf numFmtId="0" fontId="5" fillId="12" borderId="7" xfId="0" applyFont="1" applyFill="1" applyBorder="1" applyAlignment="1">
      <alignment horizontal="left" vertical="top" textRotation="90"/>
    </xf>
    <xf numFmtId="0" fontId="5" fillId="12" borderId="53" xfId="0" applyFont="1" applyFill="1" applyBorder="1" applyAlignment="1">
      <alignment horizontal="left" vertical="top" textRotation="90"/>
    </xf>
    <xf numFmtId="0" fontId="5" fillId="12" borderId="8" xfId="0" applyFont="1" applyFill="1" applyBorder="1" applyAlignment="1">
      <alignment horizontal="left" vertical="top" textRotation="90" wrapText="1"/>
    </xf>
    <xf numFmtId="0" fontId="5" fillId="3" borderId="7" xfId="0" applyFont="1" applyFill="1" applyBorder="1" applyAlignment="1">
      <alignment horizontal="left" vertical="top" textRotation="90"/>
    </xf>
    <xf numFmtId="0" fontId="5" fillId="3" borderId="53" xfId="0" applyFont="1" applyFill="1" applyBorder="1" applyAlignment="1">
      <alignment horizontal="left" vertical="top" textRotation="90"/>
    </xf>
    <xf numFmtId="0" fontId="5" fillId="3" borderId="8" xfId="0" applyFont="1" applyFill="1" applyBorder="1" applyAlignment="1">
      <alignment horizontal="left" vertical="top" textRotation="90" wrapText="1"/>
    </xf>
    <xf numFmtId="0" fontId="5" fillId="13" borderId="7" xfId="0" applyFont="1" applyFill="1" applyBorder="1" applyAlignment="1">
      <alignment horizontal="left" vertical="top" textRotation="90"/>
    </xf>
    <xf numFmtId="0" fontId="5" fillId="13" borderId="53" xfId="0" applyFont="1" applyFill="1" applyBorder="1" applyAlignment="1">
      <alignment horizontal="left" vertical="top" textRotation="90"/>
    </xf>
    <xf numFmtId="0" fontId="5" fillId="13" borderId="8" xfId="0" applyFont="1" applyFill="1" applyBorder="1" applyAlignment="1">
      <alignment horizontal="left" vertical="top" textRotation="90" wrapText="1"/>
    </xf>
    <xf numFmtId="0" fontId="5" fillId="15" borderId="7" xfId="0" applyFont="1" applyFill="1" applyBorder="1" applyAlignment="1">
      <alignment horizontal="left" vertical="top" textRotation="90"/>
    </xf>
    <xf numFmtId="0" fontId="5" fillId="15" borderId="53" xfId="0" applyFont="1" applyFill="1" applyBorder="1" applyAlignment="1">
      <alignment horizontal="left" vertical="top" textRotation="90"/>
    </xf>
    <xf numFmtId="0" fontId="5" fillId="15" borderId="8" xfId="0" applyFont="1" applyFill="1" applyBorder="1" applyAlignment="1">
      <alignment horizontal="left" vertical="top" textRotation="90" wrapText="1"/>
    </xf>
    <xf numFmtId="0" fontId="5" fillId="0"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textRotation="90"/>
    </xf>
    <xf numFmtId="0" fontId="5" fillId="14" borderId="39" xfId="0" applyFont="1" applyFill="1" applyBorder="1" applyAlignment="1">
      <alignment horizontal="left" vertical="top" wrapText="1"/>
    </xf>
    <xf numFmtId="0" fontId="5" fillId="14" borderId="40" xfId="0" applyFont="1" applyFill="1" applyBorder="1" applyAlignment="1">
      <alignment horizontal="left" vertical="top"/>
    </xf>
    <xf numFmtId="0" fontId="5" fillId="12" borderId="39" xfId="0" applyFont="1" applyFill="1" applyBorder="1" applyAlignment="1">
      <alignment horizontal="left" vertical="top" wrapText="1"/>
    </xf>
    <xf numFmtId="0" fontId="5" fillId="3" borderId="40" xfId="0" applyFont="1" applyFill="1" applyBorder="1" applyAlignment="1">
      <alignment horizontal="left" vertical="top"/>
    </xf>
    <xf numFmtId="0" fontId="5" fillId="13" borderId="39" xfId="0" applyFont="1" applyFill="1" applyBorder="1" applyAlignment="1">
      <alignment horizontal="left" vertical="top" wrapText="1"/>
    </xf>
    <xf numFmtId="0" fontId="5" fillId="13" borderId="40" xfId="0" applyFont="1" applyFill="1" applyBorder="1" applyAlignment="1">
      <alignment horizontal="left" vertical="top"/>
    </xf>
    <xf numFmtId="0" fontId="5" fillId="15" borderId="39" xfId="0" applyFont="1" applyFill="1" applyBorder="1" applyAlignment="1">
      <alignment horizontal="left" vertical="top" wrapText="1"/>
    </xf>
    <xf numFmtId="0" fontId="5" fillId="15" borderId="40" xfId="0" applyFont="1" applyFill="1" applyBorder="1" applyAlignment="1">
      <alignment horizontal="left" vertical="top"/>
    </xf>
    <xf numFmtId="0" fontId="5" fillId="15" borderId="41" xfId="0" applyFont="1" applyFill="1" applyBorder="1" applyAlignment="1">
      <alignment horizontal="left" vertical="top" textRotation="90" wrapText="1"/>
    </xf>
    <xf numFmtId="0" fontId="0" fillId="0" borderId="37" xfId="0" applyFill="1" applyBorder="1" applyAlignment="1">
      <alignment vertical="center"/>
    </xf>
    <xf numFmtId="0" fontId="29" fillId="14" borderId="12" xfId="0" applyFont="1" applyFill="1" applyBorder="1" applyAlignment="1">
      <alignment horizontal="left" vertical="top" wrapText="1"/>
    </xf>
    <xf numFmtId="166" fontId="29" fillId="14" borderId="12" xfId="0" applyNumberFormat="1" applyFont="1" applyFill="1" applyBorder="1" applyAlignment="1">
      <alignment horizontal="left" vertical="top" wrapText="1"/>
    </xf>
    <xf numFmtId="166" fontId="29" fillId="12" borderId="12" xfId="0" applyNumberFormat="1" applyFont="1" applyFill="1" applyBorder="1" applyAlignment="1">
      <alignment horizontal="left" vertical="top" wrapText="1"/>
    </xf>
    <xf numFmtId="0" fontId="29" fillId="13" borderId="12" xfId="0" applyFont="1" applyFill="1" applyBorder="1" applyAlignment="1">
      <alignment horizontal="left" vertical="top" wrapText="1"/>
    </xf>
    <xf numFmtId="166" fontId="29" fillId="13" borderId="12" xfId="0" applyNumberFormat="1" applyFont="1" applyFill="1" applyBorder="1" applyAlignment="1">
      <alignment horizontal="left" vertical="top" wrapText="1"/>
    </xf>
    <xf numFmtId="0" fontId="29" fillId="15" borderId="12" xfId="0" applyFont="1" applyFill="1" applyBorder="1" applyAlignment="1">
      <alignment horizontal="left" vertical="top" wrapText="1"/>
    </xf>
    <xf numFmtId="0" fontId="5" fillId="0" borderId="4" xfId="0" applyFont="1" applyFill="1" applyBorder="1" applyAlignment="1">
      <alignment horizontal="center" vertical="center" wrapText="1"/>
    </xf>
    <xf numFmtId="0" fontId="0" fillId="0" borderId="67" xfId="0" applyFill="1" applyBorder="1" applyAlignment="1">
      <alignment horizontal="center" vertical="top"/>
    </xf>
    <xf numFmtId="0" fontId="0" fillId="0" borderId="55" xfId="0" applyFill="1" applyBorder="1" applyAlignment="1">
      <alignment horizontal="center" vertical="top"/>
    </xf>
    <xf numFmtId="0" fontId="0" fillId="0" borderId="68" xfId="0" applyFill="1" applyBorder="1" applyAlignment="1">
      <alignment horizontal="center" vertical="top"/>
    </xf>
    <xf numFmtId="0" fontId="0" fillId="0" borderId="4" xfId="0" applyFill="1" applyBorder="1" applyAlignment="1">
      <alignment horizontal="center" vertical="top"/>
    </xf>
    <xf numFmtId="0" fontId="15" fillId="0" borderId="42" xfId="0" applyFont="1" applyFill="1" applyBorder="1" applyAlignment="1">
      <alignment horizontal="left" vertical="top" wrapText="1"/>
    </xf>
    <xf numFmtId="0" fontId="0" fillId="0" borderId="53" xfId="0" applyBorder="1" applyAlignment="1">
      <alignment vertical="top" wrapText="1"/>
    </xf>
    <xf numFmtId="0" fontId="0" fillId="0" borderId="8" xfId="0" applyBorder="1" applyAlignment="1">
      <alignment vertical="top"/>
    </xf>
    <xf numFmtId="0" fontId="0" fillId="0" borderId="17" xfId="0" applyBorder="1" applyAlignment="1">
      <alignment horizontal="left" vertical="top" wrapText="1"/>
    </xf>
    <xf numFmtId="0" fontId="0" fillId="0" borderId="18" xfId="0" applyBorder="1" applyAlignment="1">
      <alignment vertical="top"/>
    </xf>
    <xf numFmtId="2" fontId="0" fillId="0" borderId="22" xfId="0" applyNumberFormat="1" applyFill="1" applyBorder="1" applyAlignment="1">
      <alignment vertical="top" wrapText="1"/>
    </xf>
    <xf numFmtId="0" fontId="0" fillId="0" borderId="23" xfId="0" applyBorder="1" applyAlignment="1">
      <alignment vertical="top"/>
    </xf>
    <xf numFmtId="2" fontId="0" fillId="0" borderId="17" xfId="0" applyNumberFormat="1" applyBorder="1" applyAlignment="1">
      <alignment vertical="top" wrapText="1"/>
    </xf>
    <xf numFmtId="2" fontId="0" fillId="0" borderId="22" xfId="0" applyNumberFormat="1" applyBorder="1" applyAlignment="1">
      <alignment vertical="top" wrapText="1"/>
    </xf>
    <xf numFmtId="0" fontId="0" fillId="0" borderId="17" xfId="0" applyFont="1" applyBorder="1" applyAlignment="1">
      <alignment vertical="top" wrapText="1"/>
    </xf>
    <xf numFmtId="0" fontId="24" fillId="0" borderId="22" xfId="0" applyFont="1" applyBorder="1" applyAlignment="1">
      <alignment horizontal="justify" vertical="top"/>
    </xf>
    <xf numFmtId="0" fontId="0" fillId="0" borderId="17" xfId="0" applyFill="1" applyBorder="1" applyAlignment="1">
      <alignment horizontal="center" vertical="center"/>
    </xf>
    <xf numFmtId="0" fontId="0" fillId="11" borderId="22" xfId="0" applyFill="1" applyBorder="1" applyAlignment="1">
      <alignment horizontal="center" vertical="center"/>
    </xf>
    <xf numFmtId="0" fontId="0" fillId="0" borderId="22" xfId="0" applyFill="1" applyBorder="1" applyAlignment="1">
      <alignment horizontal="center" vertical="center"/>
    </xf>
    <xf numFmtId="0" fontId="24" fillId="0" borderId="17" xfId="0" applyFont="1" applyBorder="1" applyAlignment="1">
      <alignment horizontal="justify" vertical="center"/>
    </xf>
    <xf numFmtId="0" fontId="0" fillId="0" borderId="17" xfId="0" applyBorder="1" applyAlignment="1">
      <alignment horizontal="center" vertical="top"/>
    </xf>
    <xf numFmtId="0" fontId="0" fillId="0" borderId="22" xfId="0" applyBorder="1" applyAlignment="1">
      <alignment horizontal="center" vertical="top"/>
    </xf>
    <xf numFmtId="0" fontId="0" fillId="0" borderId="6" xfId="0" applyFill="1" applyBorder="1" applyAlignment="1">
      <alignment vertical="top" wrapText="1"/>
    </xf>
    <xf numFmtId="0" fontId="0" fillId="0" borderId="74" xfId="0" applyBorder="1" applyAlignment="1">
      <alignment vertical="top"/>
    </xf>
    <xf numFmtId="0" fontId="0" fillId="0" borderId="76" xfId="0" applyBorder="1" applyAlignment="1">
      <alignment vertical="top"/>
    </xf>
    <xf numFmtId="2" fontId="0" fillId="0" borderId="74" xfId="0" applyNumberFormat="1" applyBorder="1" applyAlignment="1">
      <alignment vertical="top" wrapText="1"/>
    </xf>
    <xf numFmtId="0" fontId="0" fillId="0" borderId="11" xfId="0" applyBorder="1" applyAlignment="1">
      <alignment horizontal="left" vertical="top"/>
    </xf>
    <xf numFmtId="0" fontId="0" fillId="0" borderId="65" xfId="0" applyBorder="1" applyAlignment="1">
      <alignment horizontal="left" vertical="top"/>
    </xf>
    <xf numFmtId="0" fontId="0" fillId="0" borderId="45" xfId="0" applyBorder="1" applyAlignment="1">
      <alignment horizontal="left" vertical="top"/>
    </xf>
    <xf numFmtId="0" fontId="0" fillId="0" borderId="59" xfId="0" applyFont="1" applyBorder="1" applyAlignment="1">
      <alignment horizontal="left" vertical="top" wrapText="1"/>
    </xf>
    <xf numFmtId="0" fontId="0" fillId="0" borderId="66" xfId="0" applyFont="1" applyBorder="1" applyAlignment="1">
      <alignment horizontal="left" vertical="top" wrapText="1"/>
    </xf>
    <xf numFmtId="0" fontId="0" fillId="0" borderId="16" xfId="0" applyFont="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21" xfId="0" applyFont="1" applyFill="1" applyBorder="1" applyAlignment="1">
      <alignment horizontal="left" vertical="center" wrapText="1"/>
    </xf>
    <xf numFmtId="0" fontId="24" fillId="0" borderId="53" xfId="0" applyFont="1" applyBorder="1" applyAlignment="1">
      <alignment horizontal="justify" vertical="top"/>
    </xf>
    <xf numFmtId="0" fontId="0" fillId="0" borderId="53" xfId="0" applyBorder="1"/>
    <xf numFmtId="0" fontId="24" fillId="0" borderId="17" xfId="0" applyFont="1" applyBorder="1" applyAlignment="1">
      <alignment horizontal="justify" vertical="top"/>
    </xf>
    <xf numFmtId="2" fontId="0" fillId="0" borderId="22" xfId="0" applyNumberFormat="1" applyFill="1" applyBorder="1" applyAlignment="1">
      <alignment wrapText="1"/>
    </xf>
    <xf numFmtId="0" fontId="0" fillId="0" borderId="16" xfId="0" applyFont="1" applyBorder="1" applyAlignment="1">
      <alignment horizontal="left" vertical="top"/>
    </xf>
    <xf numFmtId="0" fontId="0" fillId="0" borderId="21" xfId="0" applyBorder="1" applyAlignment="1">
      <alignment horizontal="left" vertical="top" wrapText="1"/>
    </xf>
    <xf numFmtId="0" fontId="24" fillId="0" borderId="22" xfId="0" applyFont="1" applyFill="1" applyBorder="1" applyAlignment="1">
      <alignment horizontal="justify" vertical="top"/>
    </xf>
    <xf numFmtId="0" fontId="24" fillId="0" borderId="17" xfId="0" applyFont="1" applyFill="1" applyBorder="1" applyAlignment="1">
      <alignment horizontal="justify" vertical="top"/>
    </xf>
    <xf numFmtId="0" fontId="0" fillId="0" borderId="19" xfId="0" applyFont="1" applyBorder="1" applyAlignment="1">
      <alignment horizontal="left" vertical="top"/>
    </xf>
    <xf numFmtId="0" fontId="0" fillId="0" borderId="21" xfId="0" applyFont="1" applyBorder="1" applyAlignment="1">
      <alignment horizontal="left" vertical="top"/>
    </xf>
    <xf numFmtId="0" fontId="0" fillId="0" borderId="22" xfId="0" applyBorder="1"/>
    <xf numFmtId="0" fontId="0" fillId="0" borderId="16" xfId="0" applyBorder="1" applyAlignment="1">
      <alignment horizontal="left" vertical="top"/>
    </xf>
    <xf numFmtId="2" fontId="0" fillId="0" borderId="17" xfId="0" applyNumberFormat="1" applyBorder="1" applyAlignment="1">
      <alignment wrapText="1"/>
    </xf>
    <xf numFmtId="0" fontId="0" fillId="0" borderId="17" xfId="0" applyBorder="1"/>
    <xf numFmtId="0" fontId="0" fillId="0" borderId="21" xfId="0" applyBorder="1" applyAlignment="1">
      <alignment horizontal="left" vertical="top"/>
    </xf>
    <xf numFmtId="2" fontId="0" fillId="0" borderId="17" xfId="0" applyNumberFormat="1" applyFill="1" applyBorder="1" applyAlignment="1">
      <alignment wrapText="1"/>
    </xf>
    <xf numFmtId="0" fontId="0" fillId="0" borderId="53" xfId="0" applyFill="1" applyBorder="1" applyAlignment="1">
      <alignment vertical="top" wrapText="1"/>
    </xf>
    <xf numFmtId="0" fontId="5" fillId="0" borderId="53" xfId="0" applyFont="1" applyBorder="1" applyAlignment="1">
      <alignment vertical="center" wrapText="1"/>
    </xf>
    <xf numFmtId="0" fontId="0" fillId="0" borderId="22" xfId="0" applyBorder="1" applyAlignment="1">
      <alignment horizontal="left" vertical="top"/>
    </xf>
    <xf numFmtId="0" fontId="0" fillId="0" borderId="22" xfId="0" applyFont="1" applyBorder="1" applyAlignment="1">
      <alignment horizontal="left" vertical="top" wrapText="1"/>
    </xf>
    <xf numFmtId="0" fontId="0" fillId="0" borderId="22" xfId="0" applyBorder="1" applyAlignment="1">
      <alignment horizontal="left" vertical="top" wrapText="1"/>
    </xf>
    <xf numFmtId="0" fontId="0" fillId="0" borderId="22" xfId="0" applyFont="1" applyBorder="1" applyAlignment="1">
      <alignment horizontal="left" vertical="top"/>
    </xf>
    <xf numFmtId="0" fontId="5" fillId="0" borderId="53" xfId="0" applyFont="1" applyBorder="1" applyAlignment="1">
      <alignment horizontal="left" vertical="top" wrapText="1"/>
    </xf>
    <xf numFmtId="0" fontId="0" fillId="0" borderId="74" xfId="0" applyBorder="1" applyAlignment="1">
      <alignment vertical="top" wrapText="1"/>
    </xf>
    <xf numFmtId="0" fontId="0" fillId="0" borderId="31" xfId="0" applyBorder="1" applyAlignment="1">
      <alignment vertical="top" wrapText="1"/>
    </xf>
    <xf numFmtId="0" fontId="0" fillId="0" borderId="32" xfId="0" applyFill="1" applyBorder="1" applyAlignment="1">
      <alignment vertical="top" wrapText="1"/>
    </xf>
    <xf numFmtId="0" fontId="0" fillId="0" borderId="17" xfId="0" applyFill="1" applyBorder="1" applyAlignment="1">
      <alignment horizontal="left" vertical="top"/>
    </xf>
    <xf numFmtId="2" fontId="0" fillId="0" borderId="17" xfId="0" applyNumberFormat="1" applyFill="1" applyBorder="1" applyAlignment="1">
      <alignment vertical="top" wrapText="1"/>
    </xf>
    <xf numFmtId="0" fontId="0" fillId="0" borderId="22" xfId="0" applyFont="1" applyFill="1" applyBorder="1" applyAlignment="1">
      <alignment horizontal="left" vertical="top" wrapText="1"/>
    </xf>
    <xf numFmtId="0" fontId="0" fillId="0" borderId="22" xfId="0" applyFill="1" applyBorder="1" applyAlignment="1">
      <alignment vertical="top" wrapText="1"/>
    </xf>
    <xf numFmtId="0" fontId="0" fillId="0" borderId="17" xfId="0" applyFont="1" applyBorder="1" applyAlignment="1">
      <alignment vertical="center" wrapText="1"/>
    </xf>
    <xf numFmtId="0" fontId="0" fillId="0" borderId="22" xfId="0" applyFill="1" applyBorder="1" applyAlignment="1">
      <alignment horizontal="left" vertical="top"/>
    </xf>
    <xf numFmtId="0" fontId="0" fillId="0" borderId="22" xfId="0" applyFill="1" applyBorder="1" applyAlignment="1">
      <alignment wrapText="1"/>
    </xf>
    <xf numFmtId="0" fontId="0" fillId="7" borderId="53" xfId="0" applyFill="1" applyBorder="1" applyAlignment="1">
      <alignment vertical="top"/>
    </xf>
    <xf numFmtId="0" fontId="0" fillId="0" borderId="22" xfId="0" applyFont="1" applyFill="1" applyBorder="1" applyAlignment="1">
      <alignment horizontal="left" vertical="top"/>
    </xf>
    <xf numFmtId="0" fontId="0" fillId="0" borderId="17" xfId="0" applyFill="1" applyBorder="1"/>
    <xf numFmtId="0" fontId="0" fillId="7" borderId="22" xfId="0" applyFill="1" applyBorder="1" applyAlignment="1">
      <alignment vertical="top"/>
    </xf>
    <xf numFmtId="0" fontId="0" fillId="0" borderId="17" xfId="0" applyFill="1" applyBorder="1" applyAlignment="1">
      <alignment vertical="top" wrapText="1"/>
    </xf>
    <xf numFmtId="0" fontId="0" fillId="0" borderId="17" xfId="0" applyFill="1" applyBorder="1" applyAlignment="1">
      <alignment horizontal="left" vertical="top" wrapText="1"/>
    </xf>
    <xf numFmtId="0" fontId="0" fillId="0" borderId="17" xfId="0" applyFont="1" applyFill="1" applyBorder="1" applyAlignment="1">
      <alignment horizontal="left" vertical="top" wrapText="1"/>
    </xf>
    <xf numFmtId="0" fontId="5" fillId="0" borderId="53" xfId="0" applyFont="1" applyFill="1" applyBorder="1" applyAlignment="1">
      <alignment horizontal="left" vertical="top" wrapText="1"/>
    </xf>
    <xf numFmtId="0" fontId="0" fillId="0" borderId="33" xfId="0" applyFill="1" applyBorder="1" applyAlignment="1">
      <alignment vertical="top"/>
    </xf>
    <xf numFmtId="0" fontId="0" fillId="0" borderId="20" xfId="0" applyBorder="1"/>
    <xf numFmtId="0" fontId="0" fillId="0" borderId="22" xfId="0" applyBorder="1" applyAlignment="1">
      <alignment vertical="top" wrapText="1"/>
    </xf>
    <xf numFmtId="0" fontId="5" fillId="0" borderId="39" xfId="0" applyFont="1" applyBorder="1" applyAlignment="1">
      <alignment vertical="top" wrapText="1"/>
    </xf>
    <xf numFmtId="0" fontId="0" fillId="0" borderId="18" xfId="0" applyBorder="1" applyAlignment="1">
      <alignment horizontal="left" vertical="top"/>
    </xf>
    <xf numFmtId="0" fontId="0" fillId="0" borderId="20" xfId="0" applyBorder="1" applyAlignment="1">
      <alignment horizontal="left" vertical="top"/>
    </xf>
    <xf numFmtId="0" fontId="0" fillId="0" borderId="23" xfId="0" applyBorder="1" applyAlignment="1">
      <alignment horizontal="left" vertical="top"/>
    </xf>
    <xf numFmtId="0" fontId="0" fillId="0" borderId="22" xfId="0" applyFill="1" applyBorder="1" applyAlignment="1">
      <alignment horizontal="left" vertical="top" wrapText="1"/>
    </xf>
    <xf numFmtId="2" fontId="0" fillId="0" borderId="17" xfId="0" applyNumberFormat="1" applyFill="1" applyBorder="1" applyAlignment="1">
      <alignment horizontal="left" vertical="top" wrapText="1"/>
    </xf>
    <xf numFmtId="2" fontId="0" fillId="0" borderId="17" xfId="0" applyNumberFormat="1" applyBorder="1" applyAlignment="1">
      <alignment horizontal="left" vertical="top"/>
    </xf>
    <xf numFmtId="2" fontId="0" fillId="0" borderId="22" xfId="0" applyNumberFormat="1" applyFill="1" applyBorder="1" applyAlignment="1">
      <alignment horizontal="left" vertical="top" wrapText="1"/>
    </xf>
    <xf numFmtId="2" fontId="0" fillId="0" borderId="53" xfId="0" applyNumberFormat="1" applyFill="1" applyBorder="1" applyAlignment="1">
      <alignment horizontal="left" vertical="top" wrapText="1"/>
    </xf>
    <xf numFmtId="0" fontId="0" fillId="0" borderId="53" xfId="0" applyBorder="1" applyAlignment="1">
      <alignment horizontal="left" vertical="top"/>
    </xf>
    <xf numFmtId="0" fontId="0" fillId="0" borderId="8" xfId="0" applyBorder="1" applyAlignment="1">
      <alignment horizontal="left" vertical="top"/>
    </xf>
    <xf numFmtId="0" fontId="0" fillId="0" borderId="45" xfId="0" applyBorder="1"/>
    <xf numFmtId="0" fontId="0" fillId="0" borderId="18" xfId="0" applyBorder="1"/>
    <xf numFmtId="0" fontId="5" fillId="0" borderId="22" xfId="0" applyFont="1" applyFill="1" applyBorder="1" applyAlignment="1">
      <alignment horizontal="left" vertical="top"/>
    </xf>
    <xf numFmtId="0" fontId="15" fillId="0" borderId="41" xfId="0" applyFont="1" applyFill="1" applyBorder="1" applyAlignment="1">
      <alignment horizontal="left" vertical="top" wrapText="1"/>
    </xf>
    <xf numFmtId="0" fontId="0" fillId="0" borderId="40" xfId="0" applyFont="1" applyFill="1" applyBorder="1" applyAlignment="1">
      <alignment vertical="top" wrapText="1"/>
    </xf>
    <xf numFmtId="0" fontId="0" fillId="0" borderId="17" xfId="0" applyBorder="1" applyAlignment="1">
      <alignment wrapText="1"/>
    </xf>
    <xf numFmtId="0" fontId="0" fillId="0" borderId="8" xfId="0" applyBorder="1"/>
    <xf numFmtId="0" fontId="5" fillId="0" borderId="39" xfId="0" applyFont="1" applyFill="1" applyBorder="1" applyAlignment="1">
      <alignment vertical="top"/>
    </xf>
    <xf numFmtId="2" fontId="0" fillId="0" borderId="17" xfId="0" applyNumberFormat="1" applyBorder="1"/>
    <xf numFmtId="2" fontId="0" fillId="0" borderId="22" xfId="0" applyNumberFormat="1" applyBorder="1"/>
    <xf numFmtId="0" fontId="5" fillId="0" borderId="2" xfId="0" applyFont="1" applyFill="1" applyBorder="1" applyAlignment="1">
      <alignment vertical="top"/>
    </xf>
    <xf numFmtId="2" fontId="0" fillId="0" borderId="53" xfId="0" applyNumberFormat="1" applyFill="1" applyBorder="1" applyAlignment="1">
      <alignment vertical="top" wrapText="1"/>
    </xf>
    <xf numFmtId="2" fontId="0" fillId="0" borderId="53" xfId="0" applyNumberFormat="1" applyFill="1" applyBorder="1" applyAlignment="1">
      <alignment wrapText="1"/>
    </xf>
    <xf numFmtId="0" fontId="5" fillId="0" borderId="22" xfId="0" applyFont="1" applyFill="1" applyBorder="1" applyAlignment="1">
      <alignment vertical="top"/>
    </xf>
    <xf numFmtId="0" fontId="5" fillId="0" borderId="36" xfId="0" applyFont="1" applyFill="1" applyBorder="1" applyAlignment="1">
      <alignment horizontal="center" vertical="center" wrapText="1"/>
    </xf>
    <xf numFmtId="0" fontId="5" fillId="0" borderId="36" xfId="0" applyFont="1" applyFill="1" applyBorder="1" applyAlignment="1">
      <alignment horizontal="center" vertical="center"/>
    </xf>
    <xf numFmtId="0" fontId="0" fillId="0" borderId="39" xfId="0" applyFill="1" applyBorder="1"/>
    <xf numFmtId="0" fontId="0" fillId="0" borderId="40" xfId="0" applyFill="1" applyBorder="1"/>
    <xf numFmtId="0" fontId="0" fillId="0" borderId="40" xfId="0" applyFill="1" applyBorder="1" applyAlignment="1">
      <alignment vertical="center" wrapText="1"/>
    </xf>
    <xf numFmtId="0" fontId="31" fillId="0" borderId="45" xfId="0" applyFont="1" applyFill="1" applyBorder="1" applyAlignment="1">
      <alignment horizontal="left" vertical="top"/>
    </xf>
    <xf numFmtId="2" fontId="29" fillId="10" borderId="12" xfId="0" applyNumberFormat="1" applyFont="1" applyFill="1" applyBorder="1" applyAlignment="1">
      <alignment horizontal="center" vertical="center"/>
    </xf>
    <xf numFmtId="2" fontId="29" fillId="14" borderId="12" xfId="0" applyNumberFormat="1" applyFont="1" applyFill="1" applyBorder="1" applyAlignment="1">
      <alignment horizontal="left" vertical="top" wrapText="1"/>
    </xf>
    <xf numFmtId="166" fontId="29" fillId="14" borderId="12" xfId="0" applyNumberFormat="1" applyFont="1" applyFill="1" applyBorder="1" applyAlignment="1">
      <alignment horizontal="left" vertical="top"/>
    </xf>
    <xf numFmtId="0" fontId="5" fillId="12" borderId="40" xfId="0" applyFont="1" applyFill="1" applyBorder="1" applyAlignment="1">
      <alignment horizontal="left" vertical="top" wrapText="1"/>
    </xf>
    <xf numFmtId="166" fontId="29" fillId="3" borderId="12" xfId="0" applyNumberFormat="1" applyFont="1" applyFill="1" applyBorder="1" applyAlignment="1">
      <alignment horizontal="left" vertical="top" wrapText="1"/>
    </xf>
    <xf numFmtId="0" fontId="29" fillId="3" borderId="12" xfId="0" applyFont="1" applyFill="1" applyBorder="1" applyAlignment="1">
      <alignment horizontal="left" vertical="top" wrapText="1"/>
    </xf>
    <xf numFmtId="2" fontId="29" fillId="3" borderId="12" xfId="0" applyNumberFormat="1" applyFont="1" applyFill="1" applyBorder="1" applyAlignment="1">
      <alignment horizontal="left" vertical="top" wrapText="1"/>
    </xf>
    <xf numFmtId="2" fontId="29" fillId="13" borderId="12" xfId="0" applyNumberFormat="1" applyFont="1" applyFill="1" applyBorder="1" applyAlignment="1">
      <alignment horizontal="left" vertical="top" wrapText="1"/>
    </xf>
    <xf numFmtId="166" fontId="30" fillId="13" borderId="12" xfId="0" applyNumberFormat="1" applyFont="1" applyFill="1" applyBorder="1" applyAlignment="1">
      <alignment horizontal="left" vertical="top" wrapText="1"/>
    </xf>
    <xf numFmtId="2" fontId="29" fillId="15" borderId="12" xfId="0" applyNumberFormat="1" applyFont="1" applyFill="1" applyBorder="1" applyAlignment="1">
      <alignment horizontal="left" vertical="top" wrapText="1"/>
    </xf>
    <xf numFmtId="2" fontId="29" fillId="15" borderId="12" xfId="0" applyNumberFormat="1" applyFont="1" applyFill="1" applyBorder="1" applyAlignment="1">
      <alignment horizontal="left" vertical="top"/>
    </xf>
    <xf numFmtId="0" fontId="29" fillId="10" borderId="12" xfId="0" applyFont="1" applyFill="1" applyBorder="1" applyAlignment="1">
      <alignment horizontal="left" vertical="top" wrapText="1"/>
    </xf>
    <xf numFmtId="2" fontId="29" fillId="10" borderId="12" xfId="0" applyNumberFormat="1" applyFont="1" applyFill="1" applyBorder="1" applyAlignment="1">
      <alignment horizontal="left" vertical="top"/>
    </xf>
    <xf numFmtId="0" fontId="5" fillId="10" borderId="7" xfId="0" applyFont="1" applyFill="1" applyBorder="1" applyAlignment="1">
      <alignment horizontal="left" vertical="top" textRotation="90"/>
    </xf>
    <xf numFmtId="0" fontId="5" fillId="10" borderId="53" xfId="0" applyFont="1" applyFill="1" applyBorder="1" applyAlignment="1">
      <alignment horizontal="left" vertical="top" textRotation="90" wrapText="1"/>
    </xf>
    <xf numFmtId="0" fontId="5" fillId="10" borderId="53" xfId="0" applyFont="1" applyFill="1" applyBorder="1" applyAlignment="1">
      <alignment horizontal="left" vertical="top" textRotation="90"/>
    </xf>
    <xf numFmtId="0" fontId="5" fillId="10" borderId="8" xfId="0" applyFont="1" applyFill="1" applyBorder="1" applyAlignment="1">
      <alignment horizontal="left" vertical="top" textRotation="90" wrapText="1"/>
    </xf>
    <xf numFmtId="0" fontId="5" fillId="10" borderId="12" xfId="0" applyFont="1" applyFill="1" applyBorder="1" applyAlignment="1">
      <alignment horizontal="left" vertical="top"/>
    </xf>
    <xf numFmtId="0" fontId="5" fillId="10" borderId="12" xfId="0" applyFont="1" applyFill="1" applyBorder="1" applyAlignment="1">
      <alignment horizontal="left" vertical="top" textRotation="90"/>
    </xf>
    <xf numFmtId="0" fontId="5" fillId="14" borderId="41" xfId="0" applyFont="1" applyFill="1" applyBorder="1" applyAlignment="1">
      <alignment horizontal="left" vertical="top" textRotation="90" wrapText="1"/>
    </xf>
    <xf numFmtId="0" fontId="5" fillId="12" borderId="41" xfId="0" applyFont="1" applyFill="1" applyBorder="1" applyAlignment="1">
      <alignment horizontal="left" vertical="top" textRotation="90" wrapText="1"/>
    </xf>
    <xf numFmtId="0" fontId="5" fillId="3" borderId="41" xfId="0" applyFont="1" applyFill="1" applyBorder="1" applyAlignment="1">
      <alignment horizontal="left" vertical="top" textRotation="90" wrapText="1"/>
    </xf>
    <xf numFmtId="0" fontId="5" fillId="13" borderId="41" xfId="0" applyFont="1" applyFill="1" applyBorder="1" applyAlignment="1">
      <alignment horizontal="left" vertical="top" textRotation="90" wrapText="1"/>
    </xf>
    <xf numFmtId="166" fontId="29" fillId="15" borderId="12" xfId="0" applyNumberFormat="1" applyFont="1" applyFill="1" applyBorder="1" applyAlignment="1">
      <alignment horizontal="left" vertical="top" wrapText="1"/>
    </xf>
    <xf numFmtId="0" fontId="5" fillId="10" borderId="7" xfId="0" applyFont="1" applyFill="1" applyBorder="1" applyAlignment="1">
      <alignment horizontal="left" vertical="top" textRotation="90" wrapText="1"/>
    </xf>
    <xf numFmtId="0" fontId="5" fillId="10" borderId="12" xfId="0" applyFont="1" applyFill="1" applyBorder="1" applyAlignment="1">
      <alignment horizontal="left" vertical="top" wrapText="1"/>
    </xf>
    <xf numFmtId="0" fontId="5" fillId="10" borderId="12" xfId="0" applyFont="1" applyFill="1" applyBorder="1" applyAlignment="1">
      <alignment horizontal="left" vertical="top" textRotation="90" wrapText="1"/>
    </xf>
    <xf numFmtId="164" fontId="29" fillId="10" borderId="12" xfId="0" applyNumberFormat="1" applyFont="1" applyFill="1" applyBorder="1" applyAlignment="1">
      <alignment horizontal="left" vertical="top" wrapText="1"/>
    </xf>
    <xf numFmtId="170" fontId="29" fillId="10" borderId="12" xfId="0" applyNumberFormat="1" applyFont="1" applyFill="1" applyBorder="1" applyAlignment="1">
      <alignment horizontal="left" vertical="top"/>
    </xf>
    <xf numFmtId="0" fontId="5" fillId="10" borderId="2" xfId="0" applyFont="1" applyFill="1" applyBorder="1" applyAlignment="1">
      <alignment horizontal="left" vertical="top"/>
    </xf>
    <xf numFmtId="0" fontId="5" fillId="10" borderId="4" xfId="0" applyFont="1" applyFill="1" applyBorder="1" applyAlignment="1">
      <alignment horizontal="left" vertical="top"/>
    </xf>
    <xf numFmtId="0" fontId="5" fillId="10" borderId="42" xfId="0" applyFont="1" applyFill="1" applyBorder="1" applyAlignment="1">
      <alignment horizontal="left" vertical="top" textRotation="90"/>
    </xf>
    <xf numFmtId="0" fontId="6" fillId="0" borderId="40" xfId="0" applyFont="1" applyFill="1" applyBorder="1" applyAlignment="1">
      <alignment vertical="top" wrapText="1"/>
    </xf>
    <xf numFmtId="0" fontId="0" fillId="0" borderId="41" xfId="0" applyBorder="1"/>
    <xf numFmtId="0" fontId="0" fillId="0" borderId="40" xfId="0" applyBorder="1" applyAlignment="1">
      <alignment vertical="top" wrapText="1"/>
    </xf>
    <xf numFmtId="0" fontId="0" fillId="0" borderId="40" xfId="0" applyBorder="1" applyAlignment="1">
      <alignment wrapText="1"/>
    </xf>
    <xf numFmtId="0" fontId="0" fillId="0" borderId="39" xfId="0" applyBorder="1"/>
    <xf numFmtId="0" fontId="0" fillId="0" borderId="1" xfId="0" applyFont="1" applyFill="1" applyBorder="1" applyAlignment="1">
      <alignment horizontal="center" vertical="center"/>
    </xf>
    <xf numFmtId="0" fontId="0" fillId="0" borderId="20" xfId="0" applyFill="1" applyBorder="1" applyAlignment="1">
      <alignment horizontal="left" vertical="top"/>
    </xf>
    <xf numFmtId="0" fontId="0" fillId="0" borderId="18" xfId="0" applyFill="1" applyBorder="1" applyAlignment="1">
      <alignment horizontal="left" vertical="top"/>
    </xf>
    <xf numFmtId="0" fontId="0" fillId="0" borderId="20" xfId="0" applyFill="1" applyBorder="1" applyAlignment="1">
      <alignment horizontal="left" vertical="top" wrapText="1"/>
    </xf>
    <xf numFmtId="0" fontId="5" fillId="0" borderId="14" xfId="0" applyFont="1" applyFill="1" applyBorder="1" applyAlignment="1">
      <alignment horizontal="left" vertical="top" wrapText="1"/>
    </xf>
    <xf numFmtId="0" fontId="0" fillId="0" borderId="40" xfId="0" applyFont="1" applyBorder="1" applyAlignment="1">
      <alignment horizontal="left" vertical="top" wrapText="1"/>
    </xf>
    <xf numFmtId="0" fontId="0" fillId="0" borderId="17" xfId="0" applyBorder="1" applyAlignment="1">
      <alignment horizontal="left" vertical="top"/>
    </xf>
    <xf numFmtId="0" fontId="0" fillId="0" borderId="1" xfId="0" applyBorder="1" applyAlignment="1">
      <alignment horizontal="left" vertical="top"/>
    </xf>
    <xf numFmtId="0" fontId="0" fillId="0" borderId="22" xfId="0" applyBorder="1" applyAlignment="1">
      <alignment horizontal="left" vertical="top"/>
    </xf>
    <xf numFmtId="0" fontId="0" fillId="0" borderId="17" xfId="0" applyFont="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center" wrapText="1"/>
    </xf>
    <xf numFmtId="0" fontId="0" fillId="0" borderId="17" xfId="0" applyFont="1" applyBorder="1" applyAlignment="1">
      <alignment horizontal="left" vertical="top"/>
    </xf>
    <xf numFmtId="0" fontId="0" fillId="0" borderId="1" xfId="0" applyFont="1" applyBorder="1" applyAlignment="1">
      <alignment horizontal="left" vertical="top"/>
    </xf>
    <xf numFmtId="0" fontId="0" fillId="0" borderId="40" xfId="0" applyBorder="1" applyAlignment="1">
      <alignment horizontal="left" vertical="top" wrapText="1"/>
    </xf>
    <xf numFmtId="0" fontId="0" fillId="0" borderId="0" xfId="0" applyBorder="1" applyAlignment="1">
      <alignment horizontal="left" vertical="top" wrapText="1"/>
    </xf>
    <xf numFmtId="0" fontId="0" fillId="0" borderId="1" xfId="0" applyFill="1" applyBorder="1" applyAlignment="1">
      <alignment horizontal="left" vertical="top"/>
    </xf>
    <xf numFmtId="0" fontId="0" fillId="0" borderId="22" xfId="0" applyFill="1" applyBorder="1" applyAlignment="1">
      <alignment horizontal="left" vertical="top"/>
    </xf>
    <xf numFmtId="0" fontId="0" fillId="0" borderId="17" xfId="0" applyFill="1" applyBorder="1" applyAlignment="1">
      <alignment horizontal="lef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17"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7" xfId="0" applyFill="1" applyBorder="1" applyAlignment="1">
      <alignment horizontal="left" vertical="top"/>
    </xf>
    <xf numFmtId="0" fontId="0" fillId="0" borderId="40" xfId="0" applyBorder="1" applyAlignment="1">
      <alignment horizontal="left" vertical="top"/>
    </xf>
    <xf numFmtId="0" fontId="0" fillId="0" borderId="0" xfId="0" applyBorder="1" applyAlignment="1">
      <alignment horizontal="left" vertical="top"/>
    </xf>
    <xf numFmtId="0" fontId="0" fillId="0" borderId="46" xfId="0" applyBorder="1" applyAlignment="1">
      <alignment horizontal="lef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0" fillId="0" borderId="17" xfId="0" applyFill="1" applyBorder="1" applyAlignment="1">
      <alignment horizontal="left" vertical="top" wrapText="1"/>
    </xf>
    <xf numFmtId="0" fontId="5" fillId="0" borderId="39" xfId="0" applyFont="1" applyBorder="1" applyAlignment="1">
      <alignment vertical="top"/>
    </xf>
    <xf numFmtId="165" fontId="0" fillId="0" borderId="1" xfId="517" applyFont="1" applyFill="1" applyBorder="1" applyAlignment="1">
      <alignment horizontal="left" vertical="top" wrapText="1"/>
    </xf>
    <xf numFmtId="0" fontId="0" fillId="0" borderId="1" xfId="0" applyFont="1" applyFill="1" applyBorder="1" applyAlignment="1">
      <alignment vertical="top"/>
    </xf>
    <xf numFmtId="0" fontId="15" fillId="0" borderId="39" xfId="0" applyFont="1" applyFill="1" applyBorder="1" applyAlignment="1">
      <alignment horizontal="left" vertical="top" wrapText="1"/>
    </xf>
    <xf numFmtId="2" fontId="15" fillId="0" borderId="78" xfId="0" applyNumberFormat="1" applyFont="1" applyFill="1" applyBorder="1" applyAlignment="1">
      <alignment horizontal="left" vertical="top"/>
    </xf>
    <xf numFmtId="0" fontId="0" fillId="0" borderId="5" xfId="0" applyFont="1" applyBorder="1" applyAlignment="1">
      <alignment horizontal="left" vertical="top"/>
    </xf>
    <xf numFmtId="0" fontId="0" fillId="0" borderId="1" xfId="0" applyFont="1" applyBorder="1" applyAlignment="1">
      <alignment vertical="top"/>
    </xf>
    <xf numFmtId="0" fontId="0" fillId="0" borderId="1" xfId="0" applyFill="1" applyBorder="1" applyAlignment="1">
      <alignment wrapText="1"/>
    </xf>
    <xf numFmtId="0" fontId="0" fillId="0" borderId="6" xfId="0" applyFill="1" applyBorder="1" applyAlignment="1">
      <alignment horizontal="left" vertical="top" wrapText="1"/>
    </xf>
    <xf numFmtId="0" fontId="0" fillId="0" borderId="6" xfId="0" applyBorder="1" applyAlignment="1">
      <alignment horizontal="left" vertical="top"/>
    </xf>
    <xf numFmtId="0" fontId="0" fillId="0" borderId="27" xfId="0" applyBorder="1" applyAlignment="1">
      <alignment horizontal="left" vertical="top"/>
    </xf>
    <xf numFmtId="0" fontId="5" fillId="0" borderId="7" xfId="0" applyFont="1" applyBorder="1" applyAlignment="1">
      <alignment horizontal="left" vertical="top" wrapText="1"/>
    </xf>
    <xf numFmtId="0" fontId="0" fillId="0" borderId="53" xfId="0" applyFill="1" applyBorder="1" applyAlignment="1">
      <alignment horizontal="left" vertical="top" wrapText="1"/>
    </xf>
    <xf numFmtId="0" fontId="0" fillId="0" borderId="6" xfId="0" applyFill="1" applyBorder="1" applyAlignment="1">
      <alignment horizontal="left" vertical="top"/>
    </xf>
    <xf numFmtId="0" fontId="0" fillId="0" borderId="53" xfId="0" applyFill="1" applyBorder="1" applyAlignment="1">
      <alignment horizontal="left" vertical="top"/>
    </xf>
    <xf numFmtId="0" fontId="5" fillId="0" borderId="7" xfId="0" applyFont="1" applyBorder="1" applyAlignment="1">
      <alignment horizontal="left" vertical="top"/>
    </xf>
    <xf numFmtId="0" fontId="0" fillId="0" borderId="53" xfId="0" applyFont="1" applyBorder="1" applyAlignment="1">
      <alignment horizontal="left" vertical="top"/>
    </xf>
    <xf numFmtId="0" fontId="24" fillId="0" borderId="22" xfId="0" applyFont="1" applyFill="1" applyBorder="1" applyAlignment="1">
      <alignment horizontal="left" vertical="top"/>
    </xf>
    <xf numFmtId="0" fontId="0" fillId="0" borderId="6" xfId="0" applyBorder="1" applyAlignment="1">
      <alignment horizontal="left" vertical="top" wrapText="1"/>
    </xf>
    <xf numFmtId="0" fontId="0" fillId="0" borderId="17" xfId="0" applyFont="1" applyFill="1" applyBorder="1" applyAlignment="1">
      <alignment vertical="top"/>
    </xf>
    <xf numFmtId="0" fontId="0" fillId="0" borderId="22" xfId="0" applyFont="1" applyFill="1" applyBorder="1" applyAlignment="1">
      <alignment vertical="top"/>
    </xf>
    <xf numFmtId="0" fontId="0" fillId="0" borderId="46" xfId="0" applyFill="1" applyBorder="1" applyAlignment="1">
      <alignment vertical="top" wrapText="1"/>
    </xf>
    <xf numFmtId="0" fontId="0" fillId="0" borderId="9" xfId="0" applyBorder="1" applyAlignment="1">
      <alignment vertical="top" wrapText="1"/>
    </xf>
    <xf numFmtId="0" fontId="0" fillId="0" borderId="72" xfId="0" applyBorder="1" applyAlignment="1">
      <alignment vertical="top"/>
    </xf>
    <xf numFmtId="2" fontId="0" fillId="0" borderId="5" xfId="0" applyNumberFormat="1" applyFill="1" applyBorder="1" applyAlignment="1">
      <alignment vertical="top" wrapText="1"/>
    </xf>
    <xf numFmtId="0" fontId="0" fillId="0" borderId="5" xfId="0" applyBorder="1" applyAlignment="1">
      <alignment vertical="top"/>
    </xf>
    <xf numFmtId="0" fontId="0" fillId="0" borderId="25" xfId="0" applyBorder="1" applyAlignment="1">
      <alignment vertical="top"/>
    </xf>
    <xf numFmtId="0" fontId="0" fillId="0" borderId="5" xfId="0" applyBorder="1" applyAlignment="1">
      <alignment horizontal="left" vertical="top"/>
    </xf>
    <xf numFmtId="2" fontId="0" fillId="0" borderId="5" xfId="0" applyNumberFormat="1" applyBorder="1" applyAlignment="1">
      <alignment vertical="top" wrapText="1"/>
    </xf>
    <xf numFmtId="0" fontId="0" fillId="0" borderId="6" xfId="0" applyFont="1" applyBorder="1" applyAlignment="1">
      <alignment vertical="top" wrapText="1"/>
    </xf>
    <xf numFmtId="0" fontId="0" fillId="0" borderId="5" xfId="0" applyFont="1" applyBorder="1" applyAlignment="1">
      <alignment horizontal="left" vertical="top" wrapText="1"/>
    </xf>
    <xf numFmtId="0" fontId="24" fillId="0" borderId="5" xfId="0" applyFont="1" applyBorder="1" applyAlignment="1">
      <alignment vertical="top" wrapText="1"/>
    </xf>
    <xf numFmtId="0" fontId="0" fillId="0" borderId="5" xfId="0" applyFont="1" applyFill="1" applyBorder="1" applyAlignment="1">
      <alignment horizontal="left" vertical="center" wrapText="1"/>
    </xf>
    <xf numFmtId="0" fontId="24" fillId="0" borderId="5" xfId="0" applyFont="1" applyFill="1" applyBorder="1" applyAlignment="1">
      <alignment horizontal="justify" vertical="top"/>
    </xf>
    <xf numFmtId="0" fontId="0" fillId="0" borderId="5" xfId="0" applyFill="1" applyBorder="1" applyAlignment="1">
      <alignment horizontal="center" vertical="center"/>
    </xf>
    <xf numFmtId="0" fontId="0" fillId="0" borderId="80" xfId="0" applyFont="1" applyFill="1" applyBorder="1" applyAlignment="1">
      <alignment horizontal="left" vertical="top" wrapText="1"/>
    </xf>
    <xf numFmtId="0" fontId="24" fillId="0" borderId="80" xfId="0" applyFont="1" applyFill="1" applyBorder="1" applyAlignment="1">
      <alignment horizontal="justify" vertical="top"/>
    </xf>
    <xf numFmtId="0" fontId="0" fillId="0" borderId="80" xfId="0" applyFill="1" applyBorder="1" applyAlignment="1">
      <alignment vertical="top"/>
    </xf>
    <xf numFmtId="0" fontId="0" fillId="0" borderId="80" xfId="0" applyFill="1" applyBorder="1" applyAlignment="1">
      <alignment horizontal="center" vertical="top"/>
    </xf>
    <xf numFmtId="0" fontId="0" fillId="0" borderId="15" xfId="0" applyFill="1" applyBorder="1" applyAlignment="1">
      <alignment vertical="top"/>
    </xf>
    <xf numFmtId="0" fontId="24" fillId="0" borderId="80" xfId="0" applyFont="1" applyBorder="1" applyAlignment="1">
      <alignment horizontal="justify" vertical="top"/>
    </xf>
    <xf numFmtId="0" fontId="0" fillId="0" borderId="80" xfId="0" applyBorder="1" applyAlignment="1">
      <alignment vertical="top"/>
    </xf>
    <xf numFmtId="0" fontId="0" fillId="0" borderId="80" xfId="0" applyFill="1" applyBorder="1" applyAlignment="1">
      <alignment horizontal="center" vertical="center"/>
    </xf>
    <xf numFmtId="0" fontId="0" fillId="0" borderId="15" xfId="0" applyBorder="1" applyAlignment="1">
      <alignment vertical="top"/>
    </xf>
    <xf numFmtId="2" fontId="0" fillId="0" borderId="5" xfId="0" applyNumberFormat="1" applyFill="1" applyBorder="1" applyAlignment="1">
      <alignment wrapText="1"/>
    </xf>
    <xf numFmtId="0" fontId="0" fillId="0" borderId="5" xfId="0" applyBorder="1" applyAlignment="1">
      <alignment horizontal="left" vertical="top" wrapText="1"/>
    </xf>
    <xf numFmtId="0" fontId="0" fillId="0" borderId="5" xfId="0" applyBorder="1"/>
    <xf numFmtId="0" fontId="0" fillId="0" borderId="5" xfId="0" applyBorder="1" applyAlignment="1">
      <alignment vertical="top" wrapText="1"/>
    </xf>
    <xf numFmtId="0" fontId="0" fillId="0" borderId="5" xfId="0" applyFill="1" applyBorder="1" applyAlignment="1">
      <alignment vertical="top" wrapText="1"/>
    </xf>
    <xf numFmtId="0" fontId="0" fillId="0" borderId="5" xfId="0" applyFont="1" applyFill="1" applyBorder="1" applyAlignment="1">
      <alignment horizontal="left" vertical="top" wrapText="1"/>
    </xf>
    <xf numFmtId="0" fontId="0" fillId="0" borderId="5" xfId="0" applyFill="1" applyBorder="1" applyAlignment="1">
      <alignment horizontal="left" vertical="top"/>
    </xf>
    <xf numFmtId="0" fontId="0" fillId="0" borderId="5" xfId="0" applyFill="1" applyBorder="1" applyAlignment="1">
      <alignment wrapText="1"/>
    </xf>
    <xf numFmtId="0" fontId="0" fillId="0" borderId="5" xfId="0" applyFill="1" applyBorder="1"/>
    <xf numFmtId="0" fontId="0" fillId="0" borderId="25" xfId="0" applyFill="1" applyBorder="1"/>
    <xf numFmtId="0" fontId="5" fillId="0" borderId="14" xfId="0" applyFont="1" applyBorder="1" applyAlignment="1">
      <alignment vertical="center" wrapText="1"/>
    </xf>
    <xf numFmtId="0" fontId="5" fillId="0" borderId="80" xfId="0" applyFont="1" applyBorder="1" applyAlignment="1">
      <alignment vertical="center" wrapText="1"/>
    </xf>
    <xf numFmtId="0" fontId="0" fillId="0" borderId="80" xfId="0" applyFill="1" applyBorder="1" applyAlignment="1">
      <alignment vertical="top" wrapText="1"/>
    </xf>
    <xf numFmtId="0" fontId="0" fillId="7" borderId="80" xfId="0" applyFill="1" applyBorder="1" applyAlignment="1">
      <alignment vertical="top"/>
    </xf>
    <xf numFmtId="0" fontId="0" fillId="0" borderId="5" xfId="0" applyFont="1" applyFill="1" applyBorder="1" applyAlignment="1">
      <alignment horizontal="left" vertical="top"/>
    </xf>
    <xf numFmtId="165" fontId="0" fillId="0" borderId="40" xfId="517" applyFont="1" applyFill="1" applyBorder="1" applyAlignment="1">
      <alignment horizontal="left" vertical="top" wrapText="1"/>
    </xf>
    <xf numFmtId="0" fontId="0" fillId="0" borderId="41" xfId="0" applyBorder="1" applyAlignment="1">
      <alignment horizontal="left" vertical="top"/>
    </xf>
    <xf numFmtId="165" fontId="0" fillId="0" borderId="5" xfId="517" applyFont="1" applyFill="1" applyBorder="1" applyAlignment="1">
      <alignment horizontal="left" vertical="top"/>
    </xf>
    <xf numFmtId="0" fontId="0" fillId="0" borderId="25" xfId="0" applyBorder="1" applyAlignment="1">
      <alignment horizontal="left" vertical="top"/>
    </xf>
    <xf numFmtId="0" fontId="0" fillId="0" borderId="5" xfId="0" applyFill="1" applyBorder="1" applyAlignment="1">
      <alignment horizontal="left" vertical="top" wrapText="1"/>
    </xf>
    <xf numFmtId="2" fontId="0" fillId="0" borderId="5" xfId="0" applyNumberFormat="1" applyFill="1" applyBorder="1" applyAlignment="1">
      <alignment horizontal="left" vertical="top" wrapText="1"/>
    </xf>
    <xf numFmtId="0" fontId="0" fillId="0" borderId="17" xfId="0" applyFont="1" applyBorder="1" applyAlignment="1">
      <alignment vertical="top"/>
    </xf>
    <xf numFmtId="0" fontId="5" fillId="0" borderId="7" xfId="0" applyFont="1" applyBorder="1" applyAlignment="1">
      <alignment vertical="top"/>
    </xf>
    <xf numFmtId="0" fontId="0" fillId="0" borderId="53" xfId="0" applyFont="1" applyBorder="1" applyAlignment="1">
      <alignment vertical="top"/>
    </xf>
    <xf numFmtId="0" fontId="5" fillId="0" borderId="7" xfId="0" applyFont="1" applyBorder="1" applyAlignment="1">
      <alignment vertical="top" wrapText="1"/>
    </xf>
    <xf numFmtId="0" fontId="0" fillId="0" borderId="53" xfId="0" applyFont="1" applyBorder="1" applyAlignment="1">
      <alignment vertical="top" wrapText="1"/>
    </xf>
    <xf numFmtId="0" fontId="0" fillId="0" borderId="22" xfId="0" applyFont="1" applyBorder="1" applyAlignment="1">
      <alignment vertical="top" wrapText="1"/>
    </xf>
    <xf numFmtId="0" fontId="0" fillId="0" borderId="1" xfId="0" applyFont="1" applyFill="1" applyBorder="1" applyAlignment="1">
      <alignment vertical="top" wrapText="1"/>
    </xf>
    <xf numFmtId="0" fontId="0" fillId="0" borderId="40" xfId="0" applyFill="1" applyBorder="1" applyAlignment="1">
      <alignment vertical="top" wrapText="1"/>
    </xf>
    <xf numFmtId="0" fontId="0" fillId="0" borderId="25" xfId="0" applyBorder="1"/>
    <xf numFmtId="0" fontId="0" fillId="0" borderId="17" xfId="0" applyFont="1" applyFill="1" applyBorder="1" applyAlignment="1">
      <alignment vertical="top" wrapText="1"/>
    </xf>
    <xf numFmtId="0" fontId="0" fillId="0" borderId="22" xfId="0" applyFont="1" applyFill="1" applyBorder="1" applyAlignment="1">
      <alignment vertical="top" wrapText="1"/>
    </xf>
    <xf numFmtId="0" fontId="5" fillId="0" borderId="7" xfId="0" applyFont="1" applyFill="1" applyBorder="1" applyAlignment="1">
      <alignment vertical="top"/>
    </xf>
    <xf numFmtId="0" fontId="0" fillId="0" borderId="53" xfId="0" applyFont="1" applyFill="1" applyBorder="1" applyAlignment="1">
      <alignment vertical="top"/>
    </xf>
    <xf numFmtId="0" fontId="0" fillId="0" borderId="4" xfId="0" applyBorder="1" applyAlignment="1">
      <alignment horizontal="left" vertical="top"/>
    </xf>
    <xf numFmtId="0" fontId="0" fillId="0" borderId="3" xfId="0" applyFill="1" applyBorder="1" applyAlignment="1">
      <alignment horizontal="left" vertical="top" wrapText="1"/>
    </xf>
    <xf numFmtId="0" fontId="0" fillId="0" borderId="3" xfId="0" applyBorder="1" applyAlignment="1">
      <alignment horizontal="left" vertical="top"/>
    </xf>
    <xf numFmtId="0" fontId="0" fillId="0" borderId="40" xfId="0" applyFill="1" applyBorder="1" applyAlignment="1">
      <alignment horizontal="left" vertical="top" wrapText="1"/>
    </xf>
    <xf numFmtId="0" fontId="0" fillId="0" borderId="80" xfId="0" applyFill="1" applyBorder="1" applyAlignment="1">
      <alignment horizontal="left" vertical="top" wrapText="1"/>
    </xf>
    <xf numFmtId="0" fontId="0" fillId="0" borderId="80" xfId="0" applyBorder="1" applyAlignment="1">
      <alignment horizontal="left" vertical="top"/>
    </xf>
    <xf numFmtId="0" fontId="0" fillId="0" borderId="15" xfId="0" applyBorder="1" applyAlignment="1">
      <alignment horizontal="left" vertical="top"/>
    </xf>
    <xf numFmtId="0" fontId="0" fillId="0" borderId="23" xfId="0" applyBorder="1" applyAlignment="1">
      <alignment horizontal="left" vertical="top" wrapText="1"/>
    </xf>
    <xf numFmtId="0" fontId="0" fillId="0" borderId="3" xfId="0" applyFill="1" applyBorder="1"/>
    <xf numFmtId="0" fontId="0" fillId="0" borderId="4" xfId="0" applyFill="1" applyBorder="1"/>
    <xf numFmtId="0" fontId="0" fillId="0" borderId="41" xfId="0" applyFill="1" applyBorder="1"/>
    <xf numFmtId="0" fontId="0" fillId="5" borderId="1" xfId="0" applyFill="1" applyBorder="1"/>
    <xf numFmtId="0" fontId="0" fillId="5" borderId="1" xfId="0" applyFill="1" applyBorder="1" applyAlignment="1">
      <alignment horizontal="left" vertical="top" wrapText="1"/>
    </xf>
    <xf numFmtId="0" fontId="0" fillId="0" borderId="53" xfId="0" applyFill="1" applyBorder="1"/>
    <xf numFmtId="0" fontId="0" fillId="0" borderId="8" xfId="0" applyFill="1" applyBorder="1"/>
    <xf numFmtId="0" fontId="0" fillId="0" borderId="17" xfId="0" applyFill="1" applyBorder="1" applyAlignment="1"/>
    <xf numFmtId="0" fontId="0" fillId="0" borderId="18" xfId="0" applyFill="1" applyBorder="1" applyAlignment="1"/>
    <xf numFmtId="0" fontId="0" fillId="0" borderId="17" xfId="0" applyFill="1" applyBorder="1" applyAlignment="1">
      <alignment wrapText="1"/>
    </xf>
    <xf numFmtId="0" fontId="0" fillId="0" borderId="18" xfId="0" applyFill="1" applyBorder="1"/>
    <xf numFmtId="0" fontId="0" fillId="0" borderId="20" xfId="0" applyFill="1" applyBorder="1"/>
    <xf numFmtId="0" fontId="0" fillId="5" borderId="17" xfId="0" applyFill="1" applyBorder="1" applyAlignment="1">
      <alignment horizontal="left" vertical="top"/>
    </xf>
    <xf numFmtId="0" fontId="0" fillId="5" borderId="17" xfId="0" applyFill="1" applyBorder="1"/>
    <xf numFmtId="0" fontId="0" fillId="5" borderId="22" xfId="0" applyFill="1" applyBorder="1" applyAlignment="1">
      <alignment horizontal="left" vertical="top"/>
    </xf>
    <xf numFmtId="0" fontId="0" fillId="5" borderId="22" xfId="0" applyFill="1" applyBorder="1"/>
    <xf numFmtId="0" fontId="24" fillId="0" borderId="53" xfId="0" applyFont="1" applyFill="1" applyBorder="1" applyAlignment="1">
      <alignment vertical="top" wrapText="1"/>
    </xf>
    <xf numFmtId="0" fontId="0" fillId="0" borderId="53" xfId="0" applyFill="1" applyBorder="1" applyAlignment="1"/>
    <xf numFmtId="0" fontId="0" fillId="0" borderId="8" xfId="0" applyFill="1" applyBorder="1" applyAlignment="1"/>
    <xf numFmtId="0" fontId="5" fillId="0" borderId="7" xfId="0" applyFont="1" applyFill="1" applyBorder="1" applyAlignment="1">
      <alignment horizontal="left" vertical="top"/>
    </xf>
    <xf numFmtId="0" fontId="0" fillId="0" borderId="53" xfId="0" applyFont="1" applyFill="1" applyBorder="1" applyAlignment="1">
      <alignment horizontal="left" vertical="top"/>
    </xf>
    <xf numFmtId="2" fontId="0" fillId="0" borderId="1" xfId="0" applyNumberFormat="1" applyBorder="1" applyAlignment="1">
      <alignment horizontal="left" vertical="top" wrapText="1"/>
    </xf>
    <xf numFmtId="0" fontId="24" fillId="0" borderId="1" xfId="0" applyFont="1" applyBorder="1" applyAlignment="1">
      <alignment horizontal="left" vertical="top"/>
    </xf>
    <xf numFmtId="0" fontId="24" fillId="0" borderId="1" xfId="0" applyFont="1" applyBorder="1" applyAlignment="1">
      <alignment horizontal="left" vertical="top" wrapText="1"/>
    </xf>
    <xf numFmtId="2" fontId="0" fillId="0" borderId="22" xfId="0" applyNumberFormat="1" applyBorder="1" applyAlignment="1">
      <alignment horizontal="left" vertical="top"/>
    </xf>
    <xf numFmtId="2" fontId="0" fillId="0" borderId="17" xfId="0" applyNumberFormat="1" applyBorder="1" applyAlignment="1">
      <alignment horizontal="left" vertical="top" wrapText="1"/>
    </xf>
    <xf numFmtId="2" fontId="0" fillId="0" borderId="22" xfId="0" applyNumberFormat="1" applyBorder="1" applyAlignment="1">
      <alignment horizontal="left" vertical="top" wrapText="1"/>
    </xf>
    <xf numFmtId="0" fontId="24" fillId="0" borderId="17" xfId="0" applyFont="1" applyBorder="1" applyAlignment="1">
      <alignment horizontal="left" vertical="top" wrapText="1"/>
    </xf>
    <xf numFmtId="0" fontId="24" fillId="0" borderId="22" xfId="0" applyFont="1" applyBorder="1" applyAlignment="1">
      <alignment horizontal="left" vertical="top" wrapText="1"/>
    </xf>
    <xf numFmtId="0" fontId="5" fillId="0" borderId="22" xfId="0" applyFont="1" applyBorder="1" applyAlignment="1">
      <alignment horizontal="left" vertical="top"/>
    </xf>
    <xf numFmtId="0" fontId="0" fillId="0" borderId="3" xfId="0" applyBorder="1" applyAlignment="1">
      <alignment wrapText="1"/>
    </xf>
    <xf numFmtId="0" fontId="0" fillId="0" borderId="1" xfId="0" applyBorder="1" applyAlignment="1">
      <alignment horizontal="left" vertical="top" indent="1"/>
    </xf>
    <xf numFmtId="0" fontId="0" fillId="0" borderId="1" xfId="0" applyBorder="1" applyAlignment="1">
      <alignment horizontal="left" indent="1"/>
    </xf>
    <xf numFmtId="0" fontId="0" fillId="0" borderId="1" xfId="0" applyFont="1" applyBorder="1" applyAlignment="1">
      <alignment horizontal="left" indent="1"/>
    </xf>
    <xf numFmtId="0" fontId="0" fillId="0" borderId="22" xfId="0" applyBorder="1" applyAlignment="1">
      <alignment wrapText="1"/>
    </xf>
    <xf numFmtId="0" fontId="5" fillId="0" borderId="17" xfId="0" applyFont="1" applyBorder="1" applyAlignment="1">
      <alignment horizontal="left" vertical="top"/>
    </xf>
    <xf numFmtId="0" fontId="0" fillId="0" borderId="17" xfId="0" applyBorder="1" applyAlignment="1">
      <alignment horizontal="left" indent="1"/>
    </xf>
    <xf numFmtId="0" fontId="0" fillId="0" borderId="22" xfId="0" applyBorder="1" applyAlignment="1">
      <alignment horizontal="left" indent="1"/>
    </xf>
    <xf numFmtId="2" fontId="0" fillId="0" borderId="22" xfId="0" applyNumberFormat="1" applyBorder="1" applyAlignment="1">
      <alignment wrapText="1"/>
    </xf>
    <xf numFmtId="0" fontId="0" fillId="0" borderId="17" xfId="0" applyFont="1" applyBorder="1" applyAlignment="1">
      <alignment horizontal="left" indent="1"/>
    </xf>
    <xf numFmtId="0" fontId="0" fillId="0" borderId="22" xfId="0" applyFont="1" applyBorder="1" applyAlignment="1">
      <alignment horizontal="left" indent="1"/>
    </xf>
    <xf numFmtId="0" fontId="0" fillId="0" borderId="53" xfId="0" applyBorder="1" applyAlignment="1">
      <alignment wrapText="1"/>
    </xf>
    <xf numFmtId="2" fontId="5" fillId="0" borderId="22" xfId="0" applyNumberFormat="1" applyFont="1" applyFill="1" applyBorder="1" applyAlignment="1">
      <alignment wrapText="1"/>
    </xf>
    <xf numFmtId="0" fontId="0" fillId="0" borderId="22" xfId="0" applyBorder="1" applyAlignment="1">
      <alignment horizontal="left" vertical="top" indent="1"/>
    </xf>
    <xf numFmtId="0" fontId="0" fillId="0" borderId="17" xfId="0" applyBorder="1" applyAlignment="1">
      <alignment horizontal="left" vertical="top" indent="1"/>
    </xf>
    <xf numFmtId="0" fontId="0" fillId="0" borderId="1" xfId="0" applyFill="1" applyBorder="1" applyAlignment="1">
      <alignment horizontal="left" indent="1"/>
    </xf>
    <xf numFmtId="0" fontId="0" fillId="0" borderId="22" xfId="0" applyFill="1" applyBorder="1" applyAlignment="1">
      <alignment horizontal="left" indent="1"/>
    </xf>
    <xf numFmtId="0" fontId="5" fillId="0" borderId="2" xfId="0" applyFont="1" applyBorder="1" applyAlignment="1">
      <alignment vertical="top"/>
    </xf>
    <xf numFmtId="0" fontId="5" fillId="0" borderId="3" xfId="0" applyFont="1" applyBorder="1" applyAlignment="1">
      <alignment vertical="top"/>
    </xf>
    <xf numFmtId="0" fontId="5" fillId="0" borderId="40" xfId="0" applyFont="1" applyBorder="1" applyAlignment="1">
      <alignment vertical="top"/>
    </xf>
    <xf numFmtId="0" fontId="0" fillId="0" borderId="1" xfId="0" applyBorder="1" applyAlignment="1">
      <alignment horizontal="left" indent="1"/>
    </xf>
    <xf numFmtId="0" fontId="0" fillId="0" borderId="22" xfId="0" applyBorder="1" applyAlignment="1">
      <alignment horizontal="left" indent="1"/>
    </xf>
    <xf numFmtId="2" fontId="5" fillId="0" borderId="22" xfId="0" applyNumberFormat="1" applyFont="1" applyFill="1" applyBorder="1" applyAlignment="1">
      <alignment vertical="top" wrapText="1"/>
    </xf>
    <xf numFmtId="2" fontId="0" fillId="0" borderId="9" xfId="0" applyNumberFormat="1" applyFill="1" applyBorder="1" applyAlignment="1">
      <alignment wrapText="1"/>
    </xf>
    <xf numFmtId="0" fontId="0" fillId="0" borderId="9" xfId="0" applyBorder="1"/>
    <xf numFmtId="0" fontId="0" fillId="0" borderId="40" xfId="0" applyFill="1" applyBorder="1" applyAlignment="1">
      <alignment vertical="top"/>
    </xf>
    <xf numFmtId="0" fontId="0" fillId="0" borderId="46" xfId="0" applyFill="1" applyBorder="1" applyAlignment="1">
      <alignment vertical="top"/>
    </xf>
    <xf numFmtId="0" fontId="0" fillId="5" borderId="1" xfId="0" applyFont="1" applyFill="1" applyBorder="1" applyAlignment="1">
      <alignment horizontal="center" vertical="center"/>
    </xf>
    <xf numFmtId="0" fontId="27" fillId="5" borderId="1" xfId="0" applyFont="1" applyFill="1" applyBorder="1" applyAlignment="1">
      <alignment horizontal="center" vertical="center"/>
    </xf>
    <xf numFmtId="0" fontId="0" fillId="0" borderId="1" xfId="0" applyFill="1" applyBorder="1" applyAlignment="1">
      <alignment horizontal="left" wrapText="1"/>
    </xf>
    <xf numFmtId="2" fontId="0" fillId="0" borderId="22" xfId="0" applyNumberFormat="1" applyFill="1" applyBorder="1" applyAlignment="1">
      <alignment vertical="top"/>
    </xf>
    <xf numFmtId="0" fontId="0" fillId="5" borderId="17" xfId="0" applyFont="1" applyFill="1" applyBorder="1" applyAlignment="1">
      <alignment horizontal="center" vertical="center"/>
    </xf>
    <xf numFmtId="0" fontId="0" fillId="5" borderId="22" xfId="0" applyFont="1" applyFill="1" applyBorder="1" applyAlignment="1">
      <alignment horizontal="center" vertical="center"/>
    </xf>
    <xf numFmtId="0" fontId="27" fillId="5" borderId="17" xfId="0" applyFont="1" applyFill="1" applyBorder="1" applyAlignment="1">
      <alignment horizontal="center" vertical="center"/>
    </xf>
    <xf numFmtId="0" fontId="27" fillId="5" borderId="22" xfId="0" applyFont="1" applyFill="1" applyBorder="1" applyAlignment="1">
      <alignment horizontal="center" vertical="center"/>
    </xf>
    <xf numFmtId="0" fontId="0" fillId="0" borderId="22" xfId="0" applyFill="1" applyBorder="1" applyAlignment="1">
      <alignment horizontal="left" wrapText="1"/>
    </xf>
    <xf numFmtId="0" fontId="5" fillId="0" borderId="3" xfId="0" applyFont="1" applyFill="1" applyBorder="1" applyAlignment="1">
      <alignment vertical="top"/>
    </xf>
    <xf numFmtId="0" fontId="0" fillId="0" borderId="3" xfId="0" applyFill="1" applyBorder="1" applyAlignment="1">
      <alignment wrapText="1"/>
    </xf>
    <xf numFmtId="0" fontId="5" fillId="0" borderId="40" xfId="0" applyFont="1" applyFill="1" applyBorder="1" applyAlignment="1">
      <alignment vertical="top"/>
    </xf>
    <xf numFmtId="0" fontId="0" fillId="0" borderId="40" xfId="0" applyFill="1" applyBorder="1" applyAlignment="1">
      <alignment wrapText="1"/>
    </xf>
    <xf numFmtId="0" fontId="0" fillId="0" borderId="1" xfId="0" applyFill="1" applyBorder="1" applyAlignment="1">
      <alignment horizontal="left" vertical="top" indent="1"/>
    </xf>
    <xf numFmtId="2" fontId="0" fillId="0" borderId="1" xfId="0" applyNumberFormat="1" applyFill="1" applyBorder="1"/>
    <xf numFmtId="0" fontId="0" fillId="0" borderId="17" xfId="0" applyFill="1" applyBorder="1" applyAlignment="1">
      <alignment horizontal="left" vertical="top" indent="1"/>
    </xf>
    <xf numFmtId="0" fontId="0" fillId="0" borderId="22" xfId="0" applyFill="1" applyBorder="1" applyAlignment="1">
      <alignment horizontal="left" vertical="top" indent="1"/>
    </xf>
    <xf numFmtId="2" fontId="0" fillId="0" borderId="22" xfId="0" applyNumberFormat="1" applyFill="1" applyBorder="1"/>
    <xf numFmtId="0" fontId="0" fillId="0" borderId="17" xfId="0" applyFill="1" applyBorder="1" applyAlignment="1">
      <alignment horizontal="left" indent="1"/>
    </xf>
    <xf numFmtId="0" fontId="0" fillId="0" borderId="22" xfId="0" applyFont="1" applyFill="1" applyBorder="1"/>
    <xf numFmtId="0" fontId="0" fillId="0" borderId="53" xfId="0" applyFill="1" applyBorder="1" applyAlignment="1">
      <alignment wrapText="1"/>
    </xf>
    <xf numFmtId="0" fontId="5" fillId="0" borderId="22" xfId="0" applyFont="1" applyFill="1" applyBorder="1"/>
    <xf numFmtId="0" fontId="0" fillId="0" borderId="1" xfId="0" applyFont="1" applyBorder="1" applyAlignment="1">
      <alignment horizontal="left" vertical="top" indent="1"/>
    </xf>
    <xf numFmtId="0" fontId="0" fillId="0" borderId="22" xfId="0" applyFont="1" applyBorder="1" applyAlignment="1">
      <alignment horizontal="left" vertical="top" indent="1"/>
    </xf>
    <xf numFmtId="0" fontId="0" fillId="0" borderId="17" xfId="0" applyFont="1" applyBorder="1" applyAlignment="1">
      <alignment horizontal="left" vertical="top" indent="1"/>
    </xf>
    <xf numFmtId="0" fontId="5" fillId="0" borderId="22" xfId="0" applyFont="1" applyBorder="1" applyAlignment="1">
      <alignment vertical="top"/>
    </xf>
    <xf numFmtId="0" fontId="24" fillId="0" borderId="40" xfId="0" applyFont="1" applyFill="1" applyBorder="1" applyAlignment="1">
      <alignment horizontal="left" vertical="top" wrapText="1"/>
    </xf>
    <xf numFmtId="0" fontId="5" fillId="0" borderId="40" xfId="0" applyFont="1" applyFill="1" applyBorder="1" applyAlignment="1">
      <alignment horizontal="left" vertical="top" textRotation="90"/>
    </xf>
    <xf numFmtId="0" fontId="5" fillId="0" borderId="41" xfId="0" applyFont="1" applyFill="1" applyBorder="1" applyAlignment="1">
      <alignment horizontal="left" vertical="top" textRotation="90" wrapText="1"/>
    </xf>
    <xf numFmtId="0" fontId="0" fillId="0" borderId="56" xfId="0" applyFill="1" applyBorder="1" applyAlignment="1">
      <alignment horizontal="left" vertical="top"/>
    </xf>
    <xf numFmtId="0" fontId="5" fillId="0" borderId="1" xfId="0" applyFont="1" applyFill="1" applyBorder="1" applyAlignment="1">
      <alignment horizontal="left" vertical="top" textRotation="90"/>
    </xf>
    <xf numFmtId="0" fontId="0" fillId="0" borderId="18" xfId="0" applyFill="1" applyBorder="1" applyAlignment="1">
      <alignment vertical="top" wrapText="1"/>
    </xf>
    <xf numFmtId="0" fontId="0" fillId="0" borderId="23" xfId="0" applyFill="1" applyBorder="1" applyAlignment="1">
      <alignment vertical="top" wrapText="1"/>
    </xf>
    <xf numFmtId="0" fontId="24" fillId="0" borderId="17" xfId="0" applyFont="1" applyFill="1" applyBorder="1" applyAlignment="1">
      <alignment horizontal="left" vertical="top" wrapText="1"/>
    </xf>
    <xf numFmtId="0" fontId="5" fillId="0" borderId="17" xfId="0" applyFont="1" applyFill="1" applyBorder="1" applyAlignment="1">
      <alignment horizontal="left" vertical="top" textRotation="90"/>
    </xf>
    <xf numFmtId="0" fontId="5" fillId="0" borderId="18" xfId="0" applyFont="1" applyFill="1" applyBorder="1" applyAlignment="1">
      <alignment horizontal="left" vertical="top" textRotation="90" wrapText="1"/>
    </xf>
    <xf numFmtId="0" fontId="5" fillId="0" borderId="20" xfId="0" applyFont="1" applyFill="1" applyBorder="1" applyAlignment="1">
      <alignment horizontal="left" vertical="top" textRotation="90" wrapText="1"/>
    </xf>
    <xf numFmtId="0" fontId="24" fillId="0" borderId="22" xfId="0" applyFont="1" applyFill="1" applyBorder="1" applyAlignment="1">
      <alignment horizontal="left" vertical="top" wrapText="1"/>
    </xf>
    <xf numFmtId="0" fontId="5" fillId="0" borderId="22" xfId="0" applyFont="1" applyFill="1" applyBorder="1" applyAlignment="1">
      <alignment horizontal="left" vertical="top" textRotation="90"/>
    </xf>
    <xf numFmtId="0" fontId="5" fillId="0" borderId="23" xfId="0" applyFont="1" applyFill="1" applyBorder="1" applyAlignment="1">
      <alignment horizontal="left" vertical="top" textRotation="90" wrapText="1"/>
    </xf>
    <xf numFmtId="0" fontId="0" fillId="0" borderId="53" xfId="0" applyBorder="1" applyAlignment="1">
      <alignment horizontal="left" vertical="top" wrapText="1"/>
    </xf>
    <xf numFmtId="0" fontId="0" fillId="0" borderId="3" xfId="0" applyBorder="1" applyAlignment="1">
      <alignment horizontal="left" vertical="top" wrapText="1"/>
    </xf>
    <xf numFmtId="0" fontId="0" fillId="0" borderId="18" xfId="0" applyBorder="1" applyAlignment="1">
      <alignment vertical="top" wrapText="1"/>
    </xf>
    <xf numFmtId="0" fontId="0" fillId="0" borderId="1"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 xfId="0" quotePrefix="1" applyBorder="1" applyAlignment="1">
      <alignment horizontal="left" vertical="top" wrapText="1"/>
    </xf>
    <xf numFmtId="2" fontId="0" fillId="0" borderId="22" xfId="0" applyNumberFormat="1" applyBorder="1" applyAlignment="1">
      <alignment vertical="top"/>
    </xf>
    <xf numFmtId="0" fontId="0" fillId="0" borderId="22" xfId="0" applyFont="1" applyBorder="1" applyAlignment="1">
      <alignment vertical="top"/>
    </xf>
    <xf numFmtId="0" fontId="24" fillId="0" borderId="53" xfId="0" applyFont="1" applyBorder="1" applyAlignment="1">
      <alignment horizontal="left" vertical="top"/>
    </xf>
    <xf numFmtId="0" fontId="0" fillId="0" borderId="9" xfId="0" applyFont="1" applyBorder="1" applyAlignment="1">
      <alignment horizontal="left" vertical="top"/>
    </xf>
    <xf numFmtId="0" fontId="0" fillId="0" borderId="9" xfId="0" applyBorder="1" applyAlignment="1">
      <alignment vertical="center"/>
    </xf>
    <xf numFmtId="0" fontId="23" fillId="0" borderId="17" xfId="0" applyFont="1" applyBorder="1" applyAlignment="1">
      <alignment horizontal="left" vertical="top" wrapText="1"/>
    </xf>
    <xf numFmtId="0" fontId="5" fillId="0" borderId="36" xfId="0" applyFont="1" applyBorder="1" applyAlignment="1">
      <alignment vertical="center" textRotation="90"/>
    </xf>
    <xf numFmtId="0" fontId="5" fillId="0" borderId="45" xfId="0" applyFont="1" applyBorder="1" applyAlignment="1">
      <alignment vertical="center" textRotation="90"/>
    </xf>
    <xf numFmtId="0" fontId="0" fillId="0" borderId="53" xfId="0" applyBorder="1" applyAlignment="1">
      <alignment vertical="center"/>
    </xf>
    <xf numFmtId="2" fontId="0" fillId="0" borderId="53" xfId="0" applyNumberFormat="1" applyBorder="1" applyAlignment="1">
      <alignment wrapText="1"/>
    </xf>
    <xf numFmtId="0" fontId="5" fillId="0" borderId="39" xfId="0" applyFont="1" applyBorder="1" applyAlignment="1">
      <alignment horizontal="left" vertical="top" wrapText="1"/>
    </xf>
    <xf numFmtId="0" fontId="0" fillId="0" borderId="40" xfId="0" applyFont="1" applyBorder="1" applyAlignment="1">
      <alignment horizontal="left" vertical="top" wrapText="1"/>
    </xf>
    <xf numFmtId="0" fontId="0" fillId="0" borderId="1" xfId="0" applyBorder="1" applyAlignment="1">
      <alignment horizontal="left" vertical="top"/>
    </xf>
    <xf numFmtId="0" fontId="0" fillId="0" borderId="22" xfId="0" applyBorder="1" applyAlignment="1">
      <alignment horizontal="left" vertical="top"/>
    </xf>
    <xf numFmtId="0" fontId="0" fillId="0" borderId="17" xfId="0" applyFont="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40" xfId="0" applyBorder="1" applyAlignment="1">
      <alignment horizontal="left" vertical="top" wrapText="1"/>
    </xf>
    <xf numFmtId="0" fontId="0" fillId="0" borderId="0" xfId="0" applyBorder="1" applyAlignment="1">
      <alignment horizontal="left" vertical="top" wrapText="1"/>
    </xf>
    <xf numFmtId="0" fontId="0" fillId="0" borderId="17" xfId="0" applyBorder="1" applyAlignment="1">
      <alignment horizontal="left" vertical="top" indent="1"/>
    </xf>
    <xf numFmtId="0" fontId="0" fillId="0" borderId="1" xfId="0" applyBorder="1" applyAlignment="1">
      <alignment horizontal="left" vertical="top" indent="1"/>
    </xf>
    <xf numFmtId="0" fontId="0" fillId="0" borderId="22" xfId="0" applyBorder="1" applyAlignment="1">
      <alignment horizontal="left" vertical="top" indent="1"/>
    </xf>
    <xf numFmtId="0" fontId="0" fillId="0" borderId="1" xfId="0" applyBorder="1" applyAlignment="1">
      <alignment horizontal="left" indent="1"/>
    </xf>
    <xf numFmtId="0" fontId="0" fillId="0" borderId="22" xfId="0" applyBorder="1" applyAlignment="1">
      <alignment horizontal="left" indent="1"/>
    </xf>
    <xf numFmtId="0" fontId="0" fillId="0" borderId="0" xfId="0" applyBorder="1" applyAlignment="1">
      <alignment horizontal="left" vertical="top"/>
    </xf>
    <xf numFmtId="0" fontId="0" fillId="0" borderId="22" xfId="0" applyFont="1" applyBorder="1" applyAlignment="1">
      <alignment horizontal="left" vertical="top" wrapText="1"/>
    </xf>
    <xf numFmtId="0" fontId="0" fillId="0" borderId="17" xfId="0" applyBorder="1" applyAlignment="1">
      <alignment horizontal="left" indent="1"/>
    </xf>
    <xf numFmtId="0" fontId="5" fillId="0" borderId="17" xfId="0" applyFont="1" applyBorder="1"/>
    <xf numFmtId="0" fontId="5" fillId="0" borderId="7" xfId="0" applyFont="1" applyBorder="1"/>
    <xf numFmtId="0" fontId="0" fillId="0" borderId="53" xfId="0" applyFont="1" applyBorder="1" applyAlignment="1">
      <alignment horizontal="left" indent="1"/>
    </xf>
    <xf numFmtId="0" fontId="6" fillId="0" borderId="1" xfId="0"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left" vertical="top" wrapText="1" indent="1"/>
    </xf>
    <xf numFmtId="0" fontId="6" fillId="0" borderId="17" xfId="0" applyFont="1" applyFill="1" applyBorder="1" applyAlignment="1">
      <alignment vertical="top" wrapText="1"/>
    </xf>
    <xf numFmtId="0" fontId="6" fillId="0" borderId="22" xfId="0" applyFont="1" applyFill="1" applyBorder="1" applyAlignment="1">
      <alignment vertical="top" wrapText="1"/>
    </xf>
    <xf numFmtId="0" fontId="6" fillId="0" borderId="17" xfId="0" applyFont="1" applyBorder="1" applyAlignment="1">
      <alignment vertical="top" wrapText="1"/>
    </xf>
    <xf numFmtId="0" fontId="24" fillId="0" borderId="22" xfId="0" applyFont="1" applyFill="1" applyBorder="1" applyAlignment="1">
      <alignment horizontal="justify" vertical="center"/>
    </xf>
    <xf numFmtId="0" fontId="6" fillId="0" borderId="22" xfId="0" applyFont="1" applyBorder="1" applyAlignment="1">
      <alignment vertical="top" wrapText="1"/>
    </xf>
    <xf numFmtId="0" fontId="0" fillId="0" borderId="1" xfId="0" applyFill="1" applyBorder="1" applyAlignment="1">
      <alignment horizontal="left" vertical="top" wrapText="1"/>
    </xf>
    <xf numFmtId="0" fontId="0" fillId="0" borderId="0" xfId="0" applyBorder="1" applyAlignment="1">
      <alignment horizontal="center" vertical="center" wrapText="1"/>
    </xf>
    <xf numFmtId="0" fontId="6" fillId="0" borderId="5" xfId="0" applyFont="1" applyFill="1" applyBorder="1" applyAlignment="1">
      <alignment vertical="top" wrapText="1"/>
    </xf>
    <xf numFmtId="0" fontId="0" fillId="0" borderId="0" xfId="0" applyBorder="1" applyAlignment="1">
      <alignment horizontal="center" vertical="center"/>
    </xf>
    <xf numFmtId="0" fontId="0" fillId="0" borderId="42" xfId="0" applyFill="1" applyBorder="1" applyAlignment="1">
      <alignment horizontal="center" vertical="top"/>
    </xf>
    <xf numFmtId="0" fontId="0" fillId="0" borderId="43" xfId="0" applyFill="1" applyBorder="1" applyAlignment="1">
      <alignment horizontal="center" vertical="top"/>
    </xf>
    <xf numFmtId="0" fontId="0" fillId="0" borderId="36" xfId="0" applyFill="1" applyBorder="1" applyAlignment="1">
      <alignment horizontal="center" vertical="top"/>
    </xf>
    <xf numFmtId="0" fontId="0" fillId="0" borderId="19" xfId="0" applyFill="1" applyBorder="1" applyAlignment="1">
      <alignment horizontal="center" vertical="center"/>
    </xf>
    <xf numFmtId="0" fontId="0" fillId="0" borderId="20" xfId="0" applyFill="1" applyBorder="1" applyAlignment="1">
      <alignment horizontal="center" vertical="top" wrapText="1"/>
    </xf>
    <xf numFmtId="0" fontId="0" fillId="0" borderId="20" xfId="0" applyFill="1" applyBorder="1" applyAlignment="1">
      <alignment horizontal="center" vertical="top"/>
    </xf>
    <xf numFmtId="0" fontId="0" fillId="0" borderId="21" xfId="0" applyFill="1" applyBorder="1" applyAlignment="1">
      <alignment horizontal="center" vertical="center"/>
    </xf>
    <xf numFmtId="0" fontId="0" fillId="0" borderId="23" xfId="0" applyFill="1" applyBorder="1" applyAlignment="1">
      <alignment horizontal="center" vertical="top"/>
    </xf>
    <xf numFmtId="0" fontId="0" fillId="0" borderId="55" xfId="0" applyFill="1" applyBorder="1" applyAlignment="1">
      <alignment vertical="top"/>
    </xf>
    <xf numFmtId="0" fontId="0" fillId="0" borderId="56" xfId="0" applyFill="1" applyBorder="1" applyAlignment="1">
      <alignment vertical="top" wrapText="1"/>
    </xf>
    <xf numFmtId="2" fontId="0" fillId="0" borderId="37" xfId="0" applyNumberFormat="1" applyFill="1" applyBorder="1" applyAlignment="1">
      <alignment vertical="top"/>
    </xf>
    <xf numFmtId="2" fontId="6" fillId="0" borderId="16" xfId="0" applyNumberFormat="1" applyFont="1" applyFill="1" applyBorder="1" applyAlignment="1">
      <alignment horizontal="center" vertical="center"/>
    </xf>
    <xf numFmtId="0" fontId="0" fillId="0" borderId="18" xfId="0" applyFill="1" applyBorder="1" applyAlignment="1">
      <alignment horizontal="center" vertical="top"/>
    </xf>
    <xf numFmtId="2" fontId="6" fillId="0" borderId="19" xfId="0" applyNumberFormat="1" applyFont="1" applyFill="1" applyBorder="1" applyAlignment="1">
      <alignment horizontal="center" vertical="center" wrapText="1"/>
    </xf>
    <xf numFmtId="0" fontId="0" fillId="0" borderId="20" xfId="0" applyFill="1" applyBorder="1" applyAlignment="1">
      <alignment horizontal="center" vertical="center"/>
    </xf>
    <xf numFmtId="0" fontId="0" fillId="0" borderId="19" xfId="0" applyFill="1" applyBorder="1" applyAlignment="1">
      <alignment horizontal="center" vertical="center" wrapText="1"/>
    </xf>
    <xf numFmtId="2" fontId="0" fillId="0" borderId="21" xfId="0" applyNumberFormat="1" applyFill="1" applyBorder="1" applyAlignment="1">
      <alignment horizontal="center" vertical="center" wrapText="1"/>
    </xf>
    <xf numFmtId="0" fontId="0" fillId="0" borderId="23" xfId="0" applyFill="1" applyBorder="1" applyAlignment="1">
      <alignment horizontal="center" vertical="top" wrapText="1"/>
    </xf>
    <xf numFmtId="0" fontId="0" fillId="0" borderId="43" xfId="0"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center" vertical="center"/>
    </xf>
    <xf numFmtId="0" fontId="5" fillId="0" borderId="12" xfId="0" applyFont="1" applyFill="1" applyBorder="1" applyAlignment="1">
      <alignment horizontal="center" vertical="top"/>
    </xf>
    <xf numFmtId="0" fontId="5" fillId="10" borderId="12" xfId="0" applyFont="1" applyFill="1" applyBorder="1" applyAlignment="1">
      <alignment horizontal="center" vertical="top" wrapText="1"/>
    </xf>
    <xf numFmtId="0" fontId="0" fillId="0" borderId="12" xfId="0" applyBorder="1" applyAlignment="1">
      <alignment horizontal="center" vertical="top"/>
    </xf>
    <xf numFmtId="0" fontId="0" fillId="0" borderId="42" xfId="0" applyBorder="1" applyAlignment="1">
      <alignment horizontal="center" vertical="top"/>
    </xf>
    <xf numFmtId="0" fontId="0" fillId="0" borderId="43" xfId="0" applyBorder="1" applyAlignment="1">
      <alignment horizontal="center" vertical="top"/>
    </xf>
    <xf numFmtId="0" fontId="0" fillId="0" borderId="43" xfId="0" applyBorder="1" applyAlignment="1">
      <alignment horizontal="center" vertical="top" wrapText="1"/>
    </xf>
    <xf numFmtId="0" fontId="0" fillId="0" borderId="43" xfId="0" applyFill="1" applyBorder="1" applyAlignment="1">
      <alignment horizontal="center" vertical="top" wrapText="1"/>
    </xf>
    <xf numFmtId="0" fontId="0" fillId="0" borderId="36" xfId="0" applyBorder="1" applyAlignment="1">
      <alignment horizontal="center" vertical="top" wrapText="1"/>
    </xf>
    <xf numFmtId="0" fontId="0" fillId="0" borderId="36" xfId="0" applyBorder="1" applyAlignment="1">
      <alignment horizontal="center" vertical="top"/>
    </xf>
    <xf numFmtId="0" fontId="0" fillId="0" borderId="43" xfId="0" applyBorder="1" applyAlignment="1">
      <alignment horizontal="center" vertical="top" wrapText="1"/>
    </xf>
    <xf numFmtId="0" fontId="0" fillId="0" borderId="12" xfId="0" applyBorder="1" applyAlignment="1">
      <alignment horizontal="center" vertical="center"/>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62" xfId="0" applyBorder="1" applyAlignment="1">
      <alignment horizontal="center" vertical="center" wrapText="1"/>
    </xf>
    <xf numFmtId="0" fontId="0" fillId="0" borderId="61"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wrapText="1"/>
    </xf>
    <xf numFmtId="0" fontId="0" fillId="16" borderId="17" xfId="0" applyFill="1" applyBorder="1" applyAlignment="1">
      <alignment vertical="top"/>
    </xf>
    <xf numFmtId="0" fontId="0" fillId="16" borderId="18" xfId="0" applyFill="1" applyBorder="1" applyAlignment="1">
      <alignment vertical="top"/>
    </xf>
    <xf numFmtId="0" fontId="0" fillId="16" borderId="0" xfId="0" applyFill="1" applyBorder="1" applyAlignment="1">
      <alignment vertical="top"/>
    </xf>
    <xf numFmtId="0" fontId="0" fillId="16" borderId="0" xfId="0" applyFill="1" applyBorder="1"/>
    <xf numFmtId="2" fontId="0" fillId="16" borderId="19" xfId="0" applyNumberFormat="1" applyFill="1" applyBorder="1" applyAlignment="1">
      <alignment vertical="top"/>
    </xf>
    <xf numFmtId="0" fontId="0" fillId="16" borderId="1" xfId="0" applyFill="1" applyBorder="1" applyAlignment="1">
      <alignment vertical="top"/>
    </xf>
    <xf numFmtId="0" fontId="0" fillId="16" borderId="20" xfId="0" applyFill="1" applyBorder="1" applyAlignment="1">
      <alignment vertical="top"/>
    </xf>
    <xf numFmtId="2" fontId="6" fillId="16" borderId="61" xfId="0" applyNumberFormat="1" applyFont="1" applyFill="1" applyBorder="1" applyAlignment="1">
      <alignment horizontal="center" vertical="center"/>
    </xf>
    <xf numFmtId="0" fontId="0" fillId="16" borderId="55" xfId="0" applyFill="1" applyBorder="1" applyAlignment="1">
      <alignment horizontal="center" vertical="center" wrapText="1"/>
    </xf>
    <xf numFmtId="0" fontId="0" fillId="16" borderId="61" xfId="0" applyFill="1" applyBorder="1" applyAlignment="1">
      <alignment vertical="top"/>
    </xf>
    <xf numFmtId="0" fontId="6" fillId="16" borderId="19" xfId="0" applyFont="1" applyFill="1" applyBorder="1" applyAlignment="1">
      <alignment horizontal="left" vertical="top" wrapText="1"/>
    </xf>
    <xf numFmtId="2" fontId="6" fillId="16" borderId="73" xfId="0" applyNumberFormat="1" applyFont="1" applyFill="1" applyBorder="1" applyAlignment="1">
      <alignment horizontal="center" vertical="top"/>
    </xf>
    <xf numFmtId="0" fontId="0" fillId="16" borderId="58" xfId="0" applyFill="1" applyBorder="1" applyAlignment="1">
      <alignment horizontal="center" vertical="center" wrapText="1"/>
    </xf>
    <xf numFmtId="0" fontId="0" fillId="16" borderId="61" xfId="0" applyFill="1" applyBorder="1"/>
    <xf numFmtId="0" fontId="0" fillId="16" borderId="0" xfId="0" applyFill="1" applyBorder="1" applyAlignment="1">
      <alignment horizontal="center" vertical="center"/>
    </xf>
    <xf numFmtId="2" fontId="0" fillId="16" borderId="19" xfId="0" applyNumberFormat="1" applyFill="1" applyBorder="1" applyAlignment="1">
      <alignment vertical="top" wrapText="1"/>
    </xf>
    <xf numFmtId="2" fontId="6" fillId="16" borderId="19" xfId="0" applyNumberFormat="1" applyFont="1" applyFill="1" applyBorder="1" applyAlignment="1">
      <alignment horizontal="center" vertical="center"/>
    </xf>
    <xf numFmtId="0" fontId="0" fillId="16" borderId="55" xfId="0" applyFill="1" applyBorder="1" applyAlignment="1">
      <alignment vertical="top"/>
    </xf>
    <xf numFmtId="2" fontId="0" fillId="16" borderId="69" xfId="0" applyNumberFormat="1" applyFill="1" applyBorder="1" applyAlignment="1">
      <alignment vertical="top" wrapText="1"/>
    </xf>
    <xf numFmtId="0" fontId="0" fillId="16" borderId="6" xfId="0" applyFill="1" applyBorder="1" applyAlignment="1">
      <alignment vertical="top"/>
    </xf>
    <xf numFmtId="0" fontId="0" fillId="16" borderId="27" xfId="0" applyFill="1" applyBorder="1" applyAlignment="1">
      <alignment vertical="top"/>
    </xf>
    <xf numFmtId="0" fontId="0" fillId="16" borderId="19" xfId="0" applyFill="1" applyBorder="1" applyAlignment="1">
      <alignment horizontal="center" vertical="center"/>
    </xf>
    <xf numFmtId="0" fontId="0" fillId="16" borderId="56" xfId="0" applyFill="1" applyBorder="1" applyAlignment="1">
      <alignment vertical="top" wrapText="1"/>
    </xf>
    <xf numFmtId="2" fontId="0" fillId="16" borderId="59" xfId="0" applyNumberFormat="1" applyFill="1" applyBorder="1" applyAlignment="1">
      <alignment vertical="top"/>
    </xf>
    <xf numFmtId="0" fontId="0" fillId="16" borderId="19" xfId="0" applyFill="1" applyBorder="1" applyAlignment="1">
      <alignment horizontal="center" vertical="top" wrapText="1"/>
    </xf>
    <xf numFmtId="0" fontId="0" fillId="16" borderId="20" xfId="0" applyFill="1" applyBorder="1" applyAlignment="1">
      <alignment horizontal="center" vertical="center" wrapText="1"/>
    </xf>
    <xf numFmtId="2" fontId="0" fillId="16" borderId="59" xfId="0" applyNumberFormat="1" applyFill="1" applyBorder="1" applyAlignment="1">
      <alignment vertical="top" wrapText="1"/>
    </xf>
    <xf numFmtId="2" fontId="0" fillId="16" borderId="19" xfId="0" applyNumberFormat="1" applyFill="1" applyBorder="1" applyAlignment="1">
      <alignment horizontal="center" vertical="center" wrapText="1"/>
    </xf>
    <xf numFmtId="0" fontId="0" fillId="16" borderId="20" xfId="0" applyFill="1" applyBorder="1" applyAlignment="1">
      <alignment horizontal="center" vertical="top" wrapText="1"/>
    </xf>
    <xf numFmtId="2" fontId="0" fillId="16" borderId="56" xfId="0" applyNumberFormat="1" applyFill="1" applyBorder="1" applyAlignment="1">
      <alignment vertical="top"/>
    </xf>
    <xf numFmtId="0" fontId="24" fillId="16" borderId="65" xfId="0" applyFont="1" applyFill="1" applyBorder="1" applyAlignment="1">
      <alignment horizontal="justify" vertical="top"/>
    </xf>
    <xf numFmtId="0" fontId="0" fillId="16" borderId="16" xfId="0" applyFill="1" applyBorder="1" applyAlignment="1">
      <alignment horizontal="center" vertical="center"/>
    </xf>
    <xf numFmtId="0" fontId="0" fillId="16" borderId="18" xfId="0" applyFill="1" applyBorder="1" applyAlignment="1">
      <alignment horizontal="center" vertical="top" wrapText="1"/>
    </xf>
    <xf numFmtId="0" fontId="0" fillId="16" borderId="41" xfId="0" applyFill="1" applyBorder="1" applyAlignment="1">
      <alignment vertical="top"/>
    </xf>
    <xf numFmtId="0" fontId="24" fillId="16" borderId="59" xfId="0" applyFont="1" applyFill="1" applyBorder="1" applyAlignment="1">
      <alignment vertical="top" wrapText="1"/>
    </xf>
    <xf numFmtId="0" fontId="0" fillId="16" borderId="56" xfId="0" applyFill="1" applyBorder="1" applyAlignment="1">
      <alignment vertical="top"/>
    </xf>
    <xf numFmtId="0" fontId="0" fillId="16" borderId="59" xfId="0" applyFill="1" applyBorder="1" applyAlignment="1">
      <alignment vertical="top" wrapText="1"/>
    </xf>
    <xf numFmtId="0" fontId="0" fillId="16" borderId="20" xfId="0" applyFill="1" applyBorder="1" applyAlignment="1">
      <alignment horizontal="center" vertical="center"/>
    </xf>
    <xf numFmtId="0" fontId="0" fillId="16" borderId="20" xfId="0" applyFill="1" applyBorder="1" applyAlignment="1">
      <alignment horizontal="center" vertical="top"/>
    </xf>
    <xf numFmtId="0" fontId="0" fillId="16" borderId="60" xfId="0" applyFill="1" applyBorder="1" applyAlignment="1">
      <alignment horizontal="center" vertical="center"/>
    </xf>
    <xf numFmtId="0" fontId="0" fillId="16" borderId="67" xfId="0" applyFill="1" applyBorder="1" applyAlignment="1">
      <alignment horizontal="center" vertical="top" wrapText="1"/>
    </xf>
    <xf numFmtId="0" fontId="5" fillId="16" borderId="42" xfId="0" applyFont="1" applyFill="1" applyBorder="1" applyAlignment="1">
      <alignment textRotation="90" wrapText="1"/>
    </xf>
    <xf numFmtId="0" fontId="0" fillId="16" borderId="20" xfId="0" applyFill="1" applyBorder="1" applyAlignment="1">
      <alignment horizontal="left" vertical="top"/>
    </xf>
    <xf numFmtId="0" fontId="24" fillId="16" borderId="59" xfId="0" applyFont="1" applyFill="1" applyBorder="1" applyAlignment="1">
      <alignment horizontal="justify" vertical="top"/>
    </xf>
    <xf numFmtId="0" fontId="0" fillId="16" borderId="61" xfId="0" applyFill="1" applyBorder="1" applyAlignment="1">
      <alignment horizontal="center" vertical="center"/>
    </xf>
    <xf numFmtId="0" fontId="0" fillId="16" borderId="55" xfId="0" applyFill="1" applyBorder="1" applyAlignment="1">
      <alignment horizontal="center" vertical="top" wrapText="1"/>
    </xf>
    <xf numFmtId="0" fontId="0" fillId="16" borderId="43" xfId="0" applyFill="1" applyBorder="1" applyAlignment="1">
      <alignment vertical="top"/>
    </xf>
    <xf numFmtId="0" fontId="24" fillId="16" borderId="66" xfId="0" applyFont="1" applyFill="1" applyBorder="1" applyAlignment="1">
      <alignment horizontal="justify" vertical="top"/>
    </xf>
    <xf numFmtId="0" fontId="0" fillId="16" borderId="22" xfId="0" applyFill="1" applyBorder="1" applyAlignment="1">
      <alignment vertical="top"/>
    </xf>
    <xf numFmtId="0" fontId="0" fillId="16" borderId="23" xfId="0" applyFill="1" applyBorder="1" applyAlignment="1">
      <alignment vertical="top"/>
    </xf>
    <xf numFmtId="0" fontId="0" fillId="16" borderId="62" xfId="0" applyFill="1" applyBorder="1" applyAlignment="1">
      <alignment horizontal="center" vertical="center"/>
    </xf>
    <xf numFmtId="0" fontId="0" fillId="16" borderId="68" xfId="0" applyFill="1" applyBorder="1" applyAlignment="1">
      <alignment horizontal="center" vertical="top" wrapText="1"/>
    </xf>
    <xf numFmtId="0" fontId="0" fillId="16" borderId="36" xfId="0" applyFill="1" applyBorder="1" applyAlignment="1">
      <alignment vertical="top"/>
    </xf>
    <xf numFmtId="0" fontId="24" fillId="16" borderId="59" xfId="0" applyFont="1" applyFill="1" applyBorder="1" applyAlignment="1">
      <alignment horizontal="justify" vertical="top" wrapText="1"/>
    </xf>
    <xf numFmtId="0" fontId="0" fillId="16" borderId="59" xfId="0" applyFill="1" applyBorder="1" applyAlignment="1">
      <alignment vertical="top"/>
    </xf>
    <xf numFmtId="2" fontId="0" fillId="16" borderId="1" xfId="0" applyNumberFormat="1" applyFill="1" applyBorder="1" applyAlignment="1">
      <alignment vertical="top" wrapText="1"/>
    </xf>
    <xf numFmtId="0" fontId="0" fillId="16" borderId="43" xfId="0" applyFill="1" applyBorder="1" applyAlignment="1">
      <alignment horizontal="center" vertical="top" wrapText="1"/>
    </xf>
    <xf numFmtId="2" fontId="0" fillId="16" borderId="0" xfId="0" applyNumberFormat="1" applyFill="1" applyBorder="1" applyAlignment="1">
      <alignment horizontal="center" vertical="center" wrapText="1"/>
    </xf>
    <xf numFmtId="0" fontId="0" fillId="16" borderId="17" xfId="0" applyFont="1" applyFill="1" applyBorder="1" applyAlignment="1">
      <alignment vertical="top" wrapText="1"/>
    </xf>
    <xf numFmtId="0" fontId="0" fillId="16" borderId="42" xfId="0" applyFill="1" applyBorder="1" applyAlignment="1">
      <alignment horizontal="center" vertical="top"/>
    </xf>
    <xf numFmtId="2" fontId="0" fillId="16" borderId="40" xfId="0" applyNumberFormat="1" applyFill="1" applyBorder="1" applyAlignment="1">
      <alignment horizontal="center" vertical="center" wrapText="1"/>
    </xf>
    <xf numFmtId="0" fontId="0" fillId="16" borderId="42" xfId="0" applyFill="1" applyBorder="1" applyAlignment="1">
      <alignment vertical="top"/>
    </xf>
    <xf numFmtId="0" fontId="0" fillId="16" borderId="19" xfId="0" applyFill="1" applyBorder="1" applyAlignment="1">
      <alignment horizontal="left" vertical="top"/>
    </xf>
    <xf numFmtId="0" fontId="24" fillId="16" borderId="1" xfId="0" applyFont="1" applyFill="1" applyBorder="1" applyAlignment="1">
      <alignment horizontal="justify" vertical="top" wrapText="1"/>
    </xf>
    <xf numFmtId="0" fontId="24" fillId="16" borderId="1" xfId="0" applyFont="1" applyFill="1" applyBorder="1" applyAlignment="1">
      <alignment horizontal="justify" vertical="top"/>
    </xf>
    <xf numFmtId="0" fontId="0" fillId="16" borderId="61" xfId="0" applyFill="1" applyBorder="1" applyAlignment="1">
      <alignment horizontal="center" vertical="center" wrapText="1"/>
    </xf>
    <xf numFmtId="0" fontId="0" fillId="16" borderId="1" xfId="0" applyFont="1" applyFill="1" applyBorder="1" applyAlignment="1">
      <alignment horizontal="left" vertical="top" wrapText="1"/>
    </xf>
    <xf numFmtId="0" fontId="0" fillId="16" borderId="1" xfId="0" applyFont="1" applyFill="1" applyBorder="1" applyAlignment="1">
      <alignment vertical="top" wrapText="1"/>
    </xf>
    <xf numFmtId="0" fontId="0" fillId="16" borderId="22" xfId="0" applyFill="1" applyBorder="1" applyAlignment="1">
      <alignment horizontal="left" vertical="top" wrapText="1"/>
    </xf>
    <xf numFmtId="0" fontId="24" fillId="16" borderId="22" xfId="0" applyFont="1" applyFill="1" applyBorder="1" applyAlignment="1">
      <alignment horizontal="justify" vertical="top"/>
    </xf>
    <xf numFmtId="0" fontId="0" fillId="16" borderId="36" xfId="0" applyFill="1" applyBorder="1" applyAlignment="1">
      <alignment horizontal="center" vertical="center" wrapText="1"/>
    </xf>
    <xf numFmtId="0" fontId="0" fillId="16" borderId="1" xfId="0" applyFill="1" applyBorder="1" applyAlignment="1">
      <alignment horizontal="left" vertical="top"/>
    </xf>
    <xf numFmtId="0" fontId="0" fillId="16" borderId="43" xfId="0" applyFill="1" applyBorder="1" applyAlignment="1">
      <alignment horizontal="center" vertical="center" wrapText="1"/>
    </xf>
    <xf numFmtId="2" fontId="0" fillId="16" borderId="17" xfId="0" applyNumberFormat="1" applyFill="1" applyBorder="1" applyAlignment="1">
      <alignment wrapText="1"/>
    </xf>
    <xf numFmtId="0" fontId="0" fillId="16" borderId="17" xfId="0" applyFill="1" applyBorder="1"/>
    <xf numFmtId="0" fontId="0" fillId="16" borderId="42" xfId="0" applyFill="1" applyBorder="1" applyAlignment="1">
      <alignment horizontal="center" vertical="center"/>
    </xf>
    <xf numFmtId="0" fontId="0" fillId="16" borderId="40" xfId="0" applyFill="1" applyBorder="1" applyAlignment="1">
      <alignment horizontal="center" vertical="center"/>
    </xf>
    <xf numFmtId="0" fontId="0" fillId="0" borderId="42" xfId="0" applyFill="1" applyBorder="1" applyAlignment="1">
      <alignment horizontal="center" vertical="top" wrapText="1"/>
    </xf>
    <xf numFmtId="0" fontId="5" fillId="10" borderId="12" xfId="0" applyFont="1" applyFill="1" applyBorder="1" applyAlignment="1">
      <alignment horizontal="center" vertical="center" wrapText="1"/>
    </xf>
    <xf numFmtId="0" fontId="0" fillId="0" borderId="36" xfId="0" applyFill="1" applyBorder="1" applyAlignment="1">
      <alignment horizontal="center" vertical="center" wrapText="1"/>
    </xf>
    <xf numFmtId="0" fontId="24" fillId="0" borderId="17" xfId="0" applyFont="1" applyBorder="1" applyAlignment="1">
      <alignment horizontal="justify" vertical="top" wrapText="1"/>
    </xf>
    <xf numFmtId="0" fontId="6" fillId="16" borderId="1" xfId="0" applyFont="1" applyFill="1" applyBorder="1" applyAlignment="1">
      <alignment horizontal="left" vertical="top" wrapText="1"/>
    </xf>
    <xf numFmtId="2" fontId="6" fillId="16" borderId="43" xfId="0" applyNumberFormat="1" applyFont="1" applyFill="1" applyBorder="1" applyAlignment="1">
      <alignment horizontal="left" vertical="top"/>
    </xf>
    <xf numFmtId="0" fontId="0" fillId="16" borderId="43" xfId="0" applyFill="1" applyBorder="1"/>
    <xf numFmtId="2" fontId="0" fillId="16" borderId="43" xfId="0" applyNumberFormat="1" applyFill="1" applyBorder="1" applyAlignment="1">
      <alignment horizontal="center" vertical="center" wrapText="1"/>
    </xf>
    <xf numFmtId="2" fontId="0" fillId="16" borderId="43" xfId="0" applyNumberFormat="1" applyFill="1" applyBorder="1" applyAlignment="1">
      <alignment vertical="top"/>
    </xf>
    <xf numFmtId="0" fontId="0" fillId="16" borderId="43" xfId="0" applyFill="1" applyBorder="1" applyAlignment="1">
      <alignment horizontal="center" vertical="center"/>
    </xf>
    <xf numFmtId="0" fontId="24" fillId="16" borderId="17" xfId="0" applyFont="1" applyFill="1" applyBorder="1" applyAlignment="1">
      <alignment horizontal="justify" vertical="top"/>
    </xf>
    <xf numFmtId="0" fontId="0" fillId="0" borderId="0" xfId="0" applyFill="1" applyBorder="1" applyAlignment="1">
      <alignment horizontal="center"/>
    </xf>
    <xf numFmtId="0" fontId="5" fillId="0" borderId="12" xfId="0" applyFont="1" applyFill="1" applyBorder="1" applyAlignment="1">
      <alignment horizontal="center"/>
    </xf>
    <xf numFmtId="0" fontId="0" fillId="16" borderId="17" xfId="0" applyFont="1" applyFill="1" applyBorder="1" applyAlignment="1">
      <alignment horizontal="left" vertical="top" wrapText="1"/>
    </xf>
    <xf numFmtId="0" fontId="6" fillId="16" borderId="17" xfId="0" applyFont="1" applyFill="1" applyBorder="1" applyAlignment="1">
      <alignment vertical="top" wrapText="1"/>
    </xf>
    <xf numFmtId="0" fontId="0" fillId="16" borderId="18" xfId="0" applyFill="1" applyBorder="1"/>
    <xf numFmtId="0" fontId="0" fillId="16" borderId="0" xfId="0" applyFill="1" applyBorder="1" applyAlignment="1">
      <alignment horizontal="center" vertical="center" wrapText="1"/>
    </xf>
    <xf numFmtId="0" fontId="0" fillId="16" borderId="6" xfId="0" applyFill="1" applyBorder="1" applyAlignment="1">
      <alignment vertical="top" wrapText="1"/>
    </xf>
    <xf numFmtId="0" fontId="0" fillId="16" borderId="6" xfId="0" applyFill="1" applyBorder="1"/>
    <xf numFmtId="0" fontId="0" fillId="16" borderId="27" xfId="0" applyFill="1" applyBorder="1"/>
    <xf numFmtId="0" fontId="0" fillId="16" borderId="0" xfId="0" applyFill="1" applyBorder="1" applyAlignment="1">
      <alignment vertical="center"/>
    </xf>
    <xf numFmtId="0" fontId="0" fillId="16" borderId="1" xfId="0" applyFill="1" applyBorder="1" applyAlignment="1">
      <alignment horizontal="left" vertical="top" wrapText="1" indent="1"/>
    </xf>
    <xf numFmtId="0" fontId="0" fillId="16" borderId="1" xfId="0" applyFill="1" applyBorder="1" applyAlignment="1">
      <alignment vertical="top" wrapText="1"/>
    </xf>
    <xf numFmtId="0" fontId="0" fillId="16" borderId="1" xfId="0" applyFill="1" applyBorder="1"/>
    <xf numFmtId="0" fontId="0" fillId="16" borderId="20" xfId="0" applyFill="1" applyBorder="1"/>
    <xf numFmtId="0" fontId="6" fillId="16" borderId="1" xfId="0" applyFont="1" applyFill="1" applyBorder="1" applyAlignment="1">
      <alignment wrapText="1"/>
    </xf>
    <xf numFmtId="0" fontId="6" fillId="16" borderId="0" xfId="0" applyFont="1" applyFill="1" applyBorder="1" applyAlignment="1">
      <alignment horizontal="center" vertical="center" wrapText="1"/>
    </xf>
    <xf numFmtId="0" fontId="6" fillId="16" borderId="1" xfId="0" applyFont="1" applyFill="1" applyBorder="1" applyAlignment="1">
      <alignment horizontal="left" wrapText="1" indent="1"/>
    </xf>
    <xf numFmtId="0" fontId="0" fillId="16" borderId="22" xfId="0" applyFill="1" applyBorder="1" applyAlignment="1">
      <alignment horizontal="left" vertical="top" wrapText="1" indent="1"/>
    </xf>
    <xf numFmtId="0" fontId="0" fillId="16" borderId="22" xfId="0" applyFill="1" applyBorder="1" applyAlignment="1">
      <alignment vertical="top" wrapText="1"/>
    </xf>
    <xf numFmtId="0" fontId="0" fillId="16" borderId="22" xfId="0" applyFill="1" applyBorder="1"/>
    <xf numFmtId="0" fontId="0" fillId="16" borderId="23" xfId="0" applyFill="1" applyBorder="1"/>
    <xf numFmtId="166" fontId="5" fillId="16" borderId="35" xfId="518" applyFont="1" applyFill="1" applyBorder="1" applyAlignment="1">
      <alignment horizontal="left" vertical="top" wrapText="1"/>
    </xf>
    <xf numFmtId="0" fontId="0" fillId="16" borderId="9" xfId="0" applyFont="1" applyFill="1" applyBorder="1" applyAlignment="1">
      <alignment horizontal="left" vertical="top" wrapText="1"/>
    </xf>
    <xf numFmtId="0" fontId="0" fillId="16" borderId="9" xfId="0" applyFill="1" applyBorder="1" applyAlignment="1">
      <alignment horizontal="left" vertical="top" wrapText="1" indent="1"/>
    </xf>
    <xf numFmtId="0" fontId="0" fillId="16" borderId="9" xfId="0" applyFill="1" applyBorder="1" applyAlignment="1">
      <alignment vertical="top" wrapText="1"/>
    </xf>
    <xf numFmtId="0" fontId="0" fillId="16" borderId="9" xfId="0" applyFill="1" applyBorder="1" applyAlignment="1">
      <alignment vertical="top"/>
    </xf>
    <xf numFmtId="0" fontId="0" fillId="16" borderId="9" xfId="0" applyFill="1" applyBorder="1"/>
    <xf numFmtId="0" fontId="0" fillId="16" borderId="72" xfId="0" applyFill="1" applyBorder="1"/>
    <xf numFmtId="0" fontId="6" fillId="16" borderId="1" xfId="0" applyFont="1" applyFill="1" applyBorder="1" applyAlignment="1">
      <alignment vertical="top" wrapText="1"/>
    </xf>
    <xf numFmtId="0" fontId="0" fillId="16" borderId="1" xfId="0" applyFill="1" applyBorder="1" applyAlignment="1">
      <alignment horizontal="left" vertical="top" wrapText="1"/>
    </xf>
    <xf numFmtId="0" fontId="5" fillId="16" borderId="0" xfId="0" applyFont="1" applyFill="1" applyBorder="1" applyAlignment="1">
      <alignment vertical="center" textRotation="90" wrapText="1"/>
    </xf>
    <xf numFmtId="0" fontId="0" fillId="16" borderId="47" xfId="0" applyFill="1" applyBorder="1"/>
    <xf numFmtId="0" fontId="0" fillId="16" borderId="45" xfId="0" applyFill="1" applyBorder="1"/>
    <xf numFmtId="0" fontId="0" fillId="16" borderId="22" xfId="0" applyFont="1" applyFill="1" applyBorder="1" applyAlignment="1">
      <alignment horizontal="left" vertical="top" wrapText="1"/>
    </xf>
    <xf numFmtId="0" fontId="24" fillId="16" borderId="22" xfId="0" applyFont="1" applyFill="1" applyBorder="1" applyAlignment="1">
      <alignment horizontal="justify" vertical="center"/>
    </xf>
    <xf numFmtId="0" fontId="0" fillId="16" borderId="22" xfId="0" applyFill="1" applyBorder="1" applyAlignment="1">
      <alignment horizontal="center" vertical="center"/>
    </xf>
    <xf numFmtId="2" fontId="0" fillId="16" borderId="1" xfId="0" applyNumberFormat="1" applyFill="1" applyBorder="1" applyAlignment="1">
      <alignment vertical="top"/>
    </xf>
    <xf numFmtId="2" fontId="6" fillId="16" borderId="0" xfId="0" applyNumberFormat="1" applyFont="1" applyFill="1" applyBorder="1" applyAlignment="1">
      <alignment horizontal="left" vertical="center"/>
    </xf>
    <xf numFmtId="0" fontId="0" fillId="16" borderId="43" xfId="0" applyFill="1" applyBorder="1" applyAlignment="1">
      <alignment vertical="top" wrapText="1"/>
    </xf>
    <xf numFmtId="0" fontId="0" fillId="16" borderId="0" xfId="0" applyFill="1" applyBorder="1" applyAlignment="1">
      <alignment vertical="top" wrapText="1"/>
    </xf>
    <xf numFmtId="0" fontId="0" fillId="16" borderId="42" xfId="0" applyFill="1" applyBorder="1" applyAlignment="1">
      <alignment horizontal="center" vertical="center" wrapText="1"/>
    </xf>
    <xf numFmtId="0" fontId="0" fillId="16" borderId="1" xfId="0" applyFill="1" applyBorder="1" applyAlignment="1">
      <alignment horizontal="left"/>
    </xf>
    <xf numFmtId="0" fontId="0" fillId="0" borderId="62" xfId="0" applyBorder="1" applyAlignment="1">
      <alignment horizontal="center" vertical="center"/>
    </xf>
    <xf numFmtId="0" fontId="0" fillId="0" borderId="41" xfId="0" applyFill="1" applyBorder="1" applyAlignment="1">
      <alignment horizontal="center" vertical="center"/>
    </xf>
    <xf numFmtId="0" fontId="0" fillId="0" borderId="56" xfId="0" applyFill="1" applyBorder="1" applyAlignment="1">
      <alignment horizontal="center" vertical="center"/>
    </xf>
    <xf numFmtId="0" fontId="0" fillId="0" borderId="56" xfId="0" applyFill="1" applyBorder="1" applyAlignment="1">
      <alignment horizontal="left" vertical="top" wrapText="1"/>
    </xf>
    <xf numFmtId="0" fontId="0" fillId="0" borderId="37" xfId="0" applyFill="1" applyBorder="1" applyAlignment="1">
      <alignment horizontal="center" vertical="center"/>
    </xf>
    <xf numFmtId="0" fontId="0" fillId="0" borderId="73" xfId="0" applyBorder="1" applyAlignment="1">
      <alignment horizontal="center" vertical="center"/>
    </xf>
    <xf numFmtId="2" fontId="6" fillId="16" borderId="43" xfId="0" applyNumberFormat="1" applyFont="1" applyFill="1" applyBorder="1" applyAlignment="1">
      <alignment horizontal="center" vertical="center"/>
    </xf>
    <xf numFmtId="0" fontId="5" fillId="15" borderId="39" xfId="0" applyFont="1" applyFill="1" applyBorder="1" applyAlignment="1">
      <alignment horizontal="center" vertical="top" wrapText="1"/>
    </xf>
    <xf numFmtId="9" fontId="0" fillId="0" borderId="47" xfId="0" applyNumberFormat="1" applyBorder="1" applyAlignment="1">
      <alignment horizontal="center" vertical="top"/>
    </xf>
    <xf numFmtId="0" fontId="0" fillId="0" borderId="47" xfId="0" applyBorder="1" applyAlignment="1">
      <alignment horizontal="center"/>
    </xf>
    <xf numFmtId="0" fontId="5" fillId="15" borderId="39" xfId="0" applyFont="1" applyFill="1" applyBorder="1" applyAlignment="1">
      <alignment horizontal="center" wrapText="1"/>
    </xf>
    <xf numFmtId="9" fontId="0" fillId="0" borderId="47" xfId="0" applyNumberFormat="1" applyBorder="1" applyAlignment="1">
      <alignment horizontal="center"/>
    </xf>
    <xf numFmtId="0" fontId="0" fillId="0" borderId="5" xfId="0" applyFont="1" applyFill="1" applyBorder="1" applyAlignment="1">
      <alignment vertical="top"/>
    </xf>
    <xf numFmtId="0" fontId="0" fillId="5" borderId="5" xfId="0" applyFont="1" applyFill="1" applyBorder="1" applyAlignment="1">
      <alignment horizontal="center" vertical="center"/>
    </xf>
    <xf numFmtId="0" fontId="0" fillId="0" borderId="6" xfId="0" applyFont="1" applyFill="1" applyBorder="1" applyAlignment="1">
      <alignment vertical="top"/>
    </xf>
    <xf numFmtId="0" fontId="27" fillId="5" borderId="6" xfId="0" applyFont="1" applyFill="1" applyBorder="1" applyAlignment="1">
      <alignment horizontal="center" vertical="center"/>
    </xf>
    <xf numFmtId="0" fontId="0" fillId="5" borderId="6" xfId="0" applyFont="1" applyFill="1" applyBorder="1" applyAlignment="1">
      <alignment horizontal="center" vertical="center"/>
    </xf>
    <xf numFmtId="0" fontId="0" fillId="0" borderId="16" xfId="0" applyFill="1" applyBorder="1" applyAlignment="1">
      <alignment horizontal="left" vertical="top" wrapText="1"/>
    </xf>
    <xf numFmtId="0" fontId="0" fillId="16" borderId="1" xfId="0" applyFont="1" applyFill="1" applyBorder="1" applyAlignment="1">
      <alignment horizontal="left" vertical="top"/>
    </xf>
    <xf numFmtId="0" fontId="0" fillId="16" borderId="0" xfId="0" applyFill="1" applyBorder="1" applyAlignment="1">
      <alignment horizontal="left" vertical="top"/>
    </xf>
    <xf numFmtId="0" fontId="0" fillId="16" borderId="56" xfId="0" applyFill="1" applyBorder="1" applyAlignment="1">
      <alignment horizontal="left" vertical="top"/>
    </xf>
    <xf numFmtId="0" fontId="0" fillId="16" borderId="17" xfId="0" applyFill="1" applyBorder="1" applyAlignment="1">
      <alignment horizontal="left" vertical="top"/>
    </xf>
    <xf numFmtId="0" fontId="0" fillId="16" borderId="47" xfId="0" applyFill="1" applyBorder="1" applyAlignment="1">
      <alignment horizontal="center"/>
    </xf>
    <xf numFmtId="0" fontId="0" fillId="16" borderId="56" xfId="0" applyFill="1" applyBorder="1"/>
    <xf numFmtId="0" fontId="0" fillId="16" borderId="17" xfId="0" applyFill="1" applyBorder="1" applyAlignment="1">
      <alignment horizontal="left" vertical="top" wrapText="1"/>
    </xf>
    <xf numFmtId="0" fontId="0" fillId="16" borderId="18" xfId="0" applyFill="1" applyBorder="1" applyAlignment="1">
      <alignment horizontal="left" vertical="top"/>
    </xf>
    <xf numFmtId="0" fontId="0" fillId="16" borderId="0" xfId="0" applyFill="1" applyBorder="1" applyAlignment="1"/>
    <xf numFmtId="9" fontId="0" fillId="0" borderId="0" xfId="0" applyNumberFormat="1" applyBorder="1" applyAlignment="1">
      <alignment horizontal="center" vertical="top"/>
    </xf>
    <xf numFmtId="0" fontId="5" fillId="15" borderId="39" xfId="0" applyFont="1" applyFill="1" applyBorder="1" applyAlignment="1">
      <alignment horizontal="center" vertical="center" wrapText="1"/>
    </xf>
    <xf numFmtId="9" fontId="0" fillId="0" borderId="0" xfId="0" applyNumberFormat="1" applyBorder="1" applyAlignment="1">
      <alignment horizontal="center" vertical="center"/>
    </xf>
    <xf numFmtId="0" fontId="0" fillId="16" borderId="0" xfId="0" applyFont="1" applyFill="1" applyBorder="1" applyAlignment="1">
      <alignment horizontal="center" vertical="center" wrapText="1"/>
    </xf>
    <xf numFmtId="0" fontId="0" fillId="16" borderId="0" xfId="0" applyFill="1" applyBorder="1" applyAlignment="1">
      <alignment horizontal="left"/>
    </xf>
    <xf numFmtId="0" fontId="0" fillId="16" borderId="0" xfId="0" applyFill="1" applyBorder="1" applyAlignment="1">
      <alignment horizontal="center" vertical="top"/>
    </xf>
    <xf numFmtId="0" fontId="0" fillId="16" borderId="0" xfId="0" applyFill="1" applyBorder="1" applyAlignment="1">
      <alignment horizontal="center" vertical="top" wrapText="1"/>
    </xf>
    <xf numFmtId="9" fontId="0" fillId="0" borderId="0" xfId="0" applyNumberFormat="1" applyBorder="1" applyAlignment="1">
      <alignment horizontal="center"/>
    </xf>
    <xf numFmtId="0" fontId="0" fillId="16" borderId="0" xfId="0" applyFill="1" applyBorder="1" applyAlignment="1">
      <alignment horizontal="center"/>
    </xf>
    <xf numFmtId="2" fontId="0" fillId="16" borderId="1" xfId="0" applyNumberFormat="1" applyFill="1" applyBorder="1" applyAlignment="1">
      <alignment wrapText="1"/>
    </xf>
    <xf numFmtId="0" fontId="0" fillId="16" borderId="17" xfId="0" applyFont="1" applyFill="1" applyBorder="1" applyAlignment="1">
      <alignment horizontal="left" indent="1"/>
    </xf>
    <xf numFmtId="0" fontId="0" fillId="16" borderId="1" xfId="0" applyFont="1" applyFill="1" applyBorder="1" applyAlignment="1">
      <alignment horizontal="left" indent="1"/>
    </xf>
    <xf numFmtId="0" fontId="0" fillId="16" borderId="22" xfId="0" applyFont="1" applyFill="1" applyBorder="1" applyAlignment="1">
      <alignment horizontal="left" indent="1"/>
    </xf>
    <xf numFmtId="2" fontId="0" fillId="16" borderId="22" xfId="0" applyNumberFormat="1" applyFill="1" applyBorder="1" applyAlignment="1">
      <alignment wrapText="1"/>
    </xf>
    <xf numFmtId="0" fontId="0" fillId="16" borderId="1" xfId="0" applyFill="1" applyBorder="1" applyAlignment="1">
      <alignment wrapText="1"/>
    </xf>
    <xf numFmtId="0" fontId="5" fillId="10" borderId="8" xfId="0" applyFont="1" applyFill="1" applyBorder="1" applyAlignment="1">
      <alignment horizontal="center" vertical="top" wrapText="1"/>
    </xf>
    <xf numFmtId="0" fontId="0" fillId="16" borderId="0" xfId="0" applyFill="1" applyBorder="1" applyAlignment="1">
      <alignment horizontal="center" wrapText="1"/>
    </xf>
    <xf numFmtId="2" fontId="0" fillId="16" borderId="17" xfId="0" applyNumberFormat="1" applyFill="1" applyBorder="1" applyAlignment="1">
      <alignment vertical="top" wrapText="1"/>
    </xf>
    <xf numFmtId="0" fontId="5" fillId="13" borderId="39" xfId="0" applyFont="1" applyFill="1" applyBorder="1" applyAlignment="1">
      <alignment horizontal="center" vertical="top" wrapText="1"/>
    </xf>
    <xf numFmtId="2" fontId="0" fillId="16" borderId="17" xfId="0" applyNumberFormat="1" applyFill="1" applyBorder="1" applyAlignment="1">
      <alignment vertical="top"/>
    </xf>
    <xf numFmtId="0" fontId="0" fillId="16" borderId="22" xfId="0" applyFont="1" applyFill="1" applyBorder="1" applyAlignment="1">
      <alignment vertical="top"/>
    </xf>
    <xf numFmtId="0" fontId="0" fillId="16" borderId="17" xfId="0" applyFont="1" applyFill="1" applyBorder="1" applyAlignment="1">
      <alignment vertical="top"/>
    </xf>
    <xf numFmtId="0" fontId="0" fillId="16" borderId="1" xfId="0" applyFill="1" applyBorder="1" applyAlignment="1">
      <alignment horizontal="left" wrapText="1"/>
    </xf>
    <xf numFmtId="0" fontId="0" fillId="16" borderId="22" xfId="0" applyFont="1" applyFill="1" applyBorder="1" applyAlignment="1">
      <alignment horizontal="left" vertical="top"/>
    </xf>
    <xf numFmtId="2" fontId="0" fillId="16" borderId="22" xfId="0" applyNumberFormat="1" applyFill="1" applyBorder="1" applyAlignment="1">
      <alignment vertical="top" wrapText="1"/>
    </xf>
    <xf numFmtId="2" fontId="0" fillId="16" borderId="22" xfId="0" applyNumberFormat="1" applyFill="1" applyBorder="1" applyAlignment="1">
      <alignment vertical="top"/>
    </xf>
    <xf numFmtId="0" fontId="0" fillId="16" borderId="17" xfId="0" applyFill="1" applyBorder="1" applyAlignment="1">
      <alignment vertical="top" wrapText="1"/>
    </xf>
    <xf numFmtId="0" fontId="5" fillId="13" borderId="39" xfId="0" applyFont="1" applyFill="1" applyBorder="1" applyAlignment="1">
      <alignment horizontal="center" vertical="center" wrapText="1"/>
    </xf>
    <xf numFmtId="0" fontId="0" fillId="16" borderId="5" xfId="0" applyFont="1" applyFill="1" applyBorder="1" applyAlignment="1">
      <alignment vertical="top"/>
    </xf>
    <xf numFmtId="0" fontId="0" fillId="16" borderId="5" xfId="0" applyFill="1" applyBorder="1" applyAlignment="1">
      <alignment vertical="top" wrapText="1"/>
    </xf>
    <xf numFmtId="0" fontId="0" fillId="16" borderId="5" xfId="0" applyFill="1" applyBorder="1" applyAlignment="1">
      <alignment vertical="top"/>
    </xf>
    <xf numFmtId="0" fontId="0" fillId="16" borderId="25" xfId="0" applyFill="1" applyBorder="1" applyAlignment="1">
      <alignment vertical="top"/>
    </xf>
    <xf numFmtId="0" fontId="0" fillId="16" borderId="0" xfId="0" applyFill="1" applyBorder="1" applyAlignment="1">
      <alignment horizontal="left" vertical="top" wrapText="1"/>
    </xf>
    <xf numFmtId="0" fontId="0" fillId="16" borderId="17" xfId="0" applyFont="1" applyFill="1" applyBorder="1"/>
    <xf numFmtId="0" fontId="0" fillId="16" borderId="22" xfId="0" applyFill="1" applyBorder="1" applyAlignment="1">
      <alignment wrapText="1"/>
    </xf>
    <xf numFmtId="0" fontId="5" fillId="3" borderId="39" xfId="0" applyFont="1" applyFill="1" applyBorder="1" applyAlignment="1">
      <alignment horizontal="center" vertical="top" wrapText="1"/>
    </xf>
    <xf numFmtId="0" fontId="24" fillId="16" borderId="0" xfId="0" applyFont="1" applyFill="1" applyBorder="1" applyAlignment="1">
      <alignment horizontal="justify" vertical="center" wrapText="1"/>
    </xf>
    <xf numFmtId="0" fontId="24" fillId="16" borderId="0" xfId="0" applyFont="1" applyFill="1" applyBorder="1" applyAlignment="1">
      <alignment horizontal="left" vertical="top" wrapText="1"/>
    </xf>
    <xf numFmtId="0" fontId="24" fillId="16" borderId="1" xfId="0" applyFont="1" applyFill="1" applyBorder="1" applyAlignment="1">
      <alignment horizontal="left" vertical="top" wrapText="1"/>
    </xf>
    <xf numFmtId="2" fontId="0" fillId="16" borderId="22" xfId="0" applyNumberFormat="1" applyFill="1" applyBorder="1" applyAlignment="1">
      <alignment horizontal="left" vertical="top" wrapText="1"/>
    </xf>
    <xf numFmtId="0" fontId="0" fillId="16" borderId="22" xfId="0" applyFill="1" applyBorder="1" applyAlignment="1">
      <alignment horizontal="left" vertical="top"/>
    </xf>
    <xf numFmtId="2" fontId="0" fillId="16" borderId="22" xfId="0" applyNumberFormat="1" applyFill="1" applyBorder="1" applyAlignment="1">
      <alignment horizontal="left" vertical="top"/>
    </xf>
    <xf numFmtId="0" fontId="0" fillId="16" borderId="23" xfId="0" applyFill="1" applyBorder="1" applyAlignment="1">
      <alignment horizontal="left" vertical="top"/>
    </xf>
    <xf numFmtId="2" fontId="0" fillId="16" borderId="0" xfId="0" applyNumberFormat="1" applyFill="1" applyBorder="1" applyAlignment="1">
      <alignment horizontal="left" vertical="top" wrapText="1"/>
    </xf>
    <xf numFmtId="0" fontId="5" fillId="16" borderId="1" xfId="0" applyFont="1" applyFill="1" applyBorder="1" applyAlignment="1">
      <alignment horizontal="left" vertical="top" textRotation="90"/>
    </xf>
    <xf numFmtId="0" fontId="5" fillId="16" borderId="20" xfId="0" applyFont="1" applyFill="1" applyBorder="1" applyAlignment="1">
      <alignment horizontal="left" vertical="top" textRotation="90" wrapText="1"/>
    </xf>
    <xf numFmtId="0" fontId="5" fillId="16" borderId="0" xfId="0" applyFont="1" applyFill="1" applyBorder="1" applyAlignment="1">
      <alignment horizontal="left" vertical="top" textRotation="90" wrapText="1"/>
    </xf>
    <xf numFmtId="0" fontId="5" fillId="16" borderId="0" xfId="0" applyFont="1" applyFill="1" applyBorder="1" applyAlignment="1">
      <alignment horizontal="left" vertical="top"/>
    </xf>
    <xf numFmtId="0" fontId="5" fillId="16" borderId="0" xfId="0" applyFont="1" applyFill="1" applyBorder="1" applyAlignment="1">
      <alignment horizontal="center" vertical="center" textRotation="90" wrapText="1"/>
    </xf>
    <xf numFmtId="2" fontId="6" fillId="16" borderId="0" xfId="0" applyNumberFormat="1" applyFont="1" applyFill="1" applyBorder="1" applyAlignment="1">
      <alignment vertical="center" wrapText="1"/>
    </xf>
    <xf numFmtId="0" fontId="0" fillId="7" borderId="0" xfId="0" applyFill="1" applyBorder="1" applyAlignment="1">
      <alignment horizont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1" xfId="0" applyFill="1" applyBorder="1" applyAlignment="1">
      <alignment horizontal="left" vertical="top"/>
    </xf>
    <xf numFmtId="0" fontId="0" fillId="0" borderId="0" xfId="0" applyBorder="1" applyAlignment="1">
      <alignment horizontal="left" vertical="top" wrapText="1"/>
    </xf>
    <xf numFmtId="0" fontId="0" fillId="0" borderId="1" xfId="0" applyFill="1" applyBorder="1" applyAlignment="1">
      <alignment horizontal="left" vertical="top" wrapText="1"/>
    </xf>
    <xf numFmtId="0" fontId="0" fillId="16" borderId="17" xfId="0" applyFill="1" applyBorder="1" applyAlignment="1">
      <alignment horizontal="left" vertical="top"/>
    </xf>
    <xf numFmtId="0" fontId="5" fillId="0" borderId="40" xfId="0" applyFont="1" applyFill="1" applyBorder="1" applyAlignment="1">
      <alignment horizontal="left" vertical="top"/>
    </xf>
    <xf numFmtId="0" fontId="0" fillId="0" borderId="74" xfId="0" applyFont="1" applyFill="1" applyBorder="1" applyAlignment="1">
      <alignment vertical="top"/>
    </xf>
    <xf numFmtId="0" fontId="0" fillId="5" borderId="74" xfId="0" applyFill="1" applyBorder="1" applyAlignment="1">
      <alignment horizontal="left" vertical="top"/>
    </xf>
    <xf numFmtId="0" fontId="0" fillId="5" borderId="74" xfId="0" applyFill="1" applyBorder="1"/>
    <xf numFmtId="0" fontId="0" fillId="0" borderId="74" xfId="0" applyFill="1" applyBorder="1"/>
    <xf numFmtId="0" fontId="0" fillId="0" borderId="76" xfId="0" applyFill="1" applyBorder="1"/>
    <xf numFmtId="0" fontId="5" fillId="0" borderId="71" xfId="0" applyFont="1" applyFill="1" applyBorder="1" applyAlignment="1">
      <alignment vertical="top"/>
    </xf>
    <xf numFmtId="0" fontId="0" fillId="16" borderId="6" xfId="0" applyFont="1" applyFill="1" applyBorder="1"/>
    <xf numFmtId="0" fontId="0" fillId="16" borderId="80" xfId="0" applyFill="1" applyBorder="1"/>
    <xf numFmtId="0" fontId="0" fillId="0" borderId="43" xfId="0" applyBorder="1" applyAlignment="1">
      <alignment horizontal="center" vertical="top" wrapText="1"/>
    </xf>
    <xf numFmtId="0" fontId="0" fillId="0" borderId="43" xfId="0" applyFill="1" applyBorder="1" applyAlignment="1">
      <alignment horizontal="center" vertical="center" wrapText="1"/>
    </xf>
    <xf numFmtId="0" fontId="0" fillId="0" borderId="0" xfId="0" applyBorder="1" applyAlignment="1">
      <alignment horizontal="center" vertical="top"/>
    </xf>
    <xf numFmtId="2" fontId="0" fillId="0" borderId="6" xfId="0" applyNumberFormat="1" applyFill="1" applyBorder="1" applyAlignment="1">
      <alignment wrapText="1"/>
    </xf>
    <xf numFmtId="0" fontId="0" fillId="0" borderId="6" xfId="0" applyBorder="1"/>
    <xf numFmtId="0" fontId="0" fillId="0" borderId="6" xfId="0" applyBorder="1" applyAlignment="1">
      <alignment wrapText="1"/>
    </xf>
    <xf numFmtId="0" fontId="0" fillId="0" borderId="27" xfId="0" applyBorder="1"/>
    <xf numFmtId="2" fontId="0" fillId="0" borderId="6" xfId="0" applyNumberFormat="1" applyFill="1" applyBorder="1" applyAlignment="1">
      <alignment vertical="top" wrapText="1"/>
    </xf>
    <xf numFmtId="1" fontId="0" fillId="0" borderId="1" xfId="0" applyNumberFormat="1" applyBorder="1" applyAlignment="1">
      <alignment horizontal="left" vertical="top"/>
    </xf>
    <xf numFmtId="1" fontId="0" fillId="0" borderId="22" xfId="0" applyNumberFormat="1" applyBorder="1" applyAlignment="1">
      <alignment horizontal="left" vertical="top"/>
    </xf>
    <xf numFmtId="2" fontId="0" fillId="7" borderId="1" xfId="0" applyNumberFormat="1" applyFill="1" applyBorder="1" applyAlignment="1">
      <alignment wrapText="1"/>
    </xf>
    <xf numFmtId="0" fontId="0" fillId="7" borderId="17" xfId="0" applyFill="1" applyBorder="1" applyAlignment="1">
      <alignment vertical="top"/>
    </xf>
    <xf numFmtId="0" fontId="0" fillId="7" borderId="17" xfId="0" applyFill="1" applyBorder="1" applyAlignment="1">
      <alignment horizontal="left" vertical="top" wrapText="1"/>
    </xf>
    <xf numFmtId="2" fontId="0" fillId="7" borderId="22" xfId="0" applyNumberFormat="1" applyFill="1" applyBorder="1" applyAlignment="1">
      <alignment wrapText="1"/>
    </xf>
    <xf numFmtId="0" fontId="32" fillId="0" borderId="0" xfId="0" applyFont="1" applyBorder="1" applyAlignment="1">
      <alignment vertical="center"/>
    </xf>
    <xf numFmtId="0" fontId="32" fillId="0" borderId="0" xfId="0" applyFont="1" applyBorder="1"/>
    <xf numFmtId="0" fontId="32" fillId="7" borderId="22" xfId="0" applyFont="1" applyFill="1" applyBorder="1" applyAlignment="1">
      <alignment vertical="top" wrapText="1"/>
    </xf>
    <xf numFmtId="0" fontId="32" fillId="7" borderId="22" xfId="0" applyFont="1" applyFill="1" applyBorder="1" applyAlignment="1">
      <alignment horizontal="left" vertical="top" wrapText="1"/>
    </xf>
    <xf numFmtId="0" fontId="32" fillId="7" borderId="22" xfId="0" applyFont="1" applyFill="1" applyBorder="1"/>
    <xf numFmtId="0" fontId="32" fillId="7" borderId="23" xfId="0" applyFont="1" applyFill="1" applyBorder="1"/>
    <xf numFmtId="0" fontId="32" fillId="7" borderId="0" xfId="0" applyFont="1" applyFill="1" applyBorder="1"/>
    <xf numFmtId="0" fontId="32" fillId="7" borderId="0" xfId="0" applyFont="1" applyFill="1" applyBorder="1" applyAlignment="1">
      <alignment horizontal="center" vertical="center"/>
    </xf>
    <xf numFmtId="0" fontId="0" fillId="7" borderId="1" xfId="0" applyFill="1" applyBorder="1"/>
    <xf numFmtId="0" fontId="0" fillId="7" borderId="47" xfId="0" applyFill="1" applyBorder="1" applyAlignment="1">
      <alignment vertical="center"/>
    </xf>
    <xf numFmtId="0" fontId="0" fillId="7" borderId="1" xfId="0" applyFont="1" applyFill="1" applyBorder="1" applyAlignment="1">
      <alignment horizontal="left" vertical="center" wrapText="1"/>
    </xf>
    <xf numFmtId="0" fontId="24" fillId="7" borderId="1" xfId="0" applyFont="1" applyFill="1" applyBorder="1" applyAlignment="1">
      <alignment horizontal="justify" vertical="top"/>
    </xf>
    <xf numFmtId="0" fontId="0" fillId="7" borderId="20" xfId="0" applyFill="1" applyBorder="1" applyAlignment="1">
      <alignment vertical="top"/>
    </xf>
    <xf numFmtId="0" fontId="0" fillId="7" borderId="1" xfId="0" applyFont="1" applyFill="1" applyBorder="1" applyAlignment="1">
      <alignment horizontal="left" vertical="top" wrapText="1"/>
    </xf>
    <xf numFmtId="0" fontId="0" fillId="7" borderId="1" xfId="0" applyFill="1" applyBorder="1" applyAlignment="1">
      <alignment vertical="top" wrapText="1"/>
    </xf>
    <xf numFmtId="0" fontId="0" fillId="7" borderId="20" xfId="0" applyFill="1" applyBorder="1"/>
    <xf numFmtId="0" fontId="0" fillId="7" borderId="1" xfId="0" applyFont="1" applyFill="1" applyBorder="1" applyAlignment="1">
      <alignment vertical="top"/>
    </xf>
    <xf numFmtId="0" fontId="27" fillId="7" borderId="1" xfId="0" applyFont="1" applyFill="1" applyBorder="1" applyAlignment="1">
      <alignment horizontal="center" vertical="center"/>
    </xf>
    <xf numFmtId="0" fontId="0" fillId="7" borderId="1" xfId="0" applyFont="1" applyFill="1" applyBorder="1" applyAlignment="1">
      <alignment horizontal="center" vertical="center"/>
    </xf>
    <xf numFmtId="0" fontId="0" fillId="7" borderId="0" xfId="0" applyFill="1" applyBorder="1" applyAlignment="1">
      <alignment vertical="top"/>
    </xf>
    <xf numFmtId="0" fontId="0" fillId="7" borderId="0" xfId="0" applyFill="1" applyBorder="1" applyAlignment="1">
      <alignment horizontal="center" vertical="top"/>
    </xf>
    <xf numFmtId="4" fontId="0" fillId="0" borderId="0" xfId="0" applyNumberFormat="1" applyFont="1" applyFill="1"/>
    <xf numFmtId="0" fontId="0" fillId="0" borderId="4" xfId="0" applyFont="1" applyFill="1" applyBorder="1" applyAlignment="1">
      <alignment horizontal="center" vertical="center"/>
    </xf>
    <xf numFmtId="0" fontId="0" fillId="0" borderId="28" xfId="0" applyFont="1" applyFill="1" applyBorder="1"/>
    <xf numFmtId="167" fontId="7" fillId="4" borderId="42" xfId="0" applyNumberFormat="1" applyFont="1" applyFill="1" applyBorder="1" applyAlignment="1">
      <alignment horizontal="center" vertical="center"/>
    </xf>
    <xf numFmtId="2" fontId="0" fillId="0" borderId="27" xfId="0" applyNumberFormat="1" applyFont="1" applyFill="1" applyBorder="1" applyAlignment="1">
      <alignment horizontal="center" vertical="center" wrapText="1"/>
    </xf>
    <xf numFmtId="2" fontId="0" fillId="0" borderId="12" xfId="0" applyNumberFormat="1" applyFont="1" applyFill="1" applyBorder="1" applyAlignment="1">
      <alignment horizontal="center" vertical="center"/>
    </xf>
    <xf numFmtId="2" fontId="0" fillId="0" borderId="3" xfId="0" applyNumberFormat="1" applyFont="1" applyFill="1" applyBorder="1" applyAlignment="1">
      <alignment horizontal="center" vertical="center"/>
    </xf>
    <xf numFmtId="0" fontId="20" fillId="0" borderId="0" xfId="0" applyFont="1" applyFill="1" applyBorder="1" applyAlignment="1">
      <alignment horizontal="left" vertical="center" indent="1"/>
    </xf>
    <xf numFmtId="0" fontId="0" fillId="0" borderId="4" xfId="0"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1" xfId="0" applyFont="1" applyFill="1" applyBorder="1" applyAlignment="1">
      <alignment horizontal="left" vertical="center" wrapText="1"/>
    </xf>
    <xf numFmtId="14" fontId="0" fillId="7" borderId="0" xfId="0" applyNumberFormat="1" applyFill="1" applyBorder="1"/>
    <xf numFmtId="0" fontId="24" fillId="7" borderId="1" xfId="0" applyFont="1" applyFill="1" applyBorder="1" applyAlignment="1">
      <alignment horizontal="justify" vertical="center"/>
    </xf>
    <xf numFmtId="0" fontId="0" fillId="0" borderId="0" xfId="0" applyFont="1" applyFill="1" applyBorder="1" applyAlignment="1" applyProtection="1">
      <alignment horizontal="center" vertical="center"/>
      <protection locked="0"/>
    </xf>
    <xf numFmtId="0" fontId="13" fillId="0" borderId="3" xfId="0" applyFont="1" applyFill="1" applyBorder="1" applyAlignment="1">
      <alignment horizontal="left" vertical="top" wrapText="1"/>
    </xf>
    <xf numFmtId="0" fontId="0" fillId="0" borderId="65" xfId="0" applyFont="1" applyFill="1" applyBorder="1" applyAlignment="1">
      <alignment horizontal="left" vertical="center"/>
    </xf>
    <xf numFmtId="0" fontId="0" fillId="0" borderId="4" xfId="0" applyFont="1" applyFill="1" applyBorder="1" applyAlignment="1">
      <alignment horizontal="center" vertical="center"/>
    </xf>
    <xf numFmtId="0" fontId="0" fillId="0" borderId="43" xfId="0" applyFill="1" applyBorder="1" applyAlignment="1">
      <alignment horizontal="center" vertical="top"/>
    </xf>
    <xf numFmtId="0" fontId="0" fillId="0" borderId="19"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65" xfId="0" applyFont="1" applyFill="1" applyBorder="1" applyAlignment="1">
      <alignment horizontal="center" vertical="center"/>
    </xf>
    <xf numFmtId="0" fontId="6" fillId="0" borderId="43" xfId="0" applyFont="1" applyFill="1" applyBorder="1" applyAlignment="1">
      <alignment horizontal="center" vertical="center" wrapText="1"/>
    </xf>
    <xf numFmtId="2" fontId="6" fillId="0" borderId="54" xfId="0" applyNumberFormat="1" applyFont="1" applyFill="1" applyBorder="1" applyAlignment="1">
      <alignment horizontal="center" vertical="center"/>
    </xf>
    <xf numFmtId="2" fontId="0" fillId="0" borderId="28" xfId="0" applyNumberFormat="1" applyFont="1" applyFill="1" applyBorder="1" applyAlignment="1">
      <alignment horizontal="center" vertical="center"/>
    </xf>
    <xf numFmtId="0" fontId="0" fillId="0" borderId="49" xfId="0" applyFont="1" applyFill="1" applyBorder="1" applyAlignment="1">
      <alignment horizontal="left" vertical="center" wrapText="1" indent="1"/>
    </xf>
    <xf numFmtId="0" fontId="5" fillId="17" borderId="0" xfId="0" applyFont="1" applyFill="1"/>
    <xf numFmtId="2" fontId="0" fillId="0" borderId="3" xfId="0" applyNumberFormat="1" applyFont="1" applyBorder="1" applyAlignment="1">
      <alignment horizontal="center" vertical="center"/>
    </xf>
    <xf numFmtId="0" fontId="5" fillId="0" borderId="2" xfId="0" applyFont="1" applyFill="1" applyBorder="1" applyAlignment="1">
      <alignment horizontal="center" vertical="center"/>
    </xf>
    <xf numFmtId="0" fontId="0" fillId="0" borderId="66" xfId="0" applyFont="1" applyFill="1" applyBorder="1" applyAlignment="1">
      <alignment vertical="center"/>
    </xf>
    <xf numFmtId="2" fontId="6" fillId="0" borderId="13" xfId="0" applyNumberFormat="1" applyFont="1" applyFill="1" applyBorder="1" applyAlignment="1">
      <alignment horizontal="center" vertical="center"/>
    </xf>
    <xf numFmtId="0" fontId="6" fillId="0" borderId="59" xfId="0" applyFont="1" applyFill="1" applyBorder="1" applyAlignment="1">
      <alignment vertical="center"/>
    </xf>
    <xf numFmtId="2" fontId="0" fillId="0" borderId="33" xfId="0" applyNumberFormat="1" applyFont="1" applyFill="1" applyBorder="1" applyAlignment="1">
      <alignment horizontal="center" vertical="center"/>
    </xf>
    <xf numFmtId="2" fontId="6" fillId="0" borderId="64" xfId="0" applyNumberFormat="1" applyFont="1" applyFill="1" applyBorder="1" applyAlignment="1">
      <alignment horizontal="center" vertical="center"/>
    </xf>
    <xf numFmtId="2" fontId="0" fillId="0" borderId="60" xfId="0" applyNumberFormat="1" applyFont="1" applyFill="1" applyBorder="1" applyAlignment="1">
      <alignment horizontal="center" vertical="center"/>
    </xf>
    <xf numFmtId="2" fontId="0" fillId="0" borderId="61" xfId="0" applyNumberFormat="1" applyFont="1" applyFill="1" applyBorder="1" applyAlignment="1">
      <alignment horizontal="center" vertical="center"/>
    </xf>
    <xf numFmtId="2" fontId="0" fillId="0" borderId="36" xfId="0" applyNumberFormat="1" applyFont="1" applyFill="1" applyBorder="1" applyAlignment="1">
      <alignment horizontal="center" vertical="center"/>
    </xf>
    <xf numFmtId="2" fontId="0" fillId="0" borderId="61" xfId="0" applyNumberFormat="1" applyFont="1" applyFill="1" applyBorder="1" applyAlignment="1">
      <alignment horizontal="center" vertical="center" wrapText="1"/>
    </xf>
    <xf numFmtId="2" fontId="0" fillId="0" borderId="40" xfId="0" applyNumberFormat="1" applyFont="1" applyFill="1" applyBorder="1" applyAlignment="1">
      <alignment horizontal="center" vertical="center"/>
    </xf>
    <xf numFmtId="2" fontId="0" fillId="0" borderId="46" xfId="0" applyNumberFormat="1" applyFont="1" applyBorder="1" applyAlignment="1">
      <alignment horizontal="center" vertical="center"/>
    </xf>
    <xf numFmtId="2" fontId="0" fillId="0" borderId="67" xfId="0" applyNumberFormat="1" applyFont="1" applyFill="1" applyBorder="1" applyAlignment="1">
      <alignment horizontal="center" vertical="center"/>
    </xf>
    <xf numFmtId="0" fontId="0" fillId="0" borderId="57" xfId="0" applyFont="1" applyFill="1" applyBorder="1" applyAlignment="1">
      <alignment horizontal="left" vertical="center"/>
    </xf>
    <xf numFmtId="0" fontId="7" fillId="0" borderId="46" xfId="0" applyFont="1" applyFill="1" applyBorder="1" applyAlignment="1">
      <alignment horizontal="right" vertical="center"/>
    </xf>
    <xf numFmtId="0" fontId="0" fillId="0" borderId="46" xfId="0" applyFont="1" applyFill="1" applyBorder="1"/>
    <xf numFmtId="0" fontId="7" fillId="0" borderId="45" xfId="0" applyFont="1" applyFill="1" applyBorder="1" applyAlignment="1">
      <alignment horizontal="right" vertical="center"/>
    </xf>
    <xf numFmtId="2" fontId="6" fillId="0" borderId="4" xfId="0" applyNumberFormat="1" applyFont="1" applyFill="1" applyBorder="1" applyAlignment="1">
      <alignment horizontal="center" vertical="center"/>
    </xf>
    <xf numFmtId="2" fontId="6" fillId="0" borderId="3" xfId="0" applyNumberFormat="1" applyFont="1" applyFill="1" applyBorder="1" applyAlignment="1">
      <alignment horizontal="center" vertical="center"/>
    </xf>
    <xf numFmtId="2" fontId="0" fillId="0" borderId="55" xfId="0" applyNumberFormat="1" applyBorder="1" applyAlignment="1">
      <alignment horizontal="center" vertical="center"/>
    </xf>
    <xf numFmtId="2" fontId="0" fillId="0" borderId="16" xfId="0" applyNumberFormat="1" applyFont="1" applyFill="1" applyBorder="1" applyAlignment="1">
      <alignment horizontal="center" vertical="center"/>
    </xf>
    <xf numFmtId="0" fontId="0" fillId="4" borderId="40" xfId="0" applyFont="1" applyFill="1" applyBorder="1"/>
    <xf numFmtId="0" fontId="0" fillId="4" borderId="46" xfId="0" applyFont="1" applyFill="1" applyBorder="1"/>
    <xf numFmtId="167" fontId="7" fillId="4" borderId="36" xfId="0" applyNumberFormat="1" applyFont="1" applyFill="1" applyBorder="1" applyAlignment="1">
      <alignment horizontal="center" vertical="center"/>
    </xf>
    <xf numFmtId="0" fontId="0" fillId="0" borderId="18" xfId="0" applyFont="1" applyBorder="1"/>
    <xf numFmtId="0" fontId="0" fillId="0" borderId="20" xfId="0" applyFont="1" applyBorder="1"/>
    <xf numFmtId="2" fontId="0" fillId="0" borderId="46" xfId="0" applyNumberFormat="1" applyFont="1" applyFill="1" applyBorder="1" applyAlignment="1">
      <alignment horizontal="center" vertical="center"/>
    </xf>
    <xf numFmtId="0" fontId="15" fillId="0" borderId="0" xfId="0" applyFont="1" applyFill="1" applyBorder="1" applyAlignment="1">
      <alignment vertical="center"/>
    </xf>
    <xf numFmtId="9" fontId="0" fillId="0" borderId="0" xfId="0" applyNumberFormat="1" applyFont="1" applyFill="1" applyBorder="1" applyAlignment="1">
      <alignment vertical="center"/>
    </xf>
    <xf numFmtId="4" fontId="0" fillId="0" borderId="0" xfId="0" applyNumberFormat="1" applyFont="1" applyFill="1" applyBorder="1" applyAlignment="1">
      <alignment horizontal="center" vertical="center"/>
    </xf>
    <xf numFmtId="4" fontId="15" fillId="0" borderId="0" xfId="0" applyNumberFormat="1" applyFont="1" applyBorder="1"/>
    <xf numFmtId="0" fontId="19" fillId="0" borderId="3" xfId="0" applyFont="1" applyFill="1" applyBorder="1" applyAlignment="1">
      <alignment horizont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0" fillId="0" borderId="65"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4" borderId="40" xfId="0" applyFont="1" applyFill="1" applyBorder="1" applyAlignment="1">
      <alignment vertical="center"/>
    </xf>
    <xf numFmtId="0" fontId="5" fillId="4" borderId="46" xfId="0" applyFont="1" applyFill="1" applyBorder="1" applyAlignment="1">
      <alignment horizontal="right" vertical="center"/>
    </xf>
    <xf numFmtId="0" fontId="0" fillId="0" borderId="67" xfId="0" applyFont="1" applyBorder="1"/>
    <xf numFmtId="0" fontId="0" fillId="0" borderId="55" xfId="0" applyFont="1" applyBorder="1"/>
    <xf numFmtId="2" fontId="0" fillId="4" borderId="46" xfId="0" applyNumberFormat="1" applyFont="1" applyFill="1" applyBorder="1" applyAlignment="1">
      <alignment horizontal="center" vertical="center"/>
    </xf>
    <xf numFmtId="4" fontId="19" fillId="0" borderId="12" xfId="0" applyNumberFormat="1" applyFont="1" applyFill="1" applyBorder="1" applyAlignment="1">
      <alignment horizontal="center" vertical="center"/>
    </xf>
    <xf numFmtId="167" fontId="0" fillId="0" borderId="0" xfId="0" applyNumberFormat="1" applyFont="1" applyAlignment="1">
      <alignment horizontal="left" vertical="top"/>
    </xf>
    <xf numFmtId="167" fontId="0" fillId="0" borderId="0" xfId="0" applyNumberFormat="1" applyFont="1" applyAlignment="1">
      <alignment horizontal="left" vertical="top" wrapText="1"/>
    </xf>
    <xf numFmtId="0" fontId="5" fillId="18" borderId="12" xfId="0" applyFont="1" applyFill="1" applyBorder="1" applyAlignment="1" applyProtection="1">
      <alignment horizontal="left" vertical="center" indent="1"/>
      <protection locked="0"/>
    </xf>
    <xf numFmtId="0" fontId="9" fillId="0" borderId="2" xfId="0" applyFont="1" applyFill="1" applyBorder="1" applyAlignment="1">
      <alignment vertical="center"/>
    </xf>
    <xf numFmtId="0" fontId="0" fillId="0" borderId="3" xfId="0" applyFont="1" applyFill="1" applyBorder="1" applyAlignment="1" applyProtection="1">
      <alignment horizontal="center" vertical="center"/>
      <protection locked="0"/>
    </xf>
    <xf numFmtId="0" fontId="0" fillId="0" borderId="12" xfId="0" applyBorder="1" applyAlignment="1">
      <alignment horizontal="left" vertical="top" wrapText="1"/>
    </xf>
    <xf numFmtId="0" fontId="34" fillId="0" borderId="0" xfId="0" applyFont="1" applyAlignment="1">
      <alignment horizontal="right" vertical="center"/>
    </xf>
    <xf numFmtId="4" fontId="33" fillId="0" borderId="12" xfId="0" applyNumberFormat="1" applyFont="1" applyFill="1" applyBorder="1" applyAlignment="1">
      <alignment horizontal="right" vertical="top"/>
    </xf>
    <xf numFmtId="0" fontId="0" fillId="0" borderId="33" xfId="0" applyFont="1" applyBorder="1" applyAlignment="1">
      <alignment horizontal="center" vertical="center"/>
    </xf>
    <xf numFmtId="0" fontId="0" fillId="0" borderId="30" xfId="0" applyFont="1" applyBorder="1" applyAlignment="1">
      <alignment horizontal="center" vertical="center"/>
    </xf>
    <xf numFmtId="2" fontId="0" fillId="0" borderId="30" xfId="0" applyNumberFormat="1" applyFont="1" applyBorder="1" applyAlignment="1">
      <alignment horizontal="center" vertical="center"/>
    </xf>
    <xf numFmtId="0" fontId="16" fillId="0" borderId="3" xfId="0" applyFont="1" applyFill="1" applyBorder="1" applyAlignment="1">
      <alignment horizontal="center" vertical="center"/>
    </xf>
    <xf numFmtId="0" fontId="19" fillId="0" borderId="2" xfId="0" applyFont="1" applyFill="1" applyBorder="1" applyAlignment="1">
      <alignment horizontal="left" vertical="center" indent="1"/>
    </xf>
    <xf numFmtId="4" fontId="0" fillId="0" borderId="3" xfId="0" applyNumberFormat="1" applyFont="1" applyFill="1" applyBorder="1" applyAlignment="1">
      <alignment horizontal="center" vertical="center"/>
    </xf>
    <xf numFmtId="0" fontId="15" fillId="0" borderId="45" xfId="0" applyFont="1" applyFill="1" applyBorder="1" applyAlignment="1">
      <alignment vertical="center"/>
    </xf>
    <xf numFmtId="9" fontId="0" fillId="0" borderId="46" xfId="0" applyNumberFormat="1" applyFont="1" applyFill="1" applyBorder="1" applyAlignment="1">
      <alignment vertical="center"/>
    </xf>
    <xf numFmtId="4" fontId="0" fillId="0" borderId="46" xfId="0" applyNumberFormat="1" applyFont="1" applyFill="1" applyBorder="1" applyAlignment="1">
      <alignment horizontal="center" vertical="center"/>
    </xf>
    <xf numFmtId="0" fontId="0" fillId="0" borderId="7" xfId="0" applyFont="1" applyFill="1" applyBorder="1" applyAlignment="1">
      <alignment vertical="center"/>
    </xf>
    <xf numFmtId="9" fontId="0" fillId="0" borderId="7" xfId="0" applyNumberFormat="1" applyFont="1" applyFill="1" applyBorder="1" applyAlignment="1">
      <alignment vertical="center"/>
    </xf>
    <xf numFmtId="4" fontId="0" fillId="0" borderId="49" xfId="0" applyNumberFormat="1" applyFont="1" applyFill="1" applyBorder="1" applyAlignment="1">
      <alignment horizontal="center" vertical="center"/>
    </xf>
    <xf numFmtId="0" fontId="0" fillId="0" borderId="12" xfId="0" applyFont="1" applyFill="1" applyBorder="1" applyAlignment="1">
      <alignment horizontal="left" vertical="center" indent="1"/>
    </xf>
    <xf numFmtId="4" fontId="0" fillId="0" borderId="12" xfId="0" applyNumberFormat="1" applyFont="1" applyBorder="1"/>
    <xf numFmtId="0" fontId="0" fillId="0" borderId="2" xfId="0" applyFont="1" applyFill="1" applyBorder="1" applyAlignment="1">
      <alignment vertical="center" wrapText="1"/>
    </xf>
    <xf numFmtId="2" fontId="0" fillId="0" borderId="4" xfId="0" applyNumberFormat="1" applyFont="1" applyBorder="1"/>
    <xf numFmtId="0" fontId="5" fillId="18" borderId="12" xfId="0" applyFont="1" applyFill="1" applyBorder="1" applyAlignment="1" applyProtection="1">
      <alignment horizontal="left" indent="1"/>
      <protection locked="0"/>
    </xf>
    <xf numFmtId="0" fontId="0" fillId="0" borderId="22" xfId="0" applyBorder="1" applyAlignment="1">
      <alignment horizontal="left" vertical="top"/>
    </xf>
    <xf numFmtId="0" fontId="0" fillId="0" borderId="4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xf>
    <xf numFmtId="0" fontId="0" fillId="0" borderId="17" xfId="0" applyBorder="1" applyAlignment="1">
      <alignment horizontal="left" vertical="top" indent="1"/>
    </xf>
    <xf numFmtId="0" fontId="0" fillId="0" borderId="1" xfId="0" applyBorder="1" applyAlignment="1">
      <alignment horizontal="left" vertical="top" indent="1"/>
    </xf>
    <xf numFmtId="0" fontId="0" fillId="0" borderId="22" xfId="0" applyBorder="1" applyAlignment="1">
      <alignment horizontal="left" vertical="top" indent="1"/>
    </xf>
    <xf numFmtId="0" fontId="0" fillId="0" borderId="1" xfId="0" applyBorder="1" applyAlignment="1">
      <alignment horizontal="left" indent="1"/>
    </xf>
    <xf numFmtId="0" fontId="0" fillId="0" borderId="22" xfId="0" applyBorder="1" applyAlignment="1">
      <alignment horizontal="left" indent="1"/>
    </xf>
    <xf numFmtId="0" fontId="0" fillId="0" borderId="17" xfId="0" applyBorder="1" applyAlignment="1">
      <alignment horizontal="left" indent="1"/>
    </xf>
    <xf numFmtId="2" fontId="6" fillId="0" borderId="30" xfId="0" applyNumberFormat="1" applyFont="1" applyFill="1" applyBorder="1" applyAlignment="1">
      <alignment horizontal="center" vertical="center"/>
    </xf>
    <xf numFmtId="2" fontId="6" fillId="0" borderId="10" xfId="0" applyNumberFormat="1" applyFont="1" applyFill="1" applyBorder="1" applyAlignment="1">
      <alignment horizontal="center" vertical="center"/>
    </xf>
    <xf numFmtId="0" fontId="7" fillId="0" borderId="40" xfId="0" applyFont="1" applyFill="1" applyBorder="1" applyAlignment="1">
      <alignment horizontal="right" vertical="center"/>
    </xf>
    <xf numFmtId="0" fontId="6" fillId="0" borderId="40" xfId="0" applyFont="1" applyFill="1" applyBorder="1" applyAlignment="1">
      <alignment horizontal="center" vertical="center"/>
    </xf>
    <xf numFmtId="2" fontId="7" fillId="2" borderId="42" xfId="0" applyNumberFormat="1" applyFont="1" applyFill="1" applyBorder="1" applyAlignment="1">
      <alignment horizontal="center" vertical="center"/>
    </xf>
    <xf numFmtId="0" fontId="0" fillId="0" borderId="0" xfId="0" applyFont="1" applyAlignment="1">
      <alignment wrapText="1"/>
    </xf>
    <xf numFmtId="0" fontId="0" fillId="0" borderId="0" xfId="0" applyFont="1" applyFill="1" applyAlignment="1">
      <alignment horizontal="left" vertical="top" wrapText="1"/>
    </xf>
    <xf numFmtId="0" fontId="0" fillId="0" borderId="61" xfId="0" applyFont="1" applyFill="1" applyBorder="1" applyAlignment="1">
      <alignment horizontal="left" vertical="top" wrapText="1"/>
    </xf>
    <xf numFmtId="0" fontId="0" fillId="0" borderId="61" xfId="0" applyFont="1" applyBorder="1" applyAlignment="1">
      <alignment horizontal="left" vertical="top" wrapText="1"/>
    </xf>
    <xf numFmtId="0" fontId="6" fillId="0" borderId="61" xfId="0" applyFont="1" applyBorder="1" applyAlignment="1">
      <alignment horizontal="left" vertical="top" wrapText="1"/>
    </xf>
    <xf numFmtId="0" fontId="0" fillId="0" borderId="62" xfId="0" applyFont="1" applyBorder="1" applyAlignment="1">
      <alignment horizontal="left" vertical="top" wrapText="1"/>
    </xf>
    <xf numFmtId="0" fontId="0" fillId="0" borderId="64" xfId="0" applyFont="1" applyFill="1" applyBorder="1" applyAlignment="1">
      <alignment horizontal="left" vertical="top" wrapText="1"/>
    </xf>
    <xf numFmtId="0" fontId="0" fillId="0" borderId="12" xfId="0" applyFont="1" applyBorder="1" applyAlignment="1">
      <alignment horizontal="center" vertical="center" wrapText="1"/>
    </xf>
    <xf numFmtId="2" fontId="6" fillId="0" borderId="60" xfId="0" applyNumberFormat="1" applyFont="1" applyFill="1" applyBorder="1" applyAlignment="1">
      <alignment horizontal="center" vertical="center"/>
    </xf>
    <xf numFmtId="167" fontId="0" fillId="0" borderId="12" xfId="0" applyNumberFormat="1" applyFont="1" applyFill="1" applyBorder="1"/>
    <xf numFmtId="0" fontId="5" fillId="0" borderId="36" xfId="0" applyFont="1" applyFill="1" applyBorder="1" applyAlignment="1">
      <alignment horizontal="center" vertical="center" textRotation="90" wrapText="1"/>
    </xf>
    <xf numFmtId="0" fontId="6" fillId="0" borderId="69" xfId="0" applyFont="1" applyFill="1" applyBorder="1" applyAlignment="1">
      <alignment vertical="center"/>
    </xf>
    <xf numFmtId="2" fontId="6" fillId="0" borderId="20" xfId="0" applyNumberFormat="1" applyFont="1" applyFill="1" applyBorder="1" applyAlignment="1">
      <alignment horizontal="center" vertical="center" wrapText="1"/>
    </xf>
    <xf numFmtId="0" fontId="0" fillId="0" borderId="47" xfId="0" applyFont="1" applyFill="1" applyBorder="1" applyAlignment="1">
      <alignment wrapText="1"/>
    </xf>
    <xf numFmtId="0" fontId="6" fillId="0" borderId="66" xfId="0" applyFont="1" applyFill="1" applyBorder="1" applyAlignment="1">
      <alignment vertical="center"/>
    </xf>
    <xf numFmtId="0" fontId="6" fillId="0" borderId="21" xfId="0" applyFont="1" applyFill="1" applyBorder="1" applyAlignment="1">
      <alignment vertical="center"/>
    </xf>
    <xf numFmtId="0" fontId="6" fillId="0" borderId="16" xfId="0" applyFont="1" applyFill="1" applyBorder="1" applyAlignment="1">
      <alignment vertical="center"/>
    </xf>
    <xf numFmtId="2" fontId="6" fillId="0" borderId="18" xfId="0" applyNumberFormat="1" applyFont="1" applyFill="1" applyBorder="1" applyAlignment="1">
      <alignment horizontal="center" vertical="center"/>
    </xf>
    <xf numFmtId="0" fontId="6" fillId="0" borderId="66" xfId="0" applyFont="1" applyFill="1" applyBorder="1" applyAlignment="1">
      <alignment horizontal="left" vertical="center"/>
    </xf>
    <xf numFmtId="2" fontId="6" fillId="0" borderId="68" xfId="0" applyNumberFormat="1" applyFont="1" applyFill="1" applyBorder="1" applyAlignment="1">
      <alignment horizontal="center" vertical="center"/>
    </xf>
    <xf numFmtId="0" fontId="0" fillId="4" borderId="46" xfId="0" applyFont="1" applyFill="1" applyBorder="1" applyAlignment="1">
      <alignment horizontal="center" vertical="center"/>
    </xf>
    <xf numFmtId="2" fontId="0" fillId="4" borderId="46" xfId="0" applyNumberFormat="1" applyFont="1" applyFill="1" applyBorder="1"/>
    <xf numFmtId="2" fontId="5" fillId="4" borderId="36" xfId="0" applyNumberFormat="1" applyFont="1" applyFill="1" applyBorder="1" applyAlignment="1">
      <alignment horizontal="center" vertical="center"/>
    </xf>
    <xf numFmtId="0" fontId="0" fillId="0" borderId="66" xfId="0" applyFont="1" applyFill="1" applyBorder="1" applyAlignment="1">
      <alignment horizontal="left" vertical="center" wrapText="1"/>
    </xf>
    <xf numFmtId="0" fontId="0" fillId="0" borderId="68" xfId="0" applyFont="1" applyBorder="1"/>
    <xf numFmtId="0" fontId="0" fillId="0" borderId="34" xfId="0" applyFont="1" applyBorder="1" applyAlignment="1">
      <alignment horizontal="center" vertical="center"/>
    </xf>
    <xf numFmtId="0" fontId="0" fillId="0" borderId="23" xfId="0" applyFont="1" applyBorder="1"/>
    <xf numFmtId="2" fontId="0" fillId="0" borderId="62" xfId="0" applyNumberFormat="1" applyFont="1" applyFill="1" applyBorder="1" applyAlignment="1">
      <alignment horizontal="center" vertical="center"/>
    </xf>
    <xf numFmtId="0" fontId="14" fillId="18" borderId="39" xfId="0" applyFont="1" applyFill="1" applyBorder="1" applyAlignment="1">
      <alignment vertical="center"/>
    </xf>
    <xf numFmtId="0" fontId="0" fillId="18" borderId="40" xfId="0" applyFont="1" applyFill="1" applyBorder="1" applyAlignment="1">
      <alignment horizontal="center" vertical="center"/>
    </xf>
    <xf numFmtId="0" fontId="14" fillId="18" borderId="45" xfId="0" applyFont="1" applyFill="1" applyBorder="1" applyAlignment="1">
      <alignment vertical="center"/>
    </xf>
    <xf numFmtId="0" fontId="0" fillId="18" borderId="46" xfId="0" applyFont="1" applyFill="1" applyBorder="1" applyAlignment="1">
      <alignment horizontal="center" vertical="center"/>
    </xf>
    <xf numFmtId="167" fontId="0" fillId="0" borderId="0" xfId="0" applyNumberFormat="1" applyFont="1" applyFill="1" applyBorder="1"/>
    <xf numFmtId="2" fontId="0" fillId="0" borderId="71" xfId="0" applyNumberFormat="1" applyFont="1" applyFill="1" applyBorder="1" applyAlignment="1">
      <alignment horizontal="center" vertical="center"/>
    </xf>
    <xf numFmtId="2" fontId="0" fillId="0" borderId="38" xfId="0" applyNumberFormat="1" applyFont="1" applyFill="1" applyBorder="1" applyAlignment="1">
      <alignment horizontal="center" vertical="center"/>
    </xf>
    <xf numFmtId="2" fontId="0" fillId="4" borderId="3" xfId="0" applyNumberFormat="1" applyFont="1" applyFill="1" applyBorder="1" applyAlignment="1">
      <alignment horizontal="center" vertical="center"/>
    </xf>
    <xf numFmtId="2" fontId="0" fillId="4" borderId="4" xfId="0" applyNumberFormat="1" applyFont="1" applyFill="1" applyBorder="1" applyAlignment="1">
      <alignment horizontal="center" vertical="center"/>
    </xf>
    <xf numFmtId="2" fontId="0" fillId="0" borderId="36" xfId="0" applyNumberFormat="1" applyBorder="1" applyAlignment="1">
      <alignment horizontal="center" vertical="center"/>
    </xf>
    <xf numFmtId="0" fontId="26" fillId="0" borderId="0" xfId="0" applyFont="1" applyFill="1" applyAlignment="1">
      <alignment vertical="center"/>
    </xf>
    <xf numFmtId="0" fontId="28" fillId="18" borderId="3" xfId="0" applyFont="1" applyFill="1" applyBorder="1" applyAlignment="1">
      <alignment vertical="center"/>
    </xf>
    <xf numFmtId="0" fontId="5" fillId="0" borderId="4" xfId="0" applyFont="1" applyBorder="1"/>
    <xf numFmtId="0" fontId="0" fillId="0" borderId="0" xfId="0" applyBorder="1" applyAlignment="1">
      <alignment horizontal="center" vertical="center"/>
    </xf>
    <xf numFmtId="0" fontId="0" fillId="0" borderId="17" xfId="0" applyBorder="1" applyAlignment="1">
      <alignment horizontal="center" vertical="top"/>
    </xf>
    <xf numFmtId="0" fontId="5" fillId="5" borderId="0" xfId="0" applyFont="1" applyFill="1"/>
    <xf numFmtId="0" fontId="5" fillId="5" borderId="0" xfId="0" applyFont="1" applyFill="1" applyBorder="1"/>
    <xf numFmtId="0" fontId="5" fillId="5" borderId="0" xfId="0" applyFont="1" applyFill="1" applyAlignment="1">
      <alignment horizontal="left" vertical="top" wrapText="1"/>
    </xf>
    <xf numFmtId="2" fontId="6" fillId="0" borderId="61" xfId="0" applyNumberFormat="1" applyFont="1" applyFill="1" applyBorder="1" applyAlignment="1">
      <alignment horizontal="center" vertical="center"/>
    </xf>
    <xf numFmtId="2" fontId="6" fillId="0" borderId="62" xfId="0" applyNumberFormat="1" applyFont="1" applyFill="1" applyBorder="1" applyAlignment="1">
      <alignment horizontal="center" vertical="center"/>
    </xf>
    <xf numFmtId="0" fontId="5" fillId="0" borderId="2" xfId="0" applyFont="1" applyFill="1" applyBorder="1" applyAlignment="1">
      <alignment horizontal="right" vertical="center"/>
    </xf>
    <xf numFmtId="0" fontId="5" fillId="0" borderId="0" xfId="0" applyFont="1" applyFill="1"/>
    <xf numFmtId="0" fontId="5" fillId="19" borderId="0" xfId="0" applyFont="1" applyFill="1" applyBorder="1" applyAlignment="1">
      <alignment horizontal="left" vertical="top"/>
    </xf>
    <xf numFmtId="0" fontId="15" fillId="19" borderId="47" xfId="0" applyFont="1" applyFill="1" applyBorder="1" applyAlignment="1">
      <alignment horizontal="left" vertical="top" wrapText="1"/>
    </xf>
    <xf numFmtId="0" fontId="0" fillId="0" borderId="2" xfId="0" applyFont="1" applyFill="1" applyBorder="1" applyAlignment="1">
      <alignment horizontal="center" vertical="center"/>
    </xf>
    <xf numFmtId="0" fontId="0" fillId="18" borderId="0" xfId="0" applyFont="1" applyFill="1" applyBorder="1" applyAlignment="1">
      <alignment horizontal="center" vertical="center"/>
    </xf>
    <xf numFmtId="0" fontId="19" fillId="0" borderId="2" xfId="0" applyFont="1" applyBorder="1" applyAlignment="1">
      <alignment horizontal="left" vertical="center" indent="1"/>
    </xf>
    <xf numFmtId="0" fontId="19" fillId="0" borderId="4" xfId="0" applyFont="1" applyBorder="1" applyAlignment="1">
      <alignment horizontal="left" vertical="center" indent="1"/>
    </xf>
    <xf numFmtId="0" fontId="0" fillId="18" borderId="2" xfId="0" applyFont="1" applyFill="1" applyBorder="1" applyAlignment="1">
      <alignment vertical="center"/>
    </xf>
    <xf numFmtId="0" fontId="19" fillId="0" borderId="3" xfId="0" applyFont="1" applyBorder="1" applyAlignment="1">
      <alignment horizontal="left" vertical="center" indent="1"/>
    </xf>
    <xf numFmtId="0" fontId="5" fillId="0" borderId="0" xfId="0" applyFont="1" applyFill="1" applyAlignment="1">
      <alignment horizontal="right" vertical="center"/>
    </xf>
    <xf numFmtId="0" fontId="28" fillId="18" borderId="4" xfId="0" applyFont="1" applyFill="1" applyBorder="1" applyAlignment="1">
      <alignment horizontal="center"/>
    </xf>
    <xf numFmtId="0" fontId="19" fillId="0" borderId="39" xfId="0" applyFont="1" applyFill="1" applyBorder="1" applyAlignment="1">
      <alignment horizontal="left" vertical="center" indent="1"/>
    </xf>
    <xf numFmtId="0" fontId="19" fillId="0" borderId="40" xfId="0" applyFont="1" applyFill="1" applyBorder="1" applyAlignment="1">
      <alignment horizontal="left" vertical="center" indent="1"/>
    </xf>
    <xf numFmtId="0" fontId="19" fillId="0" borderId="41" xfId="0" applyFont="1" applyFill="1" applyBorder="1" applyAlignment="1">
      <alignment horizontal="left" vertical="center" indent="1"/>
    </xf>
    <xf numFmtId="0" fontId="19" fillId="0" borderId="47" xfId="0" applyFont="1" applyFill="1" applyBorder="1" applyAlignment="1">
      <alignment horizontal="left" vertical="center" indent="1"/>
    </xf>
    <xf numFmtId="0" fontId="19" fillId="0" borderId="0" xfId="0" applyFont="1" applyFill="1" applyBorder="1" applyAlignment="1">
      <alignment horizontal="left" vertical="center" indent="1"/>
    </xf>
    <xf numFmtId="0" fontId="19" fillId="0" borderId="56" xfId="0" applyFont="1" applyFill="1" applyBorder="1" applyAlignment="1">
      <alignment horizontal="left" vertical="center" indent="1"/>
    </xf>
    <xf numFmtId="0" fontId="19" fillId="0" borderId="45" xfId="0" applyFont="1" applyFill="1" applyBorder="1" applyAlignment="1">
      <alignment horizontal="left" vertical="center" indent="1"/>
    </xf>
    <xf numFmtId="0" fontId="19" fillId="0" borderId="46" xfId="0" applyFont="1" applyFill="1" applyBorder="1" applyAlignment="1">
      <alignment horizontal="left" vertical="center" indent="1"/>
    </xf>
    <xf numFmtId="0" fontId="19" fillId="0" borderId="37" xfId="0" applyFont="1" applyFill="1" applyBorder="1" applyAlignment="1">
      <alignment horizontal="left" vertical="center" indent="1"/>
    </xf>
    <xf numFmtId="9" fontId="0" fillId="0"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2" fontId="6" fillId="0" borderId="5" xfId="0" applyNumberFormat="1" applyFont="1" applyFill="1" applyBorder="1" applyAlignment="1">
      <alignment horizontal="center" vertical="center" textRotation="90" wrapText="1"/>
    </xf>
    <xf numFmtId="2" fontId="6" fillId="0" borderId="9" xfId="0" applyNumberFormat="1" applyFont="1" applyFill="1" applyBorder="1" applyAlignment="1">
      <alignment horizontal="center" vertical="center" textRotation="90" wrapText="1"/>
    </xf>
    <xf numFmtId="2" fontId="6" fillId="0" borderId="6" xfId="0" applyNumberFormat="1" applyFont="1" applyFill="1" applyBorder="1" applyAlignment="1">
      <alignment horizontal="center" vertical="center" textRotation="90" wrapText="1"/>
    </xf>
    <xf numFmtId="2" fontId="5" fillId="0" borderId="39" xfId="0" applyNumberFormat="1" applyFont="1" applyFill="1" applyBorder="1" applyAlignment="1">
      <alignment horizontal="center" vertical="center" textRotation="90" wrapText="1"/>
    </xf>
    <xf numFmtId="2" fontId="5" fillId="0" borderId="47" xfId="0" applyNumberFormat="1" applyFont="1" applyFill="1" applyBorder="1" applyAlignment="1">
      <alignment horizontal="center" vertical="center" textRotation="90" wrapText="1"/>
    </xf>
    <xf numFmtId="2" fontId="5" fillId="0" borderId="45" xfId="0" applyNumberFormat="1" applyFont="1" applyFill="1" applyBorder="1" applyAlignment="1">
      <alignment horizontal="center" vertical="center" textRotation="90" wrapText="1"/>
    </xf>
    <xf numFmtId="2" fontId="6" fillId="0" borderId="51" xfId="0" applyNumberFormat="1" applyFont="1" applyFill="1" applyBorder="1" applyAlignment="1">
      <alignment horizontal="center" vertical="center" textRotation="90" wrapText="1"/>
    </xf>
    <xf numFmtId="2" fontId="6" fillId="0" borderId="48" xfId="0" applyNumberFormat="1" applyFont="1" applyFill="1" applyBorder="1" applyAlignment="1">
      <alignment horizontal="center" vertical="center" textRotation="90" wrapText="1"/>
    </xf>
    <xf numFmtId="2" fontId="6" fillId="0" borderId="52" xfId="0" applyNumberFormat="1" applyFont="1" applyFill="1" applyBorder="1" applyAlignment="1">
      <alignment horizontal="center" vertical="center" textRotation="90" wrapText="1"/>
    </xf>
    <xf numFmtId="0" fontId="21" fillId="18" borderId="56" xfId="0" applyFont="1" applyFill="1" applyBorder="1" applyAlignment="1">
      <alignment horizontal="center" vertical="center"/>
    </xf>
    <xf numFmtId="0" fontId="21" fillId="18" borderId="37" xfId="0" applyFont="1" applyFill="1" applyBorder="1" applyAlignment="1">
      <alignment horizontal="center" vertical="center"/>
    </xf>
    <xf numFmtId="9" fontId="0" fillId="0" borderId="16" xfId="0"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5" fillId="0" borderId="39" xfId="0" applyFont="1" applyFill="1" applyBorder="1" applyAlignment="1">
      <alignment horizontal="center" vertical="center" textRotation="90" wrapText="1"/>
    </xf>
    <xf numFmtId="0" fontId="5" fillId="0" borderId="47" xfId="0" applyFont="1" applyFill="1" applyBorder="1" applyAlignment="1">
      <alignment horizontal="center" vertical="center" textRotation="90" wrapText="1"/>
    </xf>
    <xf numFmtId="0" fontId="5" fillId="0" borderId="45" xfId="0" applyFont="1" applyFill="1" applyBorder="1" applyAlignment="1">
      <alignment horizontal="center" vertical="center" textRotation="90" wrapText="1"/>
    </xf>
    <xf numFmtId="0" fontId="19" fillId="0" borderId="39" xfId="0" applyFont="1" applyBorder="1" applyAlignment="1">
      <alignment horizontal="left" vertical="center" indent="1"/>
    </xf>
    <xf numFmtId="0" fontId="19" fillId="0" borderId="40" xfId="0" applyFont="1" applyBorder="1" applyAlignment="1">
      <alignment horizontal="left" vertical="center" indent="1"/>
    </xf>
    <xf numFmtId="0" fontId="19" fillId="0" borderId="41" xfId="0" applyFont="1" applyBorder="1" applyAlignment="1">
      <alignment horizontal="left" vertical="center" indent="1"/>
    </xf>
    <xf numFmtId="0" fontId="19" fillId="0" borderId="47" xfId="0" applyFont="1" applyBorder="1" applyAlignment="1">
      <alignment horizontal="left" vertical="center" indent="1"/>
    </xf>
    <xf numFmtId="0" fontId="19" fillId="0" borderId="0" xfId="0" applyFont="1" applyBorder="1" applyAlignment="1">
      <alignment horizontal="left" vertical="center" indent="1"/>
    </xf>
    <xf numFmtId="0" fontId="19" fillId="0" borderId="56" xfId="0" applyFont="1" applyBorder="1" applyAlignment="1">
      <alignment horizontal="left" vertical="center" indent="1"/>
    </xf>
    <xf numFmtId="0" fontId="19" fillId="0" borderId="45" xfId="0" applyFont="1" applyBorder="1" applyAlignment="1">
      <alignment horizontal="left" vertical="center" indent="1"/>
    </xf>
    <xf numFmtId="0" fontId="19" fillId="0" borderId="46" xfId="0" applyFont="1" applyBorder="1" applyAlignment="1">
      <alignment horizontal="left" vertical="center" indent="1"/>
    </xf>
    <xf numFmtId="0" fontId="19" fillId="0" borderId="37" xfId="0" applyFont="1" applyBorder="1" applyAlignment="1">
      <alignment horizontal="left" vertical="center" indent="1"/>
    </xf>
    <xf numFmtId="0" fontId="0" fillId="0" borderId="47"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9" xfId="0" applyFont="1" applyFill="1" applyBorder="1" applyAlignment="1">
      <alignment horizontal="center" vertical="center" textRotation="90" wrapText="1"/>
    </xf>
    <xf numFmtId="0" fontId="0" fillId="0" borderId="41" xfId="0" applyFont="1" applyFill="1" applyBorder="1" applyAlignment="1">
      <alignment horizontal="center" vertical="center" textRotation="90" wrapText="1"/>
    </xf>
    <xf numFmtId="2" fontId="0" fillId="0" borderId="2" xfId="0" applyNumberFormat="1" applyFont="1" applyFill="1" applyBorder="1" applyAlignment="1">
      <alignment horizontal="center" vertical="center" wrapText="1"/>
    </xf>
    <xf numFmtId="2" fontId="0" fillId="0" borderId="4"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50" xfId="0" applyFont="1" applyFill="1" applyBorder="1" applyAlignment="1">
      <alignment horizontal="center" vertical="center"/>
    </xf>
    <xf numFmtId="0" fontId="21" fillId="18" borderId="39" xfId="0" applyFont="1" applyFill="1" applyBorder="1" applyAlignment="1">
      <alignment horizontal="right"/>
    </xf>
    <xf numFmtId="0" fontId="21" fillId="18" borderId="47" xfId="0" applyFont="1" applyFill="1" applyBorder="1" applyAlignment="1">
      <alignment horizontal="right"/>
    </xf>
    <xf numFmtId="0" fontId="21" fillId="18" borderId="40" xfId="0" applyFont="1" applyFill="1" applyBorder="1" applyAlignment="1">
      <alignment horizontal="left"/>
    </xf>
    <xf numFmtId="0" fontId="21" fillId="18" borderId="0" xfId="0" applyFont="1" applyFill="1" applyBorder="1" applyAlignment="1">
      <alignment horizontal="left"/>
    </xf>
    <xf numFmtId="0" fontId="21" fillId="18" borderId="40" xfId="0" quotePrefix="1" applyFont="1" applyFill="1" applyBorder="1" applyAlignment="1">
      <alignment horizontal="left"/>
    </xf>
    <xf numFmtId="0" fontId="21" fillId="18" borderId="0" xfId="0" quotePrefix="1" applyFont="1" applyFill="1" applyBorder="1" applyAlignment="1">
      <alignment horizontal="left"/>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36" fillId="0" borderId="2" xfId="0" applyFont="1" applyBorder="1" applyAlignment="1">
      <alignment horizontal="center" vertical="center"/>
    </xf>
    <xf numFmtId="0" fontId="36" fillId="0" borderId="4" xfId="0" applyFont="1" applyBorder="1" applyAlignment="1">
      <alignment horizontal="center" vertical="center"/>
    </xf>
    <xf numFmtId="0" fontId="28" fillId="18" borderId="3" xfId="0" applyFont="1" applyFill="1" applyBorder="1" applyAlignment="1">
      <alignment horizontal="left"/>
    </xf>
    <xf numFmtId="0" fontId="28" fillId="18" borderId="4" xfId="0" applyFont="1" applyFill="1" applyBorder="1" applyAlignment="1">
      <alignment horizontal="left"/>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0" fillId="0" borderId="65" xfId="0" applyFont="1" applyFill="1" applyBorder="1" applyAlignment="1">
      <alignment horizontal="left" vertical="center"/>
    </xf>
    <xf numFmtId="0" fontId="0" fillId="0" borderId="33" xfId="0" applyFont="1" applyFill="1" applyBorder="1" applyAlignment="1">
      <alignment horizontal="left" vertical="center"/>
    </xf>
    <xf numFmtId="0" fontId="0" fillId="0" borderId="59" xfId="0" applyFont="1" applyFill="1" applyBorder="1" applyAlignment="1">
      <alignment horizontal="left" vertical="center"/>
    </xf>
    <xf numFmtId="0" fontId="0" fillId="0" borderId="30" xfId="0" applyFont="1" applyFill="1" applyBorder="1" applyAlignment="1">
      <alignment horizontal="left" vertical="center"/>
    </xf>
    <xf numFmtId="0" fontId="0" fillId="0" borderId="0" xfId="0" applyFont="1" applyFill="1" applyAlignment="1">
      <alignment horizontal="left" vertical="center" wrapText="1"/>
    </xf>
    <xf numFmtId="0" fontId="14" fillId="0" borderId="2"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43" xfId="0" applyFont="1" applyFill="1" applyBorder="1" applyAlignment="1">
      <alignment horizontal="center" vertical="top" wrapText="1"/>
    </xf>
    <xf numFmtId="0" fontId="14" fillId="0" borderId="36" xfId="0" applyFont="1" applyFill="1" applyBorder="1" applyAlignment="1">
      <alignment horizontal="center" vertical="top" wrapText="1"/>
    </xf>
    <xf numFmtId="0" fontId="0" fillId="0" borderId="47" xfId="0" applyFont="1" applyFill="1" applyBorder="1" applyAlignment="1">
      <alignment horizontal="center" vertical="center" textRotation="90" wrapText="1"/>
    </xf>
    <xf numFmtId="0" fontId="0" fillId="0" borderId="45" xfId="0" applyFont="1" applyFill="1" applyBorder="1" applyAlignment="1">
      <alignment horizontal="center" vertical="center" textRotation="90" wrapText="1"/>
    </xf>
    <xf numFmtId="0" fontId="5" fillId="0" borderId="42" xfId="0" applyFont="1" applyFill="1" applyBorder="1" applyAlignment="1">
      <alignment horizontal="center" vertical="center" textRotation="90" wrapText="1"/>
    </xf>
    <xf numFmtId="0" fontId="5" fillId="0" borderId="43" xfId="0" applyFont="1" applyFill="1" applyBorder="1" applyAlignment="1">
      <alignment horizontal="center" vertical="center" textRotation="90" wrapText="1"/>
    </xf>
    <xf numFmtId="0" fontId="5" fillId="0" borderId="36" xfId="0" applyFont="1" applyFill="1" applyBorder="1" applyAlignment="1">
      <alignment horizontal="center" vertical="center" textRotation="90" wrapText="1"/>
    </xf>
    <xf numFmtId="0" fontId="14" fillId="0" borderId="42" xfId="0" applyFont="1" applyFill="1" applyBorder="1" applyAlignment="1">
      <alignment horizontal="center" vertical="top" wrapText="1"/>
    </xf>
    <xf numFmtId="0" fontId="7" fillId="0" borderId="39" xfId="0" applyFont="1" applyFill="1" applyBorder="1" applyAlignment="1">
      <alignment horizontal="center" vertical="center" textRotation="90" wrapText="1"/>
    </xf>
    <xf numFmtId="0" fontId="7" fillId="0" borderId="47" xfId="0" applyFont="1" applyFill="1" applyBorder="1" applyAlignment="1">
      <alignment horizontal="center" vertical="center" textRotation="90" wrapText="1"/>
    </xf>
    <xf numFmtId="0" fontId="20" fillId="0" borderId="39" xfId="0" applyFont="1" applyFill="1" applyBorder="1" applyAlignment="1">
      <alignment horizontal="left" vertical="center" indent="1"/>
    </xf>
    <xf numFmtId="0" fontId="20" fillId="0" borderId="40" xfId="0" applyFont="1" applyFill="1" applyBorder="1" applyAlignment="1">
      <alignment horizontal="left" vertical="center" indent="1"/>
    </xf>
    <xf numFmtId="0" fontId="20" fillId="0" borderId="41" xfId="0" applyFont="1" applyFill="1" applyBorder="1" applyAlignment="1">
      <alignment horizontal="left" vertical="center" indent="1"/>
    </xf>
    <xf numFmtId="0" fontId="20" fillId="0" borderId="47" xfId="0" applyFont="1" applyFill="1" applyBorder="1" applyAlignment="1">
      <alignment horizontal="left" vertical="center" indent="1"/>
    </xf>
    <xf numFmtId="0" fontId="20" fillId="0" borderId="0" xfId="0" applyFont="1" applyFill="1" applyBorder="1" applyAlignment="1">
      <alignment horizontal="left" vertical="center" indent="1"/>
    </xf>
    <xf numFmtId="0" fontId="20" fillId="0" borderId="56" xfId="0" applyFont="1" applyFill="1" applyBorder="1" applyAlignment="1">
      <alignment horizontal="left" vertical="center" indent="1"/>
    </xf>
    <xf numFmtId="0" fontId="0" fillId="0" borderId="39"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28" fillId="8" borderId="2" xfId="0" applyFont="1" applyFill="1" applyBorder="1" applyAlignment="1">
      <alignment horizontal="left" vertical="center" indent="1"/>
    </xf>
    <xf numFmtId="0" fontId="28" fillId="8" borderId="3" xfId="0" applyFont="1" applyFill="1" applyBorder="1" applyAlignment="1">
      <alignment horizontal="left" vertical="center" indent="1"/>
    </xf>
    <xf numFmtId="0" fontId="28" fillId="8" borderId="4" xfId="0" applyFont="1" applyFill="1" applyBorder="1" applyAlignment="1">
      <alignment horizontal="left" vertical="center" indent="1"/>
    </xf>
    <xf numFmtId="0" fontId="21" fillId="8" borderId="39" xfId="0" applyFont="1" applyFill="1" applyBorder="1" applyAlignment="1">
      <alignment horizontal="right"/>
    </xf>
    <xf numFmtId="0" fontId="21" fillId="8" borderId="45" xfId="0" applyFont="1" applyFill="1" applyBorder="1" applyAlignment="1">
      <alignment horizontal="right"/>
    </xf>
    <xf numFmtId="0" fontId="21" fillId="8" borderId="40" xfId="0" quotePrefix="1" applyFont="1" applyFill="1" applyBorder="1" applyAlignment="1">
      <alignment horizontal="center"/>
    </xf>
    <xf numFmtId="0" fontId="21" fillId="8" borderId="46" xfId="0" applyFont="1" applyFill="1" applyBorder="1" applyAlignment="1">
      <alignment horizontal="center"/>
    </xf>
    <xf numFmtId="0" fontId="21" fillId="8" borderId="41" xfId="0" applyFont="1" applyFill="1" applyBorder="1" applyAlignment="1">
      <alignment horizontal="left"/>
    </xf>
    <xf numFmtId="0" fontId="21" fillId="8" borderId="37" xfId="0" applyFont="1" applyFill="1" applyBorder="1" applyAlignment="1">
      <alignment horizontal="left"/>
    </xf>
    <xf numFmtId="0" fontId="21" fillId="8" borderId="42" xfId="0" applyFont="1" applyFill="1" applyBorder="1" applyAlignment="1">
      <alignment horizontal="center" vertical="center"/>
    </xf>
    <xf numFmtId="0" fontId="21" fillId="8" borderId="36" xfId="0" applyFont="1" applyFill="1" applyBorder="1" applyAlignment="1">
      <alignment horizontal="center" vertical="center"/>
    </xf>
    <xf numFmtId="0" fontId="20" fillId="0" borderId="39" xfId="0" applyFont="1" applyBorder="1" applyAlignment="1">
      <alignment horizontal="left" vertical="center" indent="1"/>
    </xf>
    <xf numFmtId="0" fontId="20" fillId="0" borderId="40"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0" xfId="0" applyFont="1" applyBorder="1" applyAlignment="1">
      <alignment horizontal="left" vertical="center" indent="1"/>
    </xf>
    <xf numFmtId="0" fontId="20" fillId="0" borderId="56" xfId="0" applyFont="1" applyBorder="1" applyAlignment="1">
      <alignment horizontal="left" vertical="center" indent="1"/>
    </xf>
    <xf numFmtId="0" fontId="20" fillId="0" borderId="45" xfId="0" applyFont="1" applyBorder="1" applyAlignment="1">
      <alignment horizontal="left" vertical="center" indent="1"/>
    </xf>
    <xf numFmtId="0" fontId="20" fillId="0" borderId="46" xfId="0" applyFont="1" applyBorder="1" applyAlignment="1">
      <alignment horizontal="left" vertical="center" indent="1"/>
    </xf>
    <xf numFmtId="0" fontId="20" fillId="0" borderId="37" xfId="0" applyFont="1" applyBorder="1" applyAlignment="1">
      <alignment horizontal="left" vertical="center" indent="1"/>
    </xf>
    <xf numFmtId="0" fontId="0" fillId="0" borderId="3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2"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1" xfId="0" applyFont="1" applyFill="1" applyBorder="1" applyAlignment="1">
      <alignment horizontal="center" vertical="center"/>
    </xf>
    <xf numFmtId="0" fontId="7" fillId="0" borderId="45" xfId="0" applyFont="1" applyFill="1" applyBorder="1" applyAlignment="1">
      <alignment horizontal="center" vertical="center" textRotation="90" wrapText="1"/>
    </xf>
    <xf numFmtId="2" fontId="6" fillId="6" borderId="42" xfId="0" applyNumberFormat="1" applyFont="1" applyFill="1" applyBorder="1" applyAlignment="1">
      <alignment horizontal="center" vertical="center" textRotation="90" wrapText="1"/>
    </xf>
    <xf numFmtId="2" fontId="6" fillId="6" borderId="43" xfId="0" applyNumberFormat="1" applyFont="1" applyFill="1" applyBorder="1" applyAlignment="1">
      <alignment horizontal="center" vertical="center" textRotation="90" wrapText="1"/>
    </xf>
    <xf numFmtId="2" fontId="6" fillId="6" borderId="36" xfId="0" applyNumberFormat="1" applyFont="1" applyFill="1" applyBorder="1" applyAlignment="1">
      <alignment horizontal="center" vertical="center" textRotation="90" wrapText="1"/>
    </xf>
    <xf numFmtId="2" fontId="6" fillId="0" borderId="24" xfId="0" applyNumberFormat="1" applyFont="1" applyFill="1" applyBorder="1" applyAlignment="1">
      <alignment horizontal="center" vertical="center" textRotation="90" wrapText="1"/>
    </xf>
    <xf numFmtId="2" fontId="6" fillId="0" borderId="35" xfId="0" applyNumberFormat="1" applyFont="1" applyFill="1" applyBorder="1" applyAlignment="1">
      <alignment horizontal="center" vertical="center" textRotation="90" wrapText="1"/>
    </xf>
    <xf numFmtId="2" fontId="6" fillId="0" borderId="26" xfId="0" applyNumberFormat="1" applyFont="1" applyFill="1" applyBorder="1" applyAlignment="1">
      <alignment horizontal="center" vertical="center" textRotation="90" wrapText="1"/>
    </xf>
    <xf numFmtId="0" fontId="28" fillId="5" borderId="2" xfId="0" applyFont="1" applyFill="1" applyBorder="1" applyAlignment="1">
      <alignment horizontal="left" vertical="center" indent="1"/>
    </xf>
    <xf numFmtId="0" fontId="28" fillId="5" borderId="3" xfId="0" applyFont="1" applyFill="1" applyBorder="1" applyAlignment="1">
      <alignment horizontal="left" vertical="center" indent="1"/>
    </xf>
    <xf numFmtId="0" fontId="28" fillId="5" borderId="4" xfId="0" applyFont="1" applyFill="1" applyBorder="1" applyAlignment="1">
      <alignment horizontal="left" vertical="center" inden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0" fillId="6" borderId="50" xfId="0" applyFont="1" applyFill="1" applyBorder="1" applyAlignment="1">
      <alignment horizontal="center" vertical="center"/>
    </xf>
    <xf numFmtId="0" fontId="0" fillId="6" borderId="5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47" xfId="0" applyFont="1" applyFill="1" applyBorder="1" applyAlignment="1">
      <alignment horizontal="left" vertical="center"/>
    </xf>
    <xf numFmtId="0" fontId="0" fillId="0" borderId="0" xfId="0" applyFont="1" applyFill="1" applyBorder="1" applyAlignment="1">
      <alignment horizontal="left" vertical="center"/>
    </xf>
    <xf numFmtId="0" fontId="21" fillId="5" borderId="39" xfId="0" applyFont="1" applyFill="1" applyBorder="1" applyAlignment="1">
      <alignment horizontal="right"/>
    </xf>
    <xf numFmtId="0" fontId="21" fillId="5" borderId="45" xfId="0" applyFont="1" applyFill="1" applyBorder="1" applyAlignment="1">
      <alignment horizontal="right"/>
    </xf>
    <xf numFmtId="0" fontId="21" fillId="5" borderId="40" xfId="0" quotePrefix="1" applyFont="1" applyFill="1" applyBorder="1" applyAlignment="1">
      <alignment horizontal="center"/>
    </xf>
    <xf numFmtId="0" fontId="21" fillId="5" borderId="46" xfId="0" applyFont="1" applyFill="1" applyBorder="1" applyAlignment="1">
      <alignment horizontal="center"/>
    </xf>
    <xf numFmtId="0" fontId="21" fillId="5" borderId="41" xfId="0" applyFont="1" applyFill="1" applyBorder="1" applyAlignment="1">
      <alignment horizontal="left"/>
    </xf>
    <xf numFmtId="0" fontId="21" fillId="5" borderId="37" xfId="0" applyFont="1" applyFill="1" applyBorder="1" applyAlignment="1">
      <alignment horizontal="left"/>
    </xf>
    <xf numFmtId="0" fontId="7" fillId="0" borderId="38" xfId="0" applyFont="1" applyFill="1" applyBorder="1" applyAlignment="1">
      <alignment horizontal="center" vertical="center"/>
    </xf>
    <xf numFmtId="0" fontId="7" fillId="0" borderId="37" xfId="0" applyFont="1" applyFill="1" applyBorder="1" applyAlignment="1">
      <alignment horizontal="center" vertical="center"/>
    </xf>
    <xf numFmtId="0" fontId="21" fillId="5" borderId="42" xfId="0" applyFont="1" applyFill="1" applyBorder="1" applyAlignment="1">
      <alignment horizontal="center"/>
    </xf>
    <xf numFmtId="0" fontId="21" fillId="5" borderId="36" xfId="0" applyFont="1" applyFill="1" applyBorder="1" applyAlignment="1">
      <alignment horizontal="center"/>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37" xfId="0" applyFill="1" applyBorder="1" applyAlignment="1">
      <alignment horizontal="center" vertical="center" wrapText="1"/>
    </xf>
    <xf numFmtId="0" fontId="5" fillId="0" borderId="45" xfId="0" applyFont="1" applyFill="1" applyBorder="1" applyAlignment="1">
      <alignment horizontal="center" vertical="top"/>
    </xf>
    <xf numFmtId="0" fontId="5" fillId="0" borderId="46" xfId="0" applyFont="1" applyFill="1" applyBorder="1" applyAlignment="1">
      <alignment horizontal="center" vertical="top"/>
    </xf>
    <xf numFmtId="0" fontId="5" fillId="0" borderId="37" xfId="0" applyFont="1" applyFill="1" applyBorder="1" applyAlignment="1">
      <alignment horizontal="center" vertical="top"/>
    </xf>
    <xf numFmtId="0" fontId="0" fillId="0" borderId="39"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16" borderId="6" xfId="0" applyFont="1" applyFill="1" applyBorder="1" applyAlignment="1">
      <alignment horizontal="left" vertical="top" wrapText="1"/>
    </xf>
    <xf numFmtId="0" fontId="0" fillId="16" borderId="1" xfId="0" applyFont="1" applyFill="1" applyBorder="1" applyAlignment="1">
      <alignment horizontal="left" vertical="top" wrapText="1"/>
    </xf>
    <xf numFmtId="0" fontId="5" fillId="0" borderId="41" xfId="0" applyFont="1" applyBorder="1" applyAlignment="1">
      <alignment horizontal="center" vertical="center" textRotation="90"/>
    </xf>
    <xf numFmtId="0" fontId="5" fillId="0" borderId="56" xfId="0" applyFont="1" applyBorder="1" applyAlignment="1">
      <alignment horizontal="center" vertical="center" textRotation="90"/>
    </xf>
    <xf numFmtId="0" fontId="0" fillId="0" borderId="17" xfId="0" applyFont="1" applyBorder="1" applyAlignment="1">
      <alignment horizontal="left" vertical="top" wrapText="1"/>
    </xf>
    <xf numFmtId="0" fontId="0" fillId="0" borderId="1" xfId="0" applyFont="1" applyBorder="1" applyAlignment="1">
      <alignment horizontal="left" vertical="top" wrapText="1"/>
    </xf>
    <xf numFmtId="0" fontId="5" fillId="0" borderId="16" xfId="0" applyFont="1" applyBorder="1" applyAlignment="1">
      <alignment horizontal="left" vertical="top" wrapText="1"/>
    </xf>
    <xf numFmtId="0" fontId="5" fillId="0" borderId="19" xfId="0" applyFont="1" applyBorder="1" applyAlignment="1">
      <alignment horizontal="left" vertical="top" wrapText="1"/>
    </xf>
    <xf numFmtId="0" fontId="5" fillId="0" borderId="21" xfId="0" applyFont="1" applyBorder="1" applyAlignment="1">
      <alignment horizontal="left" vertical="top" wrapText="1"/>
    </xf>
    <xf numFmtId="0" fontId="0" fillId="0" borderId="1" xfId="0" applyFont="1" applyFill="1" applyBorder="1" applyAlignment="1">
      <alignment horizontal="left" vertical="top" wrapText="1"/>
    </xf>
    <xf numFmtId="0" fontId="5" fillId="0" borderId="24" xfId="0" applyFont="1" applyBorder="1" applyAlignment="1">
      <alignment horizontal="left" vertical="top" wrapText="1"/>
    </xf>
    <xf numFmtId="0" fontId="0" fillId="0" borderId="22" xfId="0" applyFont="1" applyBorder="1" applyAlignment="1">
      <alignment horizontal="left" vertical="top" wrapText="1"/>
    </xf>
    <xf numFmtId="0" fontId="5" fillId="0" borderId="17" xfId="0" applyFont="1" applyBorder="1" applyAlignment="1">
      <alignment horizontal="left" vertical="top" wrapText="1"/>
    </xf>
    <xf numFmtId="0" fontId="5" fillId="0" borderId="1" xfId="0" applyFont="1" applyBorder="1" applyAlignment="1">
      <alignment horizontal="left" vertical="top" wrapText="1"/>
    </xf>
    <xf numFmtId="0" fontId="5" fillId="0" borderId="22" xfId="0" applyFont="1" applyBorder="1" applyAlignment="1">
      <alignment horizontal="left" vertical="top" wrapText="1"/>
    </xf>
    <xf numFmtId="0" fontId="5" fillId="0" borderId="42" xfId="0" applyFont="1" applyBorder="1" applyAlignment="1">
      <alignment horizontal="center" vertical="center" textRotation="90" wrapText="1"/>
    </xf>
    <xf numFmtId="0" fontId="5" fillId="0" borderId="43" xfId="0" applyFont="1" applyBorder="1" applyAlignment="1">
      <alignment horizontal="center" vertical="center" textRotation="90" wrapText="1"/>
    </xf>
    <xf numFmtId="0" fontId="5" fillId="0" borderId="36" xfId="0" applyFont="1" applyBorder="1" applyAlignment="1">
      <alignment horizontal="center" vertical="center" textRotation="90" wrapText="1"/>
    </xf>
    <xf numFmtId="0" fontId="0" fillId="0" borderId="0" xfId="0" applyBorder="1" applyAlignment="1">
      <alignment horizontal="center" vertical="center"/>
    </xf>
    <xf numFmtId="0" fontId="0" fillId="0" borderId="40" xfId="0" applyBorder="1" applyAlignment="1">
      <alignment horizontal="center" vertical="center" wrapText="1"/>
    </xf>
    <xf numFmtId="0" fontId="0" fillId="0" borderId="0" xfId="0" applyBorder="1" applyAlignment="1">
      <alignment horizontal="center" vertical="center" wrapText="1"/>
    </xf>
    <xf numFmtId="166" fontId="5" fillId="16" borderId="14" xfId="518" applyFont="1" applyFill="1" applyBorder="1" applyAlignment="1">
      <alignment horizontal="left" vertical="top" wrapText="1"/>
    </xf>
    <xf numFmtId="166" fontId="5" fillId="16" borderId="35" xfId="518" applyFont="1" applyFill="1" applyBorder="1" applyAlignment="1">
      <alignment horizontal="left" vertical="top" wrapText="1"/>
    </xf>
    <xf numFmtId="166" fontId="5" fillId="16" borderId="71" xfId="518" applyFont="1" applyFill="1" applyBorder="1" applyAlignment="1">
      <alignment horizontal="left" vertical="top" wrapText="1"/>
    </xf>
    <xf numFmtId="0" fontId="0" fillId="16" borderId="22" xfId="0" applyFont="1" applyFill="1" applyBorder="1" applyAlignment="1">
      <alignment horizontal="left" vertical="top" wrapText="1"/>
    </xf>
    <xf numFmtId="0" fontId="0" fillId="0" borderId="56" xfId="0" applyFill="1" applyBorder="1" applyAlignment="1">
      <alignment horizontal="center" vertical="top"/>
    </xf>
    <xf numFmtId="0" fontId="0" fillId="0" borderId="37" xfId="0" applyFill="1" applyBorder="1" applyAlignment="1">
      <alignment horizontal="center" vertical="top"/>
    </xf>
    <xf numFmtId="0" fontId="0" fillId="0" borderId="65" xfId="0" applyFill="1" applyBorder="1" applyAlignment="1">
      <alignment horizontal="left" vertical="top" wrapText="1"/>
    </xf>
    <xf numFmtId="0" fontId="0" fillId="0" borderId="33" xfId="0" applyFill="1" applyBorder="1" applyAlignment="1">
      <alignment horizontal="left" vertical="top" wrapText="1"/>
    </xf>
    <xf numFmtId="0" fontId="5" fillId="0" borderId="0" xfId="0" applyFont="1" applyFill="1" applyBorder="1" applyAlignment="1">
      <alignment horizontal="center" vertical="top" wrapText="1"/>
    </xf>
    <xf numFmtId="0" fontId="5" fillId="0" borderId="46" xfId="0" applyFont="1" applyFill="1" applyBorder="1" applyAlignment="1">
      <alignment horizontal="center" vertical="top" wrapText="1"/>
    </xf>
    <xf numFmtId="0" fontId="5" fillId="0" borderId="47" xfId="0" applyFont="1" applyFill="1" applyBorder="1" applyAlignment="1">
      <alignment horizontal="left" vertical="top" wrapText="1"/>
    </xf>
    <xf numFmtId="0" fontId="5" fillId="0" borderId="45" xfId="0" applyFont="1" applyFill="1" applyBorder="1" applyAlignment="1">
      <alignment horizontal="left" vertical="top" wrapText="1"/>
    </xf>
    <xf numFmtId="0" fontId="0" fillId="0" borderId="41" xfId="0" applyFill="1" applyBorder="1" applyAlignment="1">
      <alignment horizontal="center" vertical="top"/>
    </xf>
    <xf numFmtId="2" fontId="6" fillId="0" borderId="64" xfId="0" applyNumberFormat="1" applyFont="1" applyFill="1" applyBorder="1" applyAlignment="1">
      <alignment horizontal="center" vertical="center" wrapText="1"/>
    </xf>
    <xf numFmtId="2" fontId="6" fillId="0" borderId="61" xfId="0" applyNumberFormat="1" applyFont="1" applyFill="1" applyBorder="1" applyAlignment="1">
      <alignment horizontal="center" vertical="center" wrapText="1"/>
    </xf>
    <xf numFmtId="2" fontId="6" fillId="0" borderId="62" xfId="0" applyNumberFormat="1" applyFont="1" applyFill="1" applyBorder="1" applyAlignment="1">
      <alignment horizontal="center" vertical="center" wrapText="1"/>
    </xf>
    <xf numFmtId="0" fontId="5" fillId="0" borderId="39" xfId="0" applyFont="1" applyFill="1" applyBorder="1" applyAlignment="1">
      <alignment horizontal="left" vertical="top" wrapText="1"/>
    </xf>
    <xf numFmtId="0" fontId="0" fillId="0" borderId="43" xfId="0" applyFill="1" applyBorder="1" applyAlignment="1">
      <alignment horizontal="center" vertical="top"/>
    </xf>
    <xf numFmtId="0" fontId="0" fillId="0" borderId="36" xfId="0" applyFill="1" applyBorder="1" applyAlignment="1">
      <alignment horizontal="center" vertical="top"/>
    </xf>
    <xf numFmtId="0" fontId="0" fillId="0" borderId="42" xfId="0" applyFill="1" applyBorder="1" applyAlignment="1">
      <alignment horizontal="center" vertical="top"/>
    </xf>
    <xf numFmtId="0" fontId="0" fillId="0" borderId="28" xfId="0" applyFill="1" applyBorder="1" applyAlignment="1">
      <alignment horizontal="left" vertical="top"/>
    </xf>
    <xf numFmtId="0" fontId="0" fillId="0" borderId="10" xfId="0" applyFill="1" applyBorder="1" applyAlignment="1">
      <alignment horizontal="left" vertical="top"/>
    </xf>
    <xf numFmtId="0" fontId="0" fillId="0" borderId="20" xfId="0" applyFill="1" applyBorder="1" applyAlignment="1">
      <alignment horizontal="left" vertical="top"/>
    </xf>
    <xf numFmtId="0" fontId="0" fillId="0" borderId="23" xfId="0" applyFill="1" applyBorder="1" applyAlignment="1">
      <alignment horizontal="left" vertical="top"/>
    </xf>
    <xf numFmtId="0" fontId="0" fillId="0" borderId="29" xfId="0" applyFill="1" applyBorder="1" applyAlignment="1">
      <alignment horizontal="left" vertical="top"/>
    </xf>
    <xf numFmtId="0" fontId="5" fillId="0" borderId="41" xfId="0" applyFont="1" applyFill="1" applyBorder="1" applyAlignment="1">
      <alignment horizontal="center" vertical="top" wrapText="1"/>
    </xf>
    <xf numFmtId="0" fontId="5" fillId="0" borderId="37" xfId="0" applyFont="1" applyFill="1" applyBorder="1" applyAlignment="1">
      <alignment horizontal="center" vertical="top" wrapText="1"/>
    </xf>
    <xf numFmtId="0" fontId="5" fillId="0" borderId="41"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0" fillId="0" borderId="20" xfId="0" applyFont="1" applyFill="1" applyBorder="1" applyAlignment="1">
      <alignment horizontal="left" vertical="top" wrapText="1"/>
    </xf>
    <xf numFmtId="0" fontId="0" fillId="0" borderId="15" xfId="0" applyFont="1" applyFill="1" applyBorder="1" applyAlignment="1">
      <alignment horizontal="center" vertical="top" wrapText="1"/>
    </xf>
    <xf numFmtId="0" fontId="0" fillId="0" borderId="72" xfId="0" applyFont="1" applyFill="1" applyBorder="1" applyAlignment="1">
      <alignment horizontal="center" vertical="top" wrapText="1"/>
    </xf>
    <xf numFmtId="0" fontId="0" fillId="0" borderId="27" xfId="0" applyFont="1" applyFill="1" applyBorder="1" applyAlignment="1">
      <alignment horizontal="center" vertical="top" wrapText="1"/>
    </xf>
    <xf numFmtId="0" fontId="5" fillId="0" borderId="42" xfId="0" applyFont="1" applyFill="1" applyBorder="1" applyAlignment="1">
      <alignment vertical="center" textRotation="90"/>
    </xf>
    <xf numFmtId="0" fontId="5" fillId="0" borderId="43" xfId="0" applyFont="1" applyFill="1" applyBorder="1" applyAlignment="1">
      <alignment vertical="center" textRotation="90"/>
    </xf>
    <xf numFmtId="0" fontId="5" fillId="0" borderId="36" xfId="0" applyFont="1" applyFill="1" applyBorder="1" applyAlignment="1">
      <alignment vertical="center" textRotation="90"/>
    </xf>
    <xf numFmtId="0" fontId="0" fillId="0" borderId="20" xfId="0" applyFont="1" applyFill="1" applyBorder="1" applyAlignment="1">
      <alignment horizontal="left" vertical="top"/>
    </xf>
    <xf numFmtId="0" fontId="0" fillId="0" borderId="18" xfId="0" applyFont="1" applyFill="1" applyBorder="1" applyAlignment="1">
      <alignment horizontal="left" vertical="top"/>
    </xf>
    <xf numFmtId="0" fontId="0" fillId="0" borderId="18" xfId="0" applyFill="1" applyBorder="1" applyAlignment="1">
      <alignment horizontal="left" vertical="top"/>
    </xf>
    <xf numFmtId="0" fontId="5" fillId="0" borderId="39" xfId="0" applyFont="1" applyFill="1" applyBorder="1" applyAlignment="1">
      <alignment horizontal="left" vertical="top"/>
    </xf>
    <xf numFmtId="0" fontId="5" fillId="0" borderId="47" xfId="0" applyFont="1" applyFill="1" applyBorder="1" applyAlignment="1">
      <alignment horizontal="left" vertical="top"/>
    </xf>
    <xf numFmtId="0" fontId="5" fillId="0" borderId="45" xfId="0" applyFont="1" applyFill="1" applyBorder="1" applyAlignment="1">
      <alignment horizontal="left" vertical="top"/>
    </xf>
    <xf numFmtId="0" fontId="0" fillId="0" borderId="18" xfId="0" applyFill="1" applyBorder="1" applyAlignment="1">
      <alignment horizontal="left" vertical="top" wrapText="1"/>
    </xf>
    <xf numFmtId="0" fontId="0" fillId="0" borderId="20" xfId="0" applyFill="1" applyBorder="1" applyAlignment="1">
      <alignment horizontal="left" vertical="top" wrapText="1"/>
    </xf>
    <xf numFmtId="0" fontId="5" fillId="0" borderId="56" xfId="0" applyFont="1" applyFill="1" applyBorder="1" applyAlignment="1">
      <alignment horizontal="center" vertical="top" wrapText="1"/>
    </xf>
    <xf numFmtId="0" fontId="5" fillId="0" borderId="14" xfId="0" applyFont="1" applyFill="1" applyBorder="1" applyAlignment="1">
      <alignment horizontal="left" vertical="top" wrapText="1"/>
    </xf>
    <xf numFmtId="0" fontId="5" fillId="0" borderId="71" xfId="0" applyFont="1" applyFill="1" applyBorder="1" applyAlignment="1">
      <alignment horizontal="left" vertical="top" wrapText="1"/>
    </xf>
    <xf numFmtId="0" fontId="5" fillId="0" borderId="2" xfId="0" applyFont="1" applyFill="1" applyBorder="1" applyAlignment="1">
      <alignment horizontal="center" vertical="top"/>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0" fontId="0" fillId="0" borderId="78" xfId="0" applyFont="1" applyBorder="1" applyAlignment="1">
      <alignment horizontal="left" vertical="top" wrapText="1"/>
    </xf>
    <xf numFmtId="0" fontId="0" fillId="0" borderId="40" xfId="0" applyFont="1" applyBorder="1" applyAlignment="1">
      <alignment horizontal="left" vertical="top" wrapText="1"/>
    </xf>
    <xf numFmtId="0" fontId="0" fillId="0" borderId="79" xfId="0" applyFont="1" applyBorder="1" applyAlignment="1">
      <alignment horizontal="left" vertical="top" wrapText="1"/>
    </xf>
    <xf numFmtId="0" fontId="0" fillId="0" borderId="0" xfId="0" applyFont="1" applyBorder="1" applyAlignment="1">
      <alignment horizontal="left" vertical="top" wrapText="1"/>
    </xf>
    <xf numFmtId="0" fontId="0" fillId="0" borderId="38" xfId="0" applyBorder="1" applyAlignment="1">
      <alignment horizontal="left" vertical="top" wrapText="1"/>
    </xf>
    <xf numFmtId="0" fontId="0" fillId="0" borderId="46" xfId="0" applyBorder="1" applyAlignment="1">
      <alignment horizontal="left" vertical="top" wrapText="1"/>
    </xf>
    <xf numFmtId="0" fontId="5" fillId="0" borderId="39" xfId="0" applyFont="1" applyBorder="1" applyAlignment="1">
      <alignment horizontal="left" vertical="top" wrapText="1"/>
    </xf>
    <xf numFmtId="0" fontId="5" fillId="0" borderId="75" xfId="0" applyFont="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5" fillId="0" borderId="45" xfId="0" applyFont="1" applyBorder="1" applyAlignment="1">
      <alignment horizontal="left" vertical="top" wrapText="1"/>
    </xf>
    <xf numFmtId="0" fontId="5" fillId="0" borderId="77" xfId="0" applyFont="1" applyBorder="1" applyAlignment="1">
      <alignment horizontal="left" vertical="top" wrapText="1"/>
    </xf>
    <xf numFmtId="0" fontId="0" fillId="0" borderId="42" xfId="0" applyBorder="1" applyAlignment="1">
      <alignment horizontal="center" vertical="top"/>
    </xf>
    <xf numFmtId="0" fontId="0" fillId="0" borderId="43" xfId="0" applyBorder="1" applyAlignment="1">
      <alignment horizontal="center" vertical="top"/>
    </xf>
    <xf numFmtId="0" fontId="0" fillId="0" borderId="43" xfId="0" applyBorder="1" applyAlignment="1">
      <alignment horizontal="center" vertical="top" wrapText="1"/>
    </xf>
    <xf numFmtId="0" fontId="0" fillId="0" borderId="36" xfId="0" applyBorder="1" applyAlignment="1">
      <alignment horizontal="center" vertical="top" wrapText="1"/>
    </xf>
    <xf numFmtId="0" fontId="5" fillId="7" borderId="42" xfId="0" applyFont="1" applyFill="1" applyBorder="1" applyAlignment="1">
      <alignment horizontal="center" vertical="center" textRotation="90"/>
    </xf>
    <xf numFmtId="0" fontId="5" fillId="7" borderId="43" xfId="0" applyFont="1" applyFill="1" applyBorder="1" applyAlignment="1">
      <alignment horizontal="center" vertical="center" textRotation="90"/>
    </xf>
    <xf numFmtId="0" fontId="7" fillId="7" borderId="43" xfId="0" applyFont="1" applyFill="1" applyBorder="1" applyAlignment="1">
      <alignment horizontal="center" vertical="center" textRotation="90"/>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36" xfId="0" applyFont="1" applyBorder="1" applyAlignment="1">
      <alignment horizontal="left" vertical="top" wrapText="1"/>
    </xf>
    <xf numFmtId="0" fontId="0" fillId="0" borderId="51" xfId="0" applyBorder="1" applyAlignment="1">
      <alignment horizontal="left" vertical="top"/>
    </xf>
    <xf numFmtId="0" fontId="0" fillId="0" borderId="77" xfId="0" applyBorder="1" applyAlignment="1">
      <alignment horizontal="left" vertical="top"/>
    </xf>
    <xf numFmtId="0" fontId="0" fillId="0" borderId="75" xfId="0" applyBorder="1" applyAlignment="1">
      <alignment horizontal="left" vertical="top"/>
    </xf>
    <xf numFmtId="0" fontId="0" fillId="0" borderId="52" xfId="0" applyBorder="1" applyAlignment="1">
      <alignment horizontal="left" vertical="top"/>
    </xf>
    <xf numFmtId="0" fontId="0" fillId="0" borderId="48" xfId="0" applyBorder="1" applyAlignment="1">
      <alignment horizontal="left" vertical="top"/>
    </xf>
    <xf numFmtId="0" fontId="5" fillId="0" borderId="2" xfId="0" applyFont="1" applyBorder="1" applyAlignment="1">
      <alignment horizontal="left" vertical="top" wrapText="1"/>
    </xf>
    <xf numFmtId="0" fontId="5" fillId="0" borderId="63" xfId="0" applyFont="1" applyBorder="1" applyAlignment="1">
      <alignment horizontal="left" vertical="top" wrapText="1"/>
    </xf>
    <xf numFmtId="0" fontId="0" fillId="0" borderId="57" xfId="0" applyFont="1" applyBorder="1" applyAlignment="1">
      <alignment horizontal="left" vertical="top" wrapText="1"/>
    </xf>
    <xf numFmtId="0" fontId="0" fillId="0" borderId="69" xfId="0" applyFont="1" applyBorder="1" applyAlignment="1">
      <alignment horizontal="left" vertical="top" wrapText="1"/>
    </xf>
    <xf numFmtId="0" fontId="0" fillId="16" borderId="39" xfId="0" applyFont="1" applyFill="1" applyBorder="1" applyAlignment="1">
      <alignment horizontal="left" vertical="top" wrapText="1"/>
    </xf>
    <xf numFmtId="0" fontId="0" fillId="16" borderId="69" xfId="0" applyFont="1" applyFill="1" applyBorder="1" applyAlignment="1">
      <alignment horizontal="left" vertical="top" wrapText="1"/>
    </xf>
    <xf numFmtId="0" fontId="5" fillId="0" borderId="14" xfId="0" applyFont="1" applyBorder="1" applyAlignment="1">
      <alignment horizontal="center" vertical="top" wrapText="1"/>
    </xf>
    <xf numFmtId="0" fontId="5" fillId="0" borderId="35" xfId="0" applyFont="1" applyBorder="1" applyAlignment="1">
      <alignment horizontal="center" vertical="top" wrapText="1"/>
    </xf>
    <xf numFmtId="0" fontId="5" fillId="0" borderId="71" xfId="0" applyFont="1" applyBorder="1" applyAlignment="1">
      <alignment horizontal="center" vertical="top" wrapText="1"/>
    </xf>
    <xf numFmtId="0" fontId="0" fillId="0" borderId="36" xfId="0" applyBorder="1" applyAlignment="1">
      <alignment horizontal="center" vertical="top"/>
    </xf>
    <xf numFmtId="0" fontId="5" fillId="0" borderId="42" xfId="0" applyFont="1" applyBorder="1" applyAlignment="1">
      <alignment horizontal="center" vertical="center" textRotation="90"/>
    </xf>
    <xf numFmtId="0" fontId="5" fillId="0" borderId="43" xfId="0" applyFont="1" applyBorder="1" applyAlignment="1">
      <alignment horizontal="center" vertical="center" textRotation="90"/>
    </xf>
    <xf numFmtId="0" fontId="5" fillId="0" borderId="36" xfId="0" applyFont="1" applyBorder="1" applyAlignment="1">
      <alignment horizontal="center" vertical="center" textRotation="90"/>
    </xf>
    <xf numFmtId="0" fontId="0" fillId="0" borderId="19" xfId="0" applyBorder="1" applyAlignment="1">
      <alignment horizontal="left" vertical="top"/>
    </xf>
    <xf numFmtId="0" fontId="0" fillId="0" borderId="21" xfId="0" applyBorder="1" applyAlignment="1">
      <alignment horizontal="left" vertical="top"/>
    </xf>
    <xf numFmtId="0" fontId="0" fillId="0" borderId="16" xfId="0" applyFont="1" applyBorder="1" applyAlignment="1">
      <alignment horizontal="left" vertical="top"/>
    </xf>
    <xf numFmtId="0" fontId="0" fillId="0" borderId="19" xfId="0" applyFont="1" applyBorder="1" applyAlignment="1">
      <alignment horizontal="left" vertical="top"/>
    </xf>
    <xf numFmtId="0" fontId="0" fillId="0" borderId="16" xfId="0" applyFont="1" applyBorder="1" applyAlignment="1">
      <alignment horizontal="left" vertical="center" wrapText="1"/>
    </xf>
    <xf numFmtId="0" fontId="0" fillId="0" borderId="19" xfId="0" applyFont="1" applyBorder="1" applyAlignment="1">
      <alignment horizontal="left" vertical="center" wrapText="1"/>
    </xf>
    <xf numFmtId="0" fontId="0" fillId="0" borderId="19" xfId="0" applyFont="1" applyFill="1" applyBorder="1" applyAlignment="1">
      <alignment horizontal="left" vertical="center" wrapText="1"/>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71" xfId="0" applyBorder="1" applyAlignment="1">
      <alignment horizontal="center" vertical="center"/>
    </xf>
    <xf numFmtId="0" fontId="0" fillId="0" borderId="43"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0" fontId="0" fillId="0" borderId="42" xfId="0" applyBorder="1" applyAlignment="1">
      <alignment horizontal="center" vertical="center" wrapText="1"/>
    </xf>
    <xf numFmtId="0" fontId="0" fillId="0" borderId="43" xfId="0" applyBorder="1" applyAlignment="1">
      <alignment horizontal="center" vertical="center" wrapText="1"/>
    </xf>
    <xf numFmtId="166" fontId="0" fillId="0" borderId="42" xfId="518" applyFont="1" applyFill="1" applyBorder="1" applyAlignment="1">
      <alignment horizontal="center" vertical="center"/>
    </xf>
    <xf numFmtId="166" fontId="0" fillId="0" borderId="43" xfId="518" applyFont="1" applyFill="1" applyBorder="1" applyAlignment="1">
      <alignment horizontal="center" vertical="center"/>
    </xf>
    <xf numFmtId="0" fontId="0" fillId="0" borderId="42" xfId="0" applyFill="1" applyBorder="1" applyAlignment="1">
      <alignment horizontal="center" vertical="center"/>
    </xf>
    <xf numFmtId="0" fontId="0" fillId="0" borderId="36" xfId="0" applyFill="1" applyBorder="1" applyAlignment="1">
      <alignment horizontal="center" vertical="center"/>
    </xf>
    <xf numFmtId="0" fontId="0" fillId="0" borderId="1" xfId="0" applyFill="1" applyBorder="1" applyAlignment="1">
      <alignment horizontal="left" vertical="top"/>
    </xf>
    <xf numFmtId="0" fontId="0" fillId="0" borderId="22" xfId="0" applyFill="1" applyBorder="1" applyAlignment="1">
      <alignment horizontal="left" vertical="top"/>
    </xf>
    <xf numFmtId="0" fontId="5" fillId="0" borderId="4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6" xfId="0" applyFont="1" applyBorder="1" applyAlignment="1">
      <alignment horizontal="center" vertical="center" wrapText="1"/>
    </xf>
    <xf numFmtId="0" fontId="0" fillId="0" borderId="40" xfId="0" applyBorder="1" applyAlignment="1">
      <alignment horizontal="left" vertical="top" wrapText="1"/>
    </xf>
    <xf numFmtId="0" fontId="0" fillId="0" borderId="0" xfId="0" applyBorder="1" applyAlignment="1">
      <alignment horizontal="left" vertical="top" wrapText="1"/>
    </xf>
    <xf numFmtId="0" fontId="5" fillId="0" borderId="14" xfId="0" applyFont="1" applyBorder="1" applyAlignment="1">
      <alignment horizontal="left" vertical="top" wrapText="1"/>
    </xf>
    <xf numFmtId="0" fontId="5" fillId="0" borderId="35" xfId="0" applyFont="1" applyBorder="1" applyAlignment="1">
      <alignment horizontal="left" vertical="top" wrapText="1"/>
    </xf>
    <xf numFmtId="0" fontId="5" fillId="0" borderId="71" xfId="0" applyFont="1" applyBorder="1" applyAlignment="1">
      <alignment horizontal="left" vertical="top" wrapText="1"/>
    </xf>
    <xf numFmtId="0" fontId="0" fillId="0" borderId="17" xfId="0" applyBorder="1" applyAlignment="1">
      <alignment horizontal="left" vertical="top"/>
    </xf>
    <xf numFmtId="0" fontId="0" fillId="0" borderId="1" xfId="0" applyBorder="1" applyAlignment="1">
      <alignment horizontal="left" vertical="top"/>
    </xf>
    <xf numFmtId="0" fontId="5" fillId="0" borderId="2" xfId="0" applyFont="1" applyBorder="1" applyAlignment="1">
      <alignment horizontal="left" vertical="center" wrapText="1"/>
    </xf>
    <xf numFmtId="0" fontId="5" fillId="0" borderId="63" xfId="0" applyFont="1" applyBorder="1" applyAlignment="1">
      <alignment horizontal="left" vertical="center" wrapText="1"/>
    </xf>
    <xf numFmtId="2" fontId="6" fillId="0" borderId="4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2" fontId="6" fillId="0" borderId="46" xfId="0" applyNumberFormat="1" applyFont="1" applyFill="1" applyBorder="1" applyAlignment="1">
      <alignment horizontal="center" vertical="center" wrapText="1"/>
    </xf>
    <xf numFmtId="0" fontId="0" fillId="0" borderId="17" xfId="0" applyFont="1" applyFill="1" applyBorder="1" applyAlignment="1">
      <alignment horizontal="left" vertical="top" wrapText="1"/>
    </xf>
    <xf numFmtId="0" fontId="5" fillId="0" borderId="40" xfId="0" applyFont="1" applyBorder="1" applyAlignment="1">
      <alignment horizontal="left" vertical="top" wrapText="1"/>
    </xf>
    <xf numFmtId="0" fontId="5" fillId="0" borderId="46" xfId="0" applyFont="1" applyBorder="1" applyAlignment="1">
      <alignment horizontal="left" vertical="top" wrapText="1"/>
    </xf>
    <xf numFmtId="0" fontId="5" fillId="0" borderId="42" xfId="0" applyFont="1" applyFill="1" applyBorder="1" applyAlignment="1">
      <alignment horizontal="center" vertical="center" textRotation="90"/>
    </xf>
    <xf numFmtId="0" fontId="5" fillId="0" borderId="43" xfId="0" applyFont="1" applyFill="1" applyBorder="1" applyAlignment="1">
      <alignment horizontal="center" vertical="center" textRotation="90"/>
    </xf>
    <xf numFmtId="0" fontId="5" fillId="0" borderId="36" xfId="0" applyFont="1" applyFill="1" applyBorder="1" applyAlignment="1">
      <alignment horizontal="center" vertical="center" textRotation="90"/>
    </xf>
    <xf numFmtId="0" fontId="0" fillId="0" borderId="1" xfId="0" applyFont="1" applyFill="1" applyBorder="1" applyAlignment="1">
      <alignment horizontal="left" vertical="top"/>
    </xf>
    <xf numFmtId="0" fontId="0" fillId="0" borderId="17" xfId="0" applyFont="1" applyFill="1" applyBorder="1" applyAlignment="1">
      <alignment horizontal="left" vertical="top"/>
    </xf>
    <xf numFmtId="0" fontId="5" fillId="0" borderId="75" xfId="0" applyFont="1" applyFill="1" applyBorder="1" applyAlignment="1">
      <alignment horizontal="left" vertical="top" wrapText="1"/>
    </xf>
    <xf numFmtId="0" fontId="5" fillId="0" borderId="48" xfId="0" applyFont="1" applyFill="1" applyBorder="1" applyAlignment="1">
      <alignment horizontal="left" vertical="top" wrapText="1"/>
    </xf>
    <xf numFmtId="0" fontId="5" fillId="0" borderId="77" xfId="0" applyFont="1" applyFill="1" applyBorder="1" applyAlignment="1">
      <alignment horizontal="left" vertical="top" wrapText="1"/>
    </xf>
    <xf numFmtId="0" fontId="0" fillId="0" borderId="17" xfId="0" applyFill="1" applyBorder="1" applyAlignment="1">
      <alignment horizontal="left" vertical="top" wrapText="1"/>
    </xf>
    <xf numFmtId="0" fontId="0" fillId="0" borderId="1" xfId="0" applyFill="1" applyBorder="1" applyAlignment="1">
      <alignment horizontal="left" vertical="top" wrapText="1"/>
    </xf>
    <xf numFmtId="166" fontId="5" fillId="0" borderId="39" xfId="518" applyFont="1" applyFill="1" applyBorder="1" applyAlignment="1">
      <alignment horizontal="left" vertical="top" wrapText="1"/>
    </xf>
    <xf numFmtId="166" fontId="5" fillId="0" borderId="75" xfId="518" applyFont="1" applyFill="1" applyBorder="1" applyAlignment="1">
      <alignment horizontal="left" vertical="top" wrapText="1"/>
    </xf>
    <xf numFmtId="166" fontId="5" fillId="0" borderId="47" xfId="518" applyFont="1" applyFill="1" applyBorder="1" applyAlignment="1">
      <alignment horizontal="left" vertical="top" wrapText="1"/>
    </xf>
    <xf numFmtId="166" fontId="5" fillId="0" borderId="48" xfId="518" applyFont="1" applyFill="1" applyBorder="1" applyAlignment="1">
      <alignment horizontal="left" vertical="top" wrapText="1"/>
    </xf>
    <xf numFmtId="166" fontId="5" fillId="0" borderId="45" xfId="518" applyFont="1" applyFill="1" applyBorder="1" applyAlignment="1">
      <alignment horizontal="left" vertical="top" wrapText="1"/>
    </xf>
    <xf numFmtId="166" fontId="5" fillId="0" borderId="77" xfId="518"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63" xfId="0" applyFont="1" applyFill="1" applyBorder="1" applyAlignment="1">
      <alignment horizontal="left" vertical="top" wrapText="1"/>
    </xf>
    <xf numFmtId="0" fontId="0" fillId="0" borderId="28" xfId="0" applyFill="1" applyBorder="1" applyAlignment="1">
      <alignment horizontal="left" vertical="top" wrapText="1"/>
    </xf>
    <xf numFmtId="0" fontId="5" fillId="0" borderId="80"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74" xfId="0" applyFont="1" applyFill="1" applyBorder="1" applyAlignment="1">
      <alignment horizontal="center" vertical="top" wrapText="1"/>
    </xf>
    <xf numFmtId="0" fontId="5" fillId="0" borderId="35" xfId="0" applyFont="1" applyFill="1" applyBorder="1" applyAlignment="1">
      <alignment horizontal="left" vertical="top" wrapText="1"/>
    </xf>
    <xf numFmtId="2" fontId="6" fillId="7" borderId="40" xfId="0" applyNumberFormat="1" applyFont="1" applyFill="1" applyBorder="1" applyAlignment="1">
      <alignment horizontal="center" vertical="center" wrapText="1"/>
    </xf>
    <xf numFmtId="2" fontId="6" fillId="7" borderId="0" xfId="0" applyNumberFormat="1" applyFont="1" applyFill="1" applyBorder="1" applyAlignment="1">
      <alignment horizontal="center" vertical="center" wrapText="1"/>
    </xf>
    <xf numFmtId="2" fontId="6" fillId="7" borderId="46" xfId="0" applyNumberFormat="1" applyFont="1" applyFill="1" applyBorder="1" applyAlignment="1">
      <alignment horizontal="center" vertical="center" wrapText="1"/>
    </xf>
    <xf numFmtId="0" fontId="0" fillId="0" borderId="17" xfId="0" applyFill="1" applyBorder="1" applyAlignment="1">
      <alignment horizontal="left" vertical="top"/>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80" xfId="0" applyFont="1" applyBorder="1" applyAlignment="1">
      <alignment horizontal="left" vertical="top" wrapText="1"/>
    </xf>
    <xf numFmtId="0" fontId="5" fillId="0" borderId="0" xfId="0" applyFont="1" applyBorder="1" applyAlignment="1">
      <alignment horizontal="left" vertical="top" wrapText="1"/>
    </xf>
    <xf numFmtId="0" fontId="0" fillId="0" borderId="5" xfId="0" applyBorder="1" applyAlignment="1">
      <alignment horizontal="left" vertical="top"/>
    </xf>
    <xf numFmtId="0" fontId="5" fillId="0" borderId="16"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4" xfId="0" applyFont="1" applyFill="1" applyBorder="1" applyAlignment="1">
      <alignment horizontal="left" vertical="top" wrapText="1"/>
    </xf>
    <xf numFmtId="0" fontId="0" fillId="16" borderId="17" xfId="0" applyFont="1" applyFill="1" applyBorder="1" applyAlignment="1">
      <alignment horizontal="left" vertical="top" wrapText="1"/>
    </xf>
    <xf numFmtId="0" fontId="5" fillId="0" borderId="17"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5" xfId="0" applyFont="1" applyFill="1" applyBorder="1" applyAlignment="1">
      <alignment horizontal="center" vertical="top" wrapText="1"/>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5" fillId="0" borderId="39" xfId="0" applyFont="1" applyBorder="1" applyAlignment="1">
      <alignment horizontal="center" vertical="center" textRotation="90"/>
    </xf>
    <xf numFmtId="0" fontId="5" fillId="0" borderId="47" xfId="0" applyFont="1" applyBorder="1" applyAlignment="1">
      <alignment horizontal="center" vertical="center" textRotation="90"/>
    </xf>
    <xf numFmtId="0" fontId="5" fillId="0" borderId="45" xfId="0" applyFont="1" applyBorder="1" applyAlignment="1">
      <alignment horizontal="center" vertical="center" textRotation="90"/>
    </xf>
    <xf numFmtId="0" fontId="0" fillId="0" borderId="17" xfId="0" applyFont="1" applyBorder="1" applyAlignment="1">
      <alignment horizontal="left" vertical="top"/>
    </xf>
    <xf numFmtId="0" fontId="0" fillId="0" borderId="1" xfId="0" applyFont="1" applyBorder="1" applyAlignment="1">
      <alignment horizontal="left" vertical="top"/>
    </xf>
    <xf numFmtId="0" fontId="5" fillId="0" borderId="17" xfId="0" applyFont="1" applyBorder="1" applyAlignment="1">
      <alignment horizontal="center" vertical="top" wrapText="1"/>
    </xf>
    <xf numFmtId="0" fontId="5" fillId="0" borderId="1" xfId="0" applyFont="1" applyBorder="1" applyAlignment="1">
      <alignment horizontal="center" vertical="top" wrapText="1"/>
    </xf>
    <xf numFmtId="0" fontId="5" fillId="0" borderId="5" xfId="0" applyFont="1" applyBorder="1" applyAlignment="1">
      <alignment horizontal="center" vertical="top" wrapText="1"/>
    </xf>
    <xf numFmtId="0" fontId="0" fillId="0" borderId="33" xfId="0" applyBorder="1" applyAlignment="1">
      <alignment horizontal="left" vertical="top" wrapText="1"/>
    </xf>
    <xf numFmtId="0" fontId="5" fillId="16" borderId="43" xfId="0" applyFont="1" applyFill="1" applyBorder="1" applyAlignment="1">
      <alignment horizontal="center" vertical="center" textRotation="90"/>
    </xf>
    <xf numFmtId="0" fontId="0" fillId="0" borderId="5"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1" xfId="0" applyFont="1" applyFill="1" applyBorder="1" applyAlignment="1">
      <alignment horizontal="left" vertical="top" wrapText="1"/>
    </xf>
    <xf numFmtId="0" fontId="0" fillId="0" borderId="5" xfId="0" applyFill="1" applyBorder="1" applyAlignment="1">
      <alignment horizontal="left" vertical="top"/>
    </xf>
    <xf numFmtId="0" fontId="5" fillId="0" borderId="16" xfId="0" applyFont="1" applyFill="1" applyBorder="1" applyAlignment="1">
      <alignment horizontal="left" vertical="top"/>
    </xf>
    <xf numFmtId="0" fontId="5" fillId="0" borderId="19" xfId="0" applyFont="1" applyFill="1" applyBorder="1" applyAlignment="1">
      <alignment horizontal="left" vertical="top"/>
    </xf>
    <xf numFmtId="0" fontId="5" fillId="0" borderId="24" xfId="0" applyFont="1" applyFill="1" applyBorder="1" applyAlignment="1">
      <alignment horizontal="left" vertical="top"/>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Border="1" applyAlignment="1">
      <alignment horizontal="center" vertical="top"/>
    </xf>
    <xf numFmtId="0" fontId="5" fillId="0" borderId="16" xfId="0" applyFont="1" applyBorder="1" applyAlignment="1">
      <alignment horizontal="left" vertical="top"/>
    </xf>
    <xf numFmtId="0" fontId="5" fillId="0" borderId="19" xfId="0" applyFont="1" applyBorder="1" applyAlignment="1">
      <alignment horizontal="left" vertical="top"/>
    </xf>
    <xf numFmtId="0" fontId="5" fillId="0" borderId="21" xfId="0" applyFont="1" applyBorder="1" applyAlignment="1">
      <alignment horizontal="left" vertical="top"/>
    </xf>
    <xf numFmtId="0" fontId="0" fillId="0" borderId="22" xfId="0" applyFont="1" applyFill="1" applyBorder="1" applyAlignment="1">
      <alignment horizontal="left" vertical="top" wrapText="1"/>
    </xf>
    <xf numFmtId="0" fontId="5" fillId="0" borderId="26" xfId="0" applyFont="1" applyBorder="1" applyAlignment="1">
      <alignment horizontal="left" vertical="top" wrapText="1"/>
    </xf>
    <xf numFmtId="0" fontId="0" fillId="0" borderId="17" xfId="0" applyFont="1" applyBorder="1" applyAlignment="1">
      <alignment horizontal="center" vertical="top" wrapText="1"/>
    </xf>
    <xf numFmtId="0" fontId="0" fillId="0" borderId="1" xfId="0" applyFont="1" applyBorder="1" applyAlignment="1">
      <alignment horizontal="center" vertical="top" wrapText="1"/>
    </xf>
    <xf numFmtId="0" fontId="0" fillId="0" borderId="22" xfId="0" applyFont="1" applyBorder="1" applyAlignment="1">
      <alignment horizontal="center" vertical="top" wrapText="1"/>
    </xf>
    <xf numFmtId="0" fontId="0" fillId="0" borderId="5" xfId="0" applyFont="1" applyBorder="1" applyAlignment="1">
      <alignment horizontal="left" vertical="top"/>
    </xf>
    <xf numFmtId="0" fontId="5" fillId="0" borderId="24" xfId="0" applyFont="1" applyBorder="1" applyAlignment="1">
      <alignment horizontal="left" vertical="top"/>
    </xf>
    <xf numFmtId="0" fontId="0" fillId="0" borderId="17" xfId="0" applyFont="1" applyBorder="1" applyAlignment="1">
      <alignment horizontal="center" vertical="top"/>
    </xf>
    <xf numFmtId="0" fontId="0" fillId="0" borderId="1" xfId="0" applyFont="1" applyBorder="1" applyAlignment="1">
      <alignment horizontal="center" vertical="top"/>
    </xf>
    <xf numFmtId="0" fontId="0" fillId="0" borderId="5" xfId="0" applyFont="1" applyBorder="1" applyAlignment="1">
      <alignment horizontal="center" vertical="top"/>
    </xf>
    <xf numFmtId="0" fontId="0" fillId="0" borderId="22" xfId="0" applyFont="1" applyBorder="1" applyAlignment="1">
      <alignment horizontal="left" vertical="top"/>
    </xf>
    <xf numFmtId="0" fontId="5" fillId="0" borderId="21" xfId="0" applyFont="1" applyFill="1" applyBorder="1" applyAlignment="1">
      <alignment horizontal="left" vertical="top"/>
    </xf>
    <xf numFmtId="0" fontId="0" fillId="0" borderId="22" xfId="0" applyFont="1" applyFill="1" applyBorder="1" applyAlignment="1">
      <alignment horizontal="left" vertical="top"/>
    </xf>
    <xf numFmtId="0" fontId="5" fillId="0" borderId="14" xfId="0" applyFont="1" applyFill="1" applyBorder="1" applyAlignment="1">
      <alignment horizontal="left" vertical="top"/>
    </xf>
    <xf numFmtId="0" fontId="5" fillId="0" borderId="71" xfId="0" applyFont="1" applyFill="1" applyBorder="1" applyAlignment="1">
      <alignment horizontal="left" vertical="top"/>
    </xf>
    <xf numFmtId="0" fontId="0" fillId="0" borderId="80" xfId="0" applyFont="1" applyFill="1" applyBorder="1" applyAlignment="1">
      <alignment horizontal="center" vertical="top"/>
    </xf>
    <xf numFmtId="0" fontId="0" fillId="0" borderId="9" xfId="0" applyFont="1" applyFill="1" applyBorder="1" applyAlignment="1">
      <alignment horizontal="center" vertical="top"/>
    </xf>
    <xf numFmtId="0" fontId="0" fillId="0" borderId="74" xfId="0" applyFont="1" applyFill="1" applyBorder="1" applyAlignment="1">
      <alignment horizontal="center" vertical="top"/>
    </xf>
    <xf numFmtId="0" fontId="5" fillId="0" borderId="42" xfId="0" applyFont="1" applyBorder="1" applyAlignment="1">
      <alignment horizontal="center" vertical="center" textRotation="89"/>
    </xf>
    <xf numFmtId="0" fontId="5" fillId="0" borderId="43" xfId="0" applyFont="1" applyBorder="1" applyAlignment="1">
      <alignment horizontal="center" vertical="center" textRotation="89"/>
    </xf>
    <xf numFmtId="0" fontId="5" fillId="0" borderId="36" xfId="0" applyFont="1" applyBorder="1" applyAlignment="1">
      <alignment horizontal="center" vertical="center" textRotation="89"/>
    </xf>
    <xf numFmtId="166" fontId="5" fillId="0" borderId="40" xfId="518" applyFont="1" applyFill="1" applyBorder="1" applyAlignment="1">
      <alignment horizontal="left" vertical="top" wrapText="1"/>
    </xf>
    <xf numFmtId="166" fontId="5" fillId="0" borderId="0" xfId="518" applyFont="1" applyFill="1" applyBorder="1" applyAlignment="1">
      <alignment horizontal="left" vertical="top" wrapText="1"/>
    </xf>
    <xf numFmtId="0" fontId="0" fillId="0" borderId="80" xfId="0" applyFont="1" applyBorder="1" applyAlignment="1">
      <alignment horizontal="center" vertical="top" wrapText="1"/>
    </xf>
    <xf numFmtId="0" fontId="0" fillId="0" borderId="9" xfId="0" applyFont="1" applyBorder="1" applyAlignment="1">
      <alignment horizontal="center" vertical="top" wrapText="1"/>
    </xf>
    <xf numFmtId="0" fontId="0" fillId="0" borderId="74" xfId="0" applyFont="1" applyBorder="1" applyAlignment="1">
      <alignment horizontal="center"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xf>
    <xf numFmtId="0" fontId="5" fillId="0" borderId="63" xfId="0" applyFont="1" applyBorder="1" applyAlignment="1">
      <alignment horizontal="left" vertical="top"/>
    </xf>
    <xf numFmtId="0" fontId="0" fillId="0" borderId="80" xfId="0" applyFont="1" applyBorder="1" applyAlignment="1">
      <alignment horizontal="center" vertical="top"/>
    </xf>
    <xf numFmtId="0" fontId="0" fillId="0" borderId="9" xfId="0" applyFont="1" applyBorder="1" applyAlignment="1">
      <alignment horizontal="center" vertical="top"/>
    </xf>
    <xf numFmtId="0" fontId="0" fillId="0" borderId="74" xfId="0" applyFont="1" applyBorder="1" applyAlignment="1">
      <alignment horizontal="center" vertical="top"/>
    </xf>
    <xf numFmtId="0" fontId="0" fillId="0" borderId="80" xfId="0" applyFont="1" applyBorder="1" applyAlignment="1">
      <alignment horizontal="left" vertical="top"/>
    </xf>
    <xf numFmtId="0" fontId="0" fillId="0" borderId="9" xfId="0" applyFont="1" applyBorder="1" applyAlignment="1">
      <alignment horizontal="left" vertical="top"/>
    </xf>
    <xf numFmtId="0" fontId="0" fillId="0" borderId="6" xfId="0" applyFont="1" applyBorder="1" applyAlignment="1">
      <alignment horizontal="left" vertical="top"/>
    </xf>
    <xf numFmtId="0" fontId="5" fillId="0" borderId="17" xfId="0" applyFont="1" applyFill="1" applyBorder="1" applyAlignment="1">
      <alignment horizontal="left" vertical="top" wrapText="1"/>
    </xf>
    <xf numFmtId="0" fontId="5" fillId="0" borderId="22" xfId="0" applyFont="1" applyFill="1" applyBorder="1" applyAlignment="1">
      <alignment horizontal="left" vertical="top" wrapText="1"/>
    </xf>
    <xf numFmtId="0" fontId="0" fillId="0" borderId="5" xfId="0" applyFont="1" applyFill="1" applyBorder="1" applyAlignment="1">
      <alignment horizontal="left" vertical="top" wrapText="1"/>
    </xf>
    <xf numFmtId="0" fontId="5" fillId="0" borderId="17" xfId="0" applyFont="1" applyFill="1" applyBorder="1" applyAlignment="1">
      <alignment horizontal="left" vertical="top"/>
    </xf>
    <xf numFmtId="0" fontId="5" fillId="0" borderId="1" xfId="0" applyFont="1" applyFill="1" applyBorder="1" applyAlignment="1">
      <alignment horizontal="left" vertical="top"/>
    </xf>
    <xf numFmtId="0" fontId="5" fillId="0" borderId="22" xfId="0" applyFont="1" applyFill="1" applyBorder="1" applyAlignment="1">
      <alignment horizontal="left" vertical="top"/>
    </xf>
    <xf numFmtId="0" fontId="5" fillId="0" borderId="7" xfId="0" applyFont="1" applyFill="1" applyBorder="1" applyAlignment="1">
      <alignment horizontal="left" vertical="top" wrapText="1"/>
    </xf>
    <xf numFmtId="0" fontId="5" fillId="0" borderId="53" xfId="0" applyFont="1" applyFill="1" applyBorder="1" applyAlignment="1">
      <alignment horizontal="left" vertical="top" wrapText="1"/>
    </xf>
    <xf numFmtId="0" fontId="5" fillId="0" borderId="35" xfId="0" applyFont="1" applyFill="1" applyBorder="1" applyAlignment="1">
      <alignment horizontal="left" vertical="top"/>
    </xf>
    <xf numFmtId="0" fontId="0" fillId="0" borderId="42" xfId="0" applyFill="1" applyBorder="1" applyAlignment="1">
      <alignment horizontal="center" vertical="center" textRotation="90"/>
    </xf>
    <xf numFmtId="0" fontId="0" fillId="0" borderId="43" xfId="0" applyFill="1" applyBorder="1" applyAlignment="1">
      <alignment horizontal="center" vertical="center" textRotation="90"/>
    </xf>
    <xf numFmtId="0" fontId="0" fillId="0" borderId="36" xfId="0" applyFill="1" applyBorder="1" applyAlignment="1">
      <alignment horizontal="center" vertical="center" textRotation="90"/>
    </xf>
    <xf numFmtId="0" fontId="0" fillId="0" borderId="1" xfId="0" applyBorder="1" applyAlignment="1">
      <alignment horizontal="left" vertical="top" wrapText="1"/>
    </xf>
    <xf numFmtId="0" fontId="0" fillId="0" borderId="22" xfId="0" applyBorder="1" applyAlignment="1">
      <alignment horizontal="left" vertical="top"/>
    </xf>
    <xf numFmtId="0" fontId="5" fillId="0" borderId="7" xfId="0" applyFont="1" applyBorder="1" applyAlignment="1">
      <alignment horizontal="left" vertical="top" wrapText="1"/>
    </xf>
    <xf numFmtId="0" fontId="5" fillId="0" borderId="53" xfId="0" applyFont="1" applyBorder="1" applyAlignment="1">
      <alignment horizontal="left" vertical="top" wrapText="1"/>
    </xf>
    <xf numFmtId="0" fontId="5" fillId="0" borderId="17" xfId="0" applyFont="1" applyBorder="1" applyAlignment="1">
      <alignment horizontal="left" vertical="top"/>
    </xf>
    <xf numFmtId="0" fontId="5" fillId="0" borderId="1" xfId="0" applyFont="1" applyBorder="1" applyAlignment="1">
      <alignment horizontal="left" vertical="top"/>
    </xf>
    <xf numFmtId="0" fontId="5" fillId="0" borderId="22" xfId="0" applyFont="1" applyBorder="1" applyAlignment="1">
      <alignment horizontal="left" vertical="top"/>
    </xf>
    <xf numFmtId="0" fontId="5" fillId="0" borderId="7" xfId="0" applyFont="1" applyBorder="1" applyAlignment="1">
      <alignment horizontal="left"/>
    </xf>
    <xf numFmtId="0" fontId="5" fillId="0" borderId="53" xfId="0" applyFont="1" applyBorder="1" applyAlignment="1">
      <alignment horizontal="left"/>
    </xf>
    <xf numFmtId="0" fontId="0" fillId="16" borderId="17" xfId="0" applyFill="1" applyBorder="1" applyAlignment="1">
      <alignment horizontal="left" vertical="top"/>
    </xf>
    <xf numFmtId="0" fontId="0" fillId="16" borderId="1" xfId="0" applyFill="1" applyBorder="1" applyAlignment="1">
      <alignment horizontal="left" vertical="top"/>
    </xf>
    <xf numFmtId="0" fontId="5" fillId="0" borderId="39" xfId="0" applyFont="1" applyBorder="1" applyAlignment="1">
      <alignment horizontal="left" vertical="top"/>
    </xf>
    <xf numFmtId="0" fontId="5" fillId="0" borderId="40" xfId="0" applyFont="1" applyBorder="1" applyAlignment="1">
      <alignment horizontal="left" vertical="top"/>
    </xf>
    <xf numFmtId="0" fontId="5" fillId="0" borderId="3" xfId="0" applyFont="1" applyBorder="1" applyAlignment="1">
      <alignment horizontal="left" vertical="top"/>
    </xf>
    <xf numFmtId="0" fontId="0" fillId="0" borderId="17" xfId="0" applyFont="1" applyBorder="1" applyAlignment="1">
      <alignment horizontal="left" vertical="top" indent="1"/>
    </xf>
    <xf numFmtId="0" fontId="0" fillId="0" borderId="1" xfId="0" applyFont="1" applyBorder="1" applyAlignment="1">
      <alignment horizontal="left" vertical="top" indent="1"/>
    </xf>
    <xf numFmtId="0" fontId="5" fillId="0" borderId="7" xfId="0" applyFont="1" applyBorder="1" applyAlignment="1">
      <alignment horizontal="left" vertical="top"/>
    </xf>
    <xf numFmtId="0" fontId="5" fillId="0" borderId="53" xfId="0" applyFont="1" applyBorder="1" applyAlignment="1">
      <alignment horizontal="left" vertical="top"/>
    </xf>
    <xf numFmtId="0" fontId="5" fillId="0" borderId="26" xfId="0" applyFont="1" applyBorder="1" applyAlignment="1">
      <alignment horizontal="left" vertical="top"/>
    </xf>
    <xf numFmtId="0" fontId="5" fillId="0" borderId="6" xfId="0" applyFont="1" applyBorder="1" applyAlignment="1">
      <alignment horizontal="left" vertical="top"/>
    </xf>
    <xf numFmtId="0" fontId="0" fillId="0" borderId="17" xfId="0" applyBorder="1" applyAlignment="1">
      <alignment horizontal="left" vertical="top" indent="1"/>
    </xf>
    <xf numFmtId="0" fontId="0" fillId="0" borderId="1" xfId="0" applyBorder="1" applyAlignment="1">
      <alignment horizontal="left" vertical="top" indent="1"/>
    </xf>
    <xf numFmtId="0" fontId="0" fillId="0" borderId="22" xfId="0" applyBorder="1" applyAlignment="1">
      <alignment horizontal="left" vertical="top" indent="1"/>
    </xf>
    <xf numFmtId="0" fontId="5" fillId="7" borderId="0" xfId="0" applyFont="1" applyFill="1" applyBorder="1" applyAlignment="1">
      <alignment horizontal="center" vertical="center" textRotation="90" wrapText="1"/>
    </xf>
    <xf numFmtId="0" fontId="0" fillId="0" borderId="22" xfId="0" applyFont="1" applyBorder="1" applyAlignment="1">
      <alignment horizontal="left" vertical="top" indent="1"/>
    </xf>
    <xf numFmtId="0" fontId="5" fillId="0" borderId="14" xfId="0" applyFont="1" applyBorder="1" applyAlignment="1">
      <alignment horizontal="left" vertical="top"/>
    </xf>
    <xf numFmtId="0" fontId="5" fillId="0" borderId="35" xfId="0" applyFont="1" applyBorder="1" applyAlignment="1">
      <alignment horizontal="left" vertical="top"/>
    </xf>
    <xf numFmtId="0" fontId="5" fillId="0" borderId="71" xfId="0" applyFont="1" applyBorder="1" applyAlignment="1">
      <alignment horizontal="left" vertical="top"/>
    </xf>
    <xf numFmtId="0" fontId="0" fillId="0" borderId="1" xfId="0" applyBorder="1" applyAlignment="1">
      <alignment horizontal="left" indent="1"/>
    </xf>
    <xf numFmtId="0" fontId="0" fillId="0" borderId="22" xfId="0" applyBorder="1" applyAlignment="1">
      <alignment horizontal="left" indent="1"/>
    </xf>
    <xf numFmtId="0" fontId="0" fillId="0" borderId="17" xfId="0" applyFont="1" applyFill="1" applyBorder="1" applyAlignment="1">
      <alignment horizontal="center" vertical="top"/>
    </xf>
    <xf numFmtId="0" fontId="0" fillId="0" borderId="1" xfId="0" applyFont="1" applyFill="1" applyBorder="1" applyAlignment="1">
      <alignment horizontal="center" vertical="top"/>
    </xf>
    <xf numFmtId="0" fontId="7" fillId="0" borderId="16" xfId="0" applyFont="1" applyFill="1" applyBorder="1" applyAlignment="1">
      <alignment vertical="top"/>
    </xf>
    <xf numFmtId="0" fontId="7" fillId="0" borderId="21" xfId="0" applyFont="1" applyFill="1" applyBorder="1" applyAlignment="1">
      <alignment vertical="top"/>
    </xf>
    <xf numFmtId="0" fontId="5" fillId="0" borderId="7" xfId="0" applyFont="1" applyFill="1" applyBorder="1" applyAlignment="1">
      <alignment horizontal="left"/>
    </xf>
    <xf numFmtId="0" fontId="5" fillId="0" borderId="53" xfId="0" applyFont="1" applyFill="1" applyBorder="1" applyAlignment="1">
      <alignment horizontal="left"/>
    </xf>
    <xf numFmtId="0" fontId="5" fillId="0" borderId="40" xfId="0" applyFont="1" applyFill="1" applyBorder="1" applyAlignment="1">
      <alignment horizontal="left" vertical="top"/>
    </xf>
    <xf numFmtId="0" fontId="5" fillId="0" borderId="0" xfId="0" applyFont="1" applyFill="1" applyBorder="1" applyAlignment="1">
      <alignment horizontal="left" vertical="top"/>
    </xf>
    <xf numFmtId="0" fontId="5" fillId="0" borderId="5" xfId="0" applyFont="1" applyFill="1" applyBorder="1" applyAlignment="1">
      <alignment horizontal="left" vertical="top"/>
    </xf>
    <xf numFmtId="0" fontId="7" fillId="0" borderId="16" xfId="0" applyFont="1" applyFill="1" applyBorder="1" applyAlignment="1">
      <alignment horizontal="left" vertical="top"/>
    </xf>
    <xf numFmtId="0" fontId="7" fillId="0" borderId="21" xfId="0" applyFont="1" applyFill="1" applyBorder="1" applyAlignment="1">
      <alignment horizontal="left" vertical="top"/>
    </xf>
    <xf numFmtId="0" fontId="0" fillId="0" borderId="17" xfId="0" applyBorder="1" applyAlignment="1">
      <alignment horizontal="center" vertical="top" wrapText="1"/>
    </xf>
    <xf numFmtId="0" fontId="0" fillId="0" borderId="1" xfId="0" applyBorder="1" applyAlignment="1">
      <alignment horizontal="center" vertical="top" wrapText="1"/>
    </xf>
    <xf numFmtId="0" fontId="5" fillId="0" borderId="46" xfId="0" applyFont="1" applyFill="1" applyBorder="1" applyAlignment="1">
      <alignment horizontal="left" vertical="top"/>
    </xf>
    <xf numFmtId="0" fontId="7" fillId="0" borderId="26" xfId="0" applyFont="1" applyFill="1" applyBorder="1" applyAlignment="1">
      <alignment horizontal="left" vertical="top"/>
    </xf>
    <xf numFmtId="0" fontId="0" fillId="0" borderId="17" xfId="0" applyFill="1" applyBorder="1" applyAlignment="1">
      <alignment horizontal="left" vertical="top" indent="1"/>
    </xf>
    <xf numFmtId="0" fontId="0" fillId="0" borderId="1" xfId="0" applyFill="1" applyBorder="1" applyAlignment="1">
      <alignment horizontal="left" vertical="top" indent="1"/>
    </xf>
    <xf numFmtId="0" fontId="5" fillId="0" borderId="16" xfId="0" applyFont="1" applyFill="1" applyBorder="1" applyAlignment="1">
      <alignment horizontal="center" vertical="top"/>
    </xf>
    <xf numFmtId="0" fontId="5" fillId="0" borderId="19" xfId="0" applyFont="1" applyFill="1" applyBorder="1" applyAlignment="1">
      <alignment horizontal="center" vertical="top"/>
    </xf>
    <xf numFmtId="0" fontId="5" fillId="0" borderId="21" xfId="0" applyFont="1" applyFill="1" applyBorder="1" applyAlignment="1">
      <alignment horizontal="center" vertical="top"/>
    </xf>
    <xf numFmtId="0" fontId="0" fillId="0" borderId="17" xfId="0" applyFont="1" applyFill="1" applyBorder="1" applyAlignment="1">
      <alignment horizontal="left" indent="1"/>
    </xf>
    <xf numFmtId="0" fontId="0" fillId="0" borderId="1" xfId="0" applyFont="1" applyFill="1" applyBorder="1" applyAlignment="1">
      <alignment horizontal="left" indent="1"/>
    </xf>
    <xf numFmtId="0" fontId="0" fillId="0" borderId="1" xfId="0" applyFill="1" applyBorder="1" applyAlignment="1">
      <alignment horizontal="left" indent="1"/>
    </xf>
    <xf numFmtId="0" fontId="5" fillId="0" borderId="26" xfId="0" applyFont="1" applyFill="1" applyBorder="1" applyAlignment="1">
      <alignment horizontal="left" vertical="top"/>
    </xf>
    <xf numFmtId="0" fontId="0" fillId="0" borderId="17" xfId="0" applyFont="1" applyFill="1" applyBorder="1" applyAlignment="1">
      <alignment horizontal="left" vertical="top" indent="1"/>
    </xf>
    <xf numFmtId="0" fontId="0" fillId="0" borderId="1" xfId="0" applyFont="1" applyFill="1" applyBorder="1" applyAlignment="1">
      <alignment horizontal="left" vertical="top" indent="1"/>
    </xf>
    <xf numFmtId="0" fontId="5" fillId="0" borderId="16" xfId="0" applyFont="1" applyBorder="1" applyAlignment="1">
      <alignment horizontal="center" vertical="top"/>
    </xf>
    <xf numFmtId="0" fontId="5" fillId="0" borderId="21" xfId="0" applyFont="1" applyBorder="1" applyAlignment="1">
      <alignment horizontal="center" vertical="top"/>
    </xf>
    <xf numFmtId="0" fontId="5" fillId="0" borderId="9" xfId="0" applyFont="1" applyBorder="1" applyAlignment="1">
      <alignment horizontal="left" vertical="top"/>
    </xf>
    <xf numFmtId="0" fontId="0" fillId="0" borderId="22" xfId="0" applyFont="1" applyBorder="1" applyAlignment="1">
      <alignment horizontal="center" vertical="top"/>
    </xf>
    <xf numFmtId="166" fontId="5" fillId="0" borderId="39" xfId="518" applyFont="1" applyBorder="1" applyAlignment="1">
      <alignment horizontal="left" vertical="top" wrapText="1"/>
    </xf>
    <xf numFmtId="166" fontId="5" fillId="0" borderId="40" xfId="518" applyFont="1" applyBorder="1" applyAlignment="1">
      <alignment horizontal="left" vertical="top"/>
    </xf>
    <xf numFmtId="166" fontId="5" fillId="0" borderId="47" xfId="518" applyFont="1" applyBorder="1" applyAlignment="1">
      <alignment horizontal="left" vertical="top"/>
    </xf>
    <xf numFmtId="166" fontId="5" fillId="0" borderId="0" xfId="518" applyFont="1" applyBorder="1" applyAlignment="1">
      <alignment horizontal="left" vertical="top"/>
    </xf>
    <xf numFmtId="0" fontId="5" fillId="0" borderId="19" xfId="0" applyFont="1" applyBorder="1" applyAlignment="1">
      <alignment horizontal="center" vertical="top"/>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0" fillId="0" borderId="22" xfId="0" applyBorder="1" applyAlignment="1">
      <alignment horizontal="center" vertical="top" wrapText="1"/>
    </xf>
    <xf numFmtId="0" fontId="5" fillId="0" borderId="40" xfId="0" applyFont="1" applyFill="1" applyBorder="1" applyAlignment="1">
      <alignment horizontal="left" vertical="top" wrapText="1"/>
    </xf>
    <xf numFmtId="0" fontId="5" fillId="0" borderId="0" xfId="0" applyFont="1" applyFill="1" applyBorder="1" applyAlignment="1">
      <alignment horizontal="left" vertical="top" wrapText="1"/>
    </xf>
    <xf numFmtId="166" fontId="5" fillId="0" borderId="16" xfId="518" applyFont="1" applyBorder="1" applyAlignment="1">
      <alignment horizontal="left" vertical="top"/>
    </xf>
    <xf numFmtId="166" fontId="5" fillId="0" borderId="19" xfId="518" applyFont="1" applyBorder="1" applyAlignment="1">
      <alignment horizontal="left" vertical="top"/>
    </xf>
    <xf numFmtId="166" fontId="5" fillId="0" borderId="21" xfId="518" applyFont="1" applyBorder="1" applyAlignment="1">
      <alignment horizontal="left" vertical="top"/>
    </xf>
    <xf numFmtId="166" fontId="5" fillId="0" borderId="14" xfId="518" applyFont="1" applyBorder="1" applyAlignment="1">
      <alignment horizontal="left" vertical="top" wrapText="1"/>
    </xf>
    <xf numFmtId="166" fontId="5" fillId="0" borderId="71" xfId="518" applyFont="1" applyBorder="1" applyAlignment="1">
      <alignment horizontal="left" vertical="top" wrapText="1"/>
    </xf>
    <xf numFmtId="0" fontId="5" fillId="0" borderId="7" xfId="0" applyFont="1" applyFill="1" applyBorder="1" applyAlignment="1">
      <alignment horizontal="left" vertical="top"/>
    </xf>
    <xf numFmtId="0" fontId="5" fillId="0" borderId="53" xfId="0" applyFont="1" applyFill="1" applyBorder="1" applyAlignment="1">
      <alignment horizontal="left" vertical="top"/>
    </xf>
    <xf numFmtId="166" fontId="5" fillId="0" borderId="7" xfId="518" applyFont="1" applyBorder="1" applyAlignment="1">
      <alignment horizontal="left" vertical="top" wrapText="1"/>
    </xf>
    <xf numFmtId="166" fontId="5" fillId="0" borderId="53" xfId="518" applyFont="1" applyBorder="1" applyAlignment="1">
      <alignment horizontal="left" vertical="top" wrapText="1"/>
    </xf>
    <xf numFmtId="0" fontId="5" fillId="0" borderId="9" xfId="0" applyFont="1" applyBorder="1" applyAlignment="1">
      <alignment horizontal="left" vertical="top" wrapText="1"/>
    </xf>
    <xf numFmtId="0" fontId="5" fillId="0" borderId="46" xfId="0" applyFont="1" applyFill="1" applyBorder="1" applyAlignment="1">
      <alignment horizontal="left" vertical="top" wrapText="1"/>
    </xf>
    <xf numFmtId="0" fontId="0" fillId="0" borderId="17" xfId="0" applyBorder="1" applyAlignment="1">
      <alignment horizontal="left" indent="1"/>
    </xf>
    <xf numFmtId="0" fontId="5" fillId="0" borderId="47" xfId="0" applyFont="1" applyBorder="1" applyAlignment="1">
      <alignment horizontal="left" vertical="top"/>
    </xf>
    <xf numFmtId="0" fontId="5" fillId="0" borderId="0" xfId="0" applyFont="1" applyBorder="1" applyAlignment="1">
      <alignment horizontal="left" vertical="top"/>
    </xf>
    <xf numFmtId="0" fontId="5" fillId="0" borderId="45" xfId="0" applyFont="1" applyBorder="1" applyAlignment="1">
      <alignment horizontal="left" vertical="top"/>
    </xf>
    <xf numFmtId="0" fontId="5" fillId="0" borderId="46" xfId="0" applyFont="1" applyBorder="1" applyAlignment="1">
      <alignment horizontal="left" vertical="top"/>
    </xf>
  </cellXfs>
  <cellStyles count="519">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Millares" xfId="518" builtinId="3"/>
    <cellStyle name="Moneda" xfId="517" builtinId="4"/>
    <cellStyle name="Normal" xfId="0" builtinId="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s>
  <tableStyles count="0" defaultTableStyle="TableStyleMedium9" defaultPivotStyle="PivotStyleLight16"/>
  <colors>
    <mruColors>
      <color rgb="FFFCF1A2"/>
      <color rgb="FFF9E2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theme" Target="theme/theme1.xml"/><Relationship Id="rId39" Type="http://schemas.openxmlformats.org/officeDocument/2006/relationships/styles" Target="styles.xml"/><Relationship Id="rId40" Type="http://schemas.openxmlformats.org/officeDocument/2006/relationships/sharedStrings" Target="sharedStrings.xml"/><Relationship Id="rId4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4" Type="http://schemas.openxmlformats.org/officeDocument/2006/relationships/image" Target="../media/image5.emf"/><Relationship Id="rId1" Type="http://schemas.openxmlformats.org/officeDocument/2006/relationships/image" Target="../media/image1.png"/><Relationship Id="rId2"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85725</xdr:colOff>
      <xdr:row>0</xdr:row>
      <xdr:rowOff>0</xdr:rowOff>
    </xdr:from>
    <xdr:to>
      <xdr:col>4</xdr:col>
      <xdr:colOff>3093720</xdr:colOff>
      <xdr:row>0</xdr:row>
      <xdr:rowOff>3314</xdr:rowOff>
    </xdr:to>
    <xdr:grpSp>
      <xdr:nvGrpSpPr>
        <xdr:cNvPr id="2" name="Grupo 1"/>
        <xdr:cNvGrpSpPr/>
      </xdr:nvGrpSpPr>
      <xdr:grpSpPr>
        <a:xfrm>
          <a:off x="327025" y="0"/>
          <a:ext cx="9040495"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6011067" y="244015"/>
            <a:ext cx="2601158"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PAGINA</a:t>
            </a:r>
            <a:r>
              <a:rPr lang="es-CL" sz="1100" b="1" baseline="0"/>
              <a:t> INICIO</a:t>
            </a:r>
            <a:endParaRPr lang="es-CL" sz="1100" b="1"/>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5750" y="1714500"/>
          <a:ext cx="9730358"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5750" y="257175"/>
          <a:ext cx="9730358"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56658" y="1718733"/>
          <a:ext cx="8865700"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56658" y="261408"/>
          <a:ext cx="8865700" cy="817173"/>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65125" y="1718733"/>
          <a:ext cx="8865700"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65125" y="261408"/>
          <a:ext cx="8865700" cy="817173"/>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52425" y="1714500"/>
          <a:ext cx="886358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52425" y="257175"/>
          <a:ext cx="886358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29565" y="1717040"/>
          <a:ext cx="888771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29565" y="259715"/>
          <a:ext cx="8887713" cy="81039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23850" y="1702594"/>
          <a:ext cx="9489852"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23850" y="269081"/>
          <a:ext cx="9489852" cy="817702"/>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76225" y="1702594"/>
          <a:ext cx="859688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76225" y="269081"/>
          <a:ext cx="8596883" cy="817702"/>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5750" y="1714500"/>
          <a:ext cx="886358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5750" y="257175"/>
          <a:ext cx="886358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editAs="oneCell">
    <xdr:from>
      <xdr:col>1</xdr:col>
      <xdr:colOff>0</xdr:colOff>
      <xdr:row>92</xdr:row>
      <xdr:rowOff>47625</xdr:rowOff>
    </xdr:from>
    <xdr:to>
      <xdr:col>3</xdr:col>
      <xdr:colOff>1716405</xdr:colOff>
      <xdr:row>114</xdr:row>
      <xdr:rowOff>158115</xdr:rowOff>
    </xdr:to>
    <xdr:pic>
      <xdr:nvPicPr>
        <xdr:cNvPr id="13" name="Imagen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24022050"/>
          <a:ext cx="5945505" cy="409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2076450</xdr:colOff>
      <xdr:row>92</xdr:row>
      <xdr:rowOff>95250</xdr:rowOff>
    </xdr:from>
    <xdr:to>
      <xdr:col>10</xdr:col>
      <xdr:colOff>2266950</xdr:colOff>
      <xdr:row>108</xdr:row>
      <xdr:rowOff>179070</xdr:rowOff>
    </xdr:to>
    <xdr:pic>
      <xdr:nvPicPr>
        <xdr:cNvPr id="14" name="Imagen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05575" y="24069675"/>
          <a:ext cx="5476875" cy="2979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2133600</xdr:colOff>
      <xdr:row>109</xdr:row>
      <xdr:rowOff>114300</xdr:rowOff>
    </xdr:from>
    <xdr:to>
      <xdr:col>10</xdr:col>
      <xdr:colOff>1344930</xdr:colOff>
      <xdr:row>131</xdr:row>
      <xdr:rowOff>17145</xdr:rowOff>
    </xdr:to>
    <xdr:pic>
      <xdr:nvPicPr>
        <xdr:cNvPr id="15" name="Imagen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62725" y="27165300"/>
          <a:ext cx="4497705" cy="388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52425" y="1714500"/>
          <a:ext cx="886358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52425" y="257175"/>
          <a:ext cx="886358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39725" y="1718733"/>
          <a:ext cx="8865700"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39725" y="261408"/>
          <a:ext cx="8865700" cy="817173"/>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107293</xdr:colOff>
      <xdr:row>82</xdr:row>
      <xdr:rowOff>11204</xdr:rowOff>
    </xdr:from>
    <xdr:to>
      <xdr:col>1</xdr:col>
      <xdr:colOff>1108093</xdr:colOff>
      <xdr:row>86</xdr:row>
      <xdr:rowOff>120556</xdr:rowOff>
    </xdr:to>
    <xdr:sp macro="" textlink="">
      <xdr:nvSpPr>
        <xdr:cNvPr id="2" name="Rectángulo 1"/>
        <xdr:cNvSpPr>
          <a:spLocks/>
        </xdr:cNvSpPr>
      </xdr:nvSpPr>
      <xdr:spPr>
        <a:xfrm>
          <a:off x="282553" y="20249924"/>
          <a:ext cx="1000800" cy="1054232"/>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absolute">
    <xdr:from>
      <xdr:col>1</xdr:col>
      <xdr:colOff>217647</xdr:colOff>
      <xdr:row>82</xdr:row>
      <xdr:rowOff>87839</xdr:rowOff>
    </xdr:from>
    <xdr:to>
      <xdr:col>1</xdr:col>
      <xdr:colOff>1002447</xdr:colOff>
      <xdr:row>85</xdr:row>
      <xdr:rowOff>150930</xdr:rowOff>
    </xdr:to>
    <xdr:sp macro="" textlink="">
      <xdr:nvSpPr>
        <xdr:cNvPr id="3" name="Rectángulo 2"/>
        <xdr:cNvSpPr>
          <a:spLocks noChangeAspect="1"/>
        </xdr:cNvSpPr>
      </xdr:nvSpPr>
      <xdr:spPr>
        <a:xfrm>
          <a:off x="392907" y="20326559"/>
          <a:ext cx="784800" cy="771751"/>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absolute">
    <xdr:from>
      <xdr:col>1</xdr:col>
      <xdr:colOff>455208</xdr:colOff>
      <xdr:row>83</xdr:row>
      <xdr:rowOff>63522</xdr:rowOff>
    </xdr:from>
    <xdr:to>
      <xdr:col>1</xdr:col>
      <xdr:colOff>746808</xdr:colOff>
      <xdr:row>84</xdr:row>
      <xdr:rowOff>107314</xdr:rowOff>
    </xdr:to>
    <xdr:sp macro="" textlink="">
      <xdr:nvSpPr>
        <xdr:cNvPr id="4" name="Rectángulo 3"/>
        <xdr:cNvSpPr>
          <a:spLocks noChangeAspect="1"/>
        </xdr:cNvSpPr>
      </xdr:nvSpPr>
      <xdr:spPr>
        <a:xfrm>
          <a:off x="630468" y="20538462"/>
          <a:ext cx="291600" cy="280012"/>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76225" y="1703294"/>
          <a:ext cx="8591280"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76225" y="268381"/>
          <a:ext cx="8591280" cy="810698"/>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76225" y="1714500"/>
          <a:ext cx="8586300"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76225" y="267758"/>
          <a:ext cx="8586300" cy="815056"/>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48958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48958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5" name="Grupo 4"/>
        <xdr:cNvGrpSpPr/>
      </xdr:nvGrpSpPr>
      <xdr:grpSpPr>
        <a:xfrm>
          <a:off x="283845" y="257175"/>
          <a:ext cx="8859773" cy="812939"/>
          <a:chOff x="404669" y="229293"/>
          <a:chExt cx="8207556" cy="784737"/>
        </a:xfrm>
      </xdr:grpSpPr>
      <xdr:pic>
        <xdr:nvPicPr>
          <xdr:cNvPr id="6"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7" name="CuadroTexto 6"/>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53327</xdr:colOff>
      <xdr:row>105</xdr:row>
      <xdr:rowOff>139506</xdr:rowOff>
    </xdr:from>
    <xdr:to>
      <xdr:col>1</xdr:col>
      <xdr:colOff>1219727</xdr:colOff>
      <xdr:row>113</xdr:row>
      <xdr:rowOff>164123</xdr:rowOff>
    </xdr:to>
    <xdr:sp macro="" textlink="">
      <xdr:nvSpPr>
        <xdr:cNvPr id="5" name="Rectángulo 4"/>
        <xdr:cNvSpPr>
          <a:spLocks/>
        </xdr:cNvSpPr>
      </xdr:nvSpPr>
      <xdr:spPr>
        <a:xfrm>
          <a:off x="229173" y="21627906"/>
          <a:ext cx="1166400" cy="11969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absolute">
    <xdr:from>
      <xdr:col>1</xdr:col>
      <xdr:colOff>163681</xdr:colOff>
      <xdr:row>105</xdr:row>
      <xdr:rowOff>217018</xdr:rowOff>
    </xdr:from>
    <xdr:to>
      <xdr:col>1</xdr:col>
      <xdr:colOff>1114081</xdr:colOff>
      <xdr:row>112</xdr:row>
      <xdr:rowOff>203970</xdr:rowOff>
    </xdr:to>
    <xdr:sp macro="" textlink="">
      <xdr:nvSpPr>
        <xdr:cNvPr id="6" name="Rectángulo 5"/>
        <xdr:cNvSpPr>
          <a:spLocks noChangeAspect="1"/>
        </xdr:cNvSpPr>
      </xdr:nvSpPr>
      <xdr:spPr>
        <a:xfrm>
          <a:off x="339527" y="21705418"/>
          <a:ext cx="950400" cy="924798"/>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absolute">
    <xdr:from>
      <xdr:col>1</xdr:col>
      <xdr:colOff>447454</xdr:colOff>
      <xdr:row>105</xdr:row>
      <xdr:rowOff>216143</xdr:rowOff>
    </xdr:from>
    <xdr:to>
      <xdr:col>1</xdr:col>
      <xdr:colOff>857854</xdr:colOff>
      <xdr:row>107</xdr:row>
      <xdr:rowOff>144820</xdr:rowOff>
    </xdr:to>
    <xdr:sp macro="" textlink="">
      <xdr:nvSpPr>
        <xdr:cNvPr id="7" name="Rectángulo 6"/>
        <xdr:cNvSpPr>
          <a:spLocks noChangeAspect="1"/>
        </xdr:cNvSpPr>
      </xdr:nvSpPr>
      <xdr:spPr>
        <a:xfrm>
          <a:off x="623300" y="21704543"/>
          <a:ext cx="410400" cy="3976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absolute">
    <xdr:from>
      <xdr:col>1</xdr:col>
      <xdr:colOff>446580</xdr:colOff>
      <xdr:row>107</xdr:row>
      <xdr:rowOff>138631</xdr:rowOff>
    </xdr:from>
    <xdr:to>
      <xdr:col>1</xdr:col>
      <xdr:colOff>860580</xdr:colOff>
      <xdr:row>112</xdr:row>
      <xdr:rowOff>75286</xdr:rowOff>
    </xdr:to>
    <xdr:sp macro="" textlink="">
      <xdr:nvSpPr>
        <xdr:cNvPr id="8" name="Rectángulo 7"/>
        <xdr:cNvSpPr>
          <a:spLocks noChangeAspect="1"/>
        </xdr:cNvSpPr>
      </xdr:nvSpPr>
      <xdr:spPr>
        <a:xfrm>
          <a:off x="622426" y="22095954"/>
          <a:ext cx="414000" cy="405578"/>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82905" y="169926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82905" y="24955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6860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6860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314325" y="1718733"/>
          <a:ext cx="8865700"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314325" y="261408"/>
          <a:ext cx="8865700" cy="817173"/>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424392" y="1718733"/>
          <a:ext cx="936523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424392" y="261408"/>
          <a:ext cx="9365233" cy="817173"/>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3845" y="1706880"/>
          <a:ext cx="885977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3845" y="257175"/>
          <a:ext cx="8859773"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1</xdr:row>
      <xdr:rowOff>66675</xdr:rowOff>
    </xdr:from>
    <xdr:to>
      <xdr:col>8</xdr:col>
      <xdr:colOff>205358</xdr:colOff>
      <xdr:row>2</xdr:row>
      <xdr:rowOff>3314</xdr:rowOff>
    </xdr:to>
    <xdr:grpSp>
      <xdr:nvGrpSpPr>
        <xdr:cNvPr id="5" name="Grupo 4"/>
        <xdr:cNvGrpSpPr/>
      </xdr:nvGrpSpPr>
      <xdr:grpSpPr>
        <a:xfrm>
          <a:off x="276225" y="221456"/>
          <a:ext cx="9061227" cy="817702"/>
          <a:chOff x="404669" y="229293"/>
          <a:chExt cx="8207556" cy="784737"/>
        </a:xfrm>
      </xdr:grpSpPr>
      <xdr:pic>
        <xdr:nvPicPr>
          <xdr:cNvPr id="6"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7" name="CuadroTexto 6"/>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1</xdr:row>
      <xdr:rowOff>66675</xdr:rowOff>
    </xdr:from>
    <xdr:to>
      <xdr:col>8</xdr:col>
      <xdr:colOff>205358</xdr:colOff>
      <xdr:row>1</xdr:row>
      <xdr:rowOff>849134</xdr:rowOff>
    </xdr:to>
    <xdr:grpSp>
      <xdr:nvGrpSpPr>
        <xdr:cNvPr id="2" name="Grupo 1"/>
        <xdr:cNvGrpSpPr/>
      </xdr:nvGrpSpPr>
      <xdr:grpSpPr>
        <a:xfrm>
          <a:off x="300038" y="221456"/>
          <a:ext cx="8906445" cy="782459"/>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76225" y="1702594"/>
          <a:ext cx="8596883"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11" name="Grupo 10"/>
        <xdr:cNvGrpSpPr/>
      </xdr:nvGrpSpPr>
      <xdr:grpSpPr>
        <a:xfrm>
          <a:off x="276225" y="269081"/>
          <a:ext cx="8596883" cy="817702"/>
          <a:chOff x="404669" y="229293"/>
          <a:chExt cx="8207556" cy="784737"/>
        </a:xfrm>
      </xdr:grpSpPr>
      <xdr:pic>
        <xdr:nvPicPr>
          <xdr:cNvPr id="12" name="Imagen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3" name="CuadroTexto 12"/>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76225" y="1702594"/>
          <a:ext cx="9442227"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76225" y="269081"/>
          <a:ext cx="9442227" cy="817702"/>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76225" y="1607344"/>
          <a:ext cx="9442227"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76225" y="173831"/>
          <a:ext cx="9442227" cy="817702"/>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4</xdr:row>
      <xdr:rowOff>0</xdr:rowOff>
    </xdr:from>
    <xdr:to>
      <xdr:col>8</xdr:col>
      <xdr:colOff>205358</xdr:colOff>
      <xdr:row>4</xdr:row>
      <xdr:rowOff>3314</xdr:rowOff>
    </xdr:to>
    <xdr:grpSp>
      <xdr:nvGrpSpPr>
        <xdr:cNvPr id="2" name="Grupo 1"/>
        <xdr:cNvGrpSpPr/>
      </xdr:nvGrpSpPr>
      <xdr:grpSpPr>
        <a:xfrm>
          <a:off x="285750" y="1714500"/>
          <a:ext cx="9082658" cy="3314"/>
          <a:chOff x="404669" y="229293"/>
          <a:chExt cx="8207556" cy="784737"/>
        </a:xfrm>
      </xdr:grpSpPr>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4" name="CuadroTexto 3"/>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twoCellAnchor>
    <xdr:from>
      <xdr:col>1</xdr:col>
      <xdr:colOff>85725</xdr:colOff>
      <xdr:row>1</xdr:row>
      <xdr:rowOff>66675</xdr:rowOff>
    </xdr:from>
    <xdr:to>
      <xdr:col>8</xdr:col>
      <xdr:colOff>205358</xdr:colOff>
      <xdr:row>2</xdr:row>
      <xdr:rowOff>3314</xdr:rowOff>
    </xdr:to>
    <xdr:grpSp>
      <xdr:nvGrpSpPr>
        <xdr:cNvPr id="8" name="Grupo 7"/>
        <xdr:cNvGrpSpPr/>
      </xdr:nvGrpSpPr>
      <xdr:grpSpPr>
        <a:xfrm>
          <a:off x="285750" y="257175"/>
          <a:ext cx="9082658" cy="812939"/>
          <a:chOff x="404669" y="229293"/>
          <a:chExt cx="8207556" cy="784737"/>
        </a:xfrm>
      </xdr:grpSpPr>
      <xdr:pic>
        <xdr:nvPicPr>
          <xdr:cNvPr id="9" name="Imagen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0" t="9919" r="6880" b="12800"/>
          <a:stretch/>
        </xdr:blipFill>
        <xdr:spPr>
          <a:xfrm>
            <a:off x="404669" y="229293"/>
            <a:ext cx="865270" cy="784737"/>
          </a:xfrm>
          <a:prstGeom prst="rect">
            <a:avLst/>
          </a:prstGeom>
        </xdr:spPr>
      </xdr:pic>
      <xdr:sp macro="" textlink="">
        <xdr:nvSpPr>
          <xdr:cNvPr id="10" name="CuadroTexto 9"/>
          <xdr:cNvSpPr txBox="1"/>
        </xdr:nvSpPr>
        <xdr:spPr>
          <a:xfrm>
            <a:off x="5407586" y="244015"/>
            <a:ext cx="3204639" cy="719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900"/>
              <a:t>META PRESIDENCIAL                                                                                                                                                                                                                                                        </a:t>
            </a:r>
            <a:r>
              <a:rPr lang="es-CL" sz="1100" b="1"/>
              <a:t>Construcción de Salas Cuna                                                                                                                                                                                                                         </a:t>
            </a:r>
            <a:r>
              <a:rPr lang="es-CL" sz="900"/>
              <a:t>JUNTA NACIONAL DE JARDINES INFANTILES                                                                                                                                                                                                      </a:t>
            </a:r>
            <a:r>
              <a:rPr lang="es-CL" sz="1100" b="1"/>
              <a:t>CARACTERIZACIÓN</a:t>
            </a:r>
            <a:r>
              <a:rPr lang="es-CL" sz="1100" b="1" baseline="0"/>
              <a:t> DE RECINTOS</a:t>
            </a:r>
            <a:endParaRPr lang="es-CL" sz="1100" b="1"/>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dimension ref="A1:U49"/>
  <sheetViews>
    <sheetView workbookViewId="0">
      <selection activeCell="D15" sqref="D15"/>
    </sheetView>
  </sheetViews>
  <sheetFormatPr baseColWidth="10" defaultRowHeight="14" x14ac:dyDescent="0"/>
  <cols>
    <col min="1" max="1" width="3.1640625" customWidth="1"/>
    <col min="2" max="2" width="35.6640625" customWidth="1"/>
    <col min="3" max="3" width="4.5" customWidth="1"/>
    <col min="4" max="4" width="39" customWidth="1"/>
    <col min="5" max="5" width="44.83203125" customWidth="1"/>
    <col min="6" max="6" width="29.6640625" hidden="1" customWidth="1"/>
    <col min="7" max="7" width="3" hidden="1" customWidth="1"/>
    <col min="8" max="10" width="11.5" hidden="1" customWidth="1"/>
    <col min="11" max="11" width="34.6640625" hidden="1" customWidth="1"/>
    <col min="12" max="13" width="11.5" hidden="1" customWidth="1"/>
    <col min="14" max="14" width="36.1640625" hidden="1" customWidth="1"/>
    <col min="15" max="21" width="11.5" hidden="1" customWidth="1"/>
    <col min="22" max="37" width="11.5" customWidth="1"/>
  </cols>
  <sheetData>
    <row r="1" spans="1:14">
      <c r="B1" s="68" t="s">
        <v>83</v>
      </c>
    </row>
    <row r="2" spans="1:14" ht="15" thickBot="1">
      <c r="A2" s="2"/>
      <c r="B2" s="4"/>
      <c r="C2" s="4"/>
      <c r="D2" s="1495" t="s">
        <v>1519</v>
      </c>
      <c r="E2" s="4"/>
      <c r="F2" s="4"/>
      <c r="G2" s="2"/>
      <c r="H2" s="54"/>
      <c r="I2" s="54"/>
      <c r="J2" s="54"/>
      <c r="K2" s="24"/>
      <c r="L2" s="23"/>
      <c r="M2" s="2"/>
      <c r="N2" s="2"/>
    </row>
    <row r="3" spans="1:14" ht="15" thickBot="1">
      <c r="A3" s="2"/>
      <c r="B3" s="48" t="s">
        <v>16</v>
      </c>
      <c r="C3" s="49"/>
      <c r="D3" s="1491" t="s">
        <v>22</v>
      </c>
      <c r="E3" s="36" t="s">
        <v>1518</v>
      </c>
      <c r="H3" s="54"/>
      <c r="I3" s="54"/>
      <c r="J3" s="54"/>
      <c r="K3" s="24"/>
      <c r="L3" s="23"/>
      <c r="M3" s="2"/>
      <c r="N3" s="2"/>
    </row>
    <row r="4" spans="1:14" ht="15" thickBot="1">
      <c r="A4" s="2"/>
      <c r="B4" s="214" t="s">
        <v>13</v>
      </c>
      <c r="C4" s="353"/>
      <c r="D4" s="1491">
        <v>2</v>
      </c>
      <c r="E4" s="35" t="s">
        <v>1552</v>
      </c>
      <c r="H4" s="54"/>
      <c r="I4" s="54"/>
      <c r="J4" s="54"/>
      <c r="K4" s="24"/>
      <c r="L4" s="23"/>
      <c r="M4" s="2"/>
      <c r="N4" s="27">
        <v>20</v>
      </c>
    </row>
    <row r="5" spans="1:14" ht="15" thickBot="1">
      <c r="A5" s="2"/>
      <c r="B5" s="214" t="s">
        <v>14</v>
      </c>
      <c r="C5" s="353"/>
      <c r="D5" s="1491">
        <v>4</v>
      </c>
      <c r="E5" s="35" t="s">
        <v>1553</v>
      </c>
      <c r="H5" s="54"/>
      <c r="I5" s="54"/>
      <c r="J5" s="54"/>
      <c r="K5" s="24"/>
      <c r="L5" s="23"/>
      <c r="M5" s="2"/>
      <c r="N5" s="27">
        <v>28</v>
      </c>
    </row>
    <row r="6" spans="1:14" ht="15" thickBot="1">
      <c r="A6" s="2"/>
      <c r="B6" s="214" t="s">
        <v>1509</v>
      </c>
      <c r="C6" s="353"/>
      <c r="D6" s="1513" t="s">
        <v>1511</v>
      </c>
      <c r="E6" s="36" t="s">
        <v>1517</v>
      </c>
      <c r="F6" s="1445">
        <f>+IF(D6=N29,0,IF(D6=N30,1,IF(D6=N31,"2P","ERROR")))</f>
        <v>0</v>
      </c>
      <c r="H6" s="54"/>
      <c r="I6" s="54"/>
      <c r="J6" s="54"/>
      <c r="K6" s="24"/>
      <c r="L6" s="23"/>
      <c r="M6" s="2"/>
    </row>
    <row r="7" spans="1:14" ht="114.5" customHeight="1" thickBot="1">
      <c r="A7" s="2"/>
      <c r="B7" s="1580" t="str">
        <f>+IF(F6=0,O29,IF(F6=1,K30,IF(F6="2P",K31, 0)))</f>
        <v xml:space="preserve">PROGRAMA ARQUITECTÓNICO META </v>
      </c>
      <c r="C7" s="1579"/>
      <c r="D7" s="1494" t="str">
        <f>+IF(D6=N29,"-",IF(D6=N30,O30,IF(D6=N31,O31,IF(D6=N32,O32,IF(D6=N33,O33,"-")))))</f>
        <v>-</v>
      </c>
      <c r="H7" s="54"/>
      <c r="I7" s="54"/>
      <c r="J7" s="54"/>
      <c r="K7" s="24"/>
      <c r="L7" s="23"/>
      <c r="M7" s="2"/>
    </row>
    <row r="8" spans="1:14" ht="19" thickBot="1">
      <c r="A8" s="2"/>
      <c r="B8" s="1492" t="s">
        <v>1556</v>
      </c>
      <c r="C8" s="1493"/>
      <c r="D8" s="1496">
        <f>+'PROGRAMA ARQ.'!I100</f>
        <v>1590.0543098583146</v>
      </c>
      <c r="E8" s="4"/>
      <c r="H8" s="54"/>
      <c r="I8" s="54"/>
      <c r="J8" s="54"/>
      <c r="K8" s="24"/>
      <c r="L8" s="23"/>
      <c r="M8" s="2"/>
      <c r="N8" s="2"/>
    </row>
    <row r="9" spans="1:14" ht="15" thickBot="1">
      <c r="A9" s="2"/>
      <c r="B9" s="19"/>
      <c r="C9" s="1433"/>
      <c r="D9" s="35"/>
      <c r="E9" s="6"/>
      <c r="H9" s="54"/>
      <c r="I9" s="54"/>
      <c r="J9" s="54"/>
      <c r="K9" s="24"/>
      <c r="L9" s="23"/>
      <c r="M9" s="2"/>
      <c r="N9" s="2" t="s">
        <v>18</v>
      </c>
    </row>
    <row r="10" spans="1:14" ht="15" thickBot="1">
      <c r="A10" s="2"/>
      <c r="B10" s="65" t="s">
        <v>15</v>
      </c>
      <c r="C10" s="72">
        <f>+(D4*N4)+(D5*N5)</f>
        <v>152</v>
      </c>
      <c r="E10" s="6"/>
      <c r="H10" s="54"/>
      <c r="I10" s="54">
        <f>+D4*20</f>
        <v>40</v>
      </c>
      <c r="J10" s="54">
        <f>+IF(C12&lt;20,60,C12*3)</f>
        <v>120</v>
      </c>
      <c r="K10" s="24"/>
      <c r="L10" s="23"/>
      <c r="M10" s="2"/>
      <c r="N10" s="2" t="s">
        <v>17</v>
      </c>
    </row>
    <row r="11" spans="1:14" ht="15" thickBot="1">
      <c r="A11" s="2"/>
      <c r="B11" s="47" t="s">
        <v>58</v>
      </c>
      <c r="C11" s="42">
        <f>+D4+D5</f>
        <v>6</v>
      </c>
      <c r="D11" s="6"/>
      <c r="E11" s="6"/>
      <c r="H11" s="54"/>
      <c r="I11" s="54">
        <f>+IF(D5=1,90,IF(D5=0,0,3*C13))</f>
        <v>336</v>
      </c>
      <c r="J11" s="54">
        <f>+IF(D5=1,90,IF(D5=0,0,3*C13))</f>
        <v>336</v>
      </c>
      <c r="K11" s="24"/>
      <c r="L11" s="23"/>
      <c r="M11" s="2"/>
      <c r="N11" s="2" t="s">
        <v>19</v>
      </c>
    </row>
    <row r="12" spans="1:14">
      <c r="A12" s="2"/>
      <c r="B12" s="46" t="s">
        <v>59</v>
      </c>
      <c r="C12" s="73">
        <f>+D4*N4</f>
        <v>40</v>
      </c>
      <c r="H12" s="54"/>
      <c r="I12" s="54"/>
      <c r="J12" s="54"/>
      <c r="K12" s="24"/>
      <c r="L12" s="23"/>
      <c r="M12" s="2"/>
      <c r="N12" s="2" t="s">
        <v>20</v>
      </c>
    </row>
    <row r="13" spans="1:14" ht="15" thickBot="1">
      <c r="A13" s="2"/>
      <c r="B13" s="39" t="s">
        <v>60</v>
      </c>
      <c r="C13" s="74">
        <f>+D5*N5</f>
        <v>112</v>
      </c>
      <c r="H13" s="54"/>
      <c r="I13" s="54"/>
      <c r="J13" s="54"/>
      <c r="K13" s="24"/>
      <c r="L13" s="23"/>
      <c r="M13" s="2"/>
      <c r="N13" s="2" t="s">
        <v>21</v>
      </c>
    </row>
    <row r="14" spans="1:14">
      <c r="A14" s="2"/>
      <c r="B14" s="40" t="s">
        <v>66</v>
      </c>
      <c r="C14" s="75">
        <f>+D4</f>
        <v>2</v>
      </c>
      <c r="H14" s="54"/>
      <c r="I14" s="54"/>
      <c r="J14" s="54"/>
      <c r="K14" s="2"/>
      <c r="L14" s="2"/>
      <c r="M14" s="2"/>
      <c r="N14" s="2" t="s">
        <v>22</v>
      </c>
    </row>
    <row r="15" spans="1:14" ht="15" thickBot="1">
      <c r="A15" s="2"/>
      <c r="B15" s="41" t="s">
        <v>65</v>
      </c>
      <c r="C15" s="76">
        <f>+D4*3</f>
        <v>6</v>
      </c>
      <c r="F15">
        <f>+IF(C12&gt;0,1,0)</f>
        <v>1</v>
      </c>
      <c r="G15" s="2"/>
      <c r="H15" s="54"/>
      <c r="I15" s="54"/>
      <c r="J15" s="54"/>
      <c r="K15" s="24"/>
      <c r="L15" s="23"/>
      <c r="M15" s="2"/>
      <c r="N15" s="2" t="s">
        <v>23</v>
      </c>
    </row>
    <row r="16" spans="1:14">
      <c r="A16" s="2"/>
      <c r="B16" s="40" t="s">
        <v>67</v>
      </c>
      <c r="C16" s="75">
        <f>+D5</f>
        <v>4</v>
      </c>
      <c r="F16">
        <f>+IF(C13&gt;0,1,0)</f>
        <v>1</v>
      </c>
      <c r="G16" s="2"/>
      <c r="H16" s="54"/>
      <c r="I16" s="54"/>
      <c r="J16" s="54"/>
      <c r="K16" s="24"/>
      <c r="L16" s="23"/>
      <c r="M16" s="2"/>
      <c r="N16" s="2" t="s">
        <v>24</v>
      </c>
    </row>
    <row r="17" spans="1:15" ht="15" thickBot="1">
      <c r="A17" s="2"/>
      <c r="B17" s="41" t="s">
        <v>68</v>
      </c>
      <c r="C17" s="76">
        <f>+D5*2</f>
        <v>8</v>
      </c>
      <c r="G17" s="2"/>
      <c r="H17" s="54"/>
      <c r="I17" s="54"/>
      <c r="J17" s="54"/>
      <c r="K17" s="24"/>
      <c r="L17" s="23"/>
      <c r="M17" s="2"/>
      <c r="N17" s="2" t="s">
        <v>25</v>
      </c>
    </row>
    <row r="18" spans="1:15" ht="15" thickBot="1">
      <c r="A18" s="2"/>
      <c r="B18" s="43" t="s">
        <v>64</v>
      </c>
      <c r="C18" s="77">
        <v>1</v>
      </c>
      <c r="G18" s="2"/>
      <c r="H18" s="54"/>
      <c r="I18" s="54"/>
      <c r="J18" s="54"/>
      <c r="K18" s="24"/>
      <c r="L18" s="23"/>
      <c r="M18" s="2"/>
      <c r="N18" s="2" t="s">
        <v>26</v>
      </c>
    </row>
    <row r="19" spans="1:15" ht="15" thickBot="1">
      <c r="A19" s="2"/>
      <c r="B19" s="48" t="s">
        <v>69</v>
      </c>
      <c r="C19" s="42">
        <f>SUM(C14:C18)</f>
        <v>21</v>
      </c>
      <c r="G19" s="2"/>
      <c r="H19" s="54"/>
      <c r="I19" s="54"/>
      <c r="J19" s="54"/>
      <c r="K19" s="24"/>
      <c r="L19" s="23"/>
      <c r="M19" s="2"/>
      <c r="N19" s="2" t="s">
        <v>27</v>
      </c>
    </row>
    <row r="20" spans="1:15">
      <c r="A20" s="2"/>
      <c r="B20" s="62" t="s">
        <v>71</v>
      </c>
      <c r="C20" s="78">
        <f>ROUNDUP(+$C$12/40,0)</f>
        <v>1</v>
      </c>
      <c r="G20" s="2"/>
      <c r="H20" s="54"/>
      <c r="I20" s="54"/>
      <c r="J20" s="54"/>
      <c r="K20" s="24"/>
      <c r="L20" s="23"/>
      <c r="M20" s="2"/>
      <c r="N20" s="2" t="s">
        <v>28</v>
      </c>
    </row>
    <row r="21" spans="1:15">
      <c r="A21" s="2"/>
      <c r="B21" s="63" t="s">
        <v>72</v>
      </c>
      <c r="C21" s="79">
        <f>ROUNDUP(+$C$13/70,0)</f>
        <v>2</v>
      </c>
      <c r="G21" s="2"/>
      <c r="H21" s="54"/>
      <c r="I21" s="54"/>
      <c r="J21" s="54"/>
      <c r="K21" s="24"/>
      <c r="L21" s="23"/>
      <c r="M21" s="2"/>
      <c r="N21" s="2" t="s">
        <v>29</v>
      </c>
    </row>
    <row r="22" spans="1:15" ht="15" thickBot="1">
      <c r="A22" s="2"/>
      <c r="B22" s="64" t="s">
        <v>73</v>
      </c>
      <c r="C22" s="74">
        <f>IF(D4=0,1,IF(D5=0,1,IF(D4+D5&gt;=2,2,0)))</f>
        <v>2</v>
      </c>
      <c r="G22" s="2"/>
      <c r="H22" s="54"/>
      <c r="I22" s="54"/>
      <c r="J22" s="54"/>
      <c r="K22" s="24"/>
      <c r="L22" s="23"/>
      <c r="M22" s="2"/>
      <c r="N22" s="2" t="s">
        <v>30</v>
      </c>
    </row>
    <row r="23" spans="1:15" ht="15" thickBot="1">
      <c r="A23" s="2"/>
      <c r="B23" s="61" t="s">
        <v>74</v>
      </c>
      <c r="C23" s="80">
        <f>+C22+C21+C20+C19</f>
        <v>26</v>
      </c>
      <c r="G23" s="2"/>
      <c r="H23" s="54"/>
      <c r="I23" s="54"/>
      <c r="J23" s="54"/>
      <c r="K23" s="24"/>
      <c r="L23" s="23"/>
      <c r="M23" s="2"/>
      <c r="N23" s="2" t="s">
        <v>31</v>
      </c>
    </row>
    <row r="24" spans="1:15">
      <c r="A24" s="2"/>
      <c r="G24" s="2"/>
      <c r="H24" s="54"/>
      <c r="I24" s="54"/>
      <c r="J24" s="54"/>
      <c r="K24" s="24"/>
      <c r="L24" s="23"/>
      <c r="M24" s="2"/>
      <c r="N24" s="2">
        <v>0</v>
      </c>
    </row>
    <row r="25" spans="1:15">
      <c r="A25" s="2"/>
      <c r="G25" s="2"/>
      <c r="H25" s="54"/>
      <c r="I25" s="54"/>
      <c r="J25" s="54"/>
      <c r="K25" s="24"/>
      <c r="L25" s="23"/>
      <c r="M25" s="2"/>
      <c r="N25" s="2">
        <v>1</v>
      </c>
    </row>
    <row r="26" spans="1:15">
      <c r="A26" s="2"/>
      <c r="G26" s="2"/>
      <c r="H26" s="54"/>
      <c r="I26" s="54"/>
      <c r="J26" s="54"/>
      <c r="K26" s="24"/>
      <c r="L26" s="23"/>
      <c r="M26" s="2"/>
      <c r="N26" s="2">
        <v>2</v>
      </c>
    </row>
    <row r="27" spans="1:15">
      <c r="A27" s="2"/>
      <c r="B27" s="66"/>
      <c r="C27" s="67"/>
      <c r="G27" s="2"/>
      <c r="H27" s="54"/>
      <c r="I27" s="54"/>
      <c r="J27" s="54"/>
      <c r="K27" s="24"/>
      <c r="L27" s="23"/>
      <c r="M27" s="2"/>
      <c r="N27" s="2">
        <v>3</v>
      </c>
    </row>
    <row r="28" spans="1:15">
      <c r="A28" s="2"/>
      <c r="B28" s="66"/>
      <c r="C28" s="67"/>
      <c r="G28" s="2"/>
      <c r="H28" s="54"/>
      <c r="I28" s="54"/>
      <c r="J28" s="54"/>
      <c r="N28" s="2">
        <v>4</v>
      </c>
    </row>
    <row r="29" spans="1:15">
      <c r="A29" s="2"/>
      <c r="B29" s="66"/>
      <c r="C29" s="67"/>
      <c r="G29" s="2"/>
      <c r="H29" s="54"/>
      <c r="I29" s="54"/>
      <c r="J29" s="54"/>
      <c r="K29" s="1489"/>
      <c r="L29" s="23"/>
      <c r="M29" s="2"/>
      <c r="N29" s="2" t="s">
        <v>1511</v>
      </c>
      <c r="O29" t="s">
        <v>1590</v>
      </c>
    </row>
    <row r="30" spans="1:15" ht="56">
      <c r="A30" s="2"/>
      <c r="B30" s="66"/>
      <c r="C30" s="67"/>
      <c r="G30" s="2"/>
      <c r="H30" s="54"/>
      <c r="I30" s="54"/>
      <c r="J30" s="54"/>
      <c r="K30" s="1490" t="s">
        <v>1591</v>
      </c>
      <c r="L30" s="23"/>
      <c r="M30" s="2"/>
      <c r="N30" s="2" t="s">
        <v>1550</v>
      </c>
      <c r="O30" t="s">
        <v>1549</v>
      </c>
    </row>
    <row r="31" spans="1:15" ht="84">
      <c r="A31" s="2"/>
      <c r="B31" s="66"/>
      <c r="C31" s="67"/>
      <c r="G31" s="2"/>
      <c r="H31" s="54"/>
      <c r="I31" s="54"/>
      <c r="J31" s="54"/>
      <c r="K31" s="1490" t="s">
        <v>1592</v>
      </c>
      <c r="L31" s="23"/>
      <c r="M31" s="2"/>
      <c r="N31" s="605" t="s">
        <v>1510</v>
      </c>
      <c r="O31" t="s">
        <v>1538</v>
      </c>
    </row>
    <row r="32" spans="1:15">
      <c r="A32" s="2"/>
      <c r="B32" s="66"/>
      <c r="C32" s="67"/>
      <c r="G32" s="2"/>
      <c r="H32" s="54"/>
      <c r="I32" s="54"/>
      <c r="J32" s="54"/>
      <c r="K32" s="1490"/>
      <c r="L32" s="23"/>
      <c r="M32" s="2"/>
      <c r="N32" s="605"/>
    </row>
    <row r="33" spans="1:14">
      <c r="A33" s="2"/>
      <c r="B33" s="66"/>
      <c r="C33" s="67"/>
      <c r="G33" s="2"/>
      <c r="H33" s="54"/>
      <c r="I33" s="54"/>
      <c r="J33" s="54"/>
      <c r="L33" s="23"/>
      <c r="M33" s="2"/>
      <c r="N33" s="2"/>
    </row>
    <row r="34" spans="1:14">
      <c r="A34" s="2"/>
      <c r="B34" s="66"/>
      <c r="C34" s="67"/>
      <c r="G34" s="2"/>
      <c r="H34" s="54"/>
      <c r="I34" s="54"/>
      <c r="J34" s="54"/>
      <c r="L34" s="23"/>
      <c r="M34" s="2"/>
    </row>
    <row r="35" spans="1:14">
      <c r="A35" s="2"/>
      <c r="B35" s="66"/>
      <c r="C35" s="67"/>
      <c r="G35" s="2"/>
      <c r="H35" s="54"/>
      <c r="I35" s="54"/>
      <c r="J35" s="54"/>
      <c r="K35" s="24"/>
      <c r="L35" s="23"/>
      <c r="M35" s="2"/>
      <c r="N35" s="2"/>
    </row>
    <row r="36" spans="1:14">
      <c r="A36" s="2"/>
      <c r="B36" s="66"/>
      <c r="C36" s="67"/>
      <c r="G36" s="2"/>
      <c r="H36" s="54"/>
      <c r="I36" s="54"/>
      <c r="J36" s="54"/>
      <c r="K36" s="24"/>
      <c r="L36" s="23"/>
      <c r="M36" s="2"/>
      <c r="N36" s="2"/>
    </row>
    <row r="37" spans="1:14">
      <c r="A37" s="2"/>
      <c r="B37" s="66"/>
      <c r="C37" s="67"/>
      <c r="G37" s="2"/>
      <c r="H37" s="54"/>
      <c r="I37" s="54"/>
      <c r="J37" s="54"/>
      <c r="K37" s="24"/>
      <c r="L37" s="23"/>
      <c r="M37" s="2"/>
    </row>
    <row r="38" spans="1:14">
      <c r="A38" s="2"/>
      <c r="B38" s="66"/>
      <c r="C38" s="67"/>
      <c r="G38" s="2"/>
      <c r="H38" s="54"/>
      <c r="I38" s="54"/>
      <c r="J38" s="54"/>
      <c r="K38" s="24"/>
      <c r="L38" s="23"/>
      <c r="M38" s="2"/>
      <c r="N38" s="2"/>
    </row>
    <row r="39" spans="1:14">
      <c r="A39" s="2"/>
      <c r="B39" s="66"/>
      <c r="C39" s="67"/>
      <c r="G39" s="2"/>
      <c r="H39" s="54"/>
      <c r="I39" s="54"/>
      <c r="J39" s="54"/>
      <c r="K39" s="24"/>
      <c r="L39" s="23"/>
      <c r="M39" s="2"/>
      <c r="N39" s="2"/>
    </row>
    <row r="40" spans="1:14">
      <c r="A40" s="2"/>
      <c r="B40" s="66"/>
      <c r="C40" s="67"/>
      <c r="G40" s="2"/>
      <c r="H40" s="54"/>
      <c r="I40" s="54"/>
      <c r="J40" s="54"/>
      <c r="K40" s="24"/>
      <c r="L40" s="23"/>
      <c r="M40" s="2"/>
      <c r="N40" s="2"/>
    </row>
    <row r="41" spans="1:14">
      <c r="A41" s="2"/>
      <c r="B41" s="66"/>
      <c r="C41" s="67"/>
      <c r="G41" s="2"/>
      <c r="H41" s="54"/>
      <c r="I41" s="54"/>
      <c r="J41" s="54"/>
      <c r="K41" s="24"/>
      <c r="L41" s="23"/>
      <c r="M41" s="2"/>
      <c r="N41" s="2"/>
    </row>
    <row r="42" spans="1:14">
      <c r="A42" s="2"/>
      <c r="B42" s="66"/>
      <c r="C42" s="67"/>
      <c r="G42" s="2"/>
      <c r="H42" s="54"/>
      <c r="I42" s="54"/>
      <c r="J42" s="54"/>
      <c r="K42" s="24"/>
      <c r="L42" s="23"/>
      <c r="M42" s="2"/>
      <c r="N42" s="2"/>
    </row>
    <row r="43" spans="1:14">
      <c r="A43" s="2"/>
      <c r="B43" s="66"/>
      <c r="C43" s="67"/>
      <c r="G43" s="2"/>
      <c r="H43" s="54"/>
      <c r="I43" s="54"/>
      <c r="J43" s="54"/>
      <c r="K43" s="24"/>
      <c r="L43" s="23"/>
      <c r="M43" s="2"/>
      <c r="N43" s="2"/>
    </row>
    <row r="44" spans="1:14">
      <c r="A44" s="2"/>
      <c r="B44" s="66"/>
      <c r="C44" s="67"/>
      <c r="G44" s="2"/>
      <c r="H44" s="54"/>
      <c r="I44" s="54"/>
      <c r="J44" s="54"/>
      <c r="K44" s="24"/>
      <c r="L44" s="23"/>
      <c r="M44" s="2"/>
      <c r="N44" s="2"/>
    </row>
    <row r="45" spans="1:14">
      <c r="A45" s="2"/>
      <c r="B45" s="66"/>
      <c r="C45" s="67"/>
      <c r="G45" s="2"/>
      <c r="H45" s="54"/>
      <c r="I45" s="54"/>
      <c r="J45" s="54"/>
      <c r="K45" s="24"/>
      <c r="L45" s="23"/>
      <c r="M45" s="2"/>
      <c r="N45" s="2"/>
    </row>
    <row r="46" spans="1:14">
      <c r="A46" s="2"/>
      <c r="B46" s="66"/>
      <c r="C46" s="67"/>
      <c r="G46" s="2"/>
      <c r="H46" s="54"/>
      <c r="I46" s="54"/>
      <c r="J46" s="54"/>
      <c r="K46" s="24"/>
      <c r="L46" s="23"/>
      <c r="M46" s="2"/>
      <c r="N46" s="2"/>
    </row>
    <row r="47" spans="1:14">
      <c r="A47" s="2"/>
      <c r="B47" s="66"/>
      <c r="C47" s="67"/>
      <c r="G47" s="2"/>
      <c r="H47" s="54"/>
      <c r="I47" s="54"/>
      <c r="J47" s="54"/>
      <c r="K47" s="24"/>
      <c r="L47" s="23"/>
      <c r="M47" s="2"/>
      <c r="N47" s="2"/>
    </row>
    <row r="48" spans="1:14">
      <c r="A48" s="2"/>
      <c r="B48" s="44"/>
      <c r="C48" s="45"/>
      <c r="G48" s="2"/>
      <c r="H48" s="54"/>
      <c r="I48" s="54"/>
      <c r="J48" s="54"/>
      <c r="K48" s="24"/>
      <c r="L48" s="23"/>
      <c r="M48" s="2"/>
      <c r="N48" s="2"/>
    </row>
    <row r="49" spans="1:14">
      <c r="A49" s="2"/>
      <c r="B49" s="44"/>
      <c r="C49" s="45"/>
      <c r="G49" s="2"/>
      <c r="H49" s="54"/>
      <c r="I49" s="54"/>
      <c r="J49" s="54"/>
      <c r="K49" s="24"/>
      <c r="L49" s="23"/>
      <c r="M49" s="2"/>
      <c r="N49" s="2"/>
    </row>
  </sheetData>
  <sheetProtection algorithmName="SHA-512" hashValue="28yJK3zGUta7UfTtiO/rsEeGceDkwTDrkLy2D4gG1/qAzD5G+EZtaJzhN2LEzIMsRPEnQ4LLkwtWcdDeHY7jzw==" saltValue="7q9lIp+pISx1lCVxPZLxaQ==" spinCount="100000" sheet="1" objects="1" scenarios="1"/>
  <conditionalFormatting sqref="D6">
    <cfRule type="cellIs" dxfId="69" priority="344" operator="equal">
      <formula>$N$32</formula>
    </cfRule>
    <cfRule type="cellIs" dxfId="68" priority="345" operator="equal">
      <formula>$N$32</formula>
    </cfRule>
  </conditionalFormatting>
  <dataValidations count="4">
    <dataValidation type="list" allowBlank="1" showInputMessage="1" showErrorMessage="1" sqref="D5">
      <formula1>$N$24:$N$28</formula1>
    </dataValidation>
    <dataValidation type="list" allowBlank="1" showInputMessage="1" showErrorMessage="1" sqref="D3">
      <formula1>$N$9:$N$23</formula1>
    </dataValidation>
    <dataValidation type="list" allowBlank="1" showInputMessage="1" showErrorMessage="1" sqref="D4">
      <formula1>$N$24:$N$28</formula1>
    </dataValidation>
    <dataValidation type="list" showInputMessage="1" showErrorMessage="1" sqref="D6">
      <formula1>$N$29:$N$31</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theme="3" tint="0.79998168889431442"/>
    <pageSetUpPr fitToPage="1"/>
  </sheetPr>
  <dimension ref="A1:O82"/>
  <sheetViews>
    <sheetView topLeftCell="A48" zoomScale="80" zoomScaleNormal="80" zoomScaleSheetLayoutView="90" zoomScalePageLayoutView="80" workbookViewId="0">
      <selection activeCell="K8" sqref="K8:K14"/>
    </sheetView>
  </sheetViews>
  <sheetFormatPr baseColWidth="10" defaultColWidth="11.5" defaultRowHeight="14" x14ac:dyDescent="0"/>
  <cols>
    <col min="1" max="1" width="2.83203125" style="310" customWidth="1"/>
    <col min="2" max="2" width="30.6640625" style="381" customWidth="1"/>
    <col min="3" max="3" width="30.6640625" style="379" customWidth="1"/>
    <col min="4" max="4" width="50.6640625" style="350" customWidth="1"/>
    <col min="5" max="7" width="3.6640625" style="350" customWidth="1"/>
    <col min="8" max="8" width="6.83203125" style="350" customWidth="1"/>
    <col min="9" max="9" width="3.6640625" style="350" customWidth="1"/>
    <col min="10" max="10" width="7.5" style="362" customWidth="1"/>
    <col min="11" max="11" width="50.6640625" style="1123" customWidth="1"/>
    <col min="12" max="12" width="43" style="379" bestFit="1" customWidth="1"/>
    <col min="13" max="13" width="3.6640625" style="350" customWidth="1"/>
    <col min="14" max="14" width="11.5" style="310"/>
    <col min="15" max="15" width="19.1640625" style="310" bestFit="1" customWidth="1"/>
    <col min="16"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3.25" customHeight="1" thickBot="1">
      <c r="B6" s="851" t="str">
        <f>+'PROGRAMA ARQ.'!C22</f>
        <v>1.5</v>
      </c>
      <c r="C6" s="851" t="str">
        <f>+'PROGRAMA ARQ.'!D22</f>
        <v>SALA DE HÁBITOS HIGIÉNICOS NIVEL MEDIO</v>
      </c>
      <c r="D6" s="852">
        <f>+'PROGRAMA ARQ.'!F22</f>
        <v>11.3</v>
      </c>
      <c r="E6" s="837" t="s">
        <v>366</v>
      </c>
      <c r="F6" s="839" t="s">
        <v>544</v>
      </c>
      <c r="G6" s="839" t="s">
        <v>2</v>
      </c>
      <c r="H6" s="839" t="s">
        <v>171</v>
      </c>
      <c r="I6" s="840" t="s">
        <v>172</v>
      </c>
      <c r="J6" s="608"/>
      <c r="K6" s="1146" t="s">
        <v>293</v>
      </c>
      <c r="L6" s="853" t="s">
        <v>120</v>
      </c>
      <c r="M6" s="842" t="s">
        <v>178</v>
      </c>
    </row>
    <row r="7" spans="2:13" s="367" customFormat="1" ht="16" thickBot="1">
      <c r="B7" s="719" t="s">
        <v>1378</v>
      </c>
      <c r="C7" s="719" t="s">
        <v>1379</v>
      </c>
      <c r="D7" s="666" t="s">
        <v>1380</v>
      </c>
      <c r="E7" s="663"/>
      <c r="F7" s="664"/>
      <c r="G7" s="664"/>
      <c r="H7" s="663"/>
      <c r="I7" s="665"/>
      <c r="J7" s="595"/>
      <c r="K7" s="235"/>
      <c r="L7" s="696"/>
      <c r="M7" s="697"/>
    </row>
    <row r="8" spans="2:13" ht="29" customHeight="1">
      <c r="B8" s="1827" t="s">
        <v>122</v>
      </c>
      <c r="C8" s="1900"/>
      <c r="D8" s="394" t="s">
        <v>1381</v>
      </c>
      <c r="E8" s="395"/>
      <c r="F8" s="395"/>
      <c r="G8" s="395"/>
      <c r="H8" s="395"/>
      <c r="I8" s="399"/>
      <c r="K8" s="1873" t="s">
        <v>1421</v>
      </c>
      <c r="L8" s="463"/>
      <c r="M8" s="437"/>
    </row>
    <row r="9" spans="2:13" ht="84">
      <c r="B9" s="1829"/>
      <c r="C9" s="1933"/>
      <c r="D9" s="488" t="s">
        <v>645</v>
      </c>
      <c r="E9" s="487"/>
      <c r="F9" s="487"/>
      <c r="G9" s="487"/>
      <c r="H9" s="488"/>
      <c r="I9" s="400"/>
      <c r="K9" s="1874"/>
      <c r="L9" s="463"/>
      <c r="M9" s="437"/>
    </row>
    <row r="10" spans="2:13" ht="42">
      <c r="B10" s="1829"/>
      <c r="C10" s="1933"/>
      <c r="D10" s="378" t="s">
        <v>1367</v>
      </c>
      <c r="E10" s="487"/>
      <c r="F10" s="487"/>
      <c r="G10" s="487"/>
      <c r="H10" s="488"/>
      <c r="I10" s="400"/>
      <c r="K10" s="1874"/>
      <c r="L10" s="463"/>
      <c r="M10" s="437"/>
    </row>
    <row r="11" spans="2:13" ht="43" thickBot="1">
      <c r="B11" s="1831"/>
      <c r="C11" s="1901"/>
      <c r="D11" s="913" t="s">
        <v>637</v>
      </c>
      <c r="E11" s="397"/>
      <c r="F11" s="397"/>
      <c r="G11" s="397"/>
      <c r="H11" s="397"/>
      <c r="I11" s="405"/>
      <c r="K11" s="1144" t="s">
        <v>1406</v>
      </c>
      <c r="L11" s="398"/>
      <c r="M11" s="438"/>
    </row>
    <row r="12" spans="2:13" ht="29" thickBot="1">
      <c r="B12" s="1827" t="s">
        <v>1388</v>
      </c>
      <c r="C12" s="1828"/>
      <c r="D12" s="914" t="s">
        <v>586</v>
      </c>
      <c r="E12" s="626"/>
      <c r="F12" s="626"/>
      <c r="G12" s="626"/>
      <c r="H12" s="626"/>
      <c r="I12" s="915"/>
      <c r="K12" s="1143" t="s">
        <v>1421</v>
      </c>
      <c r="L12" s="355" t="s">
        <v>430</v>
      </c>
      <c r="M12" s="439"/>
    </row>
    <row r="13" spans="2:13" ht="28">
      <c r="B13" s="1755" t="s">
        <v>143</v>
      </c>
      <c r="C13" s="1892" t="s">
        <v>241</v>
      </c>
      <c r="D13" s="722" t="s">
        <v>545</v>
      </c>
      <c r="E13" s="589"/>
      <c r="F13" s="589"/>
      <c r="G13" s="589"/>
      <c r="H13" s="589"/>
      <c r="I13" s="723"/>
      <c r="K13" s="1160" t="s">
        <v>1406</v>
      </c>
      <c r="L13" s="396"/>
      <c r="M13" s="440"/>
    </row>
    <row r="14" spans="2:13">
      <c r="B14" s="1756"/>
      <c r="C14" s="1893"/>
      <c r="D14" s="648">
        <f>+'PROGRAMA ARQ.'!L22</f>
        <v>0.90400000000000003</v>
      </c>
      <c r="E14" s="513" t="s">
        <v>258</v>
      </c>
      <c r="F14" s="513"/>
      <c r="G14" s="513"/>
      <c r="H14" s="513"/>
      <c r="I14" s="545"/>
      <c r="K14" s="1159" t="s">
        <v>1406</v>
      </c>
      <c r="L14" s="463" t="s">
        <v>547</v>
      </c>
      <c r="M14" s="441"/>
    </row>
    <row r="15" spans="2:13" ht="28.5" customHeight="1">
      <c r="B15" s="1756"/>
      <c r="C15" s="1893" t="s">
        <v>242</v>
      </c>
      <c r="D15" s="640" t="s">
        <v>546</v>
      </c>
      <c r="E15" s="513"/>
      <c r="F15" s="513"/>
      <c r="G15" s="513"/>
      <c r="H15" s="513"/>
      <c r="I15" s="545"/>
      <c r="K15" s="1159" t="s">
        <v>1406</v>
      </c>
      <c r="L15" s="82"/>
      <c r="M15" s="441"/>
    </row>
    <row r="16" spans="2:13" s="81" customFormat="1" ht="21" customHeight="1">
      <c r="B16" s="1756"/>
      <c r="C16" s="1893"/>
      <c r="D16" s="631">
        <f>+'PROGRAMA ARQ.'!M22</f>
        <v>0.45200000000000001</v>
      </c>
      <c r="E16" s="512" t="s">
        <v>258</v>
      </c>
      <c r="F16" s="512"/>
      <c r="G16" s="512"/>
      <c r="H16" s="512"/>
      <c r="I16" s="518"/>
      <c r="J16" s="362"/>
      <c r="K16" s="522" t="s">
        <v>1406</v>
      </c>
      <c r="L16" s="507" t="s">
        <v>548</v>
      </c>
      <c r="M16" s="418"/>
    </row>
    <row r="17" spans="2:13">
      <c r="B17" s="1756"/>
      <c r="C17" s="1893"/>
      <c r="D17" s="653" t="s">
        <v>550</v>
      </c>
      <c r="E17" s="513"/>
      <c r="F17" s="513"/>
      <c r="G17" s="513"/>
      <c r="H17" s="513"/>
      <c r="I17" s="545"/>
      <c r="K17" s="1159" t="s">
        <v>1421</v>
      </c>
      <c r="L17" s="463" t="s">
        <v>480</v>
      </c>
      <c r="M17" s="441"/>
    </row>
    <row r="18" spans="2:13">
      <c r="B18" s="1756"/>
      <c r="C18" s="1893"/>
      <c r="D18" s="628" t="s">
        <v>551</v>
      </c>
      <c r="E18" s="513"/>
      <c r="F18" s="513"/>
      <c r="G18" s="513"/>
      <c r="H18" s="513"/>
      <c r="I18" s="545"/>
      <c r="K18" s="1159" t="s">
        <v>1421</v>
      </c>
      <c r="L18" s="618" t="s">
        <v>554</v>
      </c>
      <c r="M18" s="441"/>
    </row>
    <row r="19" spans="2:13">
      <c r="B19" s="1756"/>
      <c r="C19" s="868" t="s">
        <v>426</v>
      </c>
      <c r="D19" s="591" t="s">
        <v>552</v>
      </c>
      <c r="E19" s="513"/>
      <c r="F19" s="513"/>
      <c r="G19" s="513"/>
      <c r="H19" s="513"/>
      <c r="I19" s="545"/>
      <c r="K19" s="1159" t="s">
        <v>1421</v>
      </c>
      <c r="L19" s="463"/>
      <c r="M19" s="437"/>
    </row>
    <row r="20" spans="2:13">
      <c r="B20" s="1756"/>
      <c r="C20" s="868" t="s">
        <v>243</v>
      </c>
      <c r="D20" s="628" t="s">
        <v>552</v>
      </c>
      <c r="E20" s="513"/>
      <c r="F20" s="513"/>
      <c r="G20" s="513"/>
      <c r="H20" s="513"/>
      <c r="I20" s="545"/>
      <c r="K20" s="1159" t="s">
        <v>1421</v>
      </c>
      <c r="L20" s="504"/>
      <c r="M20" s="442"/>
    </row>
    <row r="21" spans="2:13" s="1165" customFormat="1" ht="28">
      <c r="B21" s="1756"/>
      <c r="C21" s="1893" t="s">
        <v>244</v>
      </c>
      <c r="D21" s="1217" t="s">
        <v>502</v>
      </c>
      <c r="E21" s="1167"/>
      <c r="F21" s="1167"/>
      <c r="G21" s="1167"/>
      <c r="H21" s="1167"/>
      <c r="I21" s="1168"/>
      <c r="J21" s="1164"/>
      <c r="K21" s="1227" t="s">
        <v>669</v>
      </c>
      <c r="L21" s="1219"/>
      <c r="M21" s="1208"/>
    </row>
    <row r="22" spans="2:13" ht="29" thickBot="1">
      <c r="B22" s="1759"/>
      <c r="C22" s="1934"/>
      <c r="D22" s="916" t="s">
        <v>640</v>
      </c>
      <c r="E22" s="917"/>
      <c r="F22" s="917"/>
      <c r="G22" s="917"/>
      <c r="H22" s="917"/>
      <c r="I22" s="918"/>
      <c r="K22" s="1292" t="s">
        <v>1406</v>
      </c>
      <c r="L22" s="402"/>
      <c r="M22" s="443"/>
    </row>
    <row r="23" spans="2:13">
      <c r="B23" s="1755" t="s">
        <v>144</v>
      </c>
      <c r="C23" s="867" t="s">
        <v>245</v>
      </c>
      <c r="D23" s="726" t="s">
        <v>552</v>
      </c>
      <c r="E23" s="589"/>
      <c r="F23" s="589"/>
      <c r="G23" s="589"/>
      <c r="H23" s="589"/>
      <c r="I23" s="723"/>
      <c r="K23" s="1143" t="s">
        <v>1421</v>
      </c>
      <c r="L23" s="403"/>
      <c r="M23" s="440"/>
    </row>
    <row r="24" spans="2:13" ht="15" thickBot="1">
      <c r="B24" s="1759"/>
      <c r="C24" s="919" t="s">
        <v>246</v>
      </c>
      <c r="D24" s="920" t="s">
        <v>552</v>
      </c>
      <c r="E24" s="917"/>
      <c r="F24" s="917"/>
      <c r="G24" s="917"/>
      <c r="H24" s="917"/>
      <c r="I24" s="918"/>
      <c r="K24" s="1142" t="s">
        <v>1421</v>
      </c>
      <c r="L24" s="404"/>
      <c r="M24" s="444"/>
    </row>
    <row r="25" spans="2:13" s="81" customFormat="1">
      <c r="B25" s="1935" t="s">
        <v>141</v>
      </c>
      <c r="C25" s="1939"/>
      <c r="D25" s="776" t="s">
        <v>479</v>
      </c>
      <c r="E25" s="528"/>
      <c r="F25" s="528"/>
      <c r="G25" s="528"/>
      <c r="H25" s="528"/>
      <c r="I25" s="529"/>
      <c r="J25" s="362"/>
      <c r="K25" s="1160" t="s">
        <v>1421</v>
      </c>
      <c r="L25" s="1293"/>
      <c r="M25" s="417"/>
    </row>
    <row r="26" spans="2:13" s="81" customFormat="1">
      <c r="B26" s="1936"/>
      <c r="C26" s="1940"/>
      <c r="D26" s="512" t="s">
        <v>876</v>
      </c>
      <c r="E26" s="512"/>
      <c r="F26" s="512"/>
      <c r="G26" s="512"/>
      <c r="H26" s="512"/>
      <c r="I26" s="518"/>
      <c r="J26" s="362"/>
      <c r="K26" s="1159" t="s">
        <v>1406</v>
      </c>
      <c r="L26" s="1294"/>
      <c r="M26" s="418"/>
    </row>
    <row r="27" spans="2:13" s="81" customFormat="1">
      <c r="B27" s="1936"/>
      <c r="C27" s="1940"/>
      <c r="D27" s="633" t="s">
        <v>555</v>
      </c>
      <c r="E27" s="512"/>
      <c r="F27" s="512"/>
      <c r="G27" s="512"/>
      <c r="H27" s="512"/>
      <c r="I27" s="518"/>
      <c r="J27" s="362"/>
      <c r="K27" s="1159" t="s">
        <v>1421</v>
      </c>
      <c r="L27" s="1294"/>
      <c r="M27" s="418"/>
    </row>
    <row r="28" spans="2:13" s="81" customFormat="1" ht="28">
      <c r="B28" s="1936"/>
      <c r="C28" s="1940"/>
      <c r="D28" s="633" t="s">
        <v>557</v>
      </c>
      <c r="E28" s="512"/>
      <c r="F28" s="512"/>
      <c r="G28" s="512"/>
      <c r="H28" s="512"/>
      <c r="I28" s="518"/>
      <c r="J28" s="362"/>
      <c r="K28" s="1159" t="s">
        <v>1406</v>
      </c>
      <c r="L28" s="1294"/>
      <c r="M28" s="418"/>
    </row>
    <row r="29" spans="2:13" s="81" customFormat="1">
      <c r="B29" s="1936"/>
      <c r="C29" s="1940"/>
      <c r="D29" s="633" t="s">
        <v>572</v>
      </c>
      <c r="E29" s="512"/>
      <c r="F29" s="512"/>
      <c r="G29" s="512"/>
      <c r="H29" s="512"/>
      <c r="I29" s="518"/>
      <c r="J29" s="362"/>
      <c r="K29" s="1159" t="s">
        <v>1406</v>
      </c>
      <c r="L29" s="1294"/>
      <c r="M29" s="418"/>
    </row>
    <row r="30" spans="2:13">
      <c r="B30" s="1936"/>
      <c r="C30" s="1940"/>
      <c r="D30" s="646" t="s">
        <v>309</v>
      </c>
      <c r="E30" s="642"/>
      <c r="F30" s="642"/>
      <c r="G30" s="642"/>
      <c r="H30" s="642"/>
      <c r="I30" s="791"/>
      <c r="J30" s="81"/>
      <c r="K30" s="1159" t="s">
        <v>1406</v>
      </c>
      <c r="L30" s="434"/>
      <c r="M30" s="471"/>
    </row>
    <row r="31" spans="2:13" s="81" customFormat="1">
      <c r="B31" s="1936"/>
      <c r="C31" s="1940"/>
      <c r="D31" s="633" t="s">
        <v>642</v>
      </c>
      <c r="E31" s="512"/>
      <c r="F31" s="512"/>
      <c r="G31" s="512"/>
      <c r="H31" s="512"/>
      <c r="I31" s="518"/>
      <c r="J31" s="362"/>
      <c r="K31" s="1159" t="s">
        <v>1421</v>
      </c>
      <c r="L31" s="1294"/>
      <c r="M31" s="418"/>
    </row>
    <row r="32" spans="2:13" s="81" customFormat="1" ht="42">
      <c r="B32" s="1936"/>
      <c r="C32" s="1940"/>
      <c r="D32" s="633" t="s">
        <v>643</v>
      </c>
      <c r="E32" s="512"/>
      <c r="F32" s="512"/>
      <c r="G32" s="512"/>
      <c r="H32" s="512"/>
      <c r="I32" s="518"/>
      <c r="J32" s="362"/>
      <c r="K32" s="1159" t="s">
        <v>1421</v>
      </c>
      <c r="L32" s="1295" t="s">
        <v>644</v>
      </c>
      <c r="M32" s="418"/>
    </row>
    <row r="33" spans="2:15" s="81" customFormat="1" ht="29" thickBot="1">
      <c r="B33" s="1937"/>
      <c r="C33" s="1941"/>
      <c r="D33" s="916" t="s">
        <v>476</v>
      </c>
      <c r="E33" s="532"/>
      <c r="F33" s="532"/>
      <c r="G33" s="532"/>
      <c r="H33" s="532"/>
      <c r="I33" s="533"/>
      <c r="J33" s="362"/>
      <c r="K33" s="1297" t="s">
        <v>1406</v>
      </c>
      <c r="L33" s="1296"/>
      <c r="M33" s="419"/>
    </row>
    <row r="34" spans="2:15" s="1165" customFormat="1" ht="28">
      <c r="B34" s="1755" t="s">
        <v>140</v>
      </c>
      <c r="C34" s="1938" t="s">
        <v>877</v>
      </c>
      <c r="D34" s="1220" t="s">
        <v>878</v>
      </c>
      <c r="E34" s="1162"/>
      <c r="F34" s="1162"/>
      <c r="G34" s="1162"/>
      <c r="H34" s="1162"/>
      <c r="I34" s="1163"/>
      <c r="J34" s="1164"/>
      <c r="K34" s="1201" t="s">
        <v>416</v>
      </c>
      <c r="L34" s="1222"/>
      <c r="M34" s="1223"/>
    </row>
    <row r="35" spans="2:15" s="1165" customFormat="1">
      <c r="B35" s="1756"/>
      <c r="C35" s="1750"/>
      <c r="D35" s="1217" t="s">
        <v>478</v>
      </c>
      <c r="E35" s="1167"/>
      <c r="F35" s="1167"/>
      <c r="G35" s="1167"/>
      <c r="H35" s="1167"/>
      <c r="I35" s="1168"/>
      <c r="J35" s="1164"/>
      <c r="K35" s="1227" t="s">
        <v>668</v>
      </c>
      <c r="L35" s="1176"/>
      <c r="M35" s="1208"/>
    </row>
    <row r="36" spans="2:15">
      <c r="B36" s="1756"/>
      <c r="C36" s="871" t="s">
        <v>413</v>
      </c>
      <c r="D36" s="643" t="s">
        <v>558</v>
      </c>
      <c r="E36" s="513"/>
      <c r="F36" s="513"/>
      <c r="G36" s="513"/>
      <c r="H36" s="513"/>
      <c r="I36" s="545"/>
      <c r="K36" s="1161" t="s">
        <v>1406</v>
      </c>
      <c r="L36" s="463"/>
      <c r="M36" s="441"/>
    </row>
    <row r="37" spans="2:15">
      <c r="B37" s="1756"/>
      <c r="C37" s="1754" t="s">
        <v>256</v>
      </c>
      <c r="D37" s="628" t="s">
        <v>559</v>
      </c>
      <c r="E37" s="513"/>
      <c r="F37" s="513"/>
      <c r="G37" s="513"/>
      <c r="H37" s="513"/>
      <c r="I37" s="545"/>
      <c r="K37" s="1161" t="s">
        <v>1406</v>
      </c>
      <c r="L37" s="352"/>
      <c r="M37" s="441"/>
    </row>
    <row r="38" spans="2:15">
      <c r="B38" s="1756"/>
      <c r="C38" s="1754"/>
      <c r="D38" s="628" t="s">
        <v>560</v>
      </c>
      <c r="E38" s="513"/>
      <c r="F38" s="513"/>
      <c r="G38" s="513"/>
      <c r="H38" s="513"/>
      <c r="I38" s="545"/>
      <c r="K38" s="1161" t="s">
        <v>1406</v>
      </c>
      <c r="L38" s="352"/>
      <c r="M38" s="441"/>
    </row>
    <row r="39" spans="2:15" ht="42">
      <c r="B39" s="1756"/>
      <c r="C39" s="871" t="s">
        <v>595</v>
      </c>
      <c r="D39" s="591" t="s">
        <v>646</v>
      </c>
      <c r="E39" s="513"/>
      <c r="F39" s="513"/>
      <c r="G39" s="513"/>
      <c r="H39" s="513"/>
      <c r="I39" s="545"/>
      <c r="K39" s="1161" t="s">
        <v>1421</v>
      </c>
      <c r="L39" s="352"/>
      <c r="M39" s="441"/>
    </row>
    <row r="40" spans="2:15" ht="29" thickBot="1">
      <c r="B40" s="1759"/>
      <c r="C40" s="922" t="s">
        <v>561</v>
      </c>
      <c r="D40" s="923" t="s">
        <v>563</v>
      </c>
      <c r="E40" s="917"/>
      <c r="F40" s="917"/>
      <c r="G40" s="917"/>
      <c r="H40" s="917"/>
      <c r="I40" s="918"/>
      <c r="K40" s="1158" t="s">
        <v>1421</v>
      </c>
      <c r="L40" s="352"/>
      <c r="M40" s="441"/>
    </row>
    <row r="41" spans="2:15">
      <c r="B41" s="1935" t="s">
        <v>123</v>
      </c>
      <c r="C41" s="135" t="s">
        <v>647</v>
      </c>
      <c r="D41" s="528" t="s">
        <v>648</v>
      </c>
      <c r="E41" s="528"/>
      <c r="F41" s="730">
        <v>1</v>
      </c>
      <c r="G41" s="730">
        <f>+F41*'PROGRAMA ARQ.'!$E$22</f>
        <v>4</v>
      </c>
      <c r="H41" s="528"/>
      <c r="I41" s="529"/>
      <c r="K41" s="1874" t="s">
        <v>1421</v>
      </c>
      <c r="L41" s="466"/>
      <c r="M41" s="440"/>
    </row>
    <row r="42" spans="2:15">
      <c r="B42" s="1936"/>
      <c r="C42" s="872" t="s">
        <v>341</v>
      </c>
      <c r="D42" s="651" t="s">
        <v>649</v>
      </c>
      <c r="E42" s="512"/>
      <c r="F42" s="627">
        <v>2</v>
      </c>
      <c r="G42" s="627">
        <f>+F42*'PROGRAMA ARQ.'!$E$22</f>
        <v>8</v>
      </c>
      <c r="H42" s="512"/>
      <c r="I42" s="518"/>
      <c r="K42" s="1874"/>
      <c r="L42" s="467"/>
      <c r="M42" s="441"/>
    </row>
    <row r="43" spans="2:15">
      <c r="B43" s="1936"/>
      <c r="C43" s="1409" t="s">
        <v>78</v>
      </c>
      <c r="D43" s="1432" t="s">
        <v>1506</v>
      </c>
      <c r="E43" s="658"/>
      <c r="F43" s="656">
        <v>1</v>
      </c>
      <c r="G43" s="656">
        <f>+F43*'PROGRAMA ARQ.'!$E$22</f>
        <v>4</v>
      </c>
      <c r="H43" s="658"/>
      <c r="I43" s="1411"/>
      <c r="K43" s="1874"/>
      <c r="L43" s="468" t="s">
        <v>657</v>
      </c>
      <c r="M43" s="441"/>
      <c r="O43" s="1408" t="s">
        <v>1507</v>
      </c>
    </row>
    <row r="44" spans="2:15">
      <c r="B44" s="1936"/>
      <c r="C44" s="1409" t="s">
        <v>1483</v>
      </c>
      <c r="D44" s="1410" t="s">
        <v>1504</v>
      </c>
      <c r="E44" s="658"/>
      <c r="F44" s="656">
        <v>3</v>
      </c>
      <c r="G44" s="656">
        <f>+F44*'PROGRAMA ARQ.'!$E$22</f>
        <v>12</v>
      </c>
      <c r="H44" s="658"/>
      <c r="I44" s="1411"/>
      <c r="K44" s="1874"/>
      <c r="M44" s="441"/>
      <c r="O44" s="1408" t="s">
        <v>1505</v>
      </c>
    </row>
    <row r="45" spans="2:15">
      <c r="B45" s="1936"/>
      <c r="C45" s="872" t="s">
        <v>577</v>
      </c>
      <c r="D45" s="634" t="s">
        <v>580</v>
      </c>
      <c r="E45" s="512"/>
      <c r="F45" s="627">
        <v>1</v>
      </c>
      <c r="G45" s="627">
        <f>+F45*'PROGRAMA ARQ.'!$E$22</f>
        <v>4</v>
      </c>
      <c r="H45" s="512"/>
      <c r="I45" s="518"/>
      <c r="K45" s="1874"/>
      <c r="L45" s="467"/>
      <c r="M45" s="441"/>
    </row>
    <row r="46" spans="2:15">
      <c r="B46" s="1936"/>
      <c r="C46" s="872" t="s">
        <v>1484</v>
      </c>
      <c r="D46" s="634" t="s">
        <v>580</v>
      </c>
      <c r="E46" s="512"/>
      <c r="F46" s="627">
        <v>3</v>
      </c>
      <c r="G46" s="627">
        <f>+F46*'PROGRAMA ARQ.'!$E$22</f>
        <v>12</v>
      </c>
      <c r="H46" s="512"/>
      <c r="I46" s="518"/>
      <c r="K46" s="1874"/>
      <c r="L46" s="467"/>
      <c r="M46" s="441"/>
    </row>
    <row r="47" spans="2:15" ht="28">
      <c r="B47" s="1936"/>
      <c r="C47" s="872" t="s">
        <v>650</v>
      </c>
      <c r="D47" s="634" t="s">
        <v>651</v>
      </c>
      <c r="E47" s="512"/>
      <c r="F47" s="627">
        <v>1</v>
      </c>
      <c r="G47" s="627">
        <f>+F47*'PROGRAMA ARQ.'!$E$22</f>
        <v>4</v>
      </c>
      <c r="H47" s="512"/>
      <c r="I47" s="518"/>
      <c r="K47" s="1874"/>
      <c r="L47" s="467"/>
      <c r="M47" s="441"/>
    </row>
    <row r="48" spans="2:15" ht="31.25" customHeight="1">
      <c r="B48" s="1936"/>
      <c r="C48" s="872" t="s">
        <v>658</v>
      </c>
      <c r="D48" s="925" t="s">
        <v>660</v>
      </c>
      <c r="E48" s="512"/>
      <c r="F48" s="627">
        <v>1</v>
      </c>
      <c r="G48" s="627">
        <f>+F48*'PROGRAMA ARQ.'!$E$22</f>
        <v>4</v>
      </c>
      <c r="H48" s="512"/>
      <c r="I48" s="518"/>
      <c r="K48" s="1874"/>
      <c r="L48" s="467"/>
      <c r="M48" s="441"/>
    </row>
    <row r="49" spans="2:13" ht="44.5" customHeight="1">
      <c r="B49" s="1936"/>
      <c r="C49" s="1758" t="s">
        <v>1593</v>
      </c>
      <c r="D49" s="659" t="s">
        <v>564</v>
      </c>
      <c r="E49" s="512"/>
      <c r="F49" s="630">
        <v>1</v>
      </c>
      <c r="G49" s="630">
        <f>+F49*'PROGRAMA ARQ.'!$E$19</f>
        <v>2</v>
      </c>
      <c r="H49" s="512"/>
      <c r="I49" s="518"/>
      <c r="K49" s="1874"/>
      <c r="L49" s="467"/>
      <c r="M49" s="1903"/>
    </row>
    <row r="50" spans="2:13" ht="28">
      <c r="B50" s="1936"/>
      <c r="C50" s="1758"/>
      <c r="D50" s="659" t="s">
        <v>565</v>
      </c>
      <c r="E50" s="512"/>
      <c r="F50" s="630"/>
      <c r="G50" s="638"/>
      <c r="H50" s="512"/>
      <c r="I50" s="518"/>
      <c r="K50" s="1874"/>
      <c r="L50" s="467"/>
      <c r="M50" s="1903"/>
    </row>
    <row r="51" spans="2:13" ht="29.5" customHeight="1">
      <c r="B51" s="1936"/>
      <c r="C51" s="884" t="s">
        <v>343</v>
      </c>
      <c r="D51" s="652" t="s">
        <v>663</v>
      </c>
      <c r="E51" s="512"/>
      <c r="F51" s="630">
        <v>4</v>
      </c>
      <c r="G51" s="627">
        <f>+F51*'PROGRAMA ARQ.'!$E$22</f>
        <v>16</v>
      </c>
      <c r="H51" s="512"/>
      <c r="I51" s="518"/>
      <c r="K51" s="1874"/>
      <c r="L51" s="467"/>
      <c r="M51" s="619"/>
    </row>
    <row r="52" spans="2:13">
      <c r="B52" s="1936"/>
      <c r="C52" s="872" t="s">
        <v>342</v>
      </c>
      <c r="D52" s="634" t="s">
        <v>652</v>
      </c>
      <c r="E52" s="512"/>
      <c r="F52" s="627">
        <v>2</v>
      </c>
      <c r="G52" s="627">
        <f>+F52*'PROGRAMA ARQ.'!$E$22</f>
        <v>8</v>
      </c>
      <c r="H52" s="512"/>
      <c r="I52" s="518"/>
      <c r="K52" s="1874"/>
      <c r="L52" s="467"/>
      <c r="M52" s="441"/>
    </row>
    <row r="53" spans="2:13">
      <c r="B53" s="1936"/>
      <c r="C53" s="872" t="s">
        <v>571</v>
      </c>
      <c r="D53" s="634" t="s">
        <v>653</v>
      </c>
      <c r="E53" s="512"/>
      <c r="F53" s="627">
        <v>1</v>
      </c>
      <c r="G53" s="627">
        <f>+F53*'PROGRAMA ARQ.'!$E$22</f>
        <v>4</v>
      </c>
      <c r="H53" s="512"/>
      <c r="I53" s="518"/>
      <c r="K53" s="1874"/>
      <c r="L53" s="467"/>
      <c r="M53" s="441"/>
    </row>
    <row r="54" spans="2:13" ht="15" thickBot="1">
      <c r="B54" s="1937"/>
      <c r="C54" s="924" t="s">
        <v>347</v>
      </c>
      <c r="D54" s="925" t="s">
        <v>656</v>
      </c>
      <c r="E54" s="532"/>
      <c r="F54" s="926">
        <v>5</v>
      </c>
      <c r="G54" s="926">
        <f>+F54*'PROGRAMA ARQ.'!$E$22</f>
        <v>20</v>
      </c>
      <c r="H54" s="532"/>
      <c r="I54" s="533"/>
      <c r="K54" s="1875"/>
      <c r="L54" s="469"/>
      <c r="M54" s="444"/>
    </row>
    <row r="55" spans="2:13" ht="59.5" customHeight="1" thickBot="1">
      <c r="B55" s="865" t="s">
        <v>124</v>
      </c>
      <c r="C55" s="927" t="s">
        <v>654</v>
      </c>
      <c r="D55" s="928" t="s">
        <v>655</v>
      </c>
      <c r="E55" s="929"/>
      <c r="F55" s="930">
        <v>1</v>
      </c>
      <c r="G55" s="930">
        <f>+F55*'PROGRAMA ARQ.'!$E$19</f>
        <v>2</v>
      </c>
      <c r="H55" s="929"/>
      <c r="I55" s="931"/>
      <c r="K55" s="448" t="s">
        <v>1421</v>
      </c>
      <c r="L55" s="465"/>
      <c r="M55" s="445" t="s">
        <v>659</v>
      </c>
    </row>
    <row r="56" spans="2:13" ht="15" thickBot="1">
      <c r="B56" s="1889" t="s">
        <v>132</v>
      </c>
      <c r="C56" s="1932"/>
      <c r="D56" s="932" t="s">
        <v>661</v>
      </c>
      <c r="E56" s="933"/>
      <c r="F56" s="933">
        <v>1</v>
      </c>
      <c r="G56" s="934">
        <f>+F56*'PROGRAMA ARQ.'!$E$22</f>
        <v>4</v>
      </c>
      <c r="H56" s="933"/>
      <c r="I56" s="935"/>
      <c r="K56" s="1142" t="s">
        <v>1421</v>
      </c>
      <c r="L56" s="355"/>
      <c r="M56" s="439"/>
    </row>
    <row r="57" spans="2:13" ht="14.5" customHeight="1">
      <c r="B57" s="1755" t="s">
        <v>475</v>
      </c>
      <c r="C57" s="1942"/>
      <c r="D57" s="751" t="s">
        <v>1434</v>
      </c>
      <c r="E57" s="589"/>
      <c r="F57" s="589">
        <v>1</v>
      </c>
      <c r="G57" s="730">
        <f>+F57*'PROGRAMA ARQ.'!$E$22</f>
        <v>4</v>
      </c>
      <c r="H57" s="589"/>
      <c r="I57" s="723"/>
      <c r="K57" s="1873" t="s">
        <v>1406</v>
      </c>
      <c r="L57" s="408"/>
      <c r="M57" s="1837" t="s">
        <v>662</v>
      </c>
    </row>
    <row r="58" spans="2:13" s="81" customFormat="1">
      <c r="B58" s="1756"/>
      <c r="C58" s="1943"/>
      <c r="D58" s="634" t="s">
        <v>529</v>
      </c>
      <c r="E58" s="512"/>
      <c r="F58" s="512"/>
      <c r="G58" s="512"/>
      <c r="H58" s="512"/>
      <c r="I58" s="518"/>
      <c r="J58" s="362"/>
      <c r="K58" s="1874"/>
      <c r="L58" s="478"/>
      <c r="M58" s="1838"/>
    </row>
    <row r="59" spans="2:13" s="81" customFormat="1" ht="28">
      <c r="B59" s="1756"/>
      <c r="C59" s="1943"/>
      <c r="D59" s="634" t="s">
        <v>530</v>
      </c>
      <c r="E59" s="512"/>
      <c r="F59" s="512"/>
      <c r="G59" s="512"/>
      <c r="H59" s="512"/>
      <c r="I59" s="518"/>
      <c r="J59" s="362"/>
      <c r="K59" s="1874"/>
      <c r="L59" s="478"/>
      <c r="M59" s="1838"/>
    </row>
    <row r="60" spans="2:13" s="81" customFormat="1">
      <c r="B60" s="1756"/>
      <c r="C60" s="1943"/>
      <c r="D60" s="634" t="s">
        <v>635</v>
      </c>
      <c r="E60" s="512"/>
      <c r="F60" s="512"/>
      <c r="G60" s="512"/>
      <c r="H60" s="512"/>
      <c r="I60" s="518"/>
      <c r="J60" s="362"/>
      <c r="K60" s="1874"/>
      <c r="L60" s="478"/>
      <c r="M60" s="1838"/>
    </row>
    <row r="61" spans="2:13" ht="21.5" customHeight="1">
      <c r="B61" s="1756"/>
      <c r="C61" s="1943"/>
      <c r="D61" s="653" t="s">
        <v>592</v>
      </c>
      <c r="E61" s="513"/>
      <c r="F61" s="513"/>
      <c r="G61" s="513"/>
      <c r="H61" s="513"/>
      <c r="I61" s="545"/>
      <c r="K61" s="1874"/>
      <c r="L61" s="476"/>
      <c r="M61" s="1838"/>
    </row>
    <row r="62" spans="2:13" ht="15" thickBot="1">
      <c r="B62" s="1759"/>
      <c r="C62" s="1944"/>
      <c r="D62" s="936" t="s">
        <v>599</v>
      </c>
      <c r="E62" s="917"/>
      <c r="F62" s="917"/>
      <c r="G62" s="917"/>
      <c r="H62" s="917"/>
      <c r="I62" s="918"/>
      <c r="K62" s="1875"/>
      <c r="L62" s="477"/>
      <c r="M62" s="1838"/>
    </row>
    <row r="63" spans="2:13">
      <c r="B63" s="1755" t="s">
        <v>134</v>
      </c>
      <c r="C63" s="873" t="s">
        <v>404</v>
      </c>
      <c r="D63" s="751" t="s">
        <v>601</v>
      </c>
      <c r="E63" s="589"/>
      <c r="F63" s="589"/>
      <c r="G63" s="589"/>
      <c r="H63" s="589"/>
      <c r="I63" s="723"/>
      <c r="K63" s="1876" t="s">
        <v>1406</v>
      </c>
      <c r="L63" s="409"/>
      <c r="M63" s="440"/>
    </row>
    <row r="64" spans="2:13" ht="15" thickBot="1">
      <c r="B64" s="1759"/>
      <c r="C64" s="937" t="s">
        <v>602</v>
      </c>
      <c r="D64" s="925" t="s">
        <v>473</v>
      </c>
      <c r="E64" s="917"/>
      <c r="F64" s="917"/>
      <c r="G64" s="917"/>
      <c r="H64" s="917"/>
      <c r="I64" s="918"/>
      <c r="K64" s="1877"/>
      <c r="L64" s="447" t="s">
        <v>472</v>
      </c>
      <c r="M64" s="444"/>
    </row>
    <row r="65" spans="1:13" ht="28">
      <c r="B65" s="1755" t="s">
        <v>135</v>
      </c>
      <c r="C65" s="873" t="s">
        <v>603</v>
      </c>
      <c r="D65" s="726" t="s">
        <v>549</v>
      </c>
      <c r="E65" s="589"/>
      <c r="F65" s="589"/>
      <c r="G65" s="589"/>
      <c r="H65" s="589"/>
      <c r="I65" s="723"/>
      <c r="K65" s="1160" t="s">
        <v>1421</v>
      </c>
      <c r="L65" s="410" t="s">
        <v>428</v>
      </c>
      <c r="M65" s="440"/>
    </row>
    <row r="66" spans="1:13" s="1165" customFormat="1">
      <c r="B66" s="1756"/>
      <c r="C66" s="1291" t="s">
        <v>248</v>
      </c>
      <c r="D66" s="1225" t="s">
        <v>664</v>
      </c>
      <c r="E66" s="1167"/>
      <c r="F66" s="1167"/>
      <c r="G66" s="1167"/>
      <c r="H66" s="1167"/>
      <c r="I66" s="1168"/>
      <c r="J66" s="1164"/>
      <c r="K66" s="1227" t="s">
        <v>392</v>
      </c>
      <c r="L66" s="1176"/>
      <c r="M66" s="1208"/>
    </row>
    <row r="67" spans="1:13" s="1165" customFormat="1">
      <c r="B67" s="1756"/>
      <c r="C67" s="1233" t="s">
        <v>249</v>
      </c>
      <c r="D67" s="1226" t="s">
        <v>665</v>
      </c>
      <c r="E67" s="1167"/>
      <c r="F67" s="1167"/>
      <c r="G67" s="1167"/>
      <c r="H67" s="1167"/>
      <c r="I67" s="1168"/>
      <c r="J67" s="1164"/>
      <c r="K67" s="1227" t="s">
        <v>401</v>
      </c>
      <c r="L67" s="1176"/>
      <c r="M67" s="1208"/>
    </row>
    <row r="68" spans="1:13">
      <c r="B68" s="1756"/>
      <c r="C68" s="1893" t="s">
        <v>250</v>
      </c>
      <c r="D68" s="634" t="s">
        <v>325</v>
      </c>
      <c r="E68" s="513"/>
      <c r="F68" s="513"/>
      <c r="G68" s="513"/>
      <c r="H68" s="513"/>
      <c r="I68" s="545"/>
      <c r="K68" s="1159" t="s">
        <v>1421</v>
      </c>
      <c r="L68" s="463"/>
      <c r="M68" s="441"/>
    </row>
    <row r="69" spans="1:13">
      <c r="B69" s="1756"/>
      <c r="C69" s="1893"/>
      <c r="D69" s="634" t="s">
        <v>537</v>
      </c>
      <c r="E69" s="513"/>
      <c r="F69" s="513"/>
      <c r="G69" s="513"/>
      <c r="H69" s="513"/>
      <c r="I69" s="545"/>
      <c r="K69" s="1159" t="s">
        <v>1421</v>
      </c>
      <c r="L69" s="463"/>
      <c r="M69" s="441"/>
    </row>
    <row r="70" spans="1:13" ht="15" thickBot="1">
      <c r="B70" s="1759"/>
      <c r="C70" s="1934"/>
      <c r="D70" s="925" t="s">
        <v>326</v>
      </c>
      <c r="E70" s="917"/>
      <c r="F70" s="917"/>
      <c r="G70" s="917"/>
      <c r="H70" s="917"/>
      <c r="I70" s="918"/>
      <c r="K70" s="1297" t="s">
        <v>1421</v>
      </c>
      <c r="L70" s="398"/>
      <c r="M70" s="444"/>
    </row>
    <row r="71" spans="1:13">
      <c r="A71" s="1945" t="s">
        <v>137</v>
      </c>
      <c r="B71" s="1755" t="s">
        <v>138</v>
      </c>
      <c r="C71" s="1948" t="s">
        <v>438</v>
      </c>
      <c r="D71" s="756" t="s">
        <v>1435</v>
      </c>
      <c r="E71" s="589"/>
      <c r="F71" s="589"/>
      <c r="G71" s="589"/>
      <c r="H71" s="589"/>
      <c r="I71" s="723"/>
      <c r="K71" s="1160" t="s">
        <v>1406</v>
      </c>
      <c r="L71" s="396"/>
      <c r="M71" s="440"/>
    </row>
    <row r="72" spans="1:13" ht="29.25" customHeight="1">
      <c r="A72" s="1946"/>
      <c r="B72" s="1756"/>
      <c r="C72" s="1949"/>
      <c r="D72" s="590" t="s">
        <v>1582</v>
      </c>
      <c r="E72" s="513"/>
      <c r="F72" s="513"/>
      <c r="G72" s="513"/>
      <c r="H72" s="513"/>
      <c r="I72" s="545"/>
      <c r="K72" s="1159" t="s">
        <v>1421</v>
      </c>
      <c r="L72" s="504" t="s">
        <v>398</v>
      </c>
      <c r="M72" s="441"/>
    </row>
    <row r="73" spans="1:13" ht="28">
      <c r="A73" s="1946"/>
      <c r="B73" s="1756"/>
      <c r="C73" s="1949"/>
      <c r="D73" s="591" t="s">
        <v>879</v>
      </c>
      <c r="E73" s="513"/>
      <c r="F73" s="513">
        <v>1</v>
      </c>
      <c r="G73" s="513">
        <f>+F73*'PROGRAMA ARQ.'!$E$19</f>
        <v>2</v>
      </c>
      <c r="H73" s="513"/>
      <c r="I73" s="545"/>
      <c r="K73" s="1161" t="s">
        <v>1421</v>
      </c>
      <c r="L73" s="504" t="s">
        <v>398</v>
      </c>
      <c r="M73" s="441"/>
    </row>
    <row r="74" spans="1:13">
      <c r="A74" s="1946"/>
      <c r="B74" s="1756"/>
      <c r="C74" s="874" t="s">
        <v>251</v>
      </c>
      <c r="D74" s="591" t="s">
        <v>604</v>
      </c>
      <c r="E74" s="513"/>
      <c r="F74" s="513">
        <v>1</v>
      </c>
      <c r="G74" s="513">
        <f>+F74*'PROGRAMA ARQ.'!$E$19</f>
        <v>2</v>
      </c>
      <c r="H74" s="513"/>
      <c r="I74" s="545"/>
      <c r="K74" s="1161" t="s">
        <v>1421</v>
      </c>
      <c r="L74" s="504" t="s">
        <v>398</v>
      </c>
      <c r="M74" s="441"/>
    </row>
    <row r="75" spans="1:13">
      <c r="A75" s="1946"/>
      <c r="B75" s="1756"/>
      <c r="C75" s="874" t="s">
        <v>253</v>
      </c>
      <c r="D75" s="513" t="s">
        <v>298</v>
      </c>
      <c r="E75" s="513"/>
      <c r="F75" s="513"/>
      <c r="G75" s="642"/>
      <c r="H75" s="513"/>
      <c r="I75" s="545"/>
      <c r="K75" s="1159" t="str">
        <f>D75</f>
        <v>No aplica</v>
      </c>
      <c r="L75" s="463"/>
      <c r="M75" s="441"/>
    </row>
    <row r="76" spans="1:13" ht="15" thickBot="1">
      <c r="A76" s="1946"/>
      <c r="B76" s="1759"/>
      <c r="C76" s="897" t="s">
        <v>255</v>
      </c>
      <c r="D76" s="917" t="s">
        <v>298</v>
      </c>
      <c r="E76" s="917"/>
      <c r="F76" s="917"/>
      <c r="G76" s="938"/>
      <c r="H76" s="917"/>
      <c r="I76" s="918"/>
      <c r="K76" s="1292" t="str">
        <f>D76</f>
        <v>No aplica</v>
      </c>
      <c r="L76" s="411" t="s">
        <v>398</v>
      </c>
      <c r="M76" s="444"/>
    </row>
    <row r="77" spans="1:13" ht="29" thickBot="1">
      <c r="A77" s="1946"/>
      <c r="B77" s="1755" t="s">
        <v>139</v>
      </c>
      <c r="C77" s="867" t="s">
        <v>256</v>
      </c>
      <c r="D77" s="761" t="s">
        <v>606</v>
      </c>
      <c r="E77" s="589"/>
      <c r="F77" s="589"/>
      <c r="G77" s="762"/>
      <c r="H77" s="589"/>
      <c r="I77" s="723"/>
      <c r="K77" s="1142" t="s">
        <v>1406</v>
      </c>
      <c r="L77" s="412" t="s">
        <v>398</v>
      </c>
      <c r="M77" s="440"/>
    </row>
    <row r="78" spans="1:13" ht="29" thickBot="1">
      <c r="A78" s="1946"/>
      <c r="B78" s="1759"/>
      <c r="C78" s="919" t="s">
        <v>257</v>
      </c>
      <c r="D78" s="936" t="s">
        <v>666</v>
      </c>
      <c r="E78" s="917"/>
      <c r="F78" s="917"/>
      <c r="G78" s="938"/>
      <c r="H78" s="917"/>
      <c r="I78" s="918"/>
      <c r="K78" s="1143" t="s">
        <v>1406</v>
      </c>
      <c r="L78" s="398"/>
      <c r="M78" s="444"/>
    </row>
    <row r="79" spans="1:13" ht="45.5" customHeight="1" thickBot="1">
      <c r="A79" s="1946"/>
      <c r="B79" s="1755" t="s">
        <v>142</v>
      </c>
      <c r="C79" s="1950"/>
      <c r="D79" s="764" t="s">
        <v>667</v>
      </c>
      <c r="E79" s="589"/>
      <c r="F79" s="589"/>
      <c r="G79" s="762"/>
      <c r="H79" s="589"/>
      <c r="I79" s="723"/>
      <c r="K79" s="1143" t="s">
        <v>1421</v>
      </c>
      <c r="L79" s="396"/>
      <c r="M79" s="440"/>
    </row>
    <row r="80" spans="1:13" ht="15" thickBot="1">
      <c r="A80" s="1946"/>
      <c r="B80" s="1756"/>
      <c r="C80" s="1951"/>
      <c r="D80" s="1395" t="s">
        <v>1485</v>
      </c>
      <c r="E80" s="513"/>
      <c r="F80" s="513"/>
      <c r="G80" s="642"/>
      <c r="H80" s="513"/>
      <c r="I80" s="545"/>
      <c r="K80" s="1143" t="s">
        <v>1406</v>
      </c>
      <c r="L80" s="463"/>
      <c r="M80" s="441"/>
    </row>
    <row r="81" spans="1:13" ht="32" customHeight="1" thickBot="1">
      <c r="A81" s="1946"/>
      <c r="B81" s="1759"/>
      <c r="C81" s="1952"/>
      <c r="D81" s="936" t="s">
        <v>611</v>
      </c>
      <c r="E81" s="917"/>
      <c r="F81" s="917"/>
      <c r="G81" s="938"/>
      <c r="H81" s="917"/>
      <c r="I81" s="918"/>
      <c r="K81" s="1143" t="s">
        <v>1406</v>
      </c>
      <c r="L81" s="398"/>
      <c r="M81" s="444"/>
    </row>
    <row r="82" spans="1:13" ht="15" thickBot="1">
      <c r="A82" s="1947"/>
      <c r="B82" s="903" t="s">
        <v>264</v>
      </c>
      <c r="C82" s="771"/>
      <c r="D82" s="765" t="s">
        <v>1436</v>
      </c>
      <c r="E82" s="593"/>
      <c r="F82" s="593"/>
      <c r="G82" s="593"/>
      <c r="H82" s="593"/>
      <c r="I82" s="721"/>
      <c r="K82" s="1143" t="s">
        <v>1406</v>
      </c>
      <c r="L82" s="355" t="s">
        <v>396</v>
      </c>
      <c r="M82" s="439"/>
    </row>
  </sheetData>
  <autoFilter ref="A1:M82"/>
  <mergeCells count="36">
    <mergeCell ref="B65:B70"/>
    <mergeCell ref="C68:C70"/>
    <mergeCell ref="A71:A82"/>
    <mergeCell ref="B71:B76"/>
    <mergeCell ref="C71:C73"/>
    <mergeCell ref="B77:B78"/>
    <mergeCell ref="B79:B81"/>
    <mergeCell ref="C79:C81"/>
    <mergeCell ref="B57:B62"/>
    <mergeCell ref="K57:K62"/>
    <mergeCell ref="M57:M62"/>
    <mergeCell ref="B63:B64"/>
    <mergeCell ref="K63:K64"/>
    <mergeCell ref="C57:C62"/>
    <mergeCell ref="M49:M50"/>
    <mergeCell ref="B13:B22"/>
    <mergeCell ref="C13:C14"/>
    <mergeCell ref="C15:C18"/>
    <mergeCell ref="C21:C22"/>
    <mergeCell ref="B25:B33"/>
    <mergeCell ref="B34:B40"/>
    <mergeCell ref="C34:C35"/>
    <mergeCell ref="C37:C38"/>
    <mergeCell ref="B41:B54"/>
    <mergeCell ref="C25:C33"/>
    <mergeCell ref="K8:K10"/>
    <mergeCell ref="K41:K54"/>
    <mergeCell ref="B56:C56"/>
    <mergeCell ref="B2:I2"/>
    <mergeCell ref="E5:I5"/>
    <mergeCell ref="E3:I3"/>
    <mergeCell ref="E4:I4"/>
    <mergeCell ref="B23:B24"/>
    <mergeCell ref="B8:C11"/>
    <mergeCell ref="B12:C12"/>
    <mergeCell ref="C49:C50"/>
  </mergeCells>
  <conditionalFormatting sqref="B6:M6">
    <cfRule type="containsText" dxfId="60" priority="2" operator="containsText" text="0">
      <formula>NOT(ISERROR(SEARCH("0",B6)))</formula>
    </cfRule>
  </conditionalFormatting>
  <pageMargins left="0.70866141732283472" right="0.70866141732283472" top="0.74803149606299213" bottom="0.74803149606299213" header="0.31496062992125984" footer="0.31496062992125984"/>
  <pageSetup scale="65" fitToHeight="0" orientation="portrait"/>
  <rowBreaks count="2" manualBreakCount="2">
    <brk id="33" max="8" man="1"/>
    <brk id="70"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0091AF6F-C3C6-43ED-8092-E4B504A38CC6}">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05" operator="containsText" text="0" id="{0091AF6F-C3C6-43ED-8092-E4B504A38CC6}">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theme="3" tint="0.79998168889431442"/>
    <pageSetUpPr fitToPage="1"/>
  </sheetPr>
  <dimension ref="A1:N89"/>
  <sheetViews>
    <sheetView topLeftCell="A63" zoomScale="80" zoomScaleNormal="80" zoomScaleSheetLayoutView="100" zoomScalePageLayoutView="80" workbookViewId="0">
      <selection activeCell="K8" sqref="K8:K14"/>
    </sheetView>
  </sheetViews>
  <sheetFormatPr baseColWidth="10" defaultColWidth="11.5" defaultRowHeight="14" x14ac:dyDescent="0"/>
  <cols>
    <col min="1" max="1" width="2.83203125" style="310" customWidth="1"/>
    <col min="2" max="2" width="30.6640625" style="387" customWidth="1"/>
    <col min="3" max="3" width="30.6640625" style="386" customWidth="1"/>
    <col min="4" max="4" width="63.5" style="350" bestFit="1" customWidth="1"/>
    <col min="5" max="9" width="3.6640625" style="350" customWidth="1"/>
    <col min="10" max="10" width="7.5" style="362" customWidth="1"/>
    <col min="11" max="11" width="50.6640625" style="496" customWidth="1"/>
    <col min="12" max="12" width="30.6640625" style="386" customWidth="1"/>
    <col min="13" max="13" width="3.6640625" style="35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5" customHeight="1" thickBot="1">
      <c r="B6" s="835" t="str">
        <f>+'PROGRAMA ARQ.'!C23</f>
        <v>1.6</v>
      </c>
      <c r="C6" s="835" t="str">
        <f>+'PROGRAMA ARQ.'!D23</f>
        <v>SALA EXPANSIÓN NIVEL MEDIO</v>
      </c>
      <c r="D6" s="836">
        <f>+'PROGRAMA ARQ.'!F23</f>
        <v>24</v>
      </c>
      <c r="E6" s="848" t="s">
        <v>366</v>
      </c>
      <c r="F6" s="838" t="s">
        <v>544</v>
      </c>
      <c r="G6" s="838" t="s">
        <v>2</v>
      </c>
      <c r="H6" s="838" t="s">
        <v>171</v>
      </c>
      <c r="I6" s="840" t="s">
        <v>172</v>
      </c>
      <c r="J6" s="608"/>
      <c r="K6" s="1146" t="s">
        <v>293</v>
      </c>
      <c r="L6" s="849" t="s">
        <v>120</v>
      </c>
      <c r="M6" s="850" t="s">
        <v>178</v>
      </c>
    </row>
    <row r="7" spans="2:13" s="367" customFormat="1" ht="16" thickBot="1">
      <c r="B7" s="667" t="s">
        <v>1378</v>
      </c>
      <c r="C7" s="667" t="s">
        <v>1379</v>
      </c>
      <c r="D7" s="670" t="s">
        <v>1380</v>
      </c>
      <c r="E7" s="671"/>
      <c r="F7" s="672"/>
      <c r="G7" s="672"/>
      <c r="H7" s="671"/>
      <c r="I7" s="673"/>
      <c r="J7" s="595"/>
      <c r="K7" s="236"/>
      <c r="L7" s="697"/>
      <c r="M7" s="707"/>
    </row>
    <row r="8" spans="2:13" ht="172.25" customHeight="1">
      <c r="B8" s="1827" t="s">
        <v>122</v>
      </c>
      <c r="C8" s="1900"/>
      <c r="D8" s="1953" t="s">
        <v>1381</v>
      </c>
      <c r="E8" s="1953"/>
      <c r="F8" s="1953"/>
      <c r="G8" s="1953"/>
      <c r="H8" s="395"/>
      <c r="I8" s="399"/>
      <c r="K8" s="1149" t="s">
        <v>1405</v>
      </c>
      <c r="L8" s="456" t="s">
        <v>482</v>
      </c>
      <c r="M8" s="437"/>
    </row>
    <row r="9" spans="2:13">
      <c r="B9" s="1829"/>
      <c r="C9" s="1933"/>
      <c r="D9" s="591" t="s">
        <v>613</v>
      </c>
      <c r="E9" s="513"/>
      <c r="F9" s="513"/>
      <c r="G9" s="513"/>
      <c r="H9" s="513"/>
      <c r="I9" s="545"/>
      <c r="K9" s="1149" t="s">
        <v>1406</v>
      </c>
      <c r="L9" s="389"/>
      <c r="M9" s="437"/>
    </row>
    <row r="10" spans="2:13" ht="28">
      <c r="B10" s="1829"/>
      <c r="C10" s="1933"/>
      <c r="D10" s="591" t="s">
        <v>1367</v>
      </c>
      <c r="E10" s="513"/>
      <c r="F10" s="513"/>
      <c r="G10" s="513"/>
      <c r="H10" s="513"/>
      <c r="I10" s="545"/>
      <c r="K10" s="1149" t="s">
        <v>1406</v>
      </c>
      <c r="L10" s="463"/>
      <c r="M10" s="437"/>
    </row>
    <row r="11" spans="2:13">
      <c r="B11" s="1829"/>
      <c r="C11" s="1933"/>
      <c r="D11" s="591" t="s">
        <v>869</v>
      </c>
      <c r="E11" s="513"/>
      <c r="F11" s="513"/>
      <c r="G11" s="513"/>
      <c r="H11" s="513"/>
      <c r="I11" s="545"/>
      <c r="K11" s="1149" t="s">
        <v>1406</v>
      </c>
      <c r="L11" s="454"/>
      <c r="M11" s="437"/>
    </row>
    <row r="12" spans="2:13" ht="15" thickBot="1">
      <c r="B12" s="1829"/>
      <c r="C12" s="1933"/>
      <c r="D12" s="939" t="s">
        <v>870</v>
      </c>
      <c r="E12" s="917"/>
      <c r="F12" s="917"/>
      <c r="G12" s="917"/>
      <c r="H12" s="917"/>
      <c r="I12" s="918"/>
      <c r="K12" s="1149" t="s">
        <v>1406</v>
      </c>
      <c r="L12" s="455"/>
      <c r="M12" s="438"/>
    </row>
    <row r="13" spans="2:13" ht="84">
      <c r="B13" s="1827" t="s">
        <v>1389</v>
      </c>
      <c r="C13" s="1900"/>
      <c r="D13" s="773" t="s">
        <v>619</v>
      </c>
      <c r="E13" s="589"/>
      <c r="F13" s="589"/>
      <c r="G13" s="589"/>
      <c r="H13" s="589"/>
      <c r="I13" s="723"/>
      <c r="K13" s="1149" t="s">
        <v>1406</v>
      </c>
      <c r="L13" s="357" t="s">
        <v>430</v>
      </c>
      <c r="M13" s="440"/>
    </row>
    <row r="14" spans="2:13" s="81" customFormat="1" ht="29" thickBot="1">
      <c r="B14" s="1831"/>
      <c r="C14" s="1832"/>
      <c r="D14" s="940" t="s">
        <v>492</v>
      </c>
      <c r="E14" s="532"/>
      <c r="F14" s="532"/>
      <c r="G14" s="532"/>
      <c r="H14" s="532"/>
      <c r="I14" s="533"/>
      <c r="J14" s="362"/>
      <c r="K14" s="1149" t="s">
        <v>1406</v>
      </c>
      <c r="L14" s="448"/>
      <c r="M14" s="419"/>
    </row>
    <row r="15" spans="2:13" ht="28">
      <c r="B15" s="1755" t="s">
        <v>143</v>
      </c>
      <c r="C15" s="1892" t="s">
        <v>241</v>
      </c>
      <c r="D15" s="722" t="s">
        <v>488</v>
      </c>
      <c r="E15" s="589"/>
      <c r="F15" s="589"/>
      <c r="G15" s="589"/>
      <c r="H15" s="589"/>
      <c r="I15" s="723"/>
      <c r="K15" s="1149" t="s">
        <v>1406</v>
      </c>
      <c r="L15" s="473" t="s">
        <v>674</v>
      </c>
      <c r="M15" s="440"/>
    </row>
    <row r="16" spans="2:13" s="1165" customFormat="1">
      <c r="B16" s="1756"/>
      <c r="C16" s="1893"/>
      <c r="D16" s="1286">
        <f>+'PROGRAMA ARQ.'!L23</f>
        <v>4.08</v>
      </c>
      <c r="E16" s="1167" t="s">
        <v>258</v>
      </c>
      <c r="F16" s="1167"/>
      <c r="G16" s="1167"/>
      <c r="H16" s="1167"/>
      <c r="I16" s="1168"/>
      <c r="J16" s="1164"/>
      <c r="K16" s="1218" t="s">
        <v>1439</v>
      </c>
      <c r="L16" s="1298" t="s">
        <v>627</v>
      </c>
      <c r="M16" s="1208"/>
    </row>
    <row r="17" spans="2:14" s="1165" customFormat="1" ht="28">
      <c r="B17" s="1756"/>
      <c r="C17" s="1893"/>
      <c r="D17" s="1243" t="s">
        <v>429</v>
      </c>
      <c r="E17" s="1167"/>
      <c r="F17" s="1167"/>
      <c r="G17" s="1167"/>
      <c r="H17" s="1167"/>
      <c r="I17" s="1168"/>
      <c r="J17" s="1164"/>
      <c r="K17" s="1234" t="s">
        <v>871</v>
      </c>
      <c r="L17" s="1244"/>
      <c r="M17" s="1245"/>
      <c r="N17" s="1176"/>
    </row>
    <row r="18" spans="2:14" ht="28">
      <c r="B18" s="1756"/>
      <c r="C18" s="1893"/>
      <c r="D18" s="633" t="s">
        <v>615</v>
      </c>
      <c r="E18" s="513"/>
      <c r="F18" s="513"/>
      <c r="G18" s="513"/>
      <c r="H18" s="513"/>
      <c r="I18" s="545"/>
      <c r="K18" s="1149" t="s">
        <v>1406</v>
      </c>
      <c r="L18" s="457" t="s">
        <v>428</v>
      </c>
      <c r="M18" s="441"/>
    </row>
    <row r="19" spans="2:14">
      <c r="B19" s="1756"/>
      <c r="C19" s="1893"/>
      <c r="D19" s="590" t="s">
        <v>872</v>
      </c>
      <c r="E19" s="513"/>
      <c r="F19" s="513"/>
      <c r="G19" s="513"/>
      <c r="H19" s="513"/>
      <c r="I19" s="545"/>
      <c r="K19" s="1149" t="s">
        <v>1421</v>
      </c>
      <c r="L19" s="457" t="s">
        <v>427</v>
      </c>
      <c r="M19" s="441"/>
    </row>
    <row r="20" spans="2:14">
      <c r="B20" s="1756"/>
      <c r="C20" s="1893" t="s">
        <v>242</v>
      </c>
      <c r="D20" s="640" t="s">
        <v>489</v>
      </c>
      <c r="E20" s="513"/>
      <c r="F20" s="513"/>
      <c r="G20" s="513"/>
      <c r="H20" s="513"/>
      <c r="I20" s="545"/>
      <c r="K20" s="1149" t="s">
        <v>1406</v>
      </c>
      <c r="L20" s="458"/>
      <c r="M20" s="441"/>
    </row>
    <row r="21" spans="2:14" s="1165" customFormat="1">
      <c r="B21" s="1756"/>
      <c r="C21" s="1893"/>
      <c r="D21" s="1217">
        <f>+'PROGRAMA ARQ.'!M23</f>
        <v>1.92</v>
      </c>
      <c r="E21" s="1167" t="s">
        <v>258</v>
      </c>
      <c r="F21" s="1167"/>
      <c r="G21" s="1167"/>
      <c r="H21" s="1167"/>
      <c r="I21" s="1168"/>
      <c r="J21" s="1164"/>
      <c r="K21" s="1218" t="s">
        <v>1439</v>
      </c>
      <c r="L21" s="1248" t="s">
        <v>259</v>
      </c>
      <c r="M21" s="1288"/>
    </row>
    <row r="22" spans="2:14" s="81" customFormat="1">
      <c r="B22" s="1756"/>
      <c r="C22" s="1893"/>
      <c r="D22" s="634" t="s">
        <v>496</v>
      </c>
      <c r="E22" s="512"/>
      <c r="F22" s="512"/>
      <c r="G22" s="512"/>
      <c r="H22" s="512"/>
      <c r="I22" s="518"/>
      <c r="J22" s="362"/>
      <c r="K22" s="1125" t="s">
        <v>1421</v>
      </c>
      <c r="L22" s="449" t="s">
        <v>628</v>
      </c>
      <c r="M22" s="418"/>
    </row>
    <row r="23" spans="2:14">
      <c r="B23" s="1756"/>
      <c r="C23" s="1893"/>
      <c r="D23" s="628" t="s">
        <v>551</v>
      </c>
      <c r="E23" s="513"/>
      <c r="F23" s="513"/>
      <c r="G23" s="513"/>
      <c r="H23" s="513"/>
      <c r="I23" s="545"/>
      <c r="K23" s="1142" t="s">
        <v>1421</v>
      </c>
      <c r="L23" s="479" t="s">
        <v>554</v>
      </c>
      <c r="M23" s="441"/>
    </row>
    <row r="24" spans="2:14">
      <c r="B24" s="1756"/>
      <c r="C24" s="868" t="s">
        <v>426</v>
      </c>
      <c r="D24" s="628" t="s">
        <v>634</v>
      </c>
      <c r="E24" s="513"/>
      <c r="F24" s="513"/>
      <c r="G24" s="513"/>
      <c r="H24" s="513"/>
      <c r="I24" s="545"/>
      <c r="K24" s="1154" t="s">
        <v>1406</v>
      </c>
      <c r="L24" s="389"/>
      <c r="M24" s="437"/>
    </row>
    <row r="25" spans="2:14" s="81" customFormat="1" ht="28">
      <c r="B25" s="1756"/>
      <c r="C25" s="1882" t="s">
        <v>243</v>
      </c>
      <c r="D25" s="628" t="s">
        <v>575</v>
      </c>
      <c r="E25" s="512"/>
      <c r="F25" s="512"/>
      <c r="G25" s="512"/>
      <c r="H25" s="512"/>
      <c r="I25" s="518"/>
      <c r="J25" s="362"/>
      <c r="K25" s="1154" t="s">
        <v>1406</v>
      </c>
      <c r="L25" s="459" t="s">
        <v>500</v>
      </c>
      <c r="M25" s="424"/>
    </row>
    <row r="26" spans="2:14" s="81" customFormat="1">
      <c r="B26" s="1756"/>
      <c r="C26" s="1882"/>
      <c r="D26" s="633" t="s">
        <v>425</v>
      </c>
      <c r="E26" s="512"/>
      <c r="F26" s="512"/>
      <c r="G26" s="512"/>
      <c r="H26" s="512"/>
      <c r="I26" s="518"/>
      <c r="J26" s="362"/>
      <c r="K26" s="1154" t="s">
        <v>1406</v>
      </c>
      <c r="L26" s="458"/>
      <c r="M26" s="424"/>
    </row>
    <row r="27" spans="2:14" s="81" customFormat="1" ht="28">
      <c r="B27" s="1756"/>
      <c r="C27" s="1882"/>
      <c r="D27" s="633" t="s">
        <v>576</v>
      </c>
      <c r="E27" s="512"/>
      <c r="F27" s="512"/>
      <c r="G27" s="512"/>
      <c r="H27" s="512"/>
      <c r="I27" s="518"/>
      <c r="J27" s="362"/>
      <c r="K27" s="1154" t="s">
        <v>1406</v>
      </c>
      <c r="L27" s="458"/>
      <c r="M27" s="424"/>
    </row>
    <row r="28" spans="2:14" s="81" customFormat="1">
      <c r="B28" s="1756"/>
      <c r="C28" s="1882"/>
      <c r="D28" s="633" t="s">
        <v>873</v>
      </c>
      <c r="E28" s="512"/>
      <c r="F28" s="512"/>
      <c r="G28" s="512"/>
      <c r="H28" s="512"/>
      <c r="I28" s="518"/>
      <c r="J28" s="362"/>
      <c r="K28" s="1154" t="s">
        <v>1406</v>
      </c>
      <c r="L28" s="458"/>
      <c r="M28" s="424"/>
    </row>
    <row r="29" spans="2:14" s="81" customFormat="1">
      <c r="B29" s="1756"/>
      <c r="C29" s="1882"/>
      <c r="D29" s="633" t="s">
        <v>874</v>
      </c>
      <c r="E29" s="512"/>
      <c r="F29" s="512"/>
      <c r="G29" s="512"/>
      <c r="H29" s="512"/>
      <c r="I29" s="518"/>
      <c r="J29" s="362"/>
      <c r="K29" s="1125" t="s">
        <v>501</v>
      </c>
      <c r="L29" s="472" t="s">
        <v>673</v>
      </c>
      <c r="M29" s="424"/>
    </row>
    <row r="30" spans="2:14" s="1165" customFormat="1" ht="28">
      <c r="B30" s="1756"/>
      <c r="C30" s="1882" t="s">
        <v>244</v>
      </c>
      <c r="D30" s="1217" t="s">
        <v>502</v>
      </c>
      <c r="E30" s="1167"/>
      <c r="F30" s="1167"/>
      <c r="G30" s="1167"/>
      <c r="H30" s="1167"/>
      <c r="I30" s="1168"/>
      <c r="J30" s="1164"/>
      <c r="K30" s="1218" t="s">
        <v>261</v>
      </c>
      <c r="L30" s="1246"/>
      <c r="M30" s="1247"/>
    </row>
    <row r="31" spans="2:14" s="81" customFormat="1" ht="15" thickBot="1">
      <c r="B31" s="1759"/>
      <c r="C31" s="1959"/>
      <c r="D31" s="916" t="s">
        <v>503</v>
      </c>
      <c r="E31" s="532"/>
      <c r="F31" s="532"/>
      <c r="G31" s="532"/>
      <c r="H31" s="532"/>
      <c r="I31" s="533"/>
      <c r="J31" s="362"/>
      <c r="K31" s="1154" t="s">
        <v>1406</v>
      </c>
      <c r="L31" s="460"/>
      <c r="M31" s="425"/>
    </row>
    <row r="32" spans="2:14" s="81" customFormat="1">
      <c r="B32" s="1935" t="s">
        <v>144</v>
      </c>
      <c r="C32" s="885" t="s">
        <v>245</v>
      </c>
      <c r="D32" s="776" t="s">
        <v>423</v>
      </c>
      <c r="E32" s="528"/>
      <c r="F32" s="528"/>
      <c r="G32" s="528"/>
      <c r="H32" s="528"/>
      <c r="I32" s="529"/>
      <c r="J32" s="362"/>
      <c r="K32" s="1124" t="s">
        <v>501</v>
      </c>
      <c r="L32" s="1925" t="s">
        <v>671</v>
      </c>
      <c r="M32" s="417"/>
    </row>
    <row r="33" spans="2:13" s="81" customFormat="1">
      <c r="B33" s="1936"/>
      <c r="C33" s="1882" t="s">
        <v>246</v>
      </c>
      <c r="D33" s="633" t="s">
        <v>441</v>
      </c>
      <c r="E33" s="512"/>
      <c r="F33" s="512"/>
      <c r="G33" s="512"/>
      <c r="H33" s="512"/>
      <c r="I33" s="518"/>
      <c r="J33" s="362"/>
      <c r="K33" s="1125" t="s">
        <v>501</v>
      </c>
      <c r="L33" s="1926"/>
      <c r="M33" s="418"/>
    </row>
    <row r="34" spans="2:13" s="81" customFormat="1">
      <c r="B34" s="1936"/>
      <c r="C34" s="1882"/>
      <c r="D34" s="633" t="s">
        <v>422</v>
      </c>
      <c r="E34" s="512"/>
      <c r="F34" s="512"/>
      <c r="G34" s="512"/>
      <c r="H34" s="512"/>
      <c r="I34" s="518"/>
      <c r="J34" s="362"/>
      <c r="K34" s="1125" t="s">
        <v>501</v>
      </c>
      <c r="L34" s="1926"/>
      <c r="M34" s="418"/>
    </row>
    <row r="35" spans="2:13" s="81" customFormat="1">
      <c r="B35" s="1936"/>
      <c r="C35" s="1882"/>
      <c r="D35" s="633" t="s">
        <v>421</v>
      </c>
      <c r="E35" s="512"/>
      <c r="F35" s="512"/>
      <c r="G35" s="512"/>
      <c r="H35" s="512"/>
      <c r="I35" s="518"/>
      <c r="J35" s="362"/>
      <c r="K35" s="1154" t="s">
        <v>1406</v>
      </c>
      <c r="L35" s="1926"/>
      <c r="M35" s="418"/>
    </row>
    <row r="36" spans="2:13" s="81" customFormat="1" ht="15" thickBot="1">
      <c r="B36" s="1937"/>
      <c r="C36" s="1959"/>
      <c r="D36" s="916" t="s">
        <v>420</v>
      </c>
      <c r="E36" s="532"/>
      <c r="F36" s="532"/>
      <c r="G36" s="532"/>
      <c r="H36" s="532"/>
      <c r="I36" s="533"/>
      <c r="J36" s="362"/>
      <c r="K36" s="1154" t="s">
        <v>1406</v>
      </c>
      <c r="L36" s="1927"/>
      <c r="M36" s="419"/>
    </row>
    <row r="37" spans="2:13">
      <c r="B37" s="1755" t="s">
        <v>141</v>
      </c>
      <c r="C37" s="1963"/>
      <c r="D37" s="726" t="s">
        <v>481</v>
      </c>
      <c r="E37" s="589"/>
      <c r="F37" s="589"/>
      <c r="G37" s="589"/>
      <c r="H37" s="589"/>
      <c r="I37" s="723"/>
      <c r="K37" s="1154" t="s">
        <v>1406</v>
      </c>
      <c r="L37" s="357"/>
      <c r="M37" s="440"/>
    </row>
    <row r="38" spans="2:13" ht="15" thickBot="1">
      <c r="B38" s="1759"/>
      <c r="C38" s="1964"/>
      <c r="D38" s="916" t="s">
        <v>418</v>
      </c>
      <c r="E38" s="917"/>
      <c r="F38" s="917"/>
      <c r="G38" s="917"/>
      <c r="H38" s="917"/>
      <c r="I38" s="918"/>
      <c r="K38" s="1154" t="s">
        <v>1406</v>
      </c>
      <c r="L38" s="390"/>
      <c r="M38" s="444"/>
    </row>
    <row r="39" spans="2:13" s="81" customFormat="1">
      <c r="B39" s="1935" t="s">
        <v>140</v>
      </c>
      <c r="C39" s="1899" t="s">
        <v>504</v>
      </c>
      <c r="D39" s="756" t="s">
        <v>1438</v>
      </c>
      <c r="E39" s="528"/>
      <c r="F39" s="528"/>
      <c r="G39" s="528"/>
      <c r="H39" s="528"/>
      <c r="I39" s="529"/>
      <c r="J39" s="362"/>
      <c r="K39" s="1239" t="s">
        <v>303</v>
      </c>
      <c r="L39" s="384"/>
      <c r="M39" s="417"/>
    </row>
    <row r="40" spans="2:13" s="1165" customFormat="1" ht="28">
      <c r="B40" s="1936"/>
      <c r="C40" s="1758"/>
      <c r="D40" s="1226" t="s">
        <v>620</v>
      </c>
      <c r="E40" s="1167"/>
      <c r="F40" s="1167"/>
      <c r="G40" s="1167"/>
      <c r="H40" s="1167"/>
      <c r="I40" s="1168"/>
      <c r="J40" s="1164"/>
      <c r="K40" s="1218" t="s">
        <v>416</v>
      </c>
      <c r="L40" s="1176"/>
      <c r="M40" s="1208"/>
    </row>
    <row r="41" spans="2:13" s="81" customFormat="1" ht="29.5" customHeight="1">
      <c r="B41" s="1936"/>
      <c r="C41" s="1758"/>
      <c r="D41" s="634" t="s">
        <v>506</v>
      </c>
      <c r="E41" s="512"/>
      <c r="F41" s="512"/>
      <c r="G41" s="512"/>
      <c r="H41" s="512"/>
      <c r="I41" s="518"/>
      <c r="J41" s="362"/>
      <c r="K41" s="1151" t="s">
        <v>1421</v>
      </c>
      <c r="L41" s="507"/>
      <c r="M41" s="418"/>
    </row>
    <row r="42" spans="2:13" s="81" customFormat="1">
      <c r="B42" s="1936"/>
      <c r="C42" s="1758"/>
      <c r="D42" s="628" t="s">
        <v>505</v>
      </c>
      <c r="E42" s="512"/>
      <c r="F42" s="512"/>
      <c r="G42" s="512"/>
      <c r="H42" s="512"/>
      <c r="I42" s="518"/>
      <c r="J42" s="362"/>
      <c r="K42" s="1154" t="s">
        <v>1406</v>
      </c>
      <c r="L42" s="507"/>
      <c r="M42" s="418"/>
    </row>
    <row r="43" spans="2:13" s="81" customFormat="1" ht="28">
      <c r="B43" s="1936"/>
      <c r="C43" s="1758" t="s">
        <v>414</v>
      </c>
      <c r="D43" s="628" t="s">
        <v>515</v>
      </c>
      <c r="E43" s="512"/>
      <c r="F43" s="512"/>
      <c r="G43" s="512"/>
      <c r="H43" s="512"/>
      <c r="I43" s="518"/>
      <c r="J43" s="362"/>
      <c r="K43" s="1154" t="s">
        <v>1406</v>
      </c>
      <c r="L43" s="507"/>
      <c r="M43" s="418"/>
    </row>
    <row r="44" spans="2:13" s="81" customFormat="1" ht="28">
      <c r="B44" s="1936"/>
      <c r="C44" s="1758"/>
      <c r="D44" s="628" t="s">
        <v>444</v>
      </c>
      <c r="E44" s="512"/>
      <c r="F44" s="512"/>
      <c r="G44" s="512"/>
      <c r="H44" s="512"/>
      <c r="I44" s="518"/>
      <c r="J44" s="362"/>
      <c r="K44" s="1154" t="s">
        <v>1406</v>
      </c>
      <c r="L44" s="507"/>
      <c r="M44" s="418"/>
    </row>
    <row r="45" spans="2:13" s="81" customFormat="1">
      <c r="B45" s="1936"/>
      <c r="C45" s="1758" t="s">
        <v>256</v>
      </c>
      <c r="D45" s="628" t="s">
        <v>559</v>
      </c>
      <c r="E45" s="512"/>
      <c r="F45" s="512"/>
      <c r="G45" s="512"/>
      <c r="H45" s="512"/>
      <c r="I45" s="518"/>
      <c r="J45" s="362"/>
      <c r="K45" s="1154" t="s">
        <v>1406</v>
      </c>
      <c r="L45" s="507"/>
      <c r="M45" s="418"/>
    </row>
    <row r="46" spans="2:13" s="81" customFormat="1">
      <c r="B46" s="1936"/>
      <c r="C46" s="1758"/>
      <c r="D46" s="628" t="s">
        <v>560</v>
      </c>
      <c r="E46" s="512"/>
      <c r="F46" s="512"/>
      <c r="G46" s="512"/>
      <c r="H46" s="512"/>
      <c r="I46" s="518"/>
      <c r="J46" s="362"/>
      <c r="K46" s="1154" t="s">
        <v>1406</v>
      </c>
      <c r="L46" s="507"/>
      <c r="M46" s="418"/>
    </row>
    <row r="47" spans="2:13" s="81" customFormat="1" ht="15" thickBot="1">
      <c r="B47" s="1937"/>
      <c r="C47" s="941" t="s">
        <v>410</v>
      </c>
      <c r="D47" s="940" t="s">
        <v>514</v>
      </c>
      <c r="E47" s="532"/>
      <c r="F47" s="532"/>
      <c r="G47" s="532"/>
      <c r="H47" s="532"/>
      <c r="I47" s="533"/>
      <c r="J47" s="362"/>
      <c r="K47" s="1126" t="s">
        <v>1421</v>
      </c>
      <c r="L47" s="385"/>
      <c r="M47" s="419"/>
    </row>
    <row r="48" spans="2:13">
      <c r="B48" s="1755" t="s">
        <v>123</v>
      </c>
      <c r="C48" s="779" t="s">
        <v>177</v>
      </c>
      <c r="D48" s="589" t="s">
        <v>616</v>
      </c>
      <c r="E48" s="589"/>
      <c r="F48" s="589">
        <v>1</v>
      </c>
      <c r="G48" s="589">
        <f>+F48*'PROGRAMA ARQ.'!E20</f>
        <v>1</v>
      </c>
      <c r="H48" s="589"/>
      <c r="I48" s="723"/>
      <c r="K48" s="1154" t="s">
        <v>1406</v>
      </c>
      <c r="L48" s="451"/>
      <c r="M48" s="440"/>
    </row>
    <row r="49" spans="2:13" s="81" customFormat="1" ht="31.25" customHeight="1" thickBot="1">
      <c r="B49" s="1759"/>
      <c r="C49" s="942" t="s">
        <v>731</v>
      </c>
      <c r="D49" s="943" t="s">
        <v>807</v>
      </c>
      <c r="E49" s="944"/>
      <c r="F49" s="944"/>
      <c r="G49" s="944"/>
      <c r="H49" s="944"/>
      <c r="I49" s="945"/>
      <c r="K49" s="1154" t="s">
        <v>1406</v>
      </c>
      <c r="L49" s="447" t="s">
        <v>808</v>
      </c>
      <c r="M49" s="419"/>
    </row>
    <row r="50" spans="2:13" ht="15" thickBot="1">
      <c r="B50" s="946" t="s">
        <v>124</v>
      </c>
      <c r="C50" s="947"/>
      <c r="D50" s="948" t="s">
        <v>1440</v>
      </c>
      <c r="E50" s="933"/>
      <c r="F50" s="933">
        <v>1</v>
      </c>
      <c r="G50" s="933">
        <f>+F50*'PROGRAMA ARQ.'!E20</f>
        <v>1</v>
      </c>
      <c r="H50" s="933"/>
      <c r="I50" s="935"/>
      <c r="K50" s="1154" t="s">
        <v>1406</v>
      </c>
      <c r="L50" s="450"/>
      <c r="M50" s="439"/>
    </row>
    <row r="51" spans="2:13" ht="15" thickBot="1">
      <c r="B51" s="946" t="s">
        <v>132</v>
      </c>
      <c r="C51" s="947"/>
      <c r="D51" s="949" t="s">
        <v>618</v>
      </c>
      <c r="E51" s="933"/>
      <c r="F51" s="933"/>
      <c r="G51" s="933"/>
      <c r="H51" s="933"/>
      <c r="I51" s="935"/>
      <c r="K51" s="1147"/>
      <c r="L51" s="450"/>
      <c r="M51" s="453"/>
    </row>
    <row r="52" spans="2:13">
      <c r="B52" s="1755" t="s">
        <v>133</v>
      </c>
      <c r="C52" s="1892" t="s">
        <v>409</v>
      </c>
      <c r="D52" s="751" t="s">
        <v>819</v>
      </c>
      <c r="E52" s="589"/>
      <c r="F52" s="589"/>
      <c r="G52" s="589"/>
      <c r="H52" s="589"/>
      <c r="I52" s="723"/>
      <c r="K52" s="1154" t="s">
        <v>1406</v>
      </c>
      <c r="L52" s="388"/>
      <c r="M52" s="436"/>
    </row>
    <row r="53" spans="2:13" ht="42">
      <c r="B53" s="1756"/>
      <c r="C53" s="1893"/>
      <c r="D53" s="653" t="s">
        <v>621</v>
      </c>
      <c r="E53" s="513"/>
      <c r="F53" s="513"/>
      <c r="G53" s="513"/>
      <c r="H53" s="513"/>
      <c r="I53" s="545"/>
      <c r="K53" s="1154" t="s">
        <v>1406</v>
      </c>
      <c r="L53" s="391"/>
      <c r="M53" s="437"/>
    </row>
    <row r="54" spans="2:13">
      <c r="B54" s="1756"/>
      <c r="C54" s="1893"/>
      <c r="D54" s="634" t="s">
        <v>531</v>
      </c>
      <c r="E54" s="513"/>
      <c r="F54" s="513"/>
      <c r="G54" s="513"/>
      <c r="H54" s="513"/>
      <c r="I54" s="545"/>
      <c r="K54" s="1154" t="s">
        <v>1406</v>
      </c>
      <c r="L54" s="391"/>
      <c r="M54" s="437"/>
    </row>
    <row r="55" spans="2:13" s="1165" customFormat="1">
      <c r="B55" s="1756"/>
      <c r="C55" s="1233" t="s">
        <v>407</v>
      </c>
      <c r="D55" s="1226" t="s">
        <v>1513</v>
      </c>
      <c r="E55" s="1167"/>
      <c r="F55" s="1167"/>
      <c r="G55" s="1167"/>
      <c r="H55" s="1167"/>
      <c r="I55" s="1168"/>
      <c r="J55" s="1164"/>
      <c r="K55" s="1218" t="s">
        <v>622</v>
      </c>
      <c r="L55" s="1248"/>
      <c r="M55" s="1208"/>
    </row>
    <row r="56" spans="2:13" s="1165" customFormat="1" ht="28">
      <c r="B56" s="1756"/>
      <c r="C56" s="1882" t="s">
        <v>484</v>
      </c>
      <c r="D56" s="1226" t="s">
        <v>527</v>
      </c>
      <c r="E56" s="1167"/>
      <c r="F56" s="1167"/>
      <c r="G56" s="1167"/>
      <c r="H56" s="1167"/>
      <c r="I56" s="1168"/>
      <c r="J56" s="1164"/>
      <c r="K56" s="1218" t="s">
        <v>406</v>
      </c>
      <c r="L56" s="1248"/>
      <c r="M56" s="1208"/>
    </row>
    <row r="57" spans="2:13" s="81" customFormat="1">
      <c r="B57" s="1756"/>
      <c r="C57" s="1882"/>
      <c r="D57" s="634" t="s">
        <v>528</v>
      </c>
      <c r="E57" s="512"/>
      <c r="F57" s="512"/>
      <c r="G57" s="512"/>
      <c r="H57" s="512"/>
      <c r="I57" s="518"/>
      <c r="J57" s="362"/>
      <c r="K57" s="1154" t="s">
        <v>1406</v>
      </c>
      <c r="L57" s="449"/>
      <c r="M57" s="418"/>
    </row>
    <row r="58" spans="2:13" s="81" customFormat="1">
      <c r="B58" s="1756"/>
      <c r="C58" s="1882"/>
      <c r="D58" s="634" t="s">
        <v>529</v>
      </c>
      <c r="E58" s="512"/>
      <c r="F58" s="512"/>
      <c r="G58" s="512"/>
      <c r="H58" s="512"/>
      <c r="I58" s="518"/>
      <c r="J58" s="362"/>
      <c r="K58" s="1154" t="s">
        <v>1406</v>
      </c>
      <c r="L58" s="449"/>
      <c r="M58" s="418"/>
    </row>
    <row r="59" spans="2:13" s="81" customFormat="1">
      <c r="B59" s="1756"/>
      <c r="C59" s="1882"/>
      <c r="D59" s="634" t="s">
        <v>526</v>
      </c>
      <c r="E59" s="512"/>
      <c r="F59" s="512"/>
      <c r="G59" s="512"/>
      <c r="H59" s="512"/>
      <c r="I59" s="518"/>
      <c r="J59" s="362"/>
      <c r="K59" s="1154" t="s">
        <v>1406</v>
      </c>
      <c r="L59" s="449"/>
      <c r="M59" s="418"/>
    </row>
    <row r="60" spans="2:13" s="81" customFormat="1">
      <c r="B60" s="1756"/>
      <c r="C60" s="1882"/>
      <c r="D60" s="634" t="s">
        <v>530</v>
      </c>
      <c r="E60" s="512"/>
      <c r="F60" s="512"/>
      <c r="G60" s="512"/>
      <c r="H60" s="512"/>
      <c r="I60" s="518"/>
      <c r="J60" s="362"/>
      <c r="K60" s="1154" t="s">
        <v>1406</v>
      </c>
      <c r="L60" s="449"/>
      <c r="M60" s="418"/>
    </row>
    <row r="61" spans="2:13" s="81" customFormat="1" ht="15" thickBot="1">
      <c r="B61" s="1759"/>
      <c r="C61" s="1959"/>
      <c r="D61" s="925" t="s">
        <v>635</v>
      </c>
      <c r="E61" s="532"/>
      <c r="F61" s="532"/>
      <c r="G61" s="532"/>
      <c r="H61" s="532"/>
      <c r="I61" s="533"/>
      <c r="J61" s="362"/>
      <c r="K61" s="1154" t="s">
        <v>1406</v>
      </c>
      <c r="L61" s="449"/>
      <c r="M61" s="418"/>
    </row>
    <row r="62" spans="2:13" s="81" customFormat="1" ht="47.5" customHeight="1">
      <c r="B62" s="1956" t="s">
        <v>134</v>
      </c>
      <c r="C62" s="1905" t="s">
        <v>404</v>
      </c>
      <c r="D62" s="634" t="s">
        <v>676</v>
      </c>
      <c r="E62" s="512"/>
      <c r="F62" s="512"/>
      <c r="G62" s="512"/>
      <c r="H62" s="512"/>
      <c r="I62" s="512"/>
      <c r="J62" s="362"/>
      <c r="K62" s="1124" t="s">
        <v>501</v>
      </c>
      <c r="L62" s="356"/>
      <c r="M62" s="417"/>
    </row>
    <row r="63" spans="2:13" s="81" customFormat="1" ht="15" thickBot="1">
      <c r="B63" s="1957"/>
      <c r="C63" s="1955"/>
      <c r="D63" s="925" t="s">
        <v>623</v>
      </c>
      <c r="E63" s="532"/>
      <c r="F63" s="532"/>
      <c r="G63" s="532"/>
      <c r="H63" s="532"/>
      <c r="I63" s="532"/>
      <c r="J63" s="362"/>
      <c r="K63" s="1126" t="s">
        <v>501</v>
      </c>
      <c r="L63" s="448"/>
      <c r="M63" s="419"/>
    </row>
    <row r="64" spans="2:13" s="81" customFormat="1">
      <c r="B64" s="1960" t="s">
        <v>135</v>
      </c>
      <c r="C64" s="1910" t="s">
        <v>248</v>
      </c>
      <c r="D64" s="756" t="s">
        <v>323</v>
      </c>
      <c r="E64" s="528"/>
      <c r="F64" s="528"/>
      <c r="G64" s="528"/>
      <c r="H64" s="528"/>
      <c r="I64" s="529"/>
      <c r="J64" s="362"/>
      <c r="K64" s="1154" t="s">
        <v>1406</v>
      </c>
      <c r="L64" s="507"/>
      <c r="M64" s="418"/>
    </row>
    <row r="65" spans="1:13" s="81" customFormat="1">
      <c r="B65" s="1961"/>
      <c r="C65" s="1911"/>
      <c r="D65" s="634" t="s">
        <v>535</v>
      </c>
      <c r="E65" s="512"/>
      <c r="F65" s="512"/>
      <c r="G65" s="512"/>
      <c r="H65" s="512"/>
      <c r="I65" s="518"/>
      <c r="J65" s="362"/>
      <c r="K65" s="1154" t="s">
        <v>1406</v>
      </c>
      <c r="L65" s="507"/>
      <c r="M65" s="418"/>
    </row>
    <row r="66" spans="1:13" s="81" customFormat="1">
      <c r="B66" s="1961"/>
      <c r="C66" s="1911"/>
      <c r="D66" s="634" t="s">
        <v>534</v>
      </c>
      <c r="E66" s="512"/>
      <c r="F66" s="512"/>
      <c r="G66" s="512"/>
      <c r="H66" s="512"/>
      <c r="I66" s="518"/>
      <c r="J66" s="362"/>
      <c r="K66" s="1154" t="s">
        <v>1406</v>
      </c>
      <c r="L66" s="507"/>
      <c r="M66" s="418"/>
    </row>
    <row r="67" spans="1:13" s="1165" customFormat="1">
      <c r="B67" s="1961"/>
      <c r="C67" s="1911"/>
      <c r="D67" s="1225" t="s">
        <v>536</v>
      </c>
      <c r="E67" s="1167"/>
      <c r="F67" s="1167"/>
      <c r="G67" s="1167"/>
      <c r="H67" s="1167"/>
      <c r="I67" s="1168"/>
      <c r="J67" s="1164"/>
      <c r="K67" s="1218" t="s">
        <v>392</v>
      </c>
      <c r="L67" s="1176"/>
      <c r="M67" s="1208"/>
    </row>
    <row r="68" spans="1:13" s="81" customFormat="1">
      <c r="B68" s="1961"/>
      <c r="C68" s="1911"/>
      <c r="D68" s="634" t="s">
        <v>624</v>
      </c>
      <c r="E68" s="512"/>
      <c r="F68" s="512"/>
      <c r="G68" s="512"/>
      <c r="H68" s="512"/>
      <c r="I68" s="518"/>
      <c r="J68" s="362"/>
      <c r="K68" s="1154" t="s">
        <v>1406</v>
      </c>
      <c r="L68" s="507"/>
      <c r="M68" s="418"/>
    </row>
    <row r="69" spans="1:13" s="1165" customFormat="1">
      <c r="B69" s="1961"/>
      <c r="C69" s="1882" t="s">
        <v>249</v>
      </c>
      <c r="D69" s="1225" t="s">
        <v>532</v>
      </c>
      <c r="E69" s="1167"/>
      <c r="F69" s="1167"/>
      <c r="G69" s="1167"/>
      <c r="H69" s="1167"/>
      <c r="I69" s="1168"/>
      <c r="J69" s="1164"/>
      <c r="K69" s="1218" t="s">
        <v>401</v>
      </c>
      <c r="L69" s="1176"/>
      <c r="M69" s="1208"/>
    </row>
    <row r="70" spans="1:13" s="81" customFormat="1">
      <c r="B70" s="1961"/>
      <c r="C70" s="1882"/>
      <c r="D70" s="639" t="s">
        <v>322</v>
      </c>
      <c r="E70" s="512"/>
      <c r="F70" s="512"/>
      <c r="G70" s="512"/>
      <c r="H70" s="512"/>
      <c r="I70" s="518"/>
      <c r="J70" s="362"/>
      <c r="K70" s="1154" t="s">
        <v>1432</v>
      </c>
      <c r="L70" s="507"/>
      <c r="M70" s="418"/>
    </row>
    <row r="71" spans="1:13" s="81" customFormat="1">
      <c r="B71" s="1961"/>
      <c r="C71" s="1882"/>
      <c r="D71" s="639" t="s">
        <v>533</v>
      </c>
      <c r="E71" s="512"/>
      <c r="F71" s="512"/>
      <c r="G71" s="512"/>
      <c r="H71" s="512"/>
      <c r="I71" s="518"/>
      <c r="J71" s="362"/>
      <c r="K71" s="1154" t="s">
        <v>1432</v>
      </c>
      <c r="L71" s="507"/>
      <c r="M71" s="418"/>
    </row>
    <row r="72" spans="1:13" s="81" customFormat="1">
      <c r="B72" s="1961"/>
      <c r="C72" s="1882" t="s">
        <v>250</v>
      </c>
      <c r="D72" s="639" t="s">
        <v>326</v>
      </c>
      <c r="E72" s="512"/>
      <c r="F72" s="512"/>
      <c r="G72" s="512"/>
      <c r="H72" s="512"/>
      <c r="I72" s="518"/>
      <c r="J72" s="362"/>
      <c r="K72" s="1154" t="s">
        <v>1406</v>
      </c>
      <c r="L72" s="507"/>
      <c r="M72" s="418"/>
    </row>
    <row r="73" spans="1:13" s="81" customFormat="1">
      <c r="B73" s="1961"/>
      <c r="C73" s="1882"/>
      <c r="D73" s="639" t="s">
        <v>537</v>
      </c>
      <c r="E73" s="512"/>
      <c r="F73" s="512"/>
      <c r="G73" s="512"/>
      <c r="H73" s="512"/>
      <c r="I73" s="518"/>
      <c r="J73" s="362"/>
      <c r="K73" s="1154" t="s">
        <v>1406</v>
      </c>
      <c r="L73" s="507"/>
      <c r="M73" s="418"/>
    </row>
    <row r="74" spans="1:13" s="81" customFormat="1" ht="15" thickBot="1">
      <c r="B74" s="1962"/>
      <c r="C74" s="1959"/>
      <c r="D74" s="925" t="s">
        <v>325</v>
      </c>
      <c r="E74" s="532"/>
      <c r="F74" s="532"/>
      <c r="G74" s="532"/>
      <c r="H74" s="532"/>
      <c r="I74" s="533"/>
      <c r="J74" s="362"/>
      <c r="K74" s="1126" t="s">
        <v>1421</v>
      </c>
      <c r="L74" s="385"/>
      <c r="M74" s="419"/>
    </row>
    <row r="75" spans="1:13" s="1165" customFormat="1">
      <c r="A75" s="1902" t="s">
        <v>137</v>
      </c>
      <c r="B75" s="1935" t="s">
        <v>138</v>
      </c>
      <c r="C75" s="1906" t="s">
        <v>438</v>
      </c>
      <c r="D75" s="1249" t="s">
        <v>1427</v>
      </c>
      <c r="E75" s="1162"/>
      <c r="F75" s="1162"/>
      <c r="G75" s="1162"/>
      <c r="H75" s="1162"/>
      <c r="I75" s="1163"/>
      <c r="J75" s="1164"/>
      <c r="K75" s="1221" t="s">
        <v>1441</v>
      </c>
      <c r="L75" s="1238"/>
      <c r="M75" s="1223"/>
    </row>
    <row r="76" spans="1:13" s="81" customFormat="1" ht="30" customHeight="1">
      <c r="A76" s="1903"/>
      <c r="B76" s="1936"/>
      <c r="C76" s="1905"/>
      <c r="D76" s="628" t="s">
        <v>1584</v>
      </c>
      <c r="E76" s="512"/>
      <c r="F76" s="512"/>
      <c r="G76" s="512"/>
      <c r="H76" s="512"/>
      <c r="I76" s="518"/>
      <c r="J76" s="362"/>
      <c r="K76" s="1151" t="s">
        <v>1406</v>
      </c>
      <c r="L76" s="382" t="s">
        <v>398</v>
      </c>
      <c r="M76" s="418"/>
    </row>
    <row r="77" spans="1:13" s="81" customFormat="1" ht="30" customHeight="1">
      <c r="A77" s="1903"/>
      <c r="B77" s="1936"/>
      <c r="C77" s="1905"/>
      <c r="D77" s="628" t="s">
        <v>542</v>
      </c>
      <c r="E77" s="512"/>
      <c r="F77" s="512"/>
      <c r="G77" s="512"/>
      <c r="H77" s="512"/>
      <c r="I77" s="518"/>
      <c r="J77" s="362"/>
      <c r="K77" s="1151" t="s">
        <v>1406</v>
      </c>
      <c r="L77" s="382"/>
      <c r="M77" s="418"/>
    </row>
    <row r="78" spans="1:13" s="81" customFormat="1" ht="28">
      <c r="A78" s="1903"/>
      <c r="B78" s="1936"/>
      <c r="C78" s="1905"/>
      <c r="D78" s="628" t="s">
        <v>636</v>
      </c>
      <c r="E78" s="512"/>
      <c r="F78" s="512"/>
      <c r="G78" s="512"/>
      <c r="H78" s="512"/>
      <c r="I78" s="518"/>
      <c r="J78" s="362"/>
      <c r="K78" s="1151" t="s">
        <v>1421</v>
      </c>
      <c r="L78" s="382"/>
      <c r="M78" s="418"/>
    </row>
    <row r="79" spans="1:13" s="1165" customFormat="1">
      <c r="A79" s="1954"/>
      <c r="B79" s="1936"/>
      <c r="C79" s="1905" t="s">
        <v>251</v>
      </c>
      <c r="D79" s="1167" t="s">
        <v>543</v>
      </c>
      <c r="E79" s="1167"/>
      <c r="F79" s="1167"/>
      <c r="G79" s="1167"/>
      <c r="H79" s="1167"/>
      <c r="I79" s="1168"/>
      <c r="J79" s="1164"/>
      <c r="K79" s="1218" t="s">
        <v>400</v>
      </c>
      <c r="L79" s="1176"/>
      <c r="M79" s="1208"/>
    </row>
    <row r="80" spans="1:13" s="81" customFormat="1">
      <c r="A80" s="1903"/>
      <c r="B80" s="1936"/>
      <c r="C80" s="1905" t="s">
        <v>252</v>
      </c>
      <c r="D80" s="632" t="s">
        <v>541</v>
      </c>
      <c r="E80" s="512"/>
      <c r="F80" s="512"/>
      <c r="G80" s="512"/>
      <c r="H80" s="512"/>
      <c r="I80" s="518"/>
      <c r="J80" s="362"/>
      <c r="K80" s="1125" t="s">
        <v>1421</v>
      </c>
      <c r="L80" s="382" t="s">
        <v>398</v>
      </c>
      <c r="M80" s="418"/>
    </row>
    <row r="81" spans="1:13" s="81" customFormat="1">
      <c r="A81" s="1903"/>
      <c r="B81" s="1936"/>
      <c r="C81" s="881" t="s">
        <v>253</v>
      </c>
      <c r="D81" s="512" t="s">
        <v>397</v>
      </c>
      <c r="E81" s="512"/>
      <c r="F81" s="512"/>
      <c r="G81" s="512"/>
      <c r="H81" s="512"/>
      <c r="I81" s="518"/>
      <c r="J81" s="362"/>
      <c r="K81" s="1125" t="str">
        <f>D81</f>
        <v>No contempla</v>
      </c>
      <c r="L81" s="507"/>
      <c r="M81" s="418"/>
    </row>
    <row r="82" spans="1:13" s="81" customFormat="1" ht="15" thickBot="1">
      <c r="A82" s="1903"/>
      <c r="B82" s="1937"/>
      <c r="C82" s="950" t="s">
        <v>255</v>
      </c>
      <c r="D82" s="532" t="s">
        <v>540</v>
      </c>
      <c r="E82" s="532"/>
      <c r="F82" s="532"/>
      <c r="G82" s="532"/>
      <c r="H82" s="532"/>
      <c r="I82" s="533"/>
      <c r="J82" s="362"/>
      <c r="K82" s="1154" t="s">
        <v>1406</v>
      </c>
      <c r="L82" s="415" t="s">
        <v>398</v>
      </c>
      <c r="M82" s="419"/>
    </row>
    <row r="83" spans="1:13" s="81" customFormat="1">
      <c r="A83" s="1903"/>
      <c r="B83" s="1935" t="s">
        <v>139</v>
      </c>
      <c r="C83" s="885" t="s">
        <v>256</v>
      </c>
      <c r="D83" s="528" t="s">
        <v>539</v>
      </c>
      <c r="E83" s="528"/>
      <c r="F83" s="528"/>
      <c r="G83" s="528"/>
      <c r="H83" s="528"/>
      <c r="I83" s="529"/>
      <c r="J83" s="362"/>
      <c r="K83" s="1154" t="s">
        <v>1406</v>
      </c>
      <c r="L83" s="420" t="s">
        <v>398</v>
      </c>
      <c r="M83" s="417"/>
    </row>
    <row r="84" spans="1:13" s="81" customFormat="1" ht="15" thickBot="1">
      <c r="A84" s="1903"/>
      <c r="B84" s="1958"/>
      <c r="C84" s="878" t="s">
        <v>257</v>
      </c>
      <c r="D84" s="526" t="str">
        <f>IF('PROGRAMA ARQ.'!D6="ZONA SUR","Debe considerar ventilación forzada para los meses de invierno","No contempla")</f>
        <v>No contempla</v>
      </c>
      <c r="E84" s="519"/>
      <c r="F84" s="519"/>
      <c r="G84" s="519"/>
      <c r="H84" s="519"/>
      <c r="I84" s="520"/>
      <c r="J84" s="362"/>
      <c r="K84" s="1385" t="s">
        <v>1406</v>
      </c>
      <c r="L84" s="385"/>
      <c r="M84" s="419"/>
    </row>
    <row r="85" spans="1:13">
      <c r="A85" s="1903"/>
      <c r="B85" s="1827" t="s">
        <v>142</v>
      </c>
      <c r="C85" s="1828"/>
      <c r="D85" s="589" t="s">
        <v>1486</v>
      </c>
      <c r="E85" s="589"/>
      <c r="F85" s="589"/>
      <c r="G85" s="589"/>
      <c r="H85" s="589"/>
      <c r="I85" s="723"/>
      <c r="K85" s="1154" t="s">
        <v>1406</v>
      </c>
      <c r="L85" s="357"/>
      <c r="M85" s="440"/>
    </row>
    <row r="86" spans="1:13" ht="15" thickBot="1">
      <c r="A86" s="1903"/>
      <c r="B86" s="1831"/>
      <c r="C86" s="1832"/>
      <c r="D86" s="552" t="s">
        <v>625</v>
      </c>
      <c r="E86" s="552"/>
      <c r="F86" s="552"/>
      <c r="G86" s="552"/>
      <c r="H86" s="552"/>
      <c r="I86" s="725"/>
      <c r="K86" s="1154" t="s">
        <v>1406</v>
      </c>
      <c r="L86" s="390"/>
      <c r="M86" s="444"/>
    </row>
    <row r="87" spans="1:13" s="81" customFormat="1">
      <c r="A87" s="1903"/>
      <c r="B87" s="1786" t="s">
        <v>264</v>
      </c>
      <c r="C87" s="1907"/>
      <c r="D87" s="784" t="s">
        <v>868</v>
      </c>
      <c r="E87" s="528"/>
      <c r="F87" s="528"/>
      <c r="G87" s="528"/>
      <c r="H87" s="528"/>
      <c r="I87" s="529"/>
      <c r="J87" s="362"/>
      <c r="K87" s="1154" t="s">
        <v>1406</v>
      </c>
      <c r="L87" s="384" t="s">
        <v>538</v>
      </c>
      <c r="M87" s="417"/>
    </row>
    <row r="88" spans="1:13" s="81" customFormat="1">
      <c r="A88" s="1903"/>
      <c r="B88" s="1780"/>
      <c r="C88" s="1908"/>
      <c r="D88" s="658" t="s">
        <v>607</v>
      </c>
      <c r="E88" s="512"/>
      <c r="F88" s="512"/>
      <c r="G88" s="512"/>
      <c r="H88" s="512"/>
      <c r="I88" s="518"/>
      <c r="J88" s="362"/>
      <c r="K88" s="1154" t="s">
        <v>1406</v>
      </c>
      <c r="L88" s="507"/>
      <c r="M88" s="418"/>
    </row>
    <row r="89" spans="1:13" s="81" customFormat="1" ht="15" thickBot="1">
      <c r="A89" s="1904"/>
      <c r="B89" s="1781"/>
      <c r="C89" s="1909"/>
      <c r="D89" s="554" t="str">
        <f>+C6</f>
        <v>SALA EXPANSIÓN NIVEL MEDIO</v>
      </c>
      <c r="E89" s="519"/>
      <c r="F89" s="519"/>
      <c r="G89" s="519"/>
      <c r="H89" s="519"/>
      <c r="I89" s="520"/>
      <c r="J89" s="362"/>
      <c r="K89" s="1154" t="s">
        <v>1406</v>
      </c>
      <c r="L89" s="385"/>
      <c r="M89" s="419"/>
    </row>
  </sheetData>
  <autoFilter ref="A1:N89"/>
  <mergeCells count="38">
    <mergeCell ref="C15:C19"/>
    <mergeCell ref="C20:C23"/>
    <mergeCell ref="C25:C29"/>
    <mergeCell ref="C30:C31"/>
    <mergeCell ref="B13:C14"/>
    <mergeCell ref="B15:B31"/>
    <mergeCell ref="C72:C74"/>
    <mergeCell ref="L32:L36"/>
    <mergeCell ref="C33:C36"/>
    <mergeCell ref="B39:B47"/>
    <mergeCell ref="C39:C42"/>
    <mergeCell ref="C43:C44"/>
    <mergeCell ref="C45:C46"/>
    <mergeCell ref="C37:C38"/>
    <mergeCell ref="B37:B38"/>
    <mergeCell ref="B32:B36"/>
    <mergeCell ref="A75:A89"/>
    <mergeCell ref="B48:B49"/>
    <mergeCell ref="C62:C63"/>
    <mergeCell ref="B62:B63"/>
    <mergeCell ref="B85:C86"/>
    <mergeCell ref="B75:B82"/>
    <mergeCell ref="C75:C78"/>
    <mergeCell ref="C79:C80"/>
    <mergeCell ref="B83:B84"/>
    <mergeCell ref="B87:C89"/>
    <mergeCell ref="B52:B61"/>
    <mergeCell ref="C52:C54"/>
    <mergeCell ref="C56:C61"/>
    <mergeCell ref="B64:B74"/>
    <mergeCell ref="C64:C68"/>
    <mergeCell ref="C69:C71"/>
    <mergeCell ref="B2:I2"/>
    <mergeCell ref="E5:I5"/>
    <mergeCell ref="D8:G8"/>
    <mergeCell ref="E3:I3"/>
    <mergeCell ref="E4:I4"/>
    <mergeCell ref="B8:C12"/>
  </mergeCells>
  <pageMargins left="0.23622047244094491" right="0.23622047244094491" top="0.74803149606299213" bottom="0.74803149606299213" header="0.31496062992125984" footer="0.31496062992125984"/>
  <pageSetup scale="76" fitToHeight="0" orientation="portrait"/>
  <rowBreaks count="3" manualBreakCount="3">
    <brk id="24" max="8" man="1"/>
    <brk id="38" max="8" man="1"/>
    <brk id="61"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7A95A0BD-1871-4B79-85CC-66B2C43652FA}">
            <xm:f>NOT(ISERROR(SEARCH("0",'1.2'!B7)))</xm:f>
            <x14:dxf>
              <font>
                <color rgb="FF9C0006"/>
              </font>
              <fill>
                <patternFill>
                  <bgColor rgb="FFFFC7CE"/>
                </patternFill>
              </fill>
            </x14:dxf>
          </x14:cfRule>
          <xm:sqref>B7:I7</xm:sqref>
        </x14:conditionalFormatting>
        <x14:conditionalFormatting xmlns:xm="http://schemas.microsoft.com/office/excel/2006/main">
          <x14:cfRule type="containsText" priority="307" operator="containsText" text="0" id="{7A95A0BD-1871-4B79-85CC-66B2C43652FA}">
            <xm:f>NOT(ISERROR(SEARCH("0",'1.2'!K7)))</xm:f>
            <x14:dxf>
              <font>
                <color rgb="FF9C0006"/>
              </font>
              <fill>
                <patternFill>
                  <bgColor rgb="FFFFC7CE"/>
                </patternFill>
              </fill>
            </x14:dxf>
          </x14:cfRule>
          <xm:sqref>J7:L7</xm:sqref>
        </x14:conditionalFormatting>
      </x14:conditionalFormattings>
    </ex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rgb="FF00B0F0"/>
    <pageSetUpPr fitToPage="1"/>
  </sheetPr>
  <dimension ref="A1:M68"/>
  <sheetViews>
    <sheetView topLeftCell="B49" zoomScale="90" zoomScaleNormal="90" zoomScaleSheetLayoutView="90" zoomScalePageLayoutView="90" workbookViewId="0">
      <selection activeCell="K8" sqref="K8:K14"/>
    </sheetView>
  </sheetViews>
  <sheetFormatPr baseColWidth="10" defaultColWidth="11.5" defaultRowHeight="14" x14ac:dyDescent="0"/>
  <cols>
    <col min="1" max="1" width="4" style="461" customWidth="1"/>
    <col min="2" max="3" width="30.6640625" style="461" customWidth="1"/>
    <col min="4" max="4" width="50.6640625" style="461" customWidth="1"/>
    <col min="5" max="9" width="3.6640625" style="461" customWidth="1"/>
    <col min="10" max="10" width="7.5" style="621" customWidth="1"/>
    <col min="11" max="11" width="50.6640625" style="496" customWidth="1"/>
    <col min="12" max="12" width="30.6640625" style="461" customWidth="1"/>
    <col min="13" max="13" width="3.6640625" style="461"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2.5" customHeight="1" thickBot="1">
      <c r="B6" s="833" t="str">
        <f>+'PROGRAMA ARQ.'!C25</f>
        <v>2.1</v>
      </c>
      <c r="C6" s="833" t="str">
        <f>+'PROGRAMA ARQ.'!D25</f>
        <v>OFICINA 1 (Dirección)</v>
      </c>
      <c r="D6" s="833">
        <f>+'PROGRAMA ARQ.'!F25</f>
        <v>8.4</v>
      </c>
      <c r="E6" s="692" t="s">
        <v>366</v>
      </c>
      <c r="F6" s="693" t="s">
        <v>544</v>
      </c>
      <c r="G6" s="693" t="s">
        <v>2</v>
      </c>
      <c r="H6" s="693" t="s">
        <v>171</v>
      </c>
      <c r="I6" s="694" t="s">
        <v>172</v>
      </c>
      <c r="J6" s="608"/>
      <c r="K6" s="1299" t="s">
        <v>293</v>
      </c>
      <c r="L6" s="705" t="s">
        <v>120</v>
      </c>
      <c r="M6" s="706" t="s">
        <v>178</v>
      </c>
    </row>
    <row r="7" spans="2:13" s="367" customFormat="1" ht="16" thickBot="1">
      <c r="B7" s="719" t="s">
        <v>1378</v>
      </c>
      <c r="C7" s="807" t="s">
        <v>1379</v>
      </c>
      <c r="D7" s="666" t="s">
        <v>1380</v>
      </c>
      <c r="E7" s="663"/>
      <c r="F7" s="664"/>
      <c r="G7" s="664"/>
      <c r="H7" s="663"/>
      <c r="I7" s="665"/>
      <c r="J7" s="595"/>
      <c r="K7" s="235"/>
      <c r="L7" s="696"/>
      <c r="M7" s="697"/>
    </row>
    <row r="8" spans="2:13">
      <c r="B8" s="1827" t="s">
        <v>122</v>
      </c>
      <c r="C8" s="1900"/>
      <c r="D8" s="951" t="s">
        <v>1381</v>
      </c>
      <c r="E8" s="886"/>
      <c r="F8" s="875"/>
      <c r="G8" s="886"/>
      <c r="H8" s="886"/>
      <c r="I8" s="952"/>
      <c r="K8" s="496" t="s">
        <v>1421</v>
      </c>
      <c r="L8" s="1106"/>
      <c r="M8" s="1106"/>
    </row>
    <row r="9" spans="2:13">
      <c r="B9" s="1829"/>
      <c r="C9" s="1933"/>
      <c r="D9" s="893" t="s">
        <v>734</v>
      </c>
      <c r="E9" s="868"/>
      <c r="F9" s="640"/>
      <c r="G9" s="868"/>
      <c r="H9" s="868"/>
      <c r="I9" s="795"/>
      <c r="K9" s="625" t="s">
        <v>1406</v>
      </c>
      <c r="L9" s="1106"/>
      <c r="M9" s="1106"/>
    </row>
    <row r="10" spans="2:13" ht="15" thickBot="1">
      <c r="B10" s="1829"/>
      <c r="C10" s="1933"/>
      <c r="D10" s="953" t="s">
        <v>1367</v>
      </c>
      <c r="E10" s="919"/>
      <c r="F10" s="937"/>
      <c r="G10" s="919"/>
      <c r="H10" s="919"/>
      <c r="I10" s="954"/>
      <c r="K10" s="625" t="s">
        <v>1406</v>
      </c>
      <c r="L10" s="1106"/>
      <c r="M10" s="1106"/>
    </row>
    <row r="11" spans="2:13" ht="29" customHeight="1">
      <c r="B11" s="1827" t="s">
        <v>1388</v>
      </c>
      <c r="C11" s="1828"/>
      <c r="D11" s="885" t="s">
        <v>735</v>
      </c>
      <c r="E11" s="867"/>
      <c r="F11" s="867"/>
      <c r="G11" s="867"/>
      <c r="H11" s="867"/>
      <c r="I11" s="794"/>
      <c r="K11" s="496" t="s">
        <v>1421</v>
      </c>
      <c r="L11" s="1106"/>
      <c r="M11" s="1106"/>
    </row>
    <row r="12" spans="2:13" ht="29" thickBot="1">
      <c r="B12" s="1829"/>
      <c r="C12" s="1830"/>
      <c r="D12" s="955" t="s">
        <v>738</v>
      </c>
      <c r="E12" s="919"/>
      <c r="F12" s="937"/>
      <c r="G12" s="919"/>
      <c r="H12" s="919"/>
      <c r="I12" s="954"/>
      <c r="K12" s="496" t="s">
        <v>1421</v>
      </c>
      <c r="L12" s="1106"/>
      <c r="M12" s="1106"/>
    </row>
    <row r="13" spans="2:13">
      <c r="B13" s="1755" t="s">
        <v>143</v>
      </c>
      <c r="C13" s="1948" t="s">
        <v>241</v>
      </c>
      <c r="D13" s="879" t="s">
        <v>745</v>
      </c>
      <c r="E13" s="867"/>
      <c r="F13" s="867"/>
      <c r="G13" s="867"/>
      <c r="H13" s="867"/>
      <c r="I13" s="794"/>
      <c r="K13" s="496" t="s">
        <v>1421</v>
      </c>
      <c r="L13" s="1106"/>
      <c r="M13" s="1106"/>
    </row>
    <row r="14" spans="2:13">
      <c r="B14" s="1756"/>
      <c r="C14" s="1949"/>
      <c r="D14" s="880" t="s">
        <v>744</v>
      </c>
      <c r="E14" s="868"/>
      <c r="F14" s="868"/>
      <c r="G14" s="868"/>
      <c r="H14" s="868"/>
      <c r="I14" s="795"/>
      <c r="K14" s="625" t="s">
        <v>1406</v>
      </c>
      <c r="L14" s="1106"/>
      <c r="M14" s="1106"/>
    </row>
    <row r="15" spans="2:13">
      <c r="B15" s="1756"/>
      <c r="C15" s="1949"/>
      <c r="D15" s="880" t="s">
        <v>742</v>
      </c>
      <c r="E15" s="868"/>
      <c r="F15" s="868"/>
      <c r="G15" s="868"/>
      <c r="H15" s="868"/>
      <c r="I15" s="795"/>
      <c r="K15" s="625" t="s">
        <v>1406</v>
      </c>
      <c r="L15" s="1106"/>
      <c r="M15" s="1106"/>
    </row>
    <row r="16" spans="2:13">
      <c r="B16" s="1756"/>
      <c r="C16" s="1949"/>
      <c r="D16" s="654">
        <f>+J16*D6</f>
        <v>0.67200000000000004</v>
      </c>
      <c r="E16" s="868" t="s">
        <v>258</v>
      </c>
      <c r="F16" s="868"/>
      <c r="G16" s="868"/>
      <c r="H16" s="868"/>
      <c r="I16" s="795"/>
      <c r="J16" s="1300">
        <v>0.08</v>
      </c>
      <c r="K16" s="625" t="s">
        <v>1406</v>
      </c>
      <c r="L16" s="383" t="s">
        <v>433</v>
      </c>
      <c r="M16" s="1106"/>
    </row>
    <row r="17" spans="2:13">
      <c r="B17" s="1756"/>
      <c r="C17" s="1949" t="s">
        <v>242</v>
      </c>
      <c r="D17" s="880" t="s">
        <v>434</v>
      </c>
      <c r="E17" s="868"/>
      <c r="F17" s="868"/>
      <c r="G17" s="868"/>
      <c r="H17" s="868"/>
      <c r="I17" s="795"/>
      <c r="K17" s="625" t="s">
        <v>1406</v>
      </c>
      <c r="L17" s="1106"/>
      <c r="M17" s="1106"/>
    </row>
    <row r="18" spans="2:13">
      <c r="B18" s="1756"/>
      <c r="C18" s="1949"/>
      <c r="D18" s="880" t="s">
        <v>743</v>
      </c>
      <c r="E18" s="868"/>
      <c r="F18" s="868"/>
      <c r="G18" s="868"/>
      <c r="H18" s="868"/>
      <c r="I18" s="795"/>
      <c r="K18" s="625" t="s">
        <v>1406</v>
      </c>
      <c r="L18" s="1106"/>
      <c r="M18" s="1106"/>
    </row>
    <row r="19" spans="2:13">
      <c r="B19" s="1756"/>
      <c r="C19" s="1949"/>
      <c r="D19" s="654">
        <f>+J19*D6</f>
        <v>0.33600000000000002</v>
      </c>
      <c r="E19" s="868" t="s">
        <v>258</v>
      </c>
      <c r="F19" s="868"/>
      <c r="G19" s="868"/>
      <c r="H19" s="868"/>
      <c r="I19" s="795"/>
      <c r="J19" s="1300">
        <v>0.04</v>
      </c>
      <c r="K19" s="625" t="s">
        <v>1406</v>
      </c>
      <c r="L19" s="383" t="s">
        <v>433</v>
      </c>
      <c r="M19" s="1106"/>
    </row>
    <row r="20" spans="2:13">
      <c r="B20" s="1756"/>
      <c r="C20" s="1754" t="s">
        <v>243</v>
      </c>
      <c r="D20" s="649" t="s">
        <v>575</v>
      </c>
      <c r="E20" s="868"/>
      <c r="F20" s="868"/>
      <c r="G20" s="868"/>
      <c r="H20" s="868"/>
      <c r="I20" s="795"/>
      <c r="K20" s="625" t="s">
        <v>1406</v>
      </c>
      <c r="L20" s="1106" t="s">
        <v>746</v>
      </c>
      <c r="M20" s="1106"/>
    </row>
    <row r="21" spans="2:13">
      <c r="B21" s="1756"/>
      <c r="C21" s="1754"/>
      <c r="D21" s="649" t="s">
        <v>739</v>
      </c>
      <c r="E21" s="868"/>
      <c r="F21" s="655"/>
      <c r="G21" s="868"/>
      <c r="H21" s="868"/>
      <c r="I21" s="795"/>
      <c r="K21" s="625" t="s">
        <v>1406</v>
      </c>
      <c r="L21" s="1106"/>
      <c r="M21" s="1106"/>
    </row>
    <row r="22" spans="2:13" ht="28">
      <c r="B22" s="1756"/>
      <c r="C22" s="1949" t="s">
        <v>244</v>
      </c>
      <c r="D22" s="649" t="s">
        <v>740</v>
      </c>
      <c r="E22" s="868"/>
      <c r="F22" s="655"/>
      <c r="G22" s="868"/>
      <c r="H22" s="868"/>
      <c r="I22" s="795"/>
      <c r="K22" s="625" t="s">
        <v>1406</v>
      </c>
      <c r="L22" s="1106"/>
      <c r="M22" s="1106"/>
    </row>
    <row r="23" spans="2:13" s="81" customFormat="1" ht="29" thickBot="1">
      <c r="B23" s="1759"/>
      <c r="C23" s="1974"/>
      <c r="D23" s="916" t="s">
        <v>741</v>
      </c>
      <c r="E23" s="532"/>
      <c r="F23" s="532"/>
      <c r="G23" s="532"/>
      <c r="H23" s="532"/>
      <c r="I23" s="533"/>
      <c r="J23" s="362"/>
      <c r="K23" s="625" t="s">
        <v>1406</v>
      </c>
      <c r="L23" s="366"/>
      <c r="M23" s="364"/>
    </row>
    <row r="24" spans="2:13">
      <c r="B24" s="1966" t="s">
        <v>144</v>
      </c>
      <c r="C24" s="873" t="s">
        <v>245</v>
      </c>
      <c r="D24" s="798" t="s">
        <v>682</v>
      </c>
      <c r="E24" s="867"/>
      <c r="F24" s="799"/>
      <c r="G24" s="867"/>
      <c r="H24" s="867"/>
      <c r="I24" s="794"/>
      <c r="K24" s="496" t="s">
        <v>935</v>
      </c>
      <c r="L24" s="1106"/>
      <c r="M24" s="1106"/>
    </row>
    <row r="25" spans="2:13" ht="15" thickBot="1">
      <c r="B25" s="1975"/>
      <c r="C25" s="897" t="s">
        <v>246</v>
      </c>
      <c r="D25" s="956" t="s">
        <v>682</v>
      </c>
      <c r="E25" s="919"/>
      <c r="F25" s="919"/>
      <c r="G25" s="919"/>
      <c r="H25" s="919"/>
      <c r="I25" s="954"/>
      <c r="K25" s="496" t="s">
        <v>935</v>
      </c>
      <c r="L25" s="1106"/>
      <c r="M25" s="1106"/>
    </row>
    <row r="26" spans="2:13">
      <c r="B26" s="1966" t="s">
        <v>141</v>
      </c>
      <c r="C26" s="1976"/>
      <c r="D26" s="798" t="s">
        <v>803</v>
      </c>
      <c r="E26" s="867"/>
      <c r="F26" s="867"/>
      <c r="G26" s="867"/>
      <c r="H26" s="867"/>
      <c r="I26" s="794"/>
      <c r="K26" s="625" t="s">
        <v>1406</v>
      </c>
      <c r="L26" s="1106" t="s">
        <v>804</v>
      </c>
      <c r="M26" s="1106"/>
    </row>
    <row r="27" spans="2:13" ht="28">
      <c r="B27" s="1967"/>
      <c r="C27" s="1977"/>
      <c r="D27" s="649" t="s">
        <v>1442</v>
      </c>
      <c r="E27" s="868"/>
      <c r="F27" s="868"/>
      <c r="G27" s="868"/>
      <c r="H27" s="868"/>
      <c r="I27" s="795"/>
      <c r="K27" s="625" t="s">
        <v>1406</v>
      </c>
      <c r="L27" s="1106"/>
      <c r="M27" s="1106"/>
    </row>
    <row r="28" spans="2:13" s="81" customFormat="1" ht="29" thickBot="1">
      <c r="B28" s="1975"/>
      <c r="C28" s="1978"/>
      <c r="D28" s="940" t="s">
        <v>833</v>
      </c>
      <c r="E28" s="532"/>
      <c r="F28" s="532"/>
      <c r="G28" s="532"/>
      <c r="H28" s="532"/>
      <c r="I28" s="533"/>
      <c r="J28" s="362"/>
      <c r="K28" s="625" t="s">
        <v>1406</v>
      </c>
      <c r="L28" s="509"/>
    </row>
    <row r="29" spans="2:13">
      <c r="B29" s="1966" t="s">
        <v>140</v>
      </c>
      <c r="C29" s="957"/>
      <c r="D29" s="798" t="s">
        <v>747</v>
      </c>
      <c r="E29" s="867"/>
      <c r="F29" s="867"/>
      <c r="G29" s="867"/>
      <c r="H29" s="867"/>
      <c r="I29" s="794"/>
      <c r="K29" s="625" t="s">
        <v>1443</v>
      </c>
      <c r="L29" s="1106"/>
      <c r="M29" s="1106"/>
    </row>
    <row r="30" spans="2:13" s="81" customFormat="1" ht="28">
      <c r="B30" s="1967"/>
      <c r="C30" s="1758" t="s">
        <v>414</v>
      </c>
      <c r="D30" s="628" t="s">
        <v>515</v>
      </c>
      <c r="E30" s="512"/>
      <c r="F30" s="512"/>
      <c r="G30" s="512"/>
      <c r="H30" s="512"/>
      <c r="I30" s="518"/>
      <c r="J30" s="362"/>
      <c r="K30" s="625" t="s">
        <v>1406</v>
      </c>
      <c r="L30" s="507"/>
      <c r="M30" s="362"/>
    </row>
    <row r="31" spans="2:13" s="81" customFormat="1" ht="43" thickBot="1">
      <c r="B31" s="1968"/>
      <c r="C31" s="1969"/>
      <c r="D31" s="778" t="s">
        <v>444</v>
      </c>
      <c r="E31" s="519"/>
      <c r="F31" s="519"/>
      <c r="G31" s="519"/>
      <c r="H31" s="519"/>
      <c r="I31" s="520"/>
      <c r="J31" s="362"/>
      <c r="K31" s="625" t="s">
        <v>1406</v>
      </c>
      <c r="L31" s="507"/>
      <c r="M31" s="362"/>
    </row>
    <row r="32" spans="2:13">
      <c r="B32" s="1970" t="s">
        <v>123</v>
      </c>
      <c r="C32" s="921" t="s">
        <v>594</v>
      </c>
      <c r="D32" s="905" t="s">
        <v>683</v>
      </c>
      <c r="E32" s="901"/>
      <c r="F32" s="901"/>
      <c r="G32" s="901"/>
      <c r="H32" s="901"/>
      <c r="I32" s="902"/>
      <c r="K32" s="1965" t="s">
        <v>1421</v>
      </c>
      <c r="L32" s="1106"/>
      <c r="M32" s="1106"/>
    </row>
    <row r="33" spans="2:13" s="81" customFormat="1" ht="31.25" customHeight="1" thickBot="1">
      <c r="B33" s="1759"/>
      <c r="C33" s="942" t="s">
        <v>731</v>
      </c>
      <c r="D33" s="943" t="s">
        <v>807</v>
      </c>
      <c r="E33" s="944"/>
      <c r="F33" s="944"/>
      <c r="G33" s="944"/>
      <c r="H33" s="944"/>
      <c r="I33" s="945"/>
      <c r="K33" s="1965"/>
      <c r="L33" s="392" t="s">
        <v>808</v>
      </c>
      <c r="M33" s="362"/>
    </row>
    <row r="34" spans="2:13" ht="15" thickBot="1">
      <c r="B34" s="958" t="s">
        <v>124</v>
      </c>
      <c r="C34" s="959" t="s">
        <v>806</v>
      </c>
      <c r="D34" s="801" t="s">
        <v>737</v>
      </c>
      <c r="E34" s="802"/>
      <c r="F34" s="802"/>
      <c r="G34" s="802"/>
      <c r="H34" s="802"/>
      <c r="I34" s="803"/>
      <c r="K34" s="625" t="s">
        <v>1406</v>
      </c>
      <c r="L34" s="1106"/>
      <c r="M34" s="1106"/>
    </row>
    <row r="35" spans="2:13" ht="29" thickBot="1">
      <c r="B35" s="1848" t="s">
        <v>132</v>
      </c>
      <c r="C35" s="1849"/>
      <c r="D35" s="801" t="s">
        <v>748</v>
      </c>
      <c r="E35" s="802"/>
      <c r="F35" s="802"/>
      <c r="G35" s="802"/>
      <c r="H35" s="802"/>
      <c r="I35" s="803"/>
      <c r="K35" s="625" t="s">
        <v>1406</v>
      </c>
      <c r="L35" s="1106"/>
      <c r="M35" s="1106"/>
    </row>
    <row r="36" spans="2:13">
      <c r="B36" s="1755" t="s">
        <v>133</v>
      </c>
      <c r="C36" s="1971"/>
      <c r="D36" s="764" t="s">
        <v>1444</v>
      </c>
      <c r="E36" s="867"/>
      <c r="F36" s="867"/>
      <c r="G36" s="867"/>
      <c r="H36" s="867"/>
      <c r="I36" s="794"/>
      <c r="K36" s="625" t="s">
        <v>1406</v>
      </c>
      <c r="L36" s="1106"/>
      <c r="M36" s="1106"/>
    </row>
    <row r="37" spans="2:13">
      <c r="B37" s="1756"/>
      <c r="C37" s="1972"/>
      <c r="D37" s="652" t="s">
        <v>379</v>
      </c>
      <c r="E37" s="868"/>
      <c r="F37" s="868"/>
      <c r="G37" s="868"/>
      <c r="H37" s="868"/>
      <c r="I37" s="795"/>
      <c r="K37" s="625" t="s">
        <v>1406</v>
      </c>
      <c r="L37" s="1106"/>
      <c r="M37" s="1106"/>
    </row>
    <row r="38" spans="2:13">
      <c r="B38" s="1756"/>
      <c r="C38" s="1972"/>
      <c r="D38" s="652" t="s">
        <v>382</v>
      </c>
      <c r="E38" s="868"/>
      <c r="F38" s="868"/>
      <c r="G38" s="868"/>
      <c r="H38" s="868"/>
      <c r="I38" s="795"/>
      <c r="K38" s="625" t="s">
        <v>1406</v>
      </c>
      <c r="L38" s="1106"/>
      <c r="M38" s="1106"/>
    </row>
    <row r="39" spans="2:13">
      <c r="B39" s="1756"/>
      <c r="C39" s="1972"/>
      <c r="D39" s="652" t="s">
        <v>767</v>
      </c>
      <c r="E39" s="868"/>
      <c r="F39" s="868"/>
      <c r="G39" s="868"/>
      <c r="H39" s="868"/>
      <c r="I39" s="795"/>
      <c r="K39" s="625" t="s">
        <v>1406</v>
      </c>
      <c r="L39" s="1106"/>
      <c r="M39" s="1106"/>
    </row>
    <row r="40" spans="2:13" ht="15" thickBot="1">
      <c r="B40" s="1757"/>
      <c r="C40" s="1973"/>
      <c r="D40" s="752" t="s">
        <v>695</v>
      </c>
      <c r="E40" s="869"/>
      <c r="F40" s="869"/>
      <c r="G40" s="869"/>
      <c r="H40" s="869"/>
      <c r="I40" s="796"/>
      <c r="K40" s="625" t="s">
        <v>1406</v>
      </c>
      <c r="L40" s="1106"/>
      <c r="M40" s="1106"/>
    </row>
    <row r="41" spans="2:13" ht="15" thickBot="1">
      <c r="B41" s="1848" t="s">
        <v>134</v>
      </c>
      <c r="C41" s="1849"/>
      <c r="D41" s="801" t="s">
        <v>682</v>
      </c>
      <c r="E41" s="802"/>
      <c r="F41" s="802"/>
      <c r="G41" s="802"/>
      <c r="H41" s="802"/>
      <c r="I41" s="803"/>
      <c r="K41" s="496" t="s">
        <v>935</v>
      </c>
      <c r="L41" s="1106"/>
      <c r="M41" s="1106"/>
    </row>
    <row r="42" spans="2:13">
      <c r="B42" s="1755" t="s">
        <v>135</v>
      </c>
      <c r="C42" s="1948" t="s">
        <v>248</v>
      </c>
      <c r="D42" s="885" t="s">
        <v>751</v>
      </c>
      <c r="E42" s="867"/>
      <c r="F42" s="867"/>
      <c r="G42" s="867"/>
      <c r="H42" s="867"/>
      <c r="I42" s="794"/>
      <c r="K42" s="496" t="s">
        <v>684</v>
      </c>
      <c r="L42" s="1106"/>
      <c r="M42" s="1106"/>
    </row>
    <row r="43" spans="2:13">
      <c r="B43" s="1756"/>
      <c r="C43" s="1949"/>
      <c r="D43" s="877" t="s">
        <v>750</v>
      </c>
      <c r="E43" s="868"/>
      <c r="F43" s="868"/>
      <c r="G43" s="868"/>
      <c r="H43" s="868"/>
      <c r="I43" s="795"/>
      <c r="K43" s="625" t="s">
        <v>1406</v>
      </c>
      <c r="L43" s="1106"/>
      <c r="M43" s="1106"/>
    </row>
    <row r="44" spans="2:13">
      <c r="B44" s="1756"/>
      <c r="C44" s="1949"/>
      <c r="D44" s="877" t="s">
        <v>749</v>
      </c>
      <c r="E44" s="868"/>
      <c r="F44" s="868"/>
      <c r="G44" s="868"/>
      <c r="H44" s="868"/>
      <c r="I44" s="795"/>
      <c r="K44" s="625" t="s">
        <v>1406</v>
      </c>
      <c r="L44" s="1106"/>
      <c r="M44" s="1106"/>
    </row>
    <row r="45" spans="2:13">
      <c r="B45" s="1756"/>
      <c r="C45" s="1949" t="s">
        <v>249</v>
      </c>
      <c r="D45" s="877" t="s">
        <v>753</v>
      </c>
      <c r="E45" s="868"/>
      <c r="F45" s="868"/>
      <c r="G45" s="868"/>
      <c r="H45" s="868"/>
      <c r="I45" s="795"/>
      <c r="K45" s="625" t="s">
        <v>1406</v>
      </c>
      <c r="L45" s="1106"/>
      <c r="M45" s="1106"/>
    </row>
    <row r="46" spans="2:13">
      <c r="B46" s="1756"/>
      <c r="C46" s="1949"/>
      <c r="D46" s="877" t="s">
        <v>752</v>
      </c>
      <c r="E46" s="868"/>
      <c r="F46" s="868"/>
      <c r="G46" s="868"/>
      <c r="H46" s="868"/>
      <c r="I46" s="795"/>
      <c r="K46" s="625" t="s">
        <v>1406</v>
      </c>
      <c r="L46" s="1106"/>
      <c r="M46" s="1106"/>
    </row>
    <row r="47" spans="2:13">
      <c r="B47" s="1756"/>
      <c r="C47" s="1949" t="s">
        <v>250</v>
      </c>
      <c r="D47" s="877" t="s">
        <v>685</v>
      </c>
      <c r="E47" s="868"/>
      <c r="F47" s="868"/>
      <c r="G47" s="868"/>
      <c r="H47" s="868"/>
      <c r="I47" s="795"/>
      <c r="K47" s="625" t="s">
        <v>1406</v>
      </c>
      <c r="L47" s="1106"/>
      <c r="M47" s="1106"/>
    </row>
    <row r="48" spans="2:13" ht="15" thickBot="1">
      <c r="B48" s="1757"/>
      <c r="C48" s="1979"/>
      <c r="D48" s="878" t="s">
        <v>326</v>
      </c>
      <c r="E48" s="869"/>
      <c r="F48" s="869"/>
      <c r="G48" s="869"/>
      <c r="H48" s="869"/>
      <c r="I48" s="796"/>
      <c r="K48" s="625" t="s">
        <v>1406</v>
      </c>
      <c r="L48" s="1106"/>
      <c r="M48" s="487"/>
    </row>
    <row r="49" spans="1:13" ht="29" customHeight="1">
      <c r="A49" s="1858" t="s">
        <v>137</v>
      </c>
      <c r="B49" s="1755" t="s">
        <v>138</v>
      </c>
      <c r="C49" s="589" t="s">
        <v>603</v>
      </c>
      <c r="D49" s="885" t="s">
        <v>761</v>
      </c>
      <c r="E49" s="762"/>
      <c r="F49" s="762"/>
      <c r="G49" s="762"/>
      <c r="H49" s="762"/>
      <c r="I49" s="805"/>
      <c r="J49" s="81"/>
      <c r="K49" s="625" t="s">
        <v>1406</v>
      </c>
      <c r="L49" s="1106"/>
      <c r="M49" s="487"/>
    </row>
    <row r="50" spans="1:13" s="1165" customFormat="1">
      <c r="A50" s="1859"/>
      <c r="B50" s="1756"/>
      <c r="C50" s="1310" t="s">
        <v>435</v>
      </c>
      <c r="D50" s="1233" t="s">
        <v>754</v>
      </c>
      <c r="E50" s="1233"/>
      <c r="F50" s="1233"/>
      <c r="G50" s="1233"/>
      <c r="H50" s="1233"/>
      <c r="I50" s="1204"/>
      <c r="J50" s="1311"/>
      <c r="K50" s="1324" t="s">
        <v>436</v>
      </c>
      <c r="L50" s="1311"/>
      <c r="M50" s="1311"/>
    </row>
    <row r="51" spans="1:13" ht="28">
      <c r="A51" s="1859"/>
      <c r="B51" s="1756"/>
      <c r="C51" s="874"/>
      <c r="D51" s="880" t="s">
        <v>764</v>
      </c>
      <c r="E51" s="868"/>
      <c r="F51" s="868"/>
      <c r="G51" s="868"/>
      <c r="H51" s="868"/>
      <c r="I51" s="795"/>
      <c r="K51" s="496" t="s">
        <v>501</v>
      </c>
      <c r="L51" s="1106"/>
      <c r="M51" s="1106"/>
    </row>
    <row r="52" spans="1:13">
      <c r="A52" s="1859"/>
      <c r="B52" s="1756"/>
      <c r="C52" s="874" t="s">
        <v>251</v>
      </c>
      <c r="D52" s="880" t="s">
        <v>756</v>
      </c>
      <c r="E52" s="868"/>
      <c r="F52" s="868">
        <v>2</v>
      </c>
      <c r="G52" s="868">
        <f>+F52*'PROGRAMA ARQ.'!E25</f>
        <v>2</v>
      </c>
      <c r="H52" s="868"/>
      <c r="I52" s="795"/>
      <c r="K52" s="625" t="s">
        <v>1406</v>
      </c>
      <c r="L52" s="1106"/>
      <c r="M52" s="1106"/>
    </row>
    <row r="53" spans="1:13">
      <c r="A53" s="1859"/>
      <c r="B53" s="1756"/>
      <c r="C53" s="874" t="s">
        <v>252</v>
      </c>
      <c r="D53" s="880" t="s">
        <v>757</v>
      </c>
      <c r="E53" s="868"/>
      <c r="F53" s="640"/>
      <c r="G53" s="868"/>
      <c r="H53" s="868"/>
      <c r="I53" s="795"/>
      <c r="K53" s="625" t="s">
        <v>1406</v>
      </c>
      <c r="L53" s="1106"/>
      <c r="M53" s="1106"/>
    </row>
    <row r="54" spans="1:13">
      <c r="A54" s="1859"/>
      <c r="B54" s="1756"/>
      <c r="C54" s="1949" t="s">
        <v>253</v>
      </c>
      <c r="D54" s="880" t="s">
        <v>760</v>
      </c>
      <c r="E54" s="868"/>
      <c r="F54" s="640"/>
      <c r="G54" s="868"/>
      <c r="H54" s="868"/>
      <c r="I54" s="795"/>
      <c r="K54" s="625" t="s">
        <v>1406</v>
      </c>
      <c r="L54" s="1106"/>
      <c r="M54" s="1106"/>
    </row>
    <row r="55" spans="1:13">
      <c r="A55" s="1859"/>
      <c r="B55" s="1756"/>
      <c r="C55" s="1949"/>
      <c r="D55" s="877" t="s">
        <v>686</v>
      </c>
      <c r="E55" s="868"/>
      <c r="F55" s="868"/>
      <c r="G55" s="868"/>
      <c r="H55" s="868"/>
      <c r="I55" s="795"/>
      <c r="K55" s="625" t="s">
        <v>1406</v>
      </c>
      <c r="L55" s="1106"/>
      <c r="M55" s="1106"/>
    </row>
    <row r="56" spans="1:13" ht="31.25" customHeight="1">
      <c r="A56" s="1859"/>
      <c r="B56" s="1756"/>
      <c r="C56" s="874" t="s">
        <v>254</v>
      </c>
      <c r="D56" s="880" t="s">
        <v>758</v>
      </c>
      <c r="E56" s="868"/>
      <c r="F56" s="868"/>
      <c r="G56" s="868"/>
      <c r="H56" s="868"/>
      <c r="I56" s="795"/>
      <c r="K56" s="625" t="s">
        <v>1406</v>
      </c>
      <c r="L56" s="1106"/>
      <c r="M56" s="1106"/>
    </row>
    <row r="57" spans="1:13" ht="31.25" customHeight="1" thickBot="1">
      <c r="A57" s="1859"/>
      <c r="B57" s="1757"/>
      <c r="C57" s="770" t="s">
        <v>255</v>
      </c>
      <c r="D57" s="797" t="s">
        <v>759</v>
      </c>
      <c r="E57" s="869"/>
      <c r="F57" s="869"/>
      <c r="G57" s="869"/>
      <c r="H57" s="869"/>
      <c r="I57" s="796"/>
      <c r="K57" s="625" t="s">
        <v>1406</v>
      </c>
      <c r="L57" s="1106"/>
      <c r="M57" s="1106"/>
    </row>
    <row r="58" spans="1:13">
      <c r="A58" s="1859"/>
      <c r="B58" s="1755" t="s">
        <v>139</v>
      </c>
      <c r="C58" s="870" t="s">
        <v>256</v>
      </c>
      <c r="D58" s="764" t="s">
        <v>332</v>
      </c>
      <c r="E58" s="867"/>
      <c r="F58" s="867"/>
      <c r="G58" s="867"/>
      <c r="H58" s="867"/>
      <c r="I58" s="794"/>
      <c r="K58" s="625" t="s">
        <v>1406</v>
      </c>
      <c r="L58" s="1373"/>
      <c r="M58" s="1106"/>
    </row>
    <row r="59" spans="1:13" ht="15" thickBot="1">
      <c r="A59" s="1859"/>
      <c r="B59" s="1757"/>
      <c r="C59" s="770" t="s">
        <v>257</v>
      </c>
      <c r="D59" s="878" t="s">
        <v>762</v>
      </c>
      <c r="E59" s="869"/>
      <c r="F59" s="869"/>
      <c r="G59" s="869"/>
      <c r="H59" s="869"/>
      <c r="I59" s="796"/>
      <c r="K59" s="625" t="s">
        <v>1406</v>
      </c>
      <c r="L59" s="1106"/>
      <c r="M59" s="1106"/>
    </row>
    <row r="60" spans="1:13" ht="15" thickBot="1">
      <c r="A60" s="1859"/>
      <c r="B60" s="1848" t="s">
        <v>142</v>
      </c>
      <c r="C60" s="1849"/>
      <c r="D60" s="801" t="s">
        <v>608</v>
      </c>
      <c r="E60" s="802"/>
      <c r="F60" s="802"/>
      <c r="G60" s="802"/>
      <c r="H60" s="802"/>
      <c r="I60" s="803"/>
      <c r="K60" s="496" t="s">
        <v>935</v>
      </c>
      <c r="L60" s="1106"/>
      <c r="M60" s="1106"/>
    </row>
    <row r="61" spans="1:13">
      <c r="A61" s="1859"/>
      <c r="B61" s="1827" t="s">
        <v>264</v>
      </c>
      <c r="C61" s="1828"/>
      <c r="D61" s="798" t="s">
        <v>771</v>
      </c>
      <c r="E61" s="722"/>
      <c r="F61" s="867"/>
      <c r="G61" s="867"/>
      <c r="H61" s="867"/>
      <c r="I61" s="794"/>
      <c r="L61" s="1373" t="s">
        <v>396</v>
      </c>
      <c r="M61" s="1106"/>
    </row>
    <row r="62" spans="1:13" ht="15" thickBot="1">
      <c r="A62" s="1860"/>
      <c r="B62" s="1831"/>
      <c r="C62" s="1832"/>
      <c r="D62" s="806" t="s">
        <v>149</v>
      </c>
      <c r="E62" s="869"/>
      <c r="F62" s="869"/>
      <c r="G62" s="869"/>
      <c r="H62" s="869"/>
      <c r="I62" s="796"/>
      <c r="K62" s="625" t="s">
        <v>1406</v>
      </c>
      <c r="L62" s="1106"/>
      <c r="M62" s="1106"/>
    </row>
    <row r="63" spans="1:13">
      <c r="L63" s="1106"/>
      <c r="M63" s="1106"/>
    </row>
    <row r="64" spans="1:13">
      <c r="L64" s="1106"/>
      <c r="M64" s="1106"/>
    </row>
    <row r="65" spans="12:13">
      <c r="L65" s="1106"/>
      <c r="M65" s="1106"/>
    </row>
    <row r="66" spans="12:13">
      <c r="L66" s="1106"/>
      <c r="M66" s="1106"/>
    </row>
    <row r="67" spans="12:13">
      <c r="L67" s="1106"/>
      <c r="M67" s="1106"/>
    </row>
    <row r="68" spans="12:13">
      <c r="L68" s="1106"/>
      <c r="M68" s="1106"/>
    </row>
  </sheetData>
  <mergeCells count="32">
    <mergeCell ref="A49:A62"/>
    <mergeCell ref="C17:C19"/>
    <mergeCell ref="C20:C21"/>
    <mergeCell ref="B2:I2"/>
    <mergeCell ref="E5:I5"/>
    <mergeCell ref="E3:I3"/>
    <mergeCell ref="E4:I4"/>
    <mergeCell ref="B61:C62"/>
    <mergeCell ref="B60:C60"/>
    <mergeCell ref="C42:C44"/>
    <mergeCell ref="C45:C46"/>
    <mergeCell ref="C47:C48"/>
    <mergeCell ref="B42:B48"/>
    <mergeCell ref="C54:C55"/>
    <mergeCell ref="B49:B57"/>
    <mergeCell ref="B58:B59"/>
    <mergeCell ref="K32:K33"/>
    <mergeCell ref="B8:C10"/>
    <mergeCell ref="B11:C12"/>
    <mergeCell ref="B35:C35"/>
    <mergeCell ref="B41:C41"/>
    <mergeCell ref="B29:B31"/>
    <mergeCell ref="C30:C31"/>
    <mergeCell ref="B32:B33"/>
    <mergeCell ref="C36:C40"/>
    <mergeCell ref="B36:B40"/>
    <mergeCell ref="C22:C23"/>
    <mergeCell ref="B13:B23"/>
    <mergeCell ref="B24:B25"/>
    <mergeCell ref="C26:C28"/>
    <mergeCell ref="B26:B28"/>
    <mergeCell ref="C13:C16"/>
  </mergeCells>
  <pageMargins left="0.70866141732283472" right="0.70866141732283472" top="0.74803149606299213" bottom="0.74803149606299213" header="0.31496062992125984" footer="0.31496062992125984"/>
  <pageSetup scale="66" fitToHeight="0"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8A0E0B93-B32F-41AA-8C82-18B43663081F}">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09" operator="containsText" text="0" id="{8A0E0B93-B32F-41AA-8C82-18B43663081F}">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rgb="FF00B0F0"/>
    <pageSetUpPr fitToPage="1"/>
  </sheetPr>
  <dimension ref="A1:M58"/>
  <sheetViews>
    <sheetView topLeftCell="A40" zoomScale="90" zoomScaleNormal="90" zoomScaleSheetLayoutView="90" zoomScalePageLayoutView="90" workbookViewId="0">
      <selection activeCell="K8" sqref="K8:K14"/>
    </sheetView>
  </sheetViews>
  <sheetFormatPr baseColWidth="10" defaultColWidth="11.5" defaultRowHeight="14" x14ac:dyDescent="0"/>
  <cols>
    <col min="1" max="1" width="4.1640625" style="310" bestFit="1" customWidth="1"/>
    <col min="2" max="3" width="30.6640625" style="461" customWidth="1"/>
    <col min="4" max="4" width="50.6640625" style="487" customWidth="1"/>
    <col min="5" max="9" width="3.6640625" style="310" customWidth="1"/>
    <col min="10" max="10" width="7.5" style="81" customWidth="1"/>
    <col min="11" max="11" width="50.6640625" style="464" customWidth="1"/>
    <col min="12" max="12" width="30.6640625" style="310" customWidth="1"/>
    <col min="13" max="13" width="3.6640625" style="310" customWidth="1"/>
    <col min="14" max="16384" width="11.5" style="310"/>
  </cols>
  <sheetData>
    <row r="1" spans="1:13" ht="15" thickBot="1"/>
    <row r="2" spans="1:13" s="81" customFormat="1" ht="69" customHeight="1" thickBot="1">
      <c r="B2" s="1743"/>
      <c r="C2" s="1744"/>
      <c r="D2" s="1744"/>
      <c r="E2" s="1744"/>
      <c r="F2" s="1744"/>
      <c r="G2" s="1744"/>
      <c r="H2" s="1744"/>
      <c r="I2" s="1745"/>
      <c r="J2" s="382"/>
      <c r="K2" s="1250"/>
      <c r="L2" s="507"/>
      <c r="M2" s="362"/>
    </row>
    <row r="3" spans="1:13" s="81" customFormat="1" ht="25.25" customHeight="1" thickBot="1">
      <c r="B3" s="820" t="s">
        <v>1385</v>
      </c>
      <c r="C3" s="821"/>
      <c r="D3" s="822"/>
      <c r="E3" s="1746" t="str">
        <f>+'PROGRAMA ARQ.'!E4</f>
        <v>2 SALAS CUNAS</v>
      </c>
      <c r="F3" s="1747"/>
      <c r="G3" s="1747"/>
      <c r="H3" s="1747"/>
      <c r="I3" s="1748"/>
      <c r="J3" s="382"/>
      <c r="K3" s="1250"/>
      <c r="L3" s="507"/>
      <c r="M3" s="362"/>
    </row>
    <row r="4" spans="1:13" s="81" customFormat="1" ht="25.25" customHeight="1" thickBot="1">
      <c r="B4" s="823">
        <f>+'PROGRAMA ARQ.'!I4:I5</f>
        <v>152</v>
      </c>
      <c r="C4" s="505"/>
      <c r="D4" s="661"/>
      <c r="E4" s="1737" t="str">
        <f>+'PROGRAMA ARQ.'!E5</f>
        <v>4 NIVELES MEDIOS</v>
      </c>
      <c r="F4" s="1738"/>
      <c r="G4" s="1738"/>
      <c r="H4" s="1738"/>
      <c r="I4" s="1739"/>
      <c r="J4" s="382"/>
      <c r="K4" s="1250"/>
      <c r="L4" s="507"/>
      <c r="M4" s="362"/>
    </row>
    <row r="5" spans="1:13" s="81" customFormat="1" ht="15" thickBot="1">
      <c r="B5" s="695" t="s">
        <v>1374</v>
      </c>
      <c r="C5" s="235" t="s">
        <v>1375</v>
      </c>
      <c r="D5" s="235" t="s">
        <v>1376</v>
      </c>
      <c r="E5" s="1818" t="s">
        <v>1377</v>
      </c>
      <c r="F5" s="1819"/>
      <c r="G5" s="1819"/>
      <c r="H5" s="1819"/>
      <c r="I5" s="1820"/>
      <c r="J5" s="675"/>
      <c r="K5" s="1250"/>
      <c r="L5" s="507"/>
      <c r="M5" s="362"/>
    </row>
    <row r="6" spans="1:13" s="616" customFormat="1" ht="70.25" customHeight="1" thickBot="1">
      <c r="B6" s="833" t="str">
        <f>+'PROGRAMA ARQ.'!C26</f>
        <v>2.2</v>
      </c>
      <c r="C6" s="833" t="str">
        <f>+'PROGRAMA ARQ.'!D26</f>
        <v>OFICINA 2 (Educadoras o Adm.)</v>
      </c>
      <c r="D6" s="833">
        <f>+'PROGRAMA ARQ.'!F26</f>
        <v>8.4</v>
      </c>
      <c r="E6" s="692" t="s">
        <v>366</v>
      </c>
      <c r="F6" s="693" t="s">
        <v>544</v>
      </c>
      <c r="G6" s="693" t="s">
        <v>2</v>
      </c>
      <c r="H6" s="693" t="s">
        <v>171</v>
      </c>
      <c r="I6" s="694" t="s">
        <v>172</v>
      </c>
      <c r="J6" s="608"/>
      <c r="K6" s="1302" t="s">
        <v>293</v>
      </c>
      <c r="L6" s="705" t="s">
        <v>120</v>
      </c>
      <c r="M6" s="706" t="s">
        <v>178</v>
      </c>
    </row>
    <row r="7" spans="1:13" s="367" customFormat="1" ht="16" thickBot="1">
      <c r="B7" s="719" t="s">
        <v>1378</v>
      </c>
      <c r="C7" s="895" t="s">
        <v>1379</v>
      </c>
      <c r="D7" s="896" t="s">
        <v>1380</v>
      </c>
      <c r="E7" s="663"/>
      <c r="F7" s="664"/>
      <c r="G7" s="664"/>
      <c r="H7" s="663"/>
      <c r="I7" s="665"/>
      <c r="J7" s="595"/>
      <c r="K7" s="1251"/>
      <c r="L7" s="696"/>
      <c r="M7" s="697"/>
    </row>
    <row r="8" spans="1:13" ht="182">
      <c r="B8" s="1912" t="s">
        <v>122</v>
      </c>
      <c r="C8" s="1990"/>
      <c r="D8" s="964" t="s">
        <v>1381</v>
      </c>
      <c r="E8" s="354"/>
      <c r="F8" s="859"/>
      <c r="G8" s="354"/>
      <c r="H8" s="354"/>
      <c r="I8" s="857"/>
      <c r="K8" s="1301" t="s">
        <v>1421</v>
      </c>
      <c r="M8" s="262"/>
    </row>
    <row r="9" spans="1:13" ht="15" customHeight="1">
      <c r="B9" s="1914"/>
      <c r="C9" s="1991"/>
      <c r="D9" s="628" t="s">
        <v>734</v>
      </c>
      <c r="E9" s="642"/>
      <c r="F9" s="642"/>
      <c r="G9" s="644"/>
      <c r="H9" s="642"/>
      <c r="I9" s="791"/>
      <c r="K9" s="1301" t="s">
        <v>1406</v>
      </c>
      <c r="M9" s="262"/>
    </row>
    <row r="10" spans="1:13" ht="15" thickBot="1">
      <c r="B10" s="1914"/>
      <c r="C10" s="1991"/>
      <c r="D10" s="532" t="s">
        <v>1367</v>
      </c>
      <c r="E10" s="938"/>
      <c r="F10" s="938"/>
      <c r="G10" s="938"/>
      <c r="H10" s="938"/>
      <c r="I10" s="965"/>
      <c r="K10" s="1301" t="s">
        <v>1406</v>
      </c>
      <c r="M10" s="262"/>
    </row>
    <row r="11" spans="1:13" ht="56">
      <c r="B11" s="1786" t="s">
        <v>1389</v>
      </c>
      <c r="C11" s="1907"/>
      <c r="D11" s="786" t="s">
        <v>765</v>
      </c>
      <c r="E11" s="762"/>
      <c r="F11" s="762"/>
      <c r="G11" s="762"/>
      <c r="H11" s="762"/>
      <c r="I11" s="805"/>
      <c r="K11" s="1301" t="s">
        <v>1406</v>
      </c>
      <c r="M11" s="262"/>
    </row>
    <row r="12" spans="1:13" ht="29" thickBot="1">
      <c r="B12" s="1781"/>
      <c r="C12" s="1909"/>
      <c r="D12" s="724" t="s">
        <v>689</v>
      </c>
      <c r="E12" s="759"/>
      <c r="F12" s="759"/>
      <c r="G12" s="759"/>
      <c r="H12" s="759"/>
      <c r="I12" s="592"/>
      <c r="K12" s="1301" t="s">
        <v>1406</v>
      </c>
      <c r="M12" s="262"/>
    </row>
    <row r="13" spans="1:13">
      <c r="B13" s="1960" t="s">
        <v>143</v>
      </c>
      <c r="C13" s="882"/>
      <c r="D13" s="879" t="s">
        <v>745</v>
      </c>
      <c r="E13" s="762"/>
      <c r="F13" s="762"/>
      <c r="G13" s="762"/>
      <c r="H13" s="762"/>
      <c r="I13" s="805"/>
      <c r="K13" s="1301" t="s">
        <v>1406</v>
      </c>
      <c r="M13" s="262"/>
    </row>
    <row r="14" spans="1:13">
      <c r="B14" s="1961"/>
      <c r="C14" s="1758" t="s">
        <v>241</v>
      </c>
      <c r="D14" s="880" t="s">
        <v>744</v>
      </c>
      <c r="E14" s="642"/>
      <c r="F14" s="642"/>
      <c r="G14" s="642"/>
      <c r="H14" s="642"/>
      <c r="I14" s="791"/>
      <c r="K14" s="1301" t="s">
        <v>1406</v>
      </c>
      <c r="M14" s="262"/>
    </row>
    <row r="15" spans="1:13">
      <c r="A15" s="461"/>
      <c r="B15" s="1961"/>
      <c r="C15" s="1758"/>
      <c r="D15" s="880" t="s">
        <v>742</v>
      </c>
      <c r="E15" s="868"/>
      <c r="F15" s="868"/>
      <c r="G15" s="868"/>
      <c r="H15" s="868"/>
      <c r="I15" s="795"/>
      <c r="J15" s="621"/>
      <c r="K15" s="1301" t="s">
        <v>1406</v>
      </c>
      <c r="L15" s="616"/>
      <c r="M15" s="676"/>
    </row>
    <row r="16" spans="1:13">
      <c r="B16" s="1961"/>
      <c r="C16" s="1758"/>
      <c r="D16" s="631">
        <f>+K16*D6</f>
        <v>0.67200000000000004</v>
      </c>
      <c r="E16" s="642" t="s">
        <v>258</v>
      </c>
      <c r="F16" s="642"/>
      <c r="G16" s="642"/>
      <c r="H16" s="642"/>
      <c r="I16" s="791"/>
      <c r="K16" s="1303">
        <v>0.08</v>
      </c>
      <c r="L16" s="383" t="s">
        <v>433</v>
      </c>
      <c r="M16" s="262"/>
    </row>
    <row r="17" spans="1:13">
      <c r="B17" s="1961"/>
      <c r="C17" s="1758" t="s">
        <v>242</v>
      </c>
      <c r="D17" s="628" t="s">
        <v>434</v>
      </c>
      <c r="E17" s="642"/>
      <c r="F17" s="642"/>
      <c r="G17" s="642"/>
      <c r="H17" s="642"/>
      <c r="I17" s="791"/>
      <c r="K17" s="1301" t="s">
        <v>1406</v>
      </c>
      <c r="M17" s="262"/>
    </row>
    <row r="18" spans="1:13">
      <c r="A18" s="461"/>
      <c r="B18" s="1961"/>
      <c r="C18" s="1758"/>
      <c r="D18" s="880" t="s">
        <v>743</v>
      </c>
      <c r="E18" s="868"/>
      <c r="F18" s="868"/>
      <c r="G18" s="868"/>
      <c r="H18" s="868"/>
      <c r="I18" s="795"/>
      <c r="J18" s="621"/>
      <c r="K18" s="1301" t="s">
        <v>1448</v>
      </c>
      <c r="L18" s="616"/>
      <c r="M18" s="676"/>
    </row>
    <row r="19" spans="1:13">
      <c r="B19" s="1961"/>
      <c r="C19" s="1758"/>
      <c r="D19" s="631">
        <f>+K19*D6</f>
        <v>0.33600000000000002</v>
      </c>
      <c r="E19" s="642" t="s">
        <v>258</v>
      </c>
      <c r="F19" s="642"/>
      <c r="G19" s="642"/>
      <c r="H19" s="642"/>
      <c r="I19" s="791"/>
      <c r="K19" s="1303">
        <v>0.04</v>
      </c>
      <c r="L19" s="383" t="s">
        <v>433</v>
      </c>
      <c r="M19" s="262"/>
    </row>
    <row r="20" spans="1:13">
      <c r="B20" s="1961"/>
      <c r="C20" s="1905" t="s">
        <v>243</v>
      </c>
      <c r="D20" s="649" t="s">
        <v>575</v>
      </c>
      <c r="E20" s="642"/>
      <c r="F20" s="642"/>
      <c r="G20" s="642"/>
      <c r="H20" s="642"/>
      <c r="I20" s="791"/>
      <c r="K20" s="1301" t="s">
        <v>1448</v>
      </c>
      <c r="L20" s="616" t="s">
        <v>746</v>
      </c>
      <c r="M20" s="262"/>
    </row>
    <row r="21" spans="1:13" ht="15" customHeight="1">
      <c r="B21" s="1961"/>
      <c r="C21" s="1905"/>
      <c r="D21" s="633" t="s">
        <v>739</v>
      </c>
      <c r="E21" s="642"/>
      <c r="F21" s="642"/>
      <c r="G21" s="645"/>
      <c r="H21" s="642"/>
      <c r="I21" s="791"/>
      <c r="K21" s="1301" t="s">
        <v>1406</v>
      </c>
      <c r="M21" s="262"/>
    </row>
    <row r="22" spans="1:13" ht="28">
      <c r="A22" s="461"/>
      <c r="B22" s="1961"/>
      <c r="C22" s="1905" t="s">
        <v>244</v>
      </c>
      <c r="D22" s="649" t="s">
        <v>740</v>
      </c>
      <c r="E22" s="868"/>
      <c r="F22" s="655"/>
      <c r="G22" s="868"/>
      <c r="H22" s="868"/>
      <c r="I22" s="795"/>
      <c r="J22" s="621"/>
      <c r="K22" s="1301" t="s">
        <v>1406</v>
      </c>
      <c r="L22" s="616"/>
      <c r="M22" s="676"/>
    </row>
    <row r="23" spans="1:13" s="81" customFormat="1" ht="29" thickBot="1">
      <c r="B23" s="1980"/>
      <c r="C23" s="1981"/>
      <c r="D23" s="724" t="s">
        <v>741</v>
      </c>
      <c r="E23" s="519"/>
      <c r="F23" s="519"/>
      <c r="G23" s="519"/>
      <c r="H23" s="519"/>
      <c r="I23" s="520"/>
      <c r="J23" s="362"/>
      <c r="K23" s="1301" t="s">
        <v>1406</v>
      </c>
      <c r="L23" s="366"/>
      <c r="M23" s="416"/>
    </row>
    <row r="24" spans="1:13">
      <c r="B24" s="1935" t="s">
        <v>144</v>
      </c>
      <c r="C24" s="882" t="s">
        <v>245</v>
      </c>
      <c r="D24" s="776" t="s">
        <v>552</v>
      </c>
      <c r="E24" s="762"/>
      <c r="F24" s="762"/>
      <c r="G24" s="812"/>
      <c r="H24" s="762"/>
      <c r="I24" s="805"/>
      <c r="K24" s="1301" t="s">
        <v>935</v>
      </c>
      <c r="M24" s="262"/>
    </row>
    <row r="25" spans="1:13" ht="15" thickBot="1">
      <c r="B25" s="1958"/>
      <c r="C25" s="783" t="s">
        <v>246</v>
      </c>
      <c r="D25" s="724" t="s">
        <v>552</v>
      </c>
      <c r="E25" s="759"/>
      <c r="F25" s="759"/>
      <c r="G25" s="813"/>
      <c r="H25" s="759"/>
      <c r="I25" s="592"/>
      <c r="K25" s="1301" t="s">
        <v>935</v>
      </c>
      <c r="M25" s="262"/>
    </row>
    <row r="26" spans="1:13">
      <c r="B26" s="1960" t="s">
        <v>141</v>
      </c>
      <c r="C26" s="1984"/>
      <c r="D26" s="776" t="s">
        <v>802</v>
      </c>
      <c r="E26" s="762"/>
      <c r="F26" s="762"/>
      <c r="G26" s="812"/>
      <c r="H26" s="762"/>
      <c r="I26" s="805"/>
      <c r="K26" s="1301" t="s">
        <v>1406</v>
      </c>
      <c r="L26" s="616" t="s">
        <v>804</v>
      </c>
      <c r="M26" s="262"/>
    </row>
    <row r="27" spans="1:13" ht="28">
      <c r="B27" s="1961"/>
      <c r="C27" s="1985"/>
      <c r="D27" s="649" t="s">
        <v>1442</v>
      </c>
      <c r="E27" s="642"/>
      <c r="F27" s="642"/>
      <c r="G27" s="645"/>
      <c r="H27" s="642"/>
      <c r="I27" s="791"/>
      <c r="K27" s="1301" t="s">
        <v>1406</v>
      </c>
      <c r="M27" s="262"/>
    </row>
    <row r="28" spans="1:13" s="81" customFormat="1" ht="29" thickBot="1">
      <c r="B28" s="1980"/>
      <c r="C28" s="1986"/>
      <c r="D28" s="940" t="s">
        <v>833</v>
      </c>
      <c r="E28" s="519"/>
      <c r="F28" s="519"/>
      <c r="G28" s="519"/>
      <c r="H28" s="519"/>
      <c r="I28" s="520"/>
      <c r="J28" s="362"/>
      <c r="K28" s="1301" t="s">
        <v>1406</v>
      </c>
      <c r="L28" s="509"/>
      <c r="M28" s="434"/>
    </row>
    <row r="29" spans="1:13" s="81" customFormat="1" ht="28">
      <c r="B29" s="1935" t="s">
        <v>140</v>
      </c>
      <c r="C29" s="1899" t="s">
        <v>414</v>
      </c>
      <c r="D29" s="786" t="s">
        <v>515</v>
      </c>
      <c r="E29" s="528"/>
      <c r="F29" s="528"/>
      <c r="G29" s="528"/>
      <c r="H29" s="528"/>
      <c r="I29" s="529"/>
      <c r="J29" s="362"/>
      <c r="K29" s="1301" t="s">
        <v>1406</v>
      </c>
      <c r="L29" s="507"/>
      <c r="M29" s="401"/>
    </row>
    <row r="30" spans="1:13" s="81" customFormat="1" ht="43" thickBot="1">
      <c r="B30" s="1958"/>
      <c r="C30" s="1969"/>
      <c r="D30" s="778" t="s">
        <v>444</v>
      </c>
      <c r="E30" s="519"/>
      <c r="F30" s="519"/>
      <c r="G30" s="519"/>
      <c r="H30" s="519"/>
      <c r="I30" s="520"/>
      <c r="J30" s="362"/>
      <c r="K30" s="1301" t="s">
        <v>1406</v>
      </c>
      <c r="L30" s="507"/>
      <c r="M30" s="401"/>
    </row>
    <row r="31" spans="1:13">
      <c r="B31" s="1982" t="s">
        <v>123</v>
      </c>
      <c r="C31" s="911" t="s">
        <v>594</v>
      </c>
      <c r="D31" s="776" t="s">
        <v>688</v>
      </c>
      <c r="E31" s="762"/>
      <c r="F31" s="762"/>
      <c r="G31" s="762"/>
      <c r="H31" s="762"/>
      <c r="I31" s="805"/>
      <c r="K31" s="1301" t="s">
        <v>1421</v>
      </c>
      <c r="M31" s="262"/>
    </row>
    <row r="32" spans="1:13" s="81" customFormat="1" ht="31.25" customHeight="1" thickBot="1">
      <c r="B32" s="1983"/>
      <c r="C32" s="878" t="s">
        <v>731</v>
      </c>
      <c r="D32" s="781" t="s">
        <v>807</v>
      </c>
      <c r="E32" s="554"/>
      <c r="F32" s="554"/>
      <c r="G32" s="554"/>
      <c r="H32" s="554"/>
      <c r="I32" s="560"/>
      <c r="K32" s="1301" t="s">
        <v>1406</v>
      </c>
      <c r="L32" s="392" t="s">
        <v>808</v>
      </c>
      <c r="M32" s="401"/>
    </row>
    <row r="33" spans="1:13" ht="15" thickBot="1">
      <c r="B33" s="968" t="s">
        <v>124</v>
      </c>
      <c r="C33" s="969" t="s">
        <v>806</v>
      </c>
      <c r="D33" s="801" t="s">
        <v>737</v>
      </c>
      <c r="E33" s="802"/>
      <c r="F33" s="802"/>
      <c r="G33" s="802"/>
      <c r="H33" s="802"/>
      <c r="I33" s="803"/>
      <c r="J33" s="621"/>
      <c r="K33" s="1301" t="s">
        <v>1406</v>
      </c>
      <c r="M33" s="262"/>
    </row>
    <row r="34" spans="1:13" ht="15" thickBot="1">
      <c r="B34" s="1918" t="s">
        <v>132</v>
      </c>
      <c r="C34" s="1919"/>
      <c r="D34" s="815" t="s">
        <v>809</v>
      </c>
      <c r="E34" s="750"/>
      <c r="F34" s="750"/>
      <c r="G34" s="750"/>
      <c r="H34" s="750"/>
      <c r="I34" s="810"/>
      <c r="K34" s="1301" t="s">
        <v>1406</v>
      </c>
      <c r="M34" s="262"/>
    </row>
    <row r="35" spans="1:13" ht="17.5" customHeight="1">
      <c r="B35" s="1786" t="s">
        <v>133</v>
      </c>
      <c r="C35" s="1907"/>
      <c r="D35" s="764" t="s">
        <v>1449</v>
      </c>
      <c r="E35" s="762"/>
      <c r="F35" s="762"/>
      <c r="G35" s="762"/>
      <c r="H35" s="762"/>
      <c r="I35" s="805"/>
      <c r="K35" s="1301" t="s">
        <v>1406</v>
      </c>
      <c r="M35" s="262"/>
    </row>
    <row r="36" spans="1:13" ht="17.5" customHeight="1">
      <c r="B36" s="1780"/>
      <c r="C36" s="1908"/>
      <c r="D36" s="652" t="s">
        <v>767</v>
      </c>
      <c r="E36" s="642"/>
      <c r="F36" s="642"/>
      <c r="G36" s="642"/>
      <c r="H36" s="642"/>
      <c r="I36" s="791"/>
      <c r="K36" s="1301" t="s">
        <v>1406</v>
      </c>
      <c r="M36" s="262"/>
    </row>
    <row r="37" spans="1:13" ht="17.5" customHeight="1">
      <c r="B37" s="1780"/>
      <c r="C37" s="1908"/>
      <c r="D37" s="652" t="s">
        <v>382</v>
      </c>
      <c r="E37" s="642"/>
      <c r="F37" s="642"/>
      <c r="G37" s="642"/>
      <c r="H37" s="642"/>
      <c r="I37" s="791"/>
      <c r="K37" s="1301" t="s">
        <v>1406</v>
      </c>
      <c r="M37" s="262"/>
    </row>
    <row r="38" spans="1:13" ht="14" customHeight="1" thickBot="1">
      <c r="B38" s="1781"/>
      <c r="C38" s="1909"/>
      <c r="D38" s="752" t="s">
        <v>695</v>
      </c>
      <c r="E38" s="759"/>
      <c r="F38" s="759"/>
      <c r="G38" s="759"/>
      <c r="H38" s="759"/>
      <c r="I38" s="592"/>
      <c r="K38" s="1301" t="s">
        <v>1406</v>
      </c>
      <c r="M38" s="262"/>
    </row>
    <row r="39" spans="1:13" ht="14" customHeight="1" thickBot="1">
      <c r="B39" s="1918" t="s">
        <v>134</v>
      </c>
      <c r="C39" s="1919"/>
      <c r="D39" s="816" t="s">
        <v>552</v>
      </c>
      <c r="E39" s="750"/>
      <c r="F39" s="750"/>
      <c r="G39" s="750"/>
      <c r="H39" s="750"/>
      <c r="I39" s="810"/>
      <c r="K39" s="1301" t="s">
        <v>935</v>
      </c>
      <c r="M39" s="262"/>
    </row>
    <row r="40" spans="1:13">
      <c r="A40" s="461"/>
      <c r="B40" s="1755" t="s">
        <v>135</v>
      </c>
      <c r="C40" s="1948" t="s">
        <v>248</v>
      </c>
      <c r="D40" s="885" t="s">
        <v>751</v>
      </c>
      <c r="E40" s="867"/>
      <c r="F40" s="867"/>
      <c r="G40" s="867"/>
      <c r="H40" s="867"/>
      <c r="I40" s="794"/>
      <c r="J40" s="621"/>
      <c r="K40" s="1301" t="s">
        <v>684</v>
      </c>
      <c r="L40" s="616"/>
      <c r="M40" s="676"/>
    </row>
    <row r="41" spans="1:13">
      <c r="A41" s="461"/>
      <c r="B41" s="1756"/>
      <c r="C41" s="1949"/>
      <c r="D41" s="877" t="s">
        <v>750</v>
      </c>
      <c r="E41" s="868"/>
      <c r="F41" s="868"/>
      <c r="G41" s="868"/>
      <c r="H41" s="868"/>
      <c r="I41" s="795"/>
      <c r="J41" s="621"/>
      <c r="K41" s="1301" t="s">
        <v>1406</v>
      </c>
      <c r="L41" s="616"/>
      <c r="M41" s="676"/>
    </row>
    <row r="42" spans="1:13">
      <c r="A42" s="461"/>
      <c r="B42" s="1756"/>
      <c r="C42" s="1949"/>
      <c r="D42" s="877" t="s">
        <v>749</v>
      </c>
      <c r="E42" s="868"/>
      <c r="F42" s="868"/>
      <c r="G42" s="868"/>
      <c r="H42" s="868"/>
      <c r="I42" s="795"/>
      <c r="J42" s="621"/>
      <c r="K42" s="1301" t="s">
        <v>1406</v>
      </c>
      <c r="L42" s="616"/>
      <c r="M42" s="676"/>
    </row>
    <row r="43" spans="1:13">
      <c r="A43" s="461"/>
      <c r="B43" s="1756"/>
      <c r="C43" s="1949" t="s">
        <v>249</v>
      </c>
      <c r="D43" s="877" t="s">
        <v>753</v>
      </c>
      <c r="E43" s="868"/>
      <c r="F43" s="868"/>
      <c r="G43" s="868"/>
      <c r="H43" s="868"/>
      <c r="I43" s="795"/>
      <c r="J43" s="621"/>
      <c r="K43" s="1301" t="s">
        <v>1406</v>
      </c>
      <c r="L43" s="616"/>
      <c r="M43" s="676"/>
    </row>
    <row r="44" spans="1:13">
      <c r="A44" s="461"/>
      <c r="B44" s="1756"/>
      <c r="C44" s="1949"/>
      <c r="D44" s="877" t="s">
        <v>752</v>
      </c>
      <c r="E44" s="868"/>
      <c r="F44" s="868"/>
      <c r="G44" s="868"/>
      <c r="H44" s="868"/>
      <c r="I44" s="795"/>
      <c r="J44" s="621"/>
      <c r="K44" s="1301" t="s">
        <v>1406</v>
      </c>
      <c r="L44" s="616"/>
      <c r="M44" s="676"/>
    </row>
    <row r="45" spans="1:13">
      <c r="A45" s="461"/>
      <c r="B45" s="1756"/>
      <c r="C45" s="1949" t="s">
        <v>250</v>
      </c>
      <c r="D45" s="877" t="s">
        <v>685</v>
      </c>
      <c r="E45" s="868"/>
      <c r="F45" s="868"/>
      <c r="G45" s="868"/>
      <c r="H45" s="868"/>
      <c r="I45" s="795"/>
      <c r="J45" s="621"/>
      <c r="K45" s="1301" t="s">
        <v>1406</v>
      </c>
      <c r="L45" s="616"/>
      <c r="M45" s="676"/>
    </row>
    <row r="46" spans="1:13" ht="15" thickBot="1">
      <c r="A46" s="461"/>
      <c r="B46" s="1757"/>
      <c r="C46" s="1979"/>
      <c r="D46" s="878" t="s">
        <v>326</v>
      </c>
      <c r="E46" s="869"/>
      <c r="F46" s="869"/>
      <c r="G46" s="869"/>
      <c r="H46" s="869"/>
      <c r="I46" s="796"/>
      <c r="J46" s="621"/>
      <c r="K46" s="1301" t="s">
        <v>1406</v>
      </c>
      <c r="L46" s="616"/>
      <c r="M46" s="262"/>
    </row>
    <row r="47" spans="1:13" s="1165" customFormat="1">
      <c r="A47" s="1987" t="s">
        <v>137</v>
      </c>
      <c r="B47" s="1960" t="s">
        <v>138</v>
      </c>
      <c r="C47" s="1899" t="s">
        <v>438</v>
      </c>
      <c r="D47" s="1313" t="s">
        <v>754</v>
      </c>
      <c r="E47" s="1236"/>
      <c r="F47" s="1236"/>
      <c r="G47" s="1236"/>
      <c r="H47" s="1236"/>
      <c r="I47" s="1254"/>
      <c r="K47" s="1314" t="s">
        <v>436</v>
      </c>
      <c r="M47" s="1315"/>
    </row>
    <row r="48" spans="1:13" ht="30" customHeight="1">
      <c r="A48" s="1988"/>
      <c r="B48" s="1961"/>
      <c r="C48" s="1758"/>
      <c r="D48" s="880" t="s">
        <v>764</v>
      </c>
      <c r="E48" s="642"/>
      <c r="F48" s="642"/>
      <c r="G48" s="642"/>
      <c r="H48" s="642"/>
      <c r="I48" s="791"/>
      <c r="K48" s="1301" t="s">
        <v>1406</v>
      </c>
      <c r="M48" s="262"/>
    </row>
    <row r="49" spans="1:13">
      <c r="A49" s="1988"/>
      <c r="B49" s="1961"/>
      <c r="C49" s="881" t="s">
        <v>251</v>
      </c>
      <c r="D49" s="880" t="s">
        <v>768</v>
      </c>
      <c r="E49" s="868"/>
      <c r="F49" s="868">
        <v>2</v>
      </c>
      <c r="G49" s="868">
        <f>+F49*'PROGRAMA ARQ.'!E26</f>
        <v>2</v>
      </c>
      <c r="H49" s="642"/>
      <c r="I49" s="791"/>
      <c r="K49" s="1301" t="s">
        <v>1406</v>
      </c>
      <c r="M49" s="262"/>
    </row>
    <row r="50" spans="1:13">
      <c r="A50" s="1988"/>
      <c r="B50" s="1961"/>
      <c r="C50" s="881" t="s">
        <v>252</v>
      </c>
      <c r="D50" s="628" t="s">
        <v>437</v>
      </c>
      <c r="E50" s="642"/>
      <c r="F50" s="642"/>
      <c r="G50" s="642"/>
      <c r="H50" s="642"/>
      <c r="I50" s="791"/>
      <c r="K50" s="1301" t="s">
        <v>1406</v>
      </c>
      <c r="M50" s="262"/>
    </row>
    <row r="51" spans="1:13">
      <c r="A51" s="1988"/>
      <c r="B51" s="1961"/>
      <c r="C51" s="881" t="s">
        <v>253</v>
      </c>
      <c r="D51" s="877" t="s">
        <v>686</v>
      </c>
      <c r="E51" s="642"/>
      <c r="F51" s="642"/>
      <c r="G51" s="642"/>
      <c r="H51" s="642"/>
      <c r="I51" s="791"/>
      <c r="K51" s="1301" t="s">
        <v>1406</v>
      </c>
      <c r="M51" s="262"/>
    </row>
    <row r="52" spans="1:13">
      <c r="A52" s="1988"/>
      <c r="B52" s="1961"/>
      <c r="C52" s="881" t="s">
        <v>254</v>
      </c>
      <c r="D52" s="512" t="s">
        <v>687</v>
      </c>
      <c r="E52" s="642"/>
      <c r="F52" s="642"/>
      <c r="G52" s="642"/>
      <c r="H52" s="642"/>
      <c r="I52" s="791"/>
      <c r="K52" s="1301" t="s">
        <v>1421</v>
      </c>
      <c r="M52" s="262"/>
    </row>
    <row r="53" spans="1:13" ht="15" thickBot="1">
      <c r="A53" s="1988"/>
      <c r="B53" s="1980"/>
      <c r="C53" s="783" t="s">
        <v>255</v>
      </c>
      <c r="D53" s="519" t="s">
        <v>769</v>
      </c>
      <c r="E53" s="759"/>
      <c r="F53" s="759"/>
      <c r="G53" s="759"/>
      <c r="H53" s="759"/>
      <c r="I53" s="592"/>
      <c r="K53" s="1301" t="s">
        <v>1421</v>
      </c>
      <c r="M53" s="262"/>
    </row>
    <row r="54" spans="1:13">
      <c r="A54" s="1988"/>
      <c r="B54" s="1935" t="s">
        <v>139</v>
      </c>
      <c r="C54" s="882" t="s">
        <v>256</v>
      </c>
      <c r="D54" s="764" t="s">
        <v>332</v>
      </c>
      <c r="E54" s="762"/>
      <c r="F54" s="762"/>
      <c r="G54" s="762"/>
      <c r="H54" s="762"/>
      <c r="I54" s="805"/>
      <c r="K54" s="1301" t="s">
        <v>1406</v>
      </c>
      <c r="L54" s="482" t="s">
        <v>445</v>
      </c>
      <c r="M54" s="262"/>
    </row>
    <row r="55" spans="1:13" ht="15" thickBot="1">
      <c r="A55" s="1988"/>
      <c r="B55" s="1958"/>
      <c r="C55" s="783" t="s">
        <v>257</v>
      </c>
      <c r="D55" s="519" t="s">
        <v>828</v>
      </c>
      <c r="E55" s="759"/>
      <c r="F55" s="759"/>
      <c r="G55" s="759"/>
      <c r="H55" s="759"/>
      <c r="I55" s="592"/>
      <c r="K55" s="1301" t="s">
        <v>436</v>
      </c>
      <c r="M55" s="262"/>
    </row>
    <row r="56" spans="1:13" ht="15" thickBot="1">
      <c r="A56" s="1988"/>
      <c r="B56" s="1918" t="s">
        <v>142</v>
      </c>
      <c r="C56" s="1919"/>
      <c r="D56" s="815" t="s">
        <v>770</v>
      </c>
      <c r="E56" s="750"/>
      <c r="F56" s="750"/>
      <c r="G56" s="750"/>
      <c r="H56" s="750"/>
      <c r="I56" s="810"/>
      <c r="K56" s="1301" t="s">
        <v>1406</v>
      </c>
      <c r="M56" s="262"/>
    </row>
    <row r="57" spans="1:13">
      <c r="A57" s="1988"/>
      <c r="B57" s="1786" t="s">
        <v>264</v>
      </c>
      <c r="C57" s="1907"/>
      <c r="D57" s="776" t="s">
        <v>771</v>
      </c>
      <c r="E57" s="809"/>
      <c r="F57" s="762"/>
      <c r="G57" s="762"/>
      <c r="H57" s="762"/>
      <c r="I57" s="805"/>
      <c r="K57" s="1301"/>
      <c r="L57" s="504"/>
      <c r="M57" s="262"/>
    </row>
    <row r="58" spans="1:13" ht="15" thickBot="1">
      <c r="A58" s="1989"/>
      <c r="B58" s="1781"/>
      <c r="C58" s="1909"/>
      <c r="D58" s="817" t="s">
        <v>691</v>
      </c>
      <c r="E58" s="759"/>
      <c r="F58" s="759"/>
      <c r="G58" s="759"/>
      <c r="H58" s="759"/>
      <c r="I58" s="592"/>
      <c r="K58" s="1301" t="s">
        <v>1406</v>
      </c>
      <c r="L58" s="345"/>
      <c r="M58" s="346"/>
    </row>
  </sheetData>
  <mergeCells count="30">
    <mergeCell ref="A47:A58"/>
    <mergeCell ref="B2:I2"/>
    <mergeCell ref="E5:I5"/>
    <mergeCell ref="E3:I3"/>
    <mergeCell ref="E4:I4"/>
    <mergeCell ref="B8:C10"/>
    <mergeCell ref="B56:C56"/>
    <mergeCell ref="B57:C58"/>
    <mergeCell ref="C45:C46"/>
    <mergeCell ref="B40:B46"/>
    <mergeCell ref="C47:C48"/>
    <mergeCell ref="B47:B53"/>
    <mergeCell ref="B54:B55"/>
    <mergeCell ref="C40:C42"/>
    <mergeCell ref="C43:C44"/>
    <mergeCell ref="B11:C12"/>
    <mergeCell ref="B31:B32"/>
    <mergeCell ref="B34:C34"/>
    <mergeCell ref="B35:C38"/>
    <mergeCell ref="B39:C39"/>
    <mergeCell ref="B24:B25"/>
    <mergeCell ref="B26:B28"/>
    <mergeCell ref="C26:C28"/>
    <mergeCell ref="C29:C30"/>
    <mergeCell ref="B29:B30"/>
    <mergeCell ref="B13:B23"/>
    <mergeCell ref="C14:C16"/>
    <mergeCell ref="C17:C19"/>
    <mergeCell ref="C20:C21"/>
    <mergeCell ref="C22:C23"/>
  </mergeCells>
  <pageMargins left="0.70866141732283472" right="0.70866141732283472" top="0.74803149606299213" bottom="0.74803149606299213" header="0.31496062992125984" footer="0.31496062992125984"/>
  <pageSetup scale="66" fitToHeight="0" orientation="portrait"/>
  <rowBreaks count="1" manualBreakCount="1">
    <brk id="46"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34628721-67A2-4133-8376-3A17A60BA2E8}">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11" operator="containsText" text="0" id="{34628721-67A2-4133-8376-3A17A60BA2E8}">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rgb="FF00B0F0"/>
    <pageSetUpPr fitToPage="1"/>
  </sheetPr>
  <dimension ref="A1:M69"/>
  <sheetViews>
    <sheetView topLeftCell="A40" zoomScale="80" zoomScaleNormal="80" zoomScaleSheetLayoutView="80" zoomScalePageLayoutView="80" workbookViewId="0">
      <selection activeCell="K8" sqref="K8:K14"/>
    </sheetView>
  </sheetViews>
  <sheetFormatPr baseColWidth="10" defaultColWidth="11.5" defaultRowHeight="14" x14ac:dyDescent="0"/>
  <cols>
    <col min="1" max="1" width="3.83203125" style="310" bestFit="1" customWidth="1"/>
    <col min="2" max="3" width="30.6640625" style="490" customWidth="1"/>
    <col min="4" max="4" width="50.6640625" style="461" customWidth="1"/>
    <col min="5" max="9" width="3.6640625" style="310" customWidth="1"/>
    <col min="10" max="10" width="7.5" style="81" customWidth="1"/>
    <col min="11" max="11" width="50.6640625" style="310" customWidth="1"/>
    <col min="12" max="12" width="30.6640625" style="310" customWidth="1"/>
    <col min="13" max="13" width="3.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1" thickBot="1">
      <c r="B6" s="833" t="str">
        <f>+'PROGRAMA ARQ.'!C27</f>
        <v>2.3</v>
      </c>
      <c r="C6" s="833" t="str">
        <f>+'PROGRAMA ARQ.'!D27</f>
        <v>HALL DE ESPERA</v>
      </c>
      <c r="D6" s="833">
        <f>+'PROGRAMA ARQ.'!F27</f>
        <v>10.4</v>
      </c>
      <c r="E6" s="692" t="s">
        <v>366</v>
      </c>
      <c r="F6" s="693" t="s">
        <v>544</v>
      </c>
      <c r="G6" s="693" t="s">
        <v>2</v>
      </c>
      <c r="H6" s="693" t="s">
        <v>171</v>
      </c>
      <c r="I6" s="694" t="s">
        <v>172</v>
      </c>
      <c r="J6" s="608"/>
      <c r="K6" s="704" t="s">
        <v>293</v>
      </c>
      <c r="L6" s="705" t="s">
        <v>120</v>
      </c>
      <c r="M6" s="706" t="s">
        <v>178</v>
      </c>
    </row>
    <row r="7" spans="2:13" s="367" customFormat="1" ht="16" thickBot="1">
      <c r="B7" s="719" t="s">
        <v>1378</v>
      </c>
      <c r="C7" s="719" t="s">
        <v>1379</v>
      </c>
      <c r="D7" s="666" t="s">
        <v>1380</v>
      </c>
      <c r="E7" s="663"/>
      <c r="F7" s="664"/>
      <c r="G7" s="664"/>
      <c r="H7" s="663"/>
      <c r="I7" s="665"/>
      <c r="J7" s="595"/>
      <c r="K7" s="235"/>
      <c r="L7" s="696"/>
      <c r="M7" s="697"/>
    </row>
    <row r="8" spans="2:13" ht="183" thickBot="1">
      <c r="B8" s="1848" t="s">
        <v>122</v>
      </c>
      <c r="C8" s="1995"/>
      <c r="D8" s="971" t="s">
        <v>1381</v>
      </c>
      <c r="E8" s="972"/>
      <c r="F8" s="972"/>
      <c r="G8" s="972"/>
      <c r="H8" s="972"/>
      <c r="I8" s="970"/>
      <c r="K8" s="464" t="s">
        <v>1406</v>
      </c>
    </row>
    <row r="9" spans="2:13" ht="36.5" customHeight="1">
      <c r="B9" s="1827" t="s">
        <v>125</v>
      </c>
      <c r="C9" s="1828"/>
      <c r="D9" s="900" t="s">
        <v>773</v>
      </c>
      <c r="E9" s="901"/>
      <c r="F9" s="901"/>
      <c r="G9" s="901"/>
      <c r="H9" s="901"/>
      <c r="I9" s="902"/>
      <c r="K9" s="464" t="s">
        <v>1406</v>
      </c>
      <c r="L9" s="1371" t="s">
        <v>439</v>
      </c>
    </row>
    <row r="10" spans="2:13" ht="20.5" customHeight="1">
      <c r="B10" s="1829"/>
      <c r="C10" s="1830"/>
      <c r="D10" s="877" t="s">
        <v>1367</v>
      </c>
      <c r="E10" s="868"/>
      <c r="F10" s="868"/>
      <c r="G10" s="868"/>
      <c r="H10" s="868"/>
      <c r="I10" s="795"/>
      <c r="K10" s="464" t="s">
        <v>1406</v>
      </c>
      <c r="L10" s="1371"/>
    </row>
    <row r="11" spans="2:13" ht="33" customHeight="1" thickBot="1">
      <c r="B11" s="1831"/>
      <c r="C11" s="1832"/>
      <c r="D11" s="797" t="s">
        <v>772</v>
      </c>
      <c r="E11" s="869"/>
      <c r="F11" s="869"/>
      <c r="G11" s="869"/>
      <c r="H11" s="869"/>
      <c r="I11" s="796"/>
      <c r="K11" s="464" t="s">
        <v>1406</v>
      </c>
      <c r="L11" s="1371"/>
    </row>
    <row r="12" spans="2:13">
      <c r="B12" s="1966" t="s">
        <v>143</v>
      </c>
      <c r="C12" s="873" t="s">
        <v>241</v>
      </c>
      <c r="D12" s="885" t="s">
        <v>801</v>
      </c>
      <c r="E12" s="867"/>
      <c r="F12" s="867"/>
      <c r="G12" s="867"/>
      <c r="H12" s="867"/>
      <c r="I12" s="794"/>
      <c r="J12" s="332"/>
      <c r="K12" s="464" t="s">
        <v>1406</v>
      </c>
      <c r="L12" s="343"/>
      <c r="M12" s="343"/>
    </row>
    <row r="13" spans="2:13">
      <c r="B13" s="1967"/>
      <c r="C13" s="874" t="s">
        <v>242</v>
      </c>
      <c r="D13" s="877" t="s">
        <v>440</v>
      </c>
      <c r="E13" s="868"/>
      <c r="F13" s="868"/>
      <c r="G13" s="868"/>
      <c r="H13" s="868"/>
      <c r="I13" s="795"/>
      <c r="K13" s="464" t="s">
        <v>1406</v>
      </c>
    </row>
    <row r="14" spans="2:13">
      <c r="B14" s="1967"/>
      <c r="C14" s="874" t="s">
        <v>243</v>
      </c>
      <c r="D14" s="649" t="s">
        <v>552</v>
      </c>
      <c r="E14" s="868"/>
      <c r="F14" s="868"/>
      <c r="G14" s="868"/>
      <c r="H14" s="868"/>
      <c r="I14" s="795"/>
      <c r="K14" s="464" t="s">
        <v>1406</v>
      </c>
    </row>
    <row r="15" spans="2:13" ht="29" thickBot="1">
      <c r="B15" s="1968"/>
      <c r="C15" s="770" t="s">
        <v>244</v>
      </c>
      <c r="D15" s="800" t="s">
        <v>776</v>
      </c>
      <c r="E15" s="869"/>
      <c r="F15" s="869"/>
      <c r="G15" s="869"/>
      <c r="H15" s="869"/>
      <c r="I15" s="796"/>
      <c r="J15" s="362"/>
      <c r="K15" s="464" t="s">
        <v>1406</v>
      </c>
      <c r="L15" s="483" t="s">
        <v>672</v>
      </c>
      <c r="M15" s="380"/>
    </row>
    <row r="16" spans="2:13">
      <c r="B16" s="1755" t="s">
        <v>144</v>
      </c>
      <c r="C16" s="873" t="s">
        <v>245</v>
      </c>
      <c r="D16" s="885" t="s">
        <v>552</v>
      </c>
      <c r="E16" s="867"/>
      <c r="F16" s="867"/>
      <c r="G16" s="867"/>
      <c r="H16" s="867"/>
      <c r="I16" s="794"/>
      <c r="K16" s="1370" t="s">
        <v>935</v>
      </c>
    </row>
    <row r="17" spans="2:13" ht="15" thickBot="1">
      <c r="B17" s="1757"/>
      <c r="C17" s="770" t="s">
        <v>246</v>
      </c>
      <c r="D17" s="878" t="s">
        <v>552</v>
      </c>
      <c r="E17" s="869"/>
      <c r="F17" s="869"/>
      <c r="G17" s="869"/>
      <c r="H17" s="869"/>
      <c r="I17" s="796"/>
      <c r="J17" s="362"/>
      <c r="K17" s="1370" t="s">
        <v>935</v>
      </c>
      <c r="M17" s="487"/>
    </row>
    <row r="18" spans="2:13" ht="28">
      <c r="B18" s="1827" t="s">
        <v>141</v>
      </c>
      <c r="C18" s="1828"/>
      <c r="D18" s="879" t="s">
        <v>777</v>
      </c>
      <c r="E18" s="867"/>
      <c r="F18" s="867"/>
      <c r="G18" s="867"/>
      <c r="H18" s="867"/>
      <c r="I18" s="794"/>
      <c r="J18" s="362"/>
      <c r="K18" s="464" t="s">
        <v>1406</v>
      </c>
      <c r="L18" s="1106" t="s">
        <v>804</v>
      </c>
      <c r="M18" s="487"/>
    </row>
    <row r="19" spans="2:13" ht="42">
      <c r="B19" s="1829"/>
      <c r="C19" s="1830"/>
      <c r="D19" s="649" t="s">
        <v>778</v>
      </c>
      <c r="E19" s="868"/>
      <c r="F19" s="868"/>
      <c r="G19" s="868"/>
      <c r="H19" s="868"/>
      <c r="I19" s="795"/>
      <c r="J19" s="362"/>
      <c r="K19" s="464" t="s">
        <v>1406</v>
      </c>
      <c r="L19" s="487"/>
      <c r="M19" s="487"/>
    </row>
    <row r="20" spans="2:13">
      <c r="B20" s="1829"/>
      <c r="C20" s="1830"/>
      <c r="D20" s="649" t="s">
        <v>263</v>
      </c>
      <c r="E20" s="868"/>
      <c r="F20" s="868"/>
      <c r="G20" s="868"/>
      <c r="H20" s="868"/>
      <c r="I20" s="795"/>
      <c r="J20" s="362"/>
      <c r="K20" s="464" t="s">
        <v>1406</v>
      </c>
      <c r="L20" s="487"/>
      <c r="M20" s="487"/>
    </row>
    <row r="21" spans="2:13" ht="57" thickBot="1">
      <c r="B21" s="1831"/>
      <c r="C21" s="1832"/>
      <c r="D21" s="800" t="s">
        <v>790</v>
      </c>
      <c r="E21" s="869"/>
      <c r="F21" s="869"/>
      <c r="G21" s="869"/>
      <c r="H21" s="869"/>
      <c r="I21" s="796"/>
      <c r="J21" s="362"/>
      <c r="K21" s="464" t="s">
        <v>1406</v>
      </c>
      <c r="L21" s="483" t="s">
        <v>791</v>
      </c>
      <c r="M21" s="487"/>
    </row>
    <row r="22" spans="2:13" s="1165" customFormat="1">
      <c r="B22" s="1755" t="s">
        <v>140</v>
      </c>
      <c r="C22" s="1992" t="s">
        <v>442</v>
      </c>
      <c r="D22" s="1316" t="s">
        <v>779</v>
      </c>
      <c r="E22" s="1313"/>
      <c r="F22" s="1313"/>
      <c r="G22" s="1313"/>
      <c r="H22" s="1313"/>
      <c r="I22" s="1317"/>
      <c r="J22" s="1259"/>
      <c r="K22" s="1176" t="s">
        <v>416</v>
      </c>
      <c r="L22" s="1318"/>
      <c r="M22" s="1318"/>
    </row>
    <row r="23" spans="2:13">
      <c r="B23" s="1756"/>
      <c r="C23" s="1993"/>
      <c r="D23" s="640" t="s">
        <v>780</v>
      </c>
      <c r="E23" s="868"/>
      <c r="F23" s="868"/>
      <c r="G23" s="868"/>
      <c r="H23" s="868"/>
      <c r="I23" s="795"/>
      <c r="J23" s="507"/>
      <c r="K23" s="464" t="s">
        <v>1406</v>
      </c>
      <c r="L23" s="464"/>
      <c r="M23" s="464"/>
    </row>
    <row r="24" spans="2:13" ht="43" thickBot="1">
      <c r="B24" s="1757"/>
      <c r="C24" s="1994"/>
      <c r="D24" s="769" t="s">
        <v>789</v>
      </c>
      <c r="E24" s="869"/>
      <c r="F24" s="869"/>
      <c r="G24" s="869"/>
      <c r="H24" s="869"/>
      <c r="I24" s="796"/>
      <c r="J24" s="507"/>
      <c r="K24" s="464" t="s">
        <v>1406</v>
      </c>
      <c r="L24" s="464"/>
      <c r="M24" s="464"/>
    </row>
    <row r="25" spans="2:13" ht="53.5" customHeight="1">
      <c r="B25" s="1966" t="s">
        <v>123</v>
      </c>
      <c r="C25" s="873" t="s">
        <v>810</v>
      </c>
      <c r="D25" s="879" t="s">
        <v>781</v>
      </c>
      <c r="E25" s="867"/>
      <c r="F25" s="867"/>
      <c r="G25" s="867"/>
      <c r="H25" s="867"/>
      <c r="I25" s="794"/>
      <c r="K25" s="1370" t="s">
        <v>1421</v>
      </c>
      <c r="M25" s="492" t="s">
        <v>783</v>
      </c>
    </row>
    <row r="26" spans="2:13" ht="46.25" customHeight="1" thickBot="1">
      <c r="B26" s="1968"/>
      <c r="C26" s="770" t="s">
        <v>782</v>
      </c>
      <c r="D26" s="797" t="s">
        <v>811</v>
      </c>
      <c r="E26" s="869"/>
      <c r="F26" s="869"/>
      <c r="G26" s="869"/>
      <c r="H26" s="869"/>
      <c r="I26" s="796"/>
      <c r="K26" s="1370" t="s">
        <v>1421</v>
      </c>
      <c r="L26" s="81"/>
      <c r="M26" s="492" t="s">
        <v>782</v>
      </c>
    </row>
    <row r="27" spans="2:13" ht="15" thickBot="1">
      <c r="B27" s="1848" t="s">
        <v>124</v>
      </c>
      <c r="C27" s="1849"/>
      <c r="D27" s="906" t="s">
        <v>397</v>
      </c>
      <c r="E27" s="802"/>
      <c r="F27" s="802"/>
      <c r="G27" s="802"/>
      <c r="H27" s="802"/>
      <c r="I27" s="803"/>
      <c r="K27" s="1370" t="s">
        <v>935</v>
      </c>
    </row>
    <row r="28" spans="2:13" ht="15" thickBot="1">
      <c r="B28" s="1996" t="s">
        <v>132</v>
      </c>
      <c r="C28" s="1997"/>
      <c r="D28" s="904" t="s">
        <v>784</v>
      </c>
      <c r="E28" s="802"/>
      <c r="F28" s="802"/>
      <c r="G28" s="802"/>
      <c r="H28" s="802"/>
      <c r="I28" s="803"/>
      <c r="K28" s="1370" t="s">
        <v>1421</v>
      </c>
    </row>
    <row r="29" spans="2:13" s="1165" customFormat="1" ht="42">
      <c r="B29" s="1755" t="s">
        <v>133</v>
      </c>
      <c r="C29" s="1998"/>
      <c r="D29" s="1316" t="s">
        <v>820</v>
      </c>
      <c r="E29" s="1313"/>
      <c r="F29" s="1313"/>
      <c r="G29" s="1313"/>
      <c r="H29" s="1313"/>
      <c r="I29" s="1317"/>
      <c r="K29" s="1176" t="s">
        <v>416</v>
      </c>
    </row>
    <row r="30" spans="2:13" s="1165" customFormat="1">
      <c r="B30" s="1756"/>
      <c r="C30" s="1999"/>
      <c r="D30" s="1279" t="s">
        <v>786</v>
      </c>
      <c r="E30" s="1233"/>
      <c r="F30" s="1233"/>
      <c r="G30" s="1233"/>
      <c r="H30" s="1233"/>
      <c r="I30" s="1204"/>
      <c r="K30" s="1176" t="s">
        <v>416</v>
      </c>
    </row>
    <row r="31" spans="2:13">
      <c r="B31" s="1756"/>
      <c r="C31" s="1999"/>
      <c r="D31" s="880" t="s">
        <v>785</v>
      </c>
      <c r="E31" s="868"/>
      <c r="F31" s="868"/>
      <c r="G31" s="868"/>
      <c r="H31" s="868"/>
      <c r="I31" s="795"/>
      <c r="K31" s="464" t="s">
        <v>1406</v>
      </c>
    </row>
    <row r="32" spans="2:13">
      <c r="B32" s="1756"/>
      <c r="C32" s="1999"/>
      <c r="D32" s="880" t="s">
        <v>787</v>
      </c>
      <c r="E32" s="868"/>
      <c r="F32" s="868"/>
      <c r="G32" s="868"/>
      <c r="H32" s="868"/>
      <c r="I32" s="795"/>
      <c r="K32" s="464" t="s">
        <v>1406</v>
      </c>
    </row>
    <row r="33" spans="1:13">
      <c r="B33" s="1756"/>
      <c r="C33" s="1999"/>
      <c r="D33" s="649" t="s">
        <v>792</v>
      </c>
      <c r="E33" s="868"/>
      <c r="F33" s="868"/>
      <c r="G33" s="868"/>
      <c r="H33" s="868"/>
      <c r="I33" s="795"/>
      <c r="K33" s="464" t="s">
        <v>1406</v>
      </c>
    </row>
    <row r="34" spans="1:13" ht="42">
      <c r="B34" s="1756"/>
      <c r="C34" s="1999"/>
      <c r="D34" s="649" t="s">
        <v>788</v>
      </c>
      <c r="E34" s="868"/>
      <c r="F34" s="868"/>
      <c r="G34" s="868"/>
      <c r="H34" s="868"/>
      <c r="I34" s="795"/>
      <c r="K34" s="464" t="s">
        <v>1406</v>
      </c>
    </row>
    <row r="35" spans="1:13" ht="28">
      <c r="B35" s="1756"/>
      <c r="C35" s="1999"/>
      <c r="D35" s="880" t="s">
        <v>793</v>
      </c>
      <c r="E35" s="868"/>
      <c r="F35" s="868"/>
      <c r="G35" s="868"/>
      <c r="H35" s="868"/>
      <c r="I35" s="795"/>
      <c r="K35" s="464" t="s">
        <v>1406</v>
      </c>
    </row>
    <row r="36" spans="1:13" ht="15" thickBot="1">
      <c r="B36" s="1757"/>
      <c r="C36" s="2000"/>
      <c r="D36" s="797" t="s">
        <v>829</v>
      </c>
      <c r="E36" s="869"/>
      <c r="F36" s="869"/>
      <c r="G36" s="869"/>
      <c r="H36" s="869"/>
      <c r="I36" s="796"/>
      <c r="K36" s="464" t="s">
        <v>1406</v>
      </c>
    </row>
    <row r="37" spans="1:13" ht="42">
      <c r="B37" s="1755" t="s">
        <v>134</v>
      </c>
      <c r="C37" s="882" t="s">
        <v>247</v>
      </c>
      <c r="D37" s="879" t="s">
        <v>444</v>
      </c>
      <c r="E37" s="867"/>
      <c r="F37" s="867"/>
      <c r="G37" s="867"/>
      <c r="H37" s="867"/>
      <c r="I37" s="794"/>
      <c r="K37" s="464" t="s">
        <v>1406</v>
      </c>
      <c r="L37" s="310" t="s">
        <v>774</v>
      </c>
    </row>
    <row r="38" spans="1:13" ht="15" thickBot="1">
      <c r="B38" s="1757"/>
      <c r="C38" s="768" t="s">
        <v>405</v>
      </c>
      <c r="D38" s="797" t="s">
        <v>775</v>
      </c>
      <c r="E38" s="869"/>
      <c r="F38" s="869"/>
      <c r="G38" s="869"/>
      <c r="H38" s="869"/>
      <c r="I38" s="796"/>
      <c r="K38" s="464" t="s">
        <v>1406</v>
      </c>
    </row>
    <row r="39" spans="1:13">
      <c r="A39" s="461"/>
      <c r="B39" s="1755" t="s">
        <v>135</v>
      </c>
      <c r="C39" s="2001" t="s">
        <v>248</v>
      </c>
      <c r="D39" s="885" t="s">
        <v>751</v>
      </c>
      <c r="E39" s="867"/>
      <c r="F39" s="867"/>
      <c r="G39" s="867"/>
      <c r="H39" s="867"/>
      <c r="I39" s="794"/>
      <c r="J39" s="621"/>
      <c r="K39" s="464" t="s">
        <v>1406</v>
      </c>
      <c r="L39" s="1106"/>
      <c r="M39" s="461"/>
    </row>
    <row r="40" spans="1:13">
      <c r="A40" s="461"/>
      <c r="B40" s="1756"/>
      <c r="C40" s="2002"/>
      <c r="D40" s="877" t="s">
        <v>537</v>
      </c>
      <c r="E40" s="868"/>
      <c r="F40" s="868"/>
      <c r="G40" s="868"/>
      <c r="H40" s="868"/>
      <c r="I40" s="795"/>
      <c r="J40" s="621"/>
      <c r="K40" s="464" t="s">
        <v>1406</v>
      </c>
      <c r="L40" s="1106"/>
      <c r="M40" s="461"/>
    </row>
    <row r="41" spans="1:13">
      <c r="A41" s="461"/>
      <c r="B41" s="1756"/>
      <c r="C41" s="2002"/>
      <c r="D41" s="877" t="s">
        <v>323</v>
      </c>
      <c r="E41" s="868"/>
      <c r="F41" s="868"/>
      <c r="G41" s="868"/>
      <c r="H41" s="868"/>
      <c r="I41" s="795"/>
      <c r="J41" s="621"/>
      <c r="K41" s="464" t="s">
        <v>1406</v>
      </c>
      <c r="L41" s="1106"/>
      <c r="M41" s="461"/>
    </row>
    <row r="42" spans="1:13">
      <c r="A42" s="461"/>
      <c r="B42" s="1756"/>
      <c r="C42" s="2003"/>
      <c r="D42" s="877" t="s">
        <v>749</v>
      </c>
      <c r="E42" s="868"/>
      <c r="F42" s="868"/>
      <c r="G42" s="868"/>
      <c r="H42" s="868"/>
      <c r="I42" s="795"/>
      <c r="J42" s="621"/>
      <c r="K42" s="464" t="s">
        <v>1406</v>
      </c>
      <c r="L42" s="1106"/>
      <c r="M42" s="461"/>
    </row>
    <row r="43" spans="1:13">
      <c r="A43" s="461"/>
      <c r="B43" s="1756"/>
      <c r="C43" s="1974" t="s">
        <v>249</v>
      </c>
      <c r="D43" s="877" t="s">
        <v>753</v>
      </c>
      <c r="E43" s="868"/>
      <c r="F43" s="868"/>
      <c r="G43" s="868"/>
      <c r="H43" s="868"/>
      <c r="I43" s="795"/>
      <c r="J43" s="621"/>
      <c r="K43" s="464" t="s">
        <v>1406</v>
      </c>
      <c r="L43" s="1106"/>
      <c r="M43" s="461"/>
    </row>
    <row r="44" spans="1:13">
      <c r="A44" s="461"/>
      <c r="B44" s="1756"/>
      <c r="C44" s="2002"/>
      <c r="D44" s="877" t="s">
        <v>752</v>
      </c>
      <c r="E44" s="868"/>
      <c r="F44" s="868"/>
      <c r="G44" s="868"/>
      <c r="H44" s="868"/>
      <c r="I44" s="795"/>
      <c r="J44" s="621"/>
      <c r="K44" s="464" t="s">
        <v>1406</v>
      </c>
      <c r="L44" s="1106"/>
      <c r="M44" s="461"/>
    </row>
    <row r="45" spans="1:13">
      <c r="B45" s="1756"/>
      <c r="C45" s="2003"/>
      <c r="D45" s="650" t="s">
        <v>799</v>
      </c>
      <c r="E45" s="868"/>
      <c r="F45" s="868"/>
      <c r="G45" s="868"/>
      <c r="H45" s="868"/>
      <c r="I45" s="795"/>
      <c r="K45" s="464" t="s">
        <v>1406</v>
      </c>
      <c r="L45" s="484" t="s">
        <v>428</v>
      </c>
    </row>
    <row r="46" spans="1:13" ht="13.25" customHeight="1" thickBot="1">
      <c r="B46" s="1757"/>
      <c r="C46" s="770" t="s">
        <v>250</v>
      </c>
      <c r="D46" s="909" t="s">
        <v>552</v>
      </c>
      <c r="E46" s="869"/>
      <c r="F46" s="869"/>
      <c r="G46" s="869"/>
      <c r="H46" s="869"/>
      <c r="I46" s="796"/>
      <c r="K46" s="464" t="s">
        <v>1406</v>
      </c>
    </row>
    <row r="47" spans="1:13" s="1165" customFormat="1" ht="29" customHeight="1">
      <c r="A47" s="1987" t="s">
        <v>137</v>
      </c>
      <c r="B47" s="1755" t="s">
        <v>138</v>
      </c>
      <c r="C47" s="2001" t="s">
        <v>435</v>
      </c>
      <c r="D47" s="1313" t="s">
        <v>794</v>
      </c>
      <c r="E47" s="1313"/>
      <c r="F47" s="1313"/>
      <c r="G47" s="1313"/>
      <c r="H47" s="1313"/>
      <c r="I47" s="1317"/>
      <c r="K47" s="1327" t="s">
        <v>1450</v>
      </c>
    </row>
    <row r="48" spans="1:13">
      <c r="A48" s="1988"/>
      <c r="B48" s="1756"/>
      <c r="C48" s="2002"/>
      <c r="D48" s="877" t="s">
        <v>795</v>
      </c>
      <c r="E48" s="868"/>
      <c r="F48" s="868"/>
      <c r="G48" s="868"/>
      <c r="H48" s="868"/>
      <c r="I48" s="795"/>
      <c r="K48" s="464" t="s">
        <v>1406</v>
      </c>
    </row>
    <row r="49" spans="1:12" ht="28">
      <c r="A49" s="1988"/>
      <c r="B49" s="1756"/>
      <c r="C49" s="2002"/>
      <c r="D49" s="880" t="s">
        <v>796</v>
      </c>
      <c r="E49" s="868"/>
      <c r="F49" s="868"/>
      <c r="G49" s="868"/>
      <c r="H49" s="868"/>
      <c r="I49" s="795"/>
      <c r="K49" s="464" t="s">
        <v>1406</v>
      </c>
    </row>
    <row r="50" spans="1:12">
      <c r="A50" s="1988"/>
      <c r="B50" s="1756"/>
      <c r="C50" s="2003"/>
      <c r="D50" s="880" t="s">
        <v>868</v>
      </c>
      <c r="E50" s="868"/>
      <c r="F50" s="868"/>
      <c r="G50" s="868"/>
      <c r="H50" s="868"/>
      <c r="I50" s="795"/>
      <c r="K50" s="464" t="s">
        <v>1406</v>
      </c>
    </row>
    <row r="51" spans="1:12" s="1165" customFormat="1">
      <c r="A51" s="1988"/>
      <c r="B51" s="1756"/>
      <c r="C51" s="1310" t="s">
        <v>251</v>
      </c>
      <c r="D51" s="1233" t="s">
        <v>797</v>
      </c>
      <c r="E51" s="1233"/>
      <c r="F51" s="1233">
        <v>1</v>
      </c>
      <c r="G51" s="1233">
        <f>+F51</f>
        <v>1</v>
      </c>
      <c r="H51" s="1233"/>
      <c r="I51" s="1204"/>
      <c r="K51" s="1176" t="s">
        <v>416</v>
      </c>
      <c r="L51" s="1165" t="s">
        <v>690</v>
      </c>
    </row>
    <row r="52" spans="1:12">
      <c r="A52" s="1988"/>
      <c r="B52" s="1756"/>
      <c r="C52" s="898" t="s">
        <v>253</v>
      </c>
      <c r="D52" s="877" t="s">
        <v>397</v>
      </c>
      <c r="E52" s="868"/>
      <c r="F52" s="868"/>
      <c r="G52" s="868"/>
      <c r="H52" s="868"/>
      <c r="I52" s="795"/>
      <c r="K52" s="1370" t="s">
        <v>935</v>
      </c>
    </row>
    <row r="53" spans="1:12">
      <c r="A53" s="1988"/>
      <c r="B53" s="1756"/>
      <c r="C53" s="1974" t="s">
        <v>254</v>
      </c>
      <c r="D53" s="877" t="s">
        <v>397</v>
      </c>
      <c r="E53" s="868"/>
      <c r="F53" s="868"/>
      <c r="G53" s="868"/>
      <c r="H53" s="868"/>
      <c r="I53" s="795"/>
      <c r="K53" s="1370" t="s">
        <v>935</v>
      </c>
    </row>
    <row r="54" spans="1:12">
      <c r="A54" s="1988"/>
      <c r="B54" s="1756"/>
      <c r="C54" s="2003"/>
      <c r="D54" s="877" t="s">
        <v>798</v>
      </c>
      <c r="E54" s="868"/>
      <c r="F54" s="868"/>
      <c r="G54" s="868"/>
      <c r="H54" s="868"/>
      <c r="I54" s="795"/>
      <c r="K54" s="464" t="s">
        <v>1406</v>
      </c>
    </row>
    <row r="55" spans="1:12" ht="15" thickBot="1">
      <c r="A55" s="1988"/>
      <c r="B55" s="1757"/>
      <c r="C55" s="770" t="s">
        <v>255</v>
      </c>
      <c r="D55" s="878" t="s">
        <v>766</v>
      </c>
      <c r="E55" s="869"/>
      <c r="F55" s="869"/>
      <c r="G55" s="869"/>
      <c r="H55" s="869"/>
      <c r="I55" s="796"/>
      <c r="K55" s="464" t="s">
        <v>1406</v>
      </c>
      <c r="L55" s="1370" t="s">
        <v>445</v>
      </c>
    </row>
    <row r="56" spans="1:12">
      <c r="A56" s="1988"/>
      <c r="B56" s="1755" t="s">
        <v>139</v>
      </c>
      <c r="C56" s="873" t="s">
        <v>256</v>
      </c>
      <c r="D56" s="885" t="s">
        <v>552</v>
      </c>
      <c r="E56" s="867"/>
      <c r="F56" s="867"/>
      <c r="G56" s="867"/>
      <c r="H56" s="867"/>
      <c r="I56" s="794"/>
      <c r="K56" s="1370" t="s">
        <v>935</v>
      </c>
      <c r="L56" s="1371"/>
    </row>
    <row r="57" spans="1:12" ht="15" thickBot="1">
      <c r="A57" s="1988"/>
      <c r="B57" s="1757"/>
      <c r="C57" s="770" t="s">
        <v>257</v>
      </c>
      <c r="D57" s="878" t="s">
        <v>397</v>
      </c>
      <c r="E57" s="869"/>
      <c r="F57" s="869"/>
      <c r="G57" s="869"/>
      <c r="H57" s="869"/>
      <c r="I57" s="796"/>
      <c r="K57" s="1370" t="s">
        <v>935</v>
      </c>
    </row>
    <row r="58" spans="1:12" ht="15" thickBot="1">
      <c r="A58" s="1988"/>
      <c r="B58" s="1996" t="s">
        <v>142</v>
      </c>
      <c r="C58" s="1997"/>
      <c r="D58" s="906" t="s">
        <v>397</v>
      </c>
      <c r="E58" s="802"/>
      <c r="F58" s="802"/>
      <c r="G58" s="802"/>
      <c r="H58" s="802"/>
      <c r="I58" s="803"/>
      <c r="K58" s="1370" t="s">
        <v>935</v>
      </c>
    </row>
    <row r="59" spans="1:12">
      <c r="A59" s="1988"/>
      <c r="B59" s="1827" t="s">
        <v>264</v>
      </c>
      <c r="C59" s="1828"/>
      <c r="D59" s="905" t="s">
        <v>868</v>
      </c>
      <c r="E59" s="910"/>
      <c r="F59" s="901"/>
      <c r="G59" s="901"/>
      <c r="H59" s="901"/>
      <c r="I59" s="902"/>
      <c r="K59" s="464" t="s">
        <v>1406</v>
      </c>
      <c r="L59" s="484" t="s">
        <v>396</v>
      </c>
    </row>
    <row r="60" spans="1:12">
      <c r="A60" s="1988"/>
      <c r="B60" s="1829"/>
      <c r="C60" s="1830"/>
      <c r="D60" s="635" t="s">
        <v>771</v>
      </c>
      <c r="E60" s="641"/>
      <c r="F60" s="641"/>
      <c r="G60" s="641"/>
      <c r="H60" s="641"/>
      <c r="I60" s="795"/>
      <c r="K60" s="464" t="s">
        <v>1406</v>
      </c>
    </row>
    <row r="61" spans="1:12" ht="15" thickBot="1">
      <c r="A61" s="1989"/>
      <c r="B61" s="1831"/>
      <c r="C61" s="1832"/>
      <c r="D61" s="806" t="s">
        <v>151</v>
      </c>
      <c r="E61" s="767"/>
      <c r="F61" s="767"/>
      <c r="G61" s="767"/>
      <c r="H61" s="767"/>
      <c r="I61" s="796"/>
      <c r="K61" s="464" t="s">
        <v>1406</v>
      </c>
    </row>
    <row r="63" spans="1:12">
      <c r="B63" s="486"/>
    </row>
    <row r="68" spans="11:11">
      <c r="K68" s="463"/>
    </row>
    <row r="69" spans="11:11">
      <c r="K69" s="463"/>
    </row>
  </sheetData>
  <autoFilter ref="A1:M69"/>
  <mergeCells count="27">
    <mergeCell ref="A47:A61"/>
    <mergeCell ref="E3:I3"/>
    <mergeCell ref="E4:I4"/>
    <mergeCell ref="B2:I2"/>
    <mergeCell ref="E5:I5"/>
    <mergeCell ref="B12:B15"/>
    <mergeCell ref="B59:C61"/>
    <mergeCell ref="B58:C58"/>
    <mergeCell ref="C29:C36"/>
    <mergeCell ref="C39:C42"/>
    <mergeCell ref="C43:C45"/>
    <mergeCell ref="C47:C50"/>
    <mergeCell ref="C53:C54"/>
    <mergeCell ref="B56:B57"/>
    <mergeCell ref="B29:B36"/>
    <mergeCell ref="B37:B38"/>
    <mergeCell ref="B39:B46"/>
    <mergeCell ref="B47:B55"/>
    <mergeCell ref="C22:C24"/>
    <mergeCell ref="B8:C8"/>
    <mergeCell ref="B9:C11"/>
    <mergeCell ref="B18:C21"/>
    <mergeCell ref="B28:C28"/>
    <mergeCell ref="B27:C27"/>
    <mergeCell ref="B22:B24"/>
    <mergeCell ref="B25:B26"/>
    <mergeCell ref="B16:B17"/>
  </mergeCells>
  <pageMargins left="0.70866141732283472" right="0.70866141732283472" top="0.74803149606299213" bottom="0.74803149606299213" header="0.31496062992125984" footer="0.31496062992125984"/>
  <pageSetup scale="66" fitToHeight="0" orientation="portrait"/>
  <rowBreaks count="1" manualBreakCount="1">
    <brk id="36"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7F42D660-A35B-4F04-9DFA-9B83F4589117}">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13" operator="containsText" text="0" id="{7F42D660-A35B-4F04-9DFA-9B83F4589117}">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rgb="FF00B0F0"/>
    <pageSetUpPr fitToPage="1"/>
  </sheetPr>
  <dimension ref="A1:M67"/>
  <sheetViews>
    <sheetView zoomScale="75" zoomScaleNormal="75" zoomScaleSheetLayoutView="100" zoomScalePageLayoutView="75" workbookViewId="0">
      <selection activeCell="K8" sqref="K8:K14"/>
    </sheetView>
  </sheetViews>
  <sheetFormatPr baseColWidth="10" defaultColWidth="11.5" defaultRowHeight="14" x14ac:dyDescent="0"/>
  <cols>
    <col min="1" max="1" width="3.5" style="310" bestFit="1" customWidth="1"/>
    <col min="2" max="3" width="30.6640625" style="461" customWidth="1"/>
    <col min="4" max="4" width="50.6640625" style="461" customWidth="1"/>
    <col min="5" max="9" width="3.6640625" style="461" customWidth="1"/>
    <col min="10" max="10" width="7.5" style="621" customWidth="1"/>
    <col min="11" max="11" width="50.6640625" style="1123" customWidth="1"/>
    <col min="12" max="12" width="30.6640625" style="310" customWidth="1"/>
    <col min="13" max="13" width="3.5" style="310" customWidth="1"/>
    <col min="14" max="16384" width="11.5" style="310"/>
  </cols>
  <sheetData>
    <row r="1" spans="1:13" ht="15" thickBot="1"/>
    <row r="2" spans="1:13" s="81" customFormat="1" ht="69" customHeight="1" thickBot="1">
      <c r="B2" s="1743"/>
      <c r="C2" s="1744"/>
      <c r="D2" s="1744"/>
      <c r="E2" s="1744"/>
      <c r="F2" s="1744"/>
      <c r="G2" s="1744"/>
      <c r="H2" s="1744"/>
      <c r="I2" s="1745"/>
      <c r="J2" s="382"/>
      <c r="K2" s="507"/>
      <c r="L2" s="507"/>
      <c r="M2" s="362"/>
    </row>
    <row r="3" spans="1:13" s="81" customFormat="1" ht="25.25" customHeight="1" thickBot="1">
      <c r="B3" s="820" t="s">
        <v>1385</v>
      </c>
      <c r="C3" s="821"/>
      <c r="D3" s="822"/>
      <c r="E3" s="1746" t="str">
        <f>+'PROGRAMA ARQ.'!E4</f>
        <v>2 SALAS CUNAS</v>
      </c>
      <c r="F3" s="1747"/>
      <c r="G3" s="1747"/>
      <c r="H3" s="1747"/>
      <c r="I3" s="1748"/>
      <c r="J3" s="382"/>
      <c r="K3" s="507"/>
      <c r="L3" s="507"/>
      <c r="M3" s="362"/>
    </row>
    <row r="4" spans="1:13" s="81" customFormat="1" ht="25.25" customHeight="1" thickBot="1">
      <c r="B4" s="823">
        <f>+'PROGRAMA ARQ.'!I4:I5</f>
        <v>152</v>
      </c>
      <c r="C4" s="505"/>
      <c r="D4" s="661"/>
      <c r="E4" s="1737" t="str">
        <f>+'PROGRAMA ARQ.'!E5</f>
        <v>4 NIVELES MEDIOS</v>
      </c>
      <c r="F4" s="1738"/>
      <c r="G4" s="1738"/>
      <c r="H4" s="1738"/>
      <c r="I4" s="1739"/>
      <c r="J4" s="382"/>
      <c r="K4" s="507"/>
      <c r="L4" s="507"/>
      <c r="M4" s="362"/>
    </row>
    <row r="5" spans="1:13" s="81" customFormat="1" ht="15" thickBot="1">
      <c r="B5" s="695" t="s">
        <v>1374</v>
      </c>
      <c r="C5" s="235" t="s">
        <v>1375</v>
      </c>
      <c r="D5" s="235" t="s">
        <v>1376</v>
      </c>
      <c r="E5" s="1818" t="s">
        <v>1377</v>
      </c>
      <c r="F5" s="1819"/>
      <c r="G5" s="1819"/>
      <c r="H5" s="1819"/>
      <c r="I5" s="1820"/>
      <c r="J5" s="675"/>
      <c r="K5" s="507"/>
      <c r="L5" s="507"/>
      <c r="M5" s="362"/>
    </row>
    <row r="6" spans="1:13" s="616" customFormat="1" ht="71" thickBot="1">
      <c r="B6" s="833" t="str">
        <f>+'PROGRAMA ARQ.'!C28</f>
        <v>2.4</v>
      </c>
      <c r="C6" s="833" t="str">
        <f>+'PROGRAMA ARQ.'!D28</f>
        <v>SALA MULTIUSO 1  (Docente)</v>
      </c>
      <c r="D6" s="833">
        <f>+'PROGRAMA ARQ.'!F28</f>
        <v>31.5</v>
      </c>
      <c r="E6" s="692" t="s">
        <v>366</v>
      </c>
      <c r="F6" s="693" t="s">
        <v>544</v>
      </c>
      <c r="G6" s="693" t="s">
        <v>2</v>
      </c>
      <c r="H6" s="693" t="s">
        <v>171</v>
      </c>
      <c r="I6" s="694" t="s">
        <v>172</v>
      </c>
      <c r="J6" s="608"/>
      <c r="K6" s="1320" t="s">
        <v>293</v>
      </c>
      <c r="L6" s="705" t="s">
        <v>120</v>
      </c>
      <c r="M6" s="706" t="s">
        <v>178</v>
      </c>
    </row>
    <row r="7" spans="1:13" s="367" customFormat="1" ht="16" thickBot="1">
      <c r="B7" s="719" t="s">
        <v>1378</v>
      </c>
      <c r="C7" s="719" t="s">
        <v>1379</v>
      </c>
      <c r="D7" s="666" t="s">
        <v>1380</v>
      </c>
      <c r="E7" s="663"/>
      <c r="F7" s="664"/>
      <c r="G7" s="664"/>
      <c r="H7" s="663"/>
      <c r="I7" s="665"/>
      <c r="J7" s="595"/>
      <c r="K7" s="235"/>
      <c r="L7" s="696"/>
      <c r="M7" s="697"/>
    </row>
    <row r="8" spans="1:13" ht="183" thickBot="1">
      <c r="B8" s="793" t="s">
        <v>122</v>
      </c>
      <c r="C8" s="394"/>
      <c r="D8" s="973" t="s">
        <v>1381</v>
      </c>
      <c r="E8" s="886"/>
      <c r="F8" s="886"/>
      <c r="G8" s="886"/>
      <c r="H8" s="886"/>
      <c r="I8" s="952"/>
      <c r="K8" s="464" t="s">
        <v>1406</v>
      </c>
    </row>
    <row r="9" spans="1:13" ht="29" customHeight="1" thickBot="1">
      <c r="B9" s="1889" t="s">
        <v>1388</v>
      </c>
      <c r="C9" s="1932"/>
      <c r="D9" s="974" t="s">
        <v>800</v>
      </c>
      <c r="E9" s="975"/>
      <c r="F9" s="975"/>
      <c r="G9" s="975"/>
      <c r="H9" s="975"/>
      <c r="I9" s="976"/>
      <c r="K9" s="464" t="s">
        <v>1406</v>
      </c>
      <c r="L9" s="352" t="s">
        <v>439</v>
      </c>
    </row>
    <row r="10" spans="1:13" ht="42">
      <c r="B10" s="1960" t="s">
        <v>143</v>
      </c>
      <c r="C10" s="882"/>
      <c r="D10" s="879" t="s">
        <v>1367</v>
      </c>
      <c r="E10" s="762"/>
      <c r="F10" s="762"/>
      <c r="G10" s="762"/>
      <c r="H10" s="762"/>
      <c r="I10" s="805"/>
      <c r="J10" s="81"/>
      <c r="K10" s="464" t="s">
        <v>1406</v>
      </c>
    </row>
    <row r="11" spans="1:13">
      <c r="B11" s="1961"/>
      <c r="C11" s="1758" t="s">
        <v>241</v>
      </c>
      <c r="D11" s="880" t="s">
        <v>744</v>
      </c>
      <c r="E11" s="642"/>
      <c r="F11" s="642"/>
      <c r="G11" s="642"/>
      <c r="H11" s="642"/>
      <c r="I11" s="791"/>
      <c r="J11" s="81"/>
      <c r="K11" s="464" t="s">
        <v>1406</v>
      </c>
    </row>
    <row r="12" spans="1:13">
      <c r="A12" s="461"/>
      <c r="B12" s="1961"/>
      <c r="C12" s="1758"/>
      <c r="D12" s="880" t="s">
        <v>742</v>
      </c>
      <c r="E12" s="868"/>
      <c r="F12" s="868"/>
      <c r="G12" s="868"/>
      <c r="H12" s="868"/>
      <c r="I12" s="795"/>
      <c r="K12" s="464" t="s">
        <v>1406</v>
      </c>
      <c r="L12" s="1106"/>
      <c r="M12" s="1106"/>
    </row>
    <row r="13" spans="1:13">
      <c r="B13" s="1961"/>
      <c r="C13" s="1758"/>
      <c r="D13" s="631">
        <f>+K13*D6</f>
        <v>2.52</v>
      </c>
      <c r="E13" s="642" t="s">
        <v>258</v>
      </c>
      <c r="F13" s="642"/>
      <c r="G13" s="642"/>
      <c r="H13" s="642"/>
      <c r="I13" s="791"/>
      <c r="J13" s="81"/>
      <c r="K13" s="1321">
        <v>0.08</v>
      </c>
      <c r="L13" s="383" t="s">
        <v>433</v>
      </c>
    </row>
    <row r="14" spans="1:13">
      <c r="B14" s="1961"/>
      <c r="C14" s="1758" t="s">
        <v>242</v>
      </c>
      <c r="D14" s="628" t="s">
        <v>434</v>
      </c>
      <c r="E14" s="642"/>
      <c r="F14" s="642"/>
      <c r="G14" s="642"/>
      <c r="H14" s="642"/>
      <c r="I14" s="791"/>
      <c r="J14" s="81"/>
      <c r="K14" s="464" t="s">
        <v>1406</v>
      </c>
    </row>
    <row r="15" spans="1:13">
      <c r="A15" s="461"/>
      <c r="B15" s="1961"/>
      <c r="C15" s="1758"/>
      <c r="D15" s="880" t="s">
        <v>743</v>
      </c>
      <c r="E15" s="868"/>
      <c r="F15" s="868"/>
      <c r="G15" s="868"/>
      <c r="H15" s="868"/>
      <c r="I15" s="795"/>
      <c r="K15" s="464" t="s">
        <v>1406</v>
      </c>
      <c r="L15" s="1106"/>
      <c r="M15" s="1106"/>
    </row>
    <row r="16" spans="1:13">
      <c r="B16" s="1961"/>
      <c r="C16" s="1758"/>
      <c r="D16" s="631">
        <f>+K16*D6</f>
        <v>1.26</v>
      </c>
      <c r="E16" s="642" t="s">
        <v>258</v>
      </c>
      <c r="F16" s="642"/>
      <c r="G16" s="642"/>
      <c r="H16" s="642"/>
      <c r="I16" s="791"/>
      <c r="J16" s="81"/>
      <c r="K16" s="1321">
        <v>0.04</v>
      </c>
      <c r="L16" s="383" t="s">
        <v>433</v>
      </c>
    </row>
    <row r="17" spans="1:13" ht="28">
      <c r="B17" s="1961"/>
      <c r="C17" s="1754" t="s">
        <v>243</v>
      </c>
      <c r="D17" s="649" t="s">
        <v>692</v>
      </c>
      <c r="E17" s="868"/>
      <c r="F17" s="868"/>
      <c r="G17" s="655"/>
      <c r="H17" s="868"/>
      <c r="I17" s="795"/>
      <c r="K17" s="464" t="s">
        <v>1406</v>
      </c>
      <c r="L17" s="483" t="s">
        <v>424</v>
      </c>
    </row>
    <row r="18" spans="1:13" ht="28">
      <c r="B18" s="1961"/>
      <c r="C18" s="1754"/>
      <c r="D18" s="649" t="s">
        <v>805</v>
      </c>
      <c r="E18" s="868"/>
      <c r="F18" s="868"/>
      <c r="G18" s="655"/>
      <c r="H18" s="868"/>
      <c r="I18" s="795"/>
      <c r="K18" s="464" t="s">
        <v>1406</v>
      </c>
      <c r="L18" s="1370"/>
    </row>
    <row r="19" spans="1:13" ht="28">
      <c r="A19" s="461"/>
      <c r="B19" s="1961"/>
      <c r="C19" s="1905" t="s">
        <v>244</v>
      </c>
      <c r="D19" s="649" t="s">
        <v>740</v>
      </c>
      <c r="E19" s="868"/>
      <c r="F19" s="655"/>
      <c r="G19" s="868"/>
      <c r="H19" s="868"/>
      <c r="I19" s="795"/>
      <c r="K19" s="464" t="s">
        <v>1406</v>
      </c>
      <c r="L19" s="1106"/>
      <c r="M19" s="1106"/>
    </row>
    <row r="20" spans="1:13" s="81" customFormat="1" ht="29" thickBot="1">
      <c r="B20" s="1980"/>
      <c r="C20" s="1981"/>
      <c r="D20" s="724" t="s">
        <v>741</v>
      </c>
      <c r="E20" s="519"/>
      <c r="F20" s="519"/>
      <c r="G20" s="519"/>
      <c r="H20" s="519"/>
      <c r="I20" s="520"/>
      <c r="J20" s="362"/>
      <c r="K20" s="464" t="s">
        <v>1406</v>
      </c>
      <c r="L20" s="366"/>
      <c r="M20" s="364"/>
    </row>
    <row r="21" spans="1:13">
      <c r="B21" s="1755" t="s">
        <v>144</v>
      </c>
      <c r="C21" s="957" t="s">
        <v>245</v>
      </c>
      <c r="D21" s="528" t="s">
        <v>552</v>
      </c>
      <c r="E21" s="589"/>
      <c r="F21" s="589"/>
      <c r="G21" s="589"/>
      <c r="H21" s="589"/>
      <c r="I21" s="723"/>
      <c r="J21" s="362"/>
      <c r="K21" s="464" t="s">
        <v>1406</v>
      </c>
      <c r="L21" s="343"/>
    </row>
    <row r="22" spans="1:13" ht="15" thickBot="1">
      <c r="B22" s="1757"/>
      <c r="C22" s="770" t="s">
        <v>246</v>
      </c>
      <c r="D22" s="519" t="s">
        <v>552</v>
      </c>
      <c r="E22" s="869"/>
      <c r="F22" s="869"/>
      <c r="G22" s="869"/>
      <c r="H22" s="869"/>
      <c r="I22" s="796"/>
      <c r="K22" s="464" t="s">
        <v>1406</v>
      </c>
    </row>
    <row r="23" spans="1:13">
      <c r="B23" s="1755" t="s">
        <v>141</v>
      </c>
      <c r="C23" s="1971"/>
      <c r="D23" s="528" t="s">
        <v>693</v>
      </c>
      <c r="E23" s="867"/>
      <c r="F23" s="867"/>
      <c r="G23" s="867"/>
      <c r="H23" s="867"/>
      <c r="I23" s="794"/>
      <c r="K23" s="464" t="s">
        <v>1406</v>
      </c>
      <c r="L23" s="1106" t="s">
        <v>804</v>
      </c>
    </row>
    <row r="24" spans="1:13" ht="29" thickBot="1">
      <c r="B24" s="1757"/>
      <c r="C24" s="1973"/>
      <c r="D24" s="778" t="s">
        <v>1390</v>
      </c>
      <c r="E24" s="869"/>
      <c r="F24" s="869"/>
      <c r="G24" s="869"/>
      <c r="H24" s="869"/>
      <c r="I24" s="977"/>
      <c r="J24" s="620"/>
      <c r="K24" s="464" t="s">
        <v>1406</v>
      </c>
    </row>
    <row r="25" spans="1:13" s="81" customFormat="1" ht="28">
      <c r="B25" s="1935" t="s">
        <v>140</v>
      </c>
      <c r="C25" s="1899" t="s">
        <v>414</v>
      </c>
      <c r="D25" s="786" t="s">
        <v>515</v>
      </c>
      <c r="E25" s="528"/>
      <c r="F25" s="528"/>
      <c r="G25" s="528"/>
      <c r="H25" s="528"/>
      <c r="I25" s="529"/>
      <c r="J25" s="362"/>
      <c r="K25" s="464" t="s">
        <v>1406</v>
      </c>
      <c r="L25" s="507"/>
      <c r="M25" s="362"/>
    </row>
    <row r="26" spans="1:13" s="81" customFormat="1" ht="43" thickBot="1">
      <c r="B26" s="1958"/>
      <c r="C26" s="1969"/>
      <c r="D26" s="778" t="s">
        <v>444</v>
      </c>
      <c r="E26" s="519"/>
      <c r="F26" s="519"/>
      <c r="G26" s="519"/>
      <c r="H26" s="519"/>
      <c r="I26" s="520"/>
      <c r="J26" s="362"/>
      <c r="K26" s="464" t="s">
        <v>1406</v>
      </c>
      <c r="L26" s="507"/>
      <c r="M26" s="362"/>
    </row>
    <row r="27" spans="1:13" ht="18.5" customHeight="1">
      <c r="B27" s="1755" t="s">
        <v>123</v>
      </c>
      <c r="C27" s="728" t="s">
        <v>347</v>
      </c>
      <c r="D27" s="885" t="s">
        <v>446</v>
      </c>
      <c r="E27" s="867"/>
      <c r="F27" s="867"/>
      <c r="G27" s="867"/>
      <c r="H27" s="867"/>
      <c r="I27" s="794"/>
      <c r="K27" s="464" t="s">
        <v>1406</v>
      </c>
    </row>
    <row r="28" spans="1:13">
      <c r="B28" s="1756"/>
      <c r="C28" s="643" t="s">
        <v>571</v>
      </c>
      <c r="D28" s="512" t="s">
        <v>447</v>
      </c>
      <c r="E28" s="868"/>
      <c r="F28" s="868"/>
      <c r="G28" s="868"/>
      <c r="H28" s="868"/>
      <c r="I28" s="795"/>
      <c r="K28" s="464" t="s">
        <v>1406</v>
      </c>
    </row>
    <row r="29" spans="1:13">
      <c r="B29" s="1756"/>
      <c r="C29" s="643" t="s">
        <v>812</v>
      </c>
      <c r="D29" s="877" t="s">
        <v>814</v>
      </c>
      <c r="E29" s="868"/>
      <c r="F29" s="868"/>
      <c r="G29" s="868"/>
      <c r="H29" s="868"/>
      <c r="I29" s="795"/>
      <c r="K29" s="464" t="s">
        <v>1406</v>
      </c>
    </row>
    <row r="30" spans="1:13" s="81" customFormat="1" ht="29" thickBot="1">
      <c r="B30" s="1757"/>
      <c r="C30" s="878" t="s">
        <v>731</v>
      </c>
      <c r="D30" s="781" t="s">
        <v>807</v>
      </c>
      <c r="E30" s="554"/>
      <c r="F30" s="554"/>
      <c r="G30" s="554"/>
      <c r="H30" s="554"/>
      <c r="I30" s="560"/>
      <c r="K30" s="464" t="s">
        <v>1406</v>
      </c>
      <c r="L30" s="392" t="s">
        <v>808</v>
      </c>
      <c r="M30" s="362"/>
    </row>
    <row r="31" spans="1:13" ht="45" customHeight="1" thickBot="1">
      <c r="B31" s="958" t="s">
        <v>124</v>
      </c>
      <c r="C31" s="959" t="s">
        <v>813</v>
      </c>
      <c r="D31" s="904" t="s">
        <v>815</v>
      </c>
      <c r="E31" s="802"/>
      <c r="F31" s="802"/>
      <c r="G31" s="802"/>
      <c r="H31" s="802"/>
      <c r="I31" s="803"/>
      <c r="K31" s="464" t="s">
        <v>1406</v>
      </c>
      <c r="L31" s="483" t="s">
        <v>694</v>
      </c>
    </row>
    <row r="32" spans="1:13">
      <c r="B32" s="1755" t="s">
        <v>132</v>
      </c>
      <c r="C32" s="1971"/>
      <c r="D32" s="879" t="str">
        <f xml:space="preserve"> IF(INICIO!C19&lt;9,"Espacio para Mesa 1.20 x 0.70 m",IF(INICIO!C19&gt;12,"Espacio para Mesa 1.20 x 0.70 m","Espacio para Mesa 1,60 x 0,70 m"))</f>
        <v>Espacio para Mesa 1.20 x 0.70 m</v>
      </c>
      <c r="E32" s="867"/>
      <c r="F32" s="867">
        <f>IF(INICIO!C19&lt;13,1,2)</f>
        <v>2</v>
      </c>
      <c r="G32" s="867">
        <f>+F32*1</f>
        <v>2</v>
      </c>
      <c r="H32" s="867"/>
      <c r="I32" s="794"/>
      <c r="K32" s="464" t="s">
        <v>1406</v>
      </c>
      <c r="L32" s="366"/>
    </row>
    <row r="33" spans="1:13">
      <c r="B33" s="1756"/>
      <c r="C33" s="1972"/>
      <c r="D33" s="880" t="s">
        <v>816</v>
      </c>
      <c r="E33" s="868"/>
      <c r="F33" s="1393">
        <f>+INICIO!C19/2</f>
        <v>10.5</v>
      </c>
      <c r="G33" s="1393">
        <f>+F33*1</f>
        <v>10.5</v>
      </c>
      <c r="H33" s="868"/>
      <c r="I33" s="795"/>
      <c r="K33" s="464" t="s">
        <v>1406</v>
      </c>
      <c r="L33" s="310" t="s">
        <v>817</v>
      </c>
    </row>
    <row r="34" spans="1:13" ht="29" thickBot="1">
      <c r="B34" s="1757"/>
      <c r="C34" s="1973"/>
      <c r="D34" s="797" t="s">
        <v>818</v>
      </c>
      <c r="E34" s="869"/>
      <c r="F34" s="1394">
        <f>+INICIO!C19/2</f>
        <v>10.5</v>
      </c>
      <c r="G34" s="1394">
        <f>+F34*1</f>
        <v>10.5</v>
      </c>
      <c r="H34" s="869"/>
      <c r="I34" s="796"/>
      <c r="K34" s="464" t="s">
        <v>1406</v>
      </c>
      <c r="L34" s="310" t="s">
        <v>817</v>
      </c>
    </row>
    <row r="35" spans="1:13">
      <c r="B35" s="1755" t="s">
        <v>133</v>
      </c>
      <c r="C35" s="1971"/>
      <c r="D35" s="879" t="s">
        <v>1481</v>
      </c>
      <c r="E35" s="867"/>
      <c r="F35" s="867"/>
      <c r="G35" s="867"/>
      <c r="H35" s="867"/>
      <c r="I35" s="794"/>
      <c r="K35" s="464" t="s">
        <v>1406</v>
      </c>
    </row>
    <row r="36" spans="1:13">
      <c r="B36" s="1756"/>
      <c r="C36" s="1972"/>
      <c r="D36" s="880" t="s">
        <v>821</v>
      </c>
      <c r="E36" s="868"/>
      <c r="F36" s="868"/>
      <c r="G36" s="868"/>
      <c r="H36" s="868"/>
      <c r="I36" s="795"/>
      <c r="K36" s="464" t="s">
        <v>1406</v>
      </c>
    </row>
    <row r="37" spans="1:13">
      <c r="B37" s="1756"/>
      <c r="C37" s="1972"/>
      <c r="D37" s="652" t="s">
        <v>379</v>
      </c>
      <c r="E37" s="868"/>
      <c r="F37" s="868"/>
      <c r="G37" s="868"/>
      <c r="H37" s="868"/>
      <c r="I37" s="795"/>
      <c r="K37" s="464" t="s">
        <v>1406</v>
      </c>
    </row>
    <row r="38" spans="1:13" s="81" customFormat="1" ht="28">
      <c r="B38" s="1756"/>
      <c r="C38" s="1972"/>
      <c r="D38" s="634" t="s">
        <v>377</v>
      </c>
      <c r="E38" s="512"/>
      <c r="F38" s="512"/>
      <c r="G38" s="512"/>
      <c r="H38" s="512"/>
      <c r="I38" s="518"/>
      <c r="J38" s="362"/>
      <c r="K38" s="464" t="s">
        <v>1406</v>
      </c>
      <c r="L38" s="507"/>
      <c r="M38" s="310"/>
    </row>
    <row r="39" spans="1:13">
      <c r="B39" s="1756"/>
      <c r="C39" s="1972"/>
      <c r="D39" s="652" t="s">
        <v>382</v>
      </c>
      <c r="E39" s="868"/>
      <c r="F39" s="868"/>
      <c r="G39" s="868"/>
      <c r="H39" s="868"/>
      <c r="I39" s="795"/>
      <c r="K39" s="464" t="s">
        <v>1406</v>
      </c>
    </row>
    <row r="40" spans="1:13" ht="15" thickBot="1">
      <c r="B40" s="1757"/>
      <c r="C40" s="1973"/>
      <c r="D40" s="752" t="s">
        <v>695</v>
      </c>
      <c r="E40" s="869"/>
      <c r="F40" s="869"/>
      <c r="G40" s="869"/>
      <c r="H40" s="869"/>
      <c r="I40" s="796"/>
      <c r="K40" s="464" t="s">
        <v>1406</v>
      </c>
    </row>
    <row r="41" spans="1:13" ht="15" thickBot="1">
      <c r="B41" s="960" t="s">
        <v>134</v>
      </c>
      <c r="C41" s="961"/>
      <c r="D41" s="765" t="s">
        <v>552</v>
      </c>
      <c r="E41" s="802"/>
      <c r="F41" s="802"/>
      <c r="G41" s="802"/>
      <c r="H41" s="802"/>
      <c r="I41" s="803"/>
      <c r="K41" s="1370" t="s">
        <v>935</v>
      </c>
    </row>
    <row r="42" spans="1:13" s="1165" customFormat="1">
      <c r="A42" s="1311"/>
      <c r="B42" s="1755" t="s">
        <v>135</v>
      </c>
      <c r="C42" s="1948" t="s">
        <v>248</v>
      </c>
      <c r="D42" s="1313" t="s">
        <v>751</v>
      </c>
      <c r="E42" s="1313"/>
      <c r="F42" s="1313"/>
      <c r="G42" s="1313"/>
      <c r="H42" s="1313"/>
      <c r="I42" s="1317"/>
      <c r="J42" s="1311"/>
      <c r="K42" s="1176" t="s">
        <v>1453</v>
      </c>
      <c r="L42" s="1311"/>
      <c r="M42" s="1311"/>
    </row>
    <row r="43" spans="1:13">
      <c r="A43" s="461"/>
      <c r="B43" s="1756"/>
      <c r="C43" s="1949"/>
      <c r="D43" s="877" t="s">
        <v>750</v>
      </c>
      <c r="E43" s="868"/>
      <c r="F43" s="868"/>
      <c r="G43" s="868"/>
      <c r="H43" s="868"/>
      <c r="I43" s="795"/>
      <c r="K43" s="464" t="s">
        <v>1406</v>
      </c>
      <c r="L43" s="1106"/>
      <c r="M43" s="1106"/>
    </row>
    <row r="44" spans="1:13">
      <c r="A44" s="461"/>
      <c r="B44" s="1756"/>
      <c r="C44" s="1949"/>
      <c r="D44" s="877" t="s">
        <v>749</v>
      </c>
      <c r="E44" s="868"/>
      <c r="F44" s="868"/>
      <c r="G44" s="868"/>
      <c r="H44" s="868"/>
      <c r="I44" s="795"/>
      <c r="K44" s="464" t="s">
        <v>1406</v>
      </c>
      <c r="L44" s="1106"/>
      <c r="M44" s="1106"/>
    </row>
    <row r="45" spans="1:13">
      <c r="A45" s="461"/>
      <c r="B45" s="1756"/>
      <c r="C45" s="1949" t="s">
        <v>249</v>
      </c>
      <c r="D45" s="877" t="s">
        <v>753</v>
      </c>
      <c r="E45" s="868"/>
      <c r="F45" s="868"/>
      <c r="G45" s="868"/>
      <c r="H45" s="868"/>
      <c r="I45" s="795"/>
      <c r="K45" s="464" t="s">
        <v>1406</v>
      </c>
      <c r="L45" s="1106"/>
      <c r="M45" s="1106"/>
    </row>
    <row r="46" spans="1:13">
      <c r="A46" s="461"/>
      <c r="B46" s="1756"/>
      <c r="C46" s="1949"/>
      <c r="D46" s="877" t="s">
        <v>752</v>
      </c>
      <c r="E46" s="868"/>
      <c r="F46" s="868"/>
      <c r="G46" s="868"/>
      <c r="H46" s="868"/>
      <c r="I46" s="795"/>
      <c r="K46" s="464" t="s">
        <v>1406</v>
      </c>
      <c r="L46" s="1106"/>
      <c r="M46" s="1106"/>
    </row>
    <row r="47" spans="1:13">
      <c r="A47" s="461"/>
      <c r="B47" s="1756"/>
      <c r="C47" s="1949" t="s">
        <v>250</v>
      </c>
      <c r="D47" s="877" t="s">
        <v>685</v>
      </c>
      <c r="E47" s="868"/>
      <c r="F47" s="868"/>
      <c r="G47" s="868"/>
      <c r="H47" s="868"/>
      <c r="I47" s="795"/>
      <c r="K47" s="464" t="s">
        <v>1406</v>
      </c>
      <c r="L47" s="1106"/>
      <c r="M47" s="1106"/>
    </row>
    <row r="48" spans="1:13" ht="15" thickBot="1">
      <c r="A48" s="461"/>
      <c r="B48" s="1757"/>
      <c r="C48" s="1979"/>
      <c r="D48" s="878" t="s">
        <v>326</v>
      </c>
      <c r="E48" s="869"/>
      <c r="F48" s="869"/>
      <c r="G48" s="869"/>
      <c r="H48" s="869"/>
      <c r="I48" s="796"/>
      <c r="K48" s="464" t="s">
        <v>1406</v>
      </c>
      <c r="L48" s="1106"/>
    </row>
    <row r="49" spans="1:12" s="1165" customFormat="1">
      <c r="A49" s="1858" t="s">
        <v>137</v>
      </c>
      <c r="B49" s="1960" t="s">
        <v>138</v>
      </c>
      <c r="C49" s="1899" t="s">
        <v>438</v>
      </c>
      <c r="D49" s="1313" t="s">
        <v>754</v>
      </c>
      <c r="E49" s="1236"/>
      <c r="F49" s="1236"/>
      <c r="G49" s="1236"/>
      <c r="H49" s="1236"/>
      <c r="I49" s="1254"/>
      <c r="K49" s="1176" t="s">
        <v>436</v>
      </c>
    </row>
    <row r="50" spans="1:12" ht="28">
      <c r="A50" s="1859"/>
      <c r="B50" s="1961"/>
      <c r="C50" s="1758"/>
      <c r="D50" s="880" t="s">
        <v>764</v>
      </c>
      <c r="E50" s="642"/>
      <c r="F50" s="642"/>
      <c r="G50" s="642"/>
      <c r="H50" s="642"/>
      <c r="I50" s="791"/>
      <c r="J50" s="81"/>
      <c r="K50" s="464" t="s">
        <v>1406</v>
      </c>
    </row>
    <row r="51" spans="1:12">
      <c r="A51" s="1859"/>
      <c r="B51" s="1961"/>
      <c r="C51" s="1949" t="s">
        <v>251</v>
      </c>
      <c r="D51" s="877" t="s">
        <v>824</v>
      </c>
      <c r="E51" s="868"/>
      <c r="F51" s="868">
        <v>1</v>
      </c>
      <c r="G51" s="868">
        <v>1</v>
      </c>
      <c r="H51" s="868"/>
      <c r="I51" s="795"/>
      <c r="K51" s="464" t="s">
        <v>1406</v>
      </c>
    </row>
    <row r="52" spans="1:12">
      <c r="A52" s="1859"/>
      <c r="B52" s="1961"/>
      <c r="C52" s="1949"/>
      <c r="D52" s="877" t="s">
        <v>823</v>
      </c>
      <c r="E52" s="868"/>
      <c r="F52" s="868">
        <v>1</v>
      </c>
      <c r="G52" s="868">
        <v>1</v>
      </c>
      <c r="H52" s="868"/>
      <c r="I52" s="795"/>
      <c r="K52" s="464" t="s">
        <v>1406</v>
      </c>
    </row>
    <row r="53" spans="1:12">
      <c r="A53" s="1859"/>
      <c r="B53" s="1961"/>
      <c r="C53" s="1949"/>
      <c r="D53" s="877" t="s">
        <v>822</v>
      </c>
      <c r="E53" s="868"/>
      <c r="F53" s="868">
        <v>1</v>
      </c>
      <c r="G53" s="868">
        <v>1</v>
      </c>
      <c r="H53" s="868"/>
      <c r="I53" s="795"/>
      <c r="K53" s="464" t="s">
        <v>1406</v>
      </c>
    </row>
    <row r="54" spans="1:12">
      <c r="A54" s="1859"/>
      <c r="B54" s="1961"/>
      <c r="C54" s="1949"/>
      <c r="D54" s="632" t="s">
        <v>825</v>
      </c>
      <c r="E54" s="642"/>
      <c r="F54" s="868">
        <v>2</v>
      </c>
      <c r="G54" s="868">
        <v>2</v>
      </c>
      <c r="H54" s="642"/>
      <c r="I54" s="791"/>
      <c r="J54" s="81"/>
      <c r="K54" s="464" t="s">
        <v>1406</v>
      </c>
    </row>
    <row r="55" spans="1:12">
      <c r="A55" s="1859"/>
      <c r="B55" s="1961"/>
      <c r="C55" s="874" t="s">
        <v>253</v>
      </c>
      <c r="D55" s="512" t="s">
        <v>686</v>
      </c>
      <c r="E55" s="868"/>
      <c r="F55" s="868"/>
      <c r="G55" s="868"/>
      <c r="H55" s="868"/>
      <c r="I55" s="795"/>
      <c r="K55" s="464" t="s">
        <v>1406</v>
      </c>
    </row>
    <row r="56" spans="1:12">
      <c r="A56" s="1859"/>
      <c r="B56" s="1961"/>
      <c r="C56" s="874" t="s">
        <v>254</v>
      </c>
      <c r="D56" s="512" t="s">
        <v>687</v>
      </c>
      <c r="E56" s="868"/>
      <c r="F56" s="868"/>
      <c r="G56" s="868"/>
      <c r="H56" s="868"/>
      <c r="I56" s="795"/>
      <c r="K56" s="464" t="s">
        <v>1406</v>
      </c>
    </row>
    <row r="57" spans="1:12" ht="15" thickBot="1">
      <c r="A57" s="1859"/>
      <c r="B57" s="1980"/>
      <c r="C57" s="770" t="s">
        <v>255</v>
      </c>
      <c r="D57" s="519" t="s">
        <v>766</v>
      </c>
      <c r="E57" s="869"/>
      <c r="F57" s="869"/>
      <c r="G57" s="869"/>
      <c r="H57" s="869"/>
      <c r="I57" s="796"/>
      <c r="K57" s="464" t="s">
        <v>1406</v>
      </c>
      <c r="L57" s="1370" t="s">
        <v>445</v>
      </c>
    </row>
    <row r="58" spans="1:12">
      <c r="A58" s="1859"/>
      <c r="B58" s="1966" t="s">
        <v>139</v>
      </c>
      <c r="C58" s="873" t="s">
        <v>256</v>
      </c>
      <c r="D58" s="764" t="s">
        <v>696</v>
      </c>
      <c r="E58" s="867"/>
      <c r="F58" s="867"/>
      <c r="G58" s="867"/>
      <c r="H58" s="867"/>
      <c r="I58" s="794"/>
      <c r="K58" s="464" t="s">
        <v>1406</v>
      </c>
      <c r="L58" s="1371"/>
    </row>
    <row r="59" spans="1:12" ht="15" thickBot="1">
      <c r="A59" s="1859"/>
      <c r="B59" s="1968"/>
      <c r="C59" s="770" t="s">
        <v>257</v>
      </c>
      <c r="D59" s="752" t="s">
        <v>826</v>
      </c>
      <c r="E59" s="869"/>
      <c r="F59" s="869"/>
      <c r="G59" s="869"/>
      <c r="H59" s="869"/>
      <c r="I59" s="796"/>
      <c r="K59" s="464" t="s">
        <v>1406</v>
      </c>
      <c r="L59" s="1371"/>
    </row>
    <row r="60" spans="1:12" ht="19.25" customHeight="1">
      <c r="A60" s="1859"/>
      <c r="B60" s="1755" t="s">
        <v>142</v>
      </c>
      <c r="C60" s="1971"/>
      <c r="D60" s="1397" t="s">
        <v>1487</v>
      </c>
      <c r="E60" s="867"/>
      <c r="F60" s="867">
        <v>1</v>
      </c>
      <c r="G60" s="867">
        <v>1</v>
      </c>
      <c r="H60" s="867"/>
      <c r="I60" s="794"/>
      <c r="K60" s="464" t="s">
        <v>1406</v>
      </c>
    </row>
    <row r="61" spans="1:12" ht="18.5" customHeight="1" thickBot="1">
      <c r="A61" s="1859"/>
      <c r="B61" s="1757"/>
      <c r="C61" s="1973"/>
      <c r="D61" s="797" t="s">
        <v>827</v>
      </c>
      <c r="E61" s="869"/>
      <c r="F61" s="869"/>
      <c r="G61" s="869"/>
      <c r="H61" s="869"/>
      <c r="I61" s="796"/>
      <c r="K61" s="464" t="s">
        <v>1406</v>
      </c>
    </row>
    <row r="62" spans="1:12">
      <c r="A62" s="1859"/>
      <c r="B62" s="1755" t="s">
        <v>264</v>
      </c>
      <c r="C62" s="1971"/>
      <c r="D62" s="867" t="s">
        <v>771</v>
      </c>
      <c r="E62" s="867"/>
      <c r="F62" s="867"/>
      <c r="G62" s="722"/>
      <c r="H62" s="867"/>
      <c r="I62" s="794"/>
      <c r="K62" s="464" t="s">
        <v>1406</v>
      </c>
      <c r="L62" s="1371"/>
    </row>
    <row r="63" spans="1:12" ht="15" thickBot="1">
      <c r="A63" s="1860"/>
      <c r="B63" s="1757"/>
      <c r="C63" s="1973"/>
      <c r="D63" s="806" t="s">
        <v>184</v>
      </c>
      <c r="E63" s="869"/>
      <c r="F63" s="869"/>
      <c r="G63" s="869"/>
      <c r="H63" s="869"/>
      <c r="I63" s="796"/>
      <c r="K63" s="464" t="s">
        <v>1406</v>
      </c>
    </row>
    <row r="64" spans="1:12" ht="30" customHeight="1">
      <c r="D64" s="393"/>
    </row>
    <row r="65" spans="4:4">
      <c r="D65" s="393"/>
    </row>
    <row r="67" spans="4:4" ht="38" customHeight="1"/>
  </sheetData>
  <autoFilter ref="A1:M67"/>
  <mergeCells count="33">
    <mergeCell ref="C62:C63"/>
    <mergeCell ref="B23:B24"/>
    <mergeCell ref="A49:A63"/>
    <mergeCell ref="B25:B26"/>
    <mergeCell ref="C25:C26"/>
    <mergeCell ref="B58:B59"/>
    <mergeCell ref="B60:B61"/>
    <mergeCell ref="C60:C61"/>
    <mergeCell ref="C23:C24"/>
    <mergeCell ref="B62:B63"/>
    <mergeCell ref="C49:C50"/>
    <mergeCell ref="C51:C54"/>
    <mergeCell ref="C32:C34"/>
    <mergeCell ref="C35:C40"/>
    <mergeCell ref="C42:C44"/>
    <mergeCell ref="C45:C46"/>
    <mergeCell ref="B2:I2"/>
    <mergeCell ref="E5:I5"/>
    <mergeCell ref="E3:I3"/>
    <mergeCell ref="E4:I4"/>
    <mergeCell ref="B10:B20"/>
    <mergeCell ref="C11:C13"/>
    <mergeCell ref="C14:C16"/>
    <mergeCell ref="C17:C18"/>
    <mergeCell ref="C19:C20"/>
    <mergeCell ref="B9:C9"/>
    <mergeCell ref="B49:B57"/>
    <mergeCell ref="B21:B22"/>
    <mergeCell ref="C47:C48"/>
    <mergeCell ref="B27:B30"/>
    <mergeCell ref="B32:B34"/>
    <mergeCell ref="B35:B40"/>
    <mergeCell ref="B42:B48"/>
  </mergeCells>
  <pageMargins left="0.70866141732283472" right="0.70866141732283472" top="0.74803149606299213" bottom="0.74803149606299213" header="0.31496062992125984" footer="0.31496062992125984"/>
  <pageSetup scale="39" fitToHeight="0"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37646DD1-FA58-432B-9F8B-EBB01F8260D3}">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15" operator="containsText" text="0" id="{37646DD1-FA58-432B-9F8B-EBB01F8260D3}">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rgb="FF00B0F0"/>
    <pageSetUpPr fitToPage="1"/>
  </sheetPr>
  <dimension ref="A1:M224"/>
  <sheetViews>
    <sheetView zoomScale="80" zoomScaleNormal="80" zoomScaleSheetLayoutView="110" zoomScalePageLayoutView="80" workbookViewId="0">
      <selection activeCell="K8" sqref="K8:K14"/>
    </sheetView>
  </sheetViews>
  <sheetFormatPr baseColWidth="10" defaultColWidth="11.5" defaultRowHeight="14" x14ac:dyDescent="0"/>
  <cols>
    <col min="1" max="1" width="3.5" style="310" bestFit="1" customWidth="1"/>
    <col min="2" max="3" width="30.6640625" style="461" customWidth="1"/>
    <col min="4" max="4" width="64.1640625" style="461" customWidth="1"/>
    <col min="5" max="9" width="3.6640625" style="310" customWidth="1"/>
    <col min="10" max="10" width="7.5" style="81" customWidth="1"/>
    <col min="11" max="11" width="50.6640625" style="463" customWidth="1"/>
    <col min="12" max="12" width="30.6640625" style="490" customWidth="1"/>
    <col min="13" max="13" width="3.5" style="310" customWidth="1"/>
    <col min="14" max="16384" width="11.5" style="310"/>
  </cols>
  <sheetData>
    <row r="1" spans="1:13" ht="15" thickBot="1"/>
    <row r="2" spans="1:13" s="81" customFormat="1" ht="69" customHeight="1" thickBot="1">
      <c r="B2" s="1743"/>
      <c r="C2" s="1744"/>
      <c r="D2" s="1744"/>
      <c r="E2" s="1744"/>
      <c r="F2" s="1744"/>
      <c r="G2" s="1744"/>
      <c r="H2" s="1744"/>
      <c r="I2" s="1745"/>
      <c r="J2" s="382"/>
      <c r="K2" s="507"/>
      <c r="L2" s="507"/>
      <c r="M2" s="362"/>
    </row>
    <row r="3" spans="1:13" s="81" customFormat="1" ht="25.25" customHeight="1" thickBot="1">
      <c r="B3" s="820" t="s">
        <v>1385</v>
      </c>
      <c r="C3" s="821"/>
      <c r="D3" s="822"/>
      <c r="E3" s="1746" t="str">
        <f>+'PROGRAMA ARQ.'!E4</f>
        <v>2 SALAS CUNAS</v>
      </c>
      <c r="F3" s="1747"/>
      <c r="G3" s="1747"/>
      <c r="H3" s="1747"/>
      <c r="I3" s="1748"/>
      <c r="J3" s="382"/>
      <c r="K3" s="507"/>
      <c r="L3" s="507"/>
      <c r="M3" s="362"/>
    </row>
    <row r="4" spans="1:13" s="81" customFormat="1" ht="25.25" customHeight="1" thickBot="1">
      <c r="B4" s="823">
        <f>+'PROGRAMA ARQ.'!I4:I5</f>
        <v>152</v>
      </c>
      <c r="C4" s="505"/>
      <c r="D4" s="661"/>
      <c r="E4" s="1737" t="str">
        <f>+'PROGRAMA ARQ.'!E5</f>
        <v>4 NIVELES MEDIOS</v>
      </c>
      <c r="F4" s="1738"/>
      <c r="G4" s="1738"/>
      <c r="H4" s="1738"/>
      <c r="I4" s="1739"/>
      <c r="J4" s="382"/>
      <c r="K4" s="507"/>
      <c r="L4" s="507"/>
      <c r="M4" s="362"/>
    </row>
    <row r="5" spans="1:13" s="81" customFormat="1" ht="15" thickBot="1">
      <c r="B5" s="695" t="s">
        <v>1374</v>
      </c>
      <c r="C5" s="235" t="s">
        <v>1375</v>
      </c>
      <c r="D5" s="235" t="s">
        <v>1376</v>
      </c>
      <c r="E5" s="1818" t="s">
        <v>1377</v>
      </c>
      <c r="F5" s="1819"/>
      <c r="G5" s="1819"/>
      <c r="H5" s="1819"/>
      <c r="I5" s="1820"/>
      <c r="J5" s="675"/>
      <c r="K5" s="507"/>
      <c r="L5" s="507"/>
      <c r="M5" s="362"/>
    </row>
    <row r="6" spans="1:13" s="616" customFormat="1" ht="62.5" customHeight="1" thickBot="1">
      <c r="B6" s="834" t="str">
        <f>+'PROGRAMA ARQ.'!C29</f>
        <v>2.5</v>
      </c>
      <c r="C6" s="833" t="str">
        <f>+'PROGRAMA ARQ.'!D29</f>
        <v>SALA MULTIUSO 2  (Comunitaria)</v>
      </c>
      <c r="D6" s="834">
        <f>+'PROGRAMA ARQ.'!F29</f>
        <v>8.4</v>
      </c>
      <c r="E6" s="692" t="s">
        <v>366</v>
      </c>
      <c r="F6" s="693" t="s">
        <v>680</v>
      </c>
      <c r="G6" s="693" t="s">
        <v>2</v>
      </c>
      <c r="H6" s="693" t="s">
        <v>171</v>
      </c>
      <c r="I6" s="694" t="s">
        <v>172</v>
      </c>
      <c r="J6" s="608"/>
      <c r="K6" s="704" t="s">
        <v>293</v>
      </c>
      <c r="L6" s="705" t="s">
        <v>120</v>
      </c>
      <c r="M6" s="706" t="s">
        <v>178</v>
      </c>
    </row>
    <row r="7" spans="1:13" s="367" customFormat="1" ht="16" thickBot="1">
      <c r="B7" s="667" t="s">
        <v>1378</v>
      </c>
      <c r="C7" s="667" t="s">
        <v>1379</v>
      </c>
      <c r="D7" s="670" t="s">
        <v>1380</v>
      </c>
      <c r="E7" s="671"/>
      <c r="F7" s="672"/>
      <c r="G7" s="672"/>
      <c r="H7" s="671"/>
      <c r="I7" s="673"/>
      <c r="J7" s="595"/>
      <c r="K7" s="235"/>
      <c r="L7" s="696"/>
      <c r="M7" s="697"/>
    </row>
    <row r="8" spans="1:13" s="81" customFormat="1" ht="115.25" customHeight="1">
      <c r="B8" s="432" t="s">
        <v>122</v>
      </c>
      <c r="C8" s="808"/>
      <c r="D8" s="964" t="s">
        <v>1381</v>
      </c>
      <c r="E8" s="821"/>
      <c r="F8" s="821"/>
      <c r="G8" s="821"/>
      <c r="H8" s="821"/>
      <c r="I8" s="980"/>
      <c r="K8" s="464" t="s">
        <v>1406</v>
      </c>
      <c r="L8" s="508"/>
    </row>
    <row r="9" spans="1:13" s="81" customFormat="1" ht="43" thickBot="1">
      <c r="B9" s="433"/>
      <c r="C9" s="501"/>
      <c r="D9" s="889" t="s">
        <v>831</v>
      </c>
      <c r="I9" s="434"/>
      <c r="K9" s="464" t="s">
        <v>1406</v>
      </c>
      <c r="L9" s="508"/>
    </row>
    <row r="10" spans="1:13" s="81" customFormat="1" ht="29" customHeight="1" thickBot="1">
      <c r="B10" s="2010" t="s">
        <v>1388</v>
      </c>
      <c r="C10" s="2011"/>
      <c r="D10" s="904" t="s">
        <v>1367</v>
      </c>
      <c r="E10" s="983"/>
      <c r="F10" s="983"/>
      <c r="G10" s="983"/>
      <c r="H10" s="983"/>
      <c r="I10" s="984"/>
      <c r="K10" s="464" t="s">
        <v>1406</v>
      </c>
      <c r="L10" s="508"/>
    </row>
    <row r="11" spans="1:13">
      <c r="B11" s="1960" t="s">
        <v>143</v>
      </c>
      <c r="C11" s="882"/>
      <c r="D11" s="879" t="s">
        <v>745</v>
      </c>
      <c r="E11" s="762"/>
      <c r="F11" s="762"/>
      <c r="G11" s="762"/>
      <c r="H11" s="762"/>
      <c r="I11" s="805"/>
      <c r="K11" s="464" t="s">
        <v>1406</v>
      </c>
      <c r="L11" s="310"/>
    </row>
    <row r="12" spans="1:13">
      <c r="B12" s="1961"/>
      <c r="C12" s="1758" t="s">
        <v>241</v>
      </c>
      <c r="D12" s="880" t="s">
        <v>744</v>
      </c>
      <c r="E12" s="642"/>
      <c r="F12" s="642"/>
      <c r="G12" s="642"/>
      <c r="H12" s="642"/>
      <c r="I12" s="791"/>
      <c r="K12" s="464" t="s">
        <v>1406</v>
      </c>
      <c r="L12" s="310"/>
    </row>
    <row r="13" spans="1:13">
      <c r="A13" s="461"/>
      <c r="B13" s="1961"/>
      <c r="C13" s="1758"/>
      <c r="D13" s="880" t="s">
        <v>742</v>
      </c>
      <c r="E13" s="868"/>
      <c r="F13" s="868"/>
      <c r="G13" s="868"/>
      <c r="H13" s="868"/>
      <c r="I13" s="795"/>
      <c r="J13" s="621"/>
      <c r="K13" s="464" t="s">
        <v>1406</v>
      </c>
      <c r="L13" s="1106"/>
      <c r="M13" s="1106"/>
    </row>
    <row r="14" spans="1:13">
      <c r="B14" s="1961"/>
      <c r="C14" s="1758"/>
      <c r="D14" s="631">
        <f>+K14*D6</f>
        <v>0.67200000000000004</v>
      </c>
      <c r="E14" s="642" t="s">
        <v>258</v>
      </c>
      <c r="F14" s="642"/>
      <c r="G14" s="642"/>
      <c r="H14" s="642"/>
      <c r="I14" s="791"/>
      <c r="K14" s="577">
        <v>0.08</v>
      </c>
      <c r="L14" s="383" t="s">
        <v>433</v>
      </c>
    </row>
    <row r="15" spans="1:13">
      <c r="B15" s="1961"/>
      <c r="C15" s="1758" t="s">
        <v>242</v>
      </c>
      <c r="D15" s="628" t="s">
        <v>434</v>
      </c>
      <c r="E15" s="642"/>
      <c r="F15" s="642"/>
      <c r="G15" s="642"/>
      <c r="H15" s="642"/>
      <c r="I15" s="791"/>
      <c r="K15" s="464" t="s">
        <v>1406</v>
      </c>
      <c r="L15" s="310"/>
    </row>
    <row r="16" spans="1:13">
      <c r="A16" s="461"/>
      <c r="B16" s="1961"/>
      <c r="C16" s="1758"/>
      <c r="D16" s="880" t="s">
        <v>743</v>
      </c>
      <c r="E16" s="868"/>
      <c r="F16" s="868"/>
      <c r="G16" s="868"/>
      <c r="H16" s="868"/>
      <c r="I16" s="795"/>
      <c r="J16" s="621"/>
      <c r="K16" s="464" t="s">
        <v>1406</v>
      </c>
      <c r="L16" s="1106"/>
      <c r="M16" s="1106"/>
    </row>
    <row r="17" spans="1:13">
      <c r="B17" s="1961"/>
      <c r="C17" s="1758"/>
      <c r="D17" s="631">
        <f>+K17*D6</f>
        <v>0.33600000000000002</v>
      </c>
      <c r="E17" s="642" t="s">
        <v>258</v>
      </c>
      <c r="F17" s="642"/>
      <c r="G17" s="642"/>
      <c r="H17" s="642"/>
      <c r="I17" s="791"/>
      <c r="K17" s="577">
        <v>0.04</v>
      </c>
      <c r="L17" s="383" t="s">
        <v>433</v>
      </c>
    </row>
    <row r="18" spans="1:13" ht="28">
      <c r="B18" s="1961"/>
      <c r="C18" s="1754" t="s">
        <v>243</v>
      </c>
      <c r="D18" s="649" t="s">
        <v>692</v>
      </c>
      <c r="E18" s="868"/>
      <c r="F18" s="868"/>
      <c r="G18" s="655"/>
      <c r="H18" s="868"/>
      <c r="I18" s="795"/>
      <c r="J18" s="621"/>
      <c r="K18" s="464" t="s">
        <v>1406</v>
      </c>
      <c r="L18" s="483" t="s">
        <v>424</v>
      </c>
    </row>
    <row r="19" spans="1:13" ht="28.25" customHeight="1">
      <c r="B19" s="1961"/>
      <c r="C19" s="1754"/>
      <c r="D19" s="649" t="s">
        <v>805</v>
      </c>
      <c r="E19" s="868"/>
      <c r="F19" s="868"/>
      <c r="G19" s="655"/>
      <c r="H19" s="868"/>
      <c r="I19" s="795"/>
      <c r="J19" s="621"/>
      <c r="K19" s="464" t="s">
        <v>1406</v>
      </c>
      <c r="L19" s="1370"/>
    </row>
    <row r="20" spans="1:13" ht="28.25" customHeight="1">
      <c r="B20" s="1961"/>
      <c r="C20" s="1754"/>
      <c r="D20" s="649" t="s">
        <v>867</v>
      </c>
      <c r="E20" s="868"/>
      <c r="F20" s="868"/>
      <c r="G20" s="655"/>
      <c r="H20" s="868"/>
      <c r="I20" s="795"/>
      <c r="J20" s="621"/>
      <c r="K20" s="464" t="s">
        <v>1406</v>
      </c>
      <c r="L20" s="1370"/>
    </row>
    <row r="21" spans="1:13" ht="28">
      <c r="A21" s="461"/>
      <c r="B21" s="1961"/>
      <c r="C21" s="1905" t="s">
        <v>244</v>
      </c>
      <c r="D21" s="649" t="s">
        <v>740</v>
      </c>
      <c r="E21" s="868"/>
      <c r="F21" s="655"/>
      <c r="G21" s="868"/>
      <c r="H21" s="868"/>
      <c r="I21" s="795"/>
      <c r="J21" s="621"/>
      <c r="K21" s="464" t="s">
        <v>1406</v>
      </c>
      <c r="L21" s="1106"/>
      <c r="M21" s="1106"/>
    </row>
    <row r="22" spans="1:13" s="81" customFormat="1" ht="30" customHeight="1" thickBot="1">
      <c r="B22" s="1980"/>
      <c r="C22" s="1981"/>
      <c r="D22" s="724" t="s">
        <v>741</v>
      </c>
      <c r="E22" s="519"/>
      <c r="F22" s="519"/>
      <c r="G22" s="519"/>
      <c r="H22" s="519"/>
      <c r="I22" s="520"/>
      <c r="J22" s="362"/>
      <c r="K22" s="464" t="s">
        <v>1406</v>
      </c>
      <c r="L22" s="366"/>
      <c r="M22" s="364"/>
    </row>
    <row r="23" spans="1:13" s="81" customFormat="1">
      <c r="B23" s="1816" t="s">
        <v>144</v>
      </c>
      <c r="C23" s="911" t="s">
        <v>245</v>
      </c>
      <c r="D23" s="528" t="s">
        <v>552</v>
      </c>
      <c r="E23" s="985"/>
      <c r="F23" s="985"/>
      <c r="G23" s="985"/>
      <c r="H23" s="985"/>
      <c r="I23" s="986"/>
      <c r="J23" s="332"/>
      <c r="K23" s="507" t="s">
        <v>935</v>
      </c>
      <c r="L23" s="332"/>
    </row>
    <row r="24" spans="1:13" s="81" customFormat="1" ht="15" thickBot="1">
      <c r="B24" s="1817"/>
      <c r="C24" s="783" t="s">
        <v>246</v>
      </c>
      <c r="D24" s="878" t="s">
        <v>552</v>
      </c>
      <c r="E24" s="519"/>
      <c r="F24" s="519"/>
      <c r="G24" s="519"/>
      <c r="H24" s="519"/>
      <c r="I24" s="520"/>
      <c r="J24" s="362"/>
      <c r="K24" s="507" t="s">
        <v>935</v>
      </c>
      <c r="L24" s="508"/>
    </row>
    <row r="25" spans="1:13" s="81" customFormat="1">
      <c r="B25" s="1935" t="s">
        <v>141</v>
      </c>
      <c r="C25" s="2004"/>
      <c r="D25" s="528" t="s">
        <v>693</v>
      </c>
      <c r="E25" s="528"/>
      <c r="F25" s="528"/>
      <c r="G25" s="528"/>
      <c r="H25" s="528"/>
      <c r="I25" s="529"/>
      <c r="J25" s="362"/>
      <c r="K25" s="464" t="s">
        <v>1406</v>
      </c>
      <c r="L25" s="890"/>
    </row>
    <row r="26" spans="1:13" s="81" customFormat="1">
      <c r="B26" s="1936"/>
      <c r="C26" s="1956"/>
      <c r="D26" s="628" t="s">
        <v>698</v>
      </c>
      <c r="E26" s="512"/>
      <c r="F26" s="512"/>
      <c r="G26" s="512"/>
      <c r="H26" s="512"/>
      <c r="I26" s="518"/>
      <c r="J26" s="362"/>
      <c r="K26" s="464" t="s">
        <v>1406</v>
      </c>
      <c r="L26" s="509"/>
    </row>
    <row r="27" spans="1:13" s="81" customFormat="1" ht="15" thickBot="1">
      <c r="B27" s="1958"/>
      <c r="C27" s="2005"/>
      <c r="D27" s="778" t="s">
        <v>833</v>
      </c>
      <c r="E27" s="519"/>
      <c r="F27" s="519"/>
      <c r="G27" s="519"/>
      <c r="H27" s="519"/>
      <c r="I27" s="520"/>
      <c r="J27" s="362"/>
      <c r="K27" s="464" t="s">
        <v>1406</v>
      </c>
      <c r="L27" s="509"/>
    </row>
    <row r="28" spans="1:13" s="81" customFormat="1" ht="28">
      <c r="B28" s="1935" t="s">
        <v>140</v>
      </c>
      <c r="C28" s="1899" t="s">
        <v>414</v>
      </c>
      <c r="D28" s="786" t="s">
        <v>515</v>
      </c>
      <c r="E28" s="528"/>
      <c r="F28" s="528"/>
      <c r="G28" s="528"/>
      <c r="H28" s="528"/>
      <c r="I28" s="529"/>
      <c r="J28" s="362"/>
      <c r="K28" s="464" t="s">
        <v>1406</v>
      </c>
      <c r="L28" s="507"/>
      <c r="M28" s="362"/>
    </row>
    <row r="29" spans="1:13" s="81" customFormat="1" ht="29" thickBot="1">
      <c r="B29" s="1937"/>
      <c r="C29" s="2006"/>
      <c r="D29" s="940" t="s">
        <v>444</v>
      </c>
      <c r="E29" s="532"/>
      <c r="F29" s="532"/>
      <c r="G29" s="532"/>
      <c r="H29" s="532"/>
      <c r="I29" s="533"/>
      <c r="J29" s="362"/>
      <c r="K29" s="464" t="s">
        <v>1406</v>
      </c>
      <c r="L29" s="507"/>
      <c r="M29" s="362"/>
    </row>
    <row r="30" spans="1:13" s="1165" customFormat="1">
      <c r="B30" s="1982" t="s">
        <v>123</v>
      </c>
      <c r="C30" s="1220" t="s">
        <v>78</v>
      </c>
      <c r="D30" s="1375" t="s">
        <v>848</v>
      </c>
      <c r="E30" s="1375"/>
      <c r="F30" s="1375">
        <v>1</v>
      </c>
      <c r="G30" s="1375">
        <f>+F30*'PROGRAMA ARQ.'!$E$29</f>
        <v>1</v>
      </c>
      <c r="H30" s="1375"/>
      <c r="I30" s="1317"/>
      <c r="J30" s="1311"/>
      <c r="K30" s="1324" t="s">
        <v>416</v>
      </c>
      <c r="L30" s="1311"/>
    </row>
    <row r="31" spans="1:13" s="81" customFormat="1">
      <c r="B31" s="2012"/>
      <c r="C31" s="1372" t="s">
        <v>731</v>
      </c>
      <c r="D31" s="899" t="s">
        <v>807</v>
      </c>
      <c r="E31" s="632"/>
      <c r="F31" s="632"/>
      <c r="G31" s="632"/>
      <c r="H31" s="632"/>
      <c r="I31" s="989"/>
      <c r="K31" s="464" t="s">
        <v>1406</v>
      </c>
      <c r="L31" s="392" t="s">
        <v>808</v>
      </c>
      <c r="M31" s="362"/>
    </row>
    <row r="32" spans="1:13" s="81" customFormat="1">
      <c r="B32" s="2012"/>
      <c r="C32" s="894" t="s">
        <v>594</v>
      </c>
      <c r="D32" s="649" t="s">
        <v>688</v>
      </c>
      <c r="E32" s="632"/>
      <c r="F32" s="632">
        <v>3</v>
      </c>
      <c r="G32" s="632">
        <f>+F32*'PROGRAMA ARQ.'!$E$29</f>
        <v>3</v>
      </c>
      <c r="H32" s="632"/>
      <c r="I32" s="989"/>
      <c r="K32" s="464" t="s">
        <v>1406</v>
      </c>
      <c r="L32" s="508"/>
    </row>
    <row r="33" spans="1:13" s="81" customFormat="1">
      <c r="B33" s="2012"/>
      <c r="C33" s="894" t="s">
        <v>783</v>
      </c>
      <c r="D33" s="1374" t="s">
        <v>832</v>
      </c>
      <c r="E33" s="632"/>
      <c r="F33" s="632">
        <v>1</v>
      </c>
      <c r="G33" s="632">
        <f>+F33*'PROGRAMA ARQ.'!$E$29</f>
        <v>1</v>
      </c>
      <c r="H33" s="632"/>
      <c r="I33" s="989"/>
      <c r="K33" s="464" t="s">
        <v>1406</v>
      </c>
      <c r="L33" s="508"/>
    </row>
    <row r="34" spans="1:13" s="81" customFormat="1" ht="15" thickBot="1">
      <c r="B34" s="1983"/>
      <c r="C34" s="912" t="s">
        <v>834</v>
      </c>
      <c r="D34" s="800" t="s">
        <v>699</v>
      </c>
      <c r="E34" s="554"/>
      <c r="F34" s="554">
        <v>1</v>
      </c>
      <c r="G34" s="554">
        <f>+F34*'PROGRAMA ARQ.'!$E$29</f>
        <v>1</v>
      </c>
      <c r="H34" s="554"/>
      <c r="I34" s="560"/>
      <c r="K34" s="464" t="s">
        <v>1406</v>
      </c>
      <c r="L34" s="508"/>
    </row>
    <row r="35" spans="1:13" s="81" customFormat="1" ht="15" thickBot="1">
      <c r="B35" s="1382" t="s">
        <v>124</v>
      </c>
      <c r="C35" s="1377" t="s">
        <v>806</v>
      </c>
      <c r="D35" s="1378" t="s">
        <v>700</v>
      </c>
      <c r="E35" s="1379"/>
      <c r="F35" s="1379">
        <v>1</v>
      </c>
      <c r="G35" s="1379">
        <f>+F35*'PROGRAMA ARQ.'!$E$29</f>
        <v>1</v>
      </c>
      <c r="H35" s="1380"/>
      <c r="I35" s="1381"/>
      <c r="K35" s="464" t="s">
        <v>1406</v>
      </c>
      <c r="L35" s="508" t="s">
        <v>701</v>
      </c>
    </row>
    <row r="36" spans="1:13" s="81" customFormat="1">
      <c r="B36" s="1960" t="s">
        <v>132</v>
      </c>
      <c r="C36" s="2007"/>
      <c r="D36" s="990" t="s">
        <v>837</v>
      </c>
      <c r="E36" s="991"/>
      <c r="F36" s="991">
        <v>2</v>
      </c>
      <c r="G36" s="991">
        <f>+F36*'PROGRAMA ARQ.'!$E$29</f>
        <v>2</v>
      </c>
      <c r="H36" s="784"/>
      <c r="I36" s="988"/>
      <c r="K36" s="464" t="s">
        <v>1406</v>
      </c>
      <c r="L36" s="508"/>
    </row>
    <row r="37" spans="1:13" s="81" customFormat="1">
      <c r="B37" s="1961"/>
      <c r="C37" s="2008"/>
      <c r="D37" s="982" t="s">
        <v>835</v>
      </c>
      <c r="E37" s="981"/>
      <c r="F37" s="981">
        <v>1</v>
      </c>
      <c r="G37" s="981">
        <f>+F37*'PROGRAMA ARQ.'!$E$29</f>
        <v>1</v>
      </c>
      <c r="H37" s="632"/>
      <c r="I37" s="989"/>
      <c r="K37" s="464" t="s">
        <v>1406</v>
      </c>
      <c r="L37" s="508"/>
    </row>
    <row r="38" spans="1:13" s="81" customFormat="1">
      <c r="B38" s="1961"/>
      <c r="C38" s="2008"/>
      <c r="D38" s="981" t="s">
        <v>836</v>
      </c>
      <c r="E38" s="981"/>
      <c r="F38" s="981">
        <v>1</v>
      </c>
      <c r="G38" s="981">
        <f>+F38*'PROGRAMA ARQ.'!$E$29</f>
        <v>1</v>
      </c>
      <c r="H38" s="632"/>
      <c r="I38" s="989"/>
      <c r="K38" s="464" t="s">
        <v>1406</v>
      </c>
      <c r="L38" s="508"/>
    </row>
    <row r="39" spans="1:13" s="81" customFormat="1" ht="15" thickBot="1">
      <c r="B39" s="1980"/>
      <c r="C39" s="2009"/>
      <c r="D39" s="992" t="s">
        <v>702</v>
      </c>
      <c r="E39" s="993"/>
      <c r="F39" s="993">
        <v>6</v>
      </c>
      <c r="G39" s="993">
        <f>+F39*'PROGRAMA ARQ.'!$E$29</f>
        <v>6</v>
      </c>
      <c r="H39" s="554"/>
      <c r="I39" s="560"/>
      <c r="K39" s="464" t="s">
        <v>1406</v>
      </c>
      <c r="L39" s="508"/>
    </row>
    <row r="40" spans="1:13" s="81" customFormat="1">
      <c r="B40" s="1935" t="s">
        <v>133</v>
      </c>
      <c r="C40" s="2004"/>
      <c r="D40" s="885" t="s">
        <v>1451</v>
      </c>
      <c r="E40" s="784"/>
      <c r="F40" s="784"/>
      <c r="G40" s="784"/>
      <c r="H40" s="784"/>
      <c r="I40" s="988"/>
      <c r="K40" s="464" t="s">
        <v>1406</v>
      </c>
      <c r="L40" s="508"/>
    </row>
    <row r="41" spans="1:13" s="81" customFormat="1">
      <c r="B41" s="1936"/>
      <c r="C41" s="1956"/>
      <c r="D41" s="877" t="s">
        <v>821</v>
      </c>
      <c r="E41" s="632"/>
      <c r="F41" s="632"/>
      <c r="G41" s="632"/>
      <c r="H41" s="632"/>
      <c r="I41" s="989"/>
      <c r="K41" s="464" t="s">
        <v>1406</v>
      </c>
      <c r="L41" s="508"/>
    </row>
    <row r="42" spans="1:13" s="81" customFormat="1">
      <c r="B42" s="1936"/>
      <c r="C42" s="1956"/>
      <c r="D42" s="652" t="s">
        <v>379</v>
      </c>
      <c r="E42" s="632"/>
      <c r="F42" s="632"/>
      <c r="G42" s="632"/>
      <c r="H42" s="632"/>
      <c r="I42" s="989"/>
      <c r="K42" s="464" t="s">
        <v>1406</v>
      </c>
      <c r="L42" s="508"/>
    </row>
    <row r="43" spans="1:13" s="81" customFormat="1">
      <c r="B43" s="1936"/>
      <c r="C43" s="1956"/>
      <c r="D43" s="652" t="s">
        <v>382</v>
      </c>
      <c r="E43" s="632"/>
      <c r="F43" s="632"/>
      <c r="G43" s="632"/>
      <c r="H43" s="632"/>
      <c r="I43" s="989"/>
      <c r="K43" s="464" t="s">
        <v>1406</v>
      </c>
      <c r="L43" s="508"/>
    </row>
    <row r="44" spans="1:13" s="81" customFormat="1" ht="15" thickBot="1">
      <c r="B44" s="1958"/>
      <c r="C44" s="2005"/>
      <c r="D44" s="752" t="s">
        <v>695</v>
      </c>
      <c r="E44" s="554"/>
      <c r="F44" s="554"/>
      <c r="G44" s="554"/>
      <c r="H44" s="554"/>
      <c r="I44" s="560"/>
      <c r="K44" s="464" t="s">
        <v>1406</v>
      </c>
      <c r="L44" s="508"/>
    </row>
    <row r="45" spans="1:13" s="81" customFormat="1" ht="15" thickBot="1">
      <c r="B45" s="2010" t="s">
        <v>134</v>
      </c>
      <c r="C45" s="2011"/>
      <c r="D45" s="994" t="s">
        <v>552</v>
      </c>
      <c r="E45" s="995"/>
      <c r="F45" s="995"/>
      <c r="G45" s="995"/>
      <c r="H45" s="995"/>
      <c r="I45" s="996"/>
      <c r="J45" s="332"/>
      <c r="K45" s="507" t="s">
        <v>935</v>
      </c>
      <c r="L45" s="508"/>
    </row>
    <row r="46" spans="1:13" s="1165" customFormat="1">
      <c r="A46" s="1311"/>
      <c r="B46" s="1755" t="s">
        <v>135</v>
      </c>
      <c r="C46" s="1948" t="s">
        <v>248</v>
      </c>
      <c r="D46" s="1313" t="s">
        <v>751</v>
      </c>
      <c r="E46" s="1313"/>
      <c r="F46" s="1313"/>
      <c r="G46" s="1313"/>
      <c r="H46" s="1313"/>
      <c r="I46" s="1317"/>
      <c r="J46" s="1311"/>
      <c r="K46" s="1176" t="s">
        <v>1452</v>
      </c>
      <c r="L46" s="1311"/>
      <c r="M46" s="1311"/>
    </row>
    <row r="47" spans="1:13">
      <c r="A47" s="461"/>
      <c r="B47" s="1756"/>
      <c r="C47" s="1949"/>
      <c r="D47" s="877" t="s">
        <v>750</v>
      </c>
      <c r="E47" s="868"/>
      <c r="F47" s="868"/>
      <c r="G47" s="868"/>
      <c r="H47" s="868"/>
      <c r="I47" s="795"/>
      <c r="J47" s="621"/>
      <c r="K47" s="464" t="s">
        <v>1406</v>
      </c>
      <c r="L47" s="1106"/>
      <c r="M47" s="1106"/>
    </row>
    <row r="48" spans="1:13">
      <c r="A48" s="461"/>
      <c r="B48" s="1756"/>
      <c r="C48" s="1949"/>
      <c r="D48" s="877" t="s">
        <v>749</v>
      </c>
      <c r="E48" s="868"/>
      <c r="F48" s="868"/>
      <c r="G48" s="868"/>
      <c r="H48" s="868"/>
      <c r="I48" s="795"/>
      <c r="J48" s="621"/>
      <c r="K48" s="464" t="s">
        <v>1406</v>
      </c>
      <c r="L48" s="1106"/>
      <c r="M48" s="1106"/>
    </row>
    <row r="49" spans="1:13">
      <c r="A49" s="461"/>
      <c r="B49" s="1756"/>
      <c r="C49" s="1949" t="s">
        <v>249</v>
      </c>
      <c r="D49" s="877" t="s">
        <v>753</v>
      </c>
      <c r="E49" s="868"/>
      <c r="F49" s="868"/>
      <c r="G49" s="868"/>
      <c r="H49" s="868"/>
      <c r="I49" s="795"/>
      <c r="J49" s="621"/>
      <c r="K49" s="464" t="s">
        <v>1406</v>
      </c>
      <c r="L49" s="1106"/>
      <c r="M49" s="1106"/>
    </row>
    <row r="50" spans="1:13">
      <c r="A50" s="461"/>
      <c r="B50" s="1756"/>
      <c r="C50" s="1949"/>
      <c r="D50" s="877" t="s">
        <v>752</v>
      </c>
      <c r="E50" s="868"/>
      <c r="F50" s="868"/>
      <c r="G50" s="868"/>
      <c r="H50" s="868"/>
      <c r="I50" s="795"/>
      <c r="J50" s="621"/>
      <c r="K50" s="464" t="s">
        <v>1406</v>
      </c>
      <c r="L50" s="1106"/>
      <c r="M50" s="1106"/>
    </row>
    <row r="51" spans="1:13">
      <c r="A51" s="461"/>
      <c r="B51" s="1756"/>
      <c r="C51" s="1949" t="s">
        <v>250</v>
      </c>
      <c r="D51" s="877" t="s">
        <v>685</v>
      </c>
      <c r="E51" s="868"/>
      <c r="F51" s="868"/>
      <c r="G51" s="868"/>
      <c r="H51" s="868"/>
      <c r="I51" s="795"/>
      <c r="J51" s="621"/>
      <c r="K51" s="464" t="s">
        <v>1406</v>
      </c>
      <c r="L51" s="1106"/>
      <c r="M51" s="1106"/>
    </row>
    <row r="52" spans="1:13" ht="15" thickBot="1">
      <c r="A52" s="461"/>
      <c r="B52" s="1757"/>
      <c r="C52" s="1979"/>
      <c r="D52" s="878" t="s">
        <v>326</v>
      </c>
      <c r="E52" s="869"/>
      <c r="F52" s="869"/>
      <c r="G52" s="869"/>
      <c r="H52" s="869"/>
      <c r="I52" s="796"/>
      <c r="J52" s="621"/>
      <c r="K52" s="464" t="s">
        <v>1406</v>
      </c>
      <c r="L52" s="1106"/>
    </row>
    <row r="53" spans="1:13" s="1165" customFormat="1">
      <c r="A53" s="2013" t="s">
        <v>137</v>
      </c>
      <c r="B53" s="1960" t="s">
        <v>138</v>
      </c>
      <c r="C53" s="1906" t="s">
        <v>435</v>
      </c>
      <c r="D53" s="1316" t="s">
        <v>830</v>
      </c>
      <c r="E53" s="1236"/>
      <c r="F53" s="1236"/>
      <c r="G53" s="1236"/>
      <c r="H53" s="1236"/>
      <c r="I53" s="1254"/>
      <c r="K53" s="1322" t="s">
        <v>436</v>
      </c>
      <c r="L53" s="1323"/>
    </row>
    <row r="54" spans="1:13" s="81" customFormat="1">
      <c r="A54" s="2014"/>
      <c r="B54" s="1961"/>
      <c r="C54" s="1905"/>
      <c r="D54" s="880" t="s">
        <v>764</v>
      </c>
      <c r="E54" s="632"/>
      <c r="F54" s="632"/>
      <c r="G54" s="632"/>
      <c r="H54" s="632"/>
      <c r="I54" s="989"/>
      <c r="K54" s="464" t="s">
        <v>1406</v>
      </c>
      <c r="L54" s="510" t="s">
        <v>445</v>
      </c>
    </row>
    <row r="55" spans="1:13" s="81" customFormat="1">
      <c r="A55" s="2014"/>
      <c r="B55" s="1961"/>
      <c r="C55" s="894" t="s">
        <v>251</v>
      </c>
      <c r="D55" s="877" t="s">
        <v>838</v>
      </c>
      <c r="E55" s="632"/>
      <c r="F55" s="632"/>
      <c r="G55" s="632">
        <v>3</v>
      </c>
      <c r="H55" s="632"/>
      <c r="I55" s="989"/>
      <c r="K55" s="464" t="s">
        <v>1406</v>
      </c>
      <c r="L55" s="508"/>
    </row>
    <row r="56" spans="1:13" s="81" customFormat="1">
      <c r="A56" s="2014"/>
      <c r="B56" s="1961"/>
      <c r="C56" s="881" t="s">
        <v>253</v>
      </c>
      <c r="D56" s="877" t="s">
        <v>763</v>
      </c>
      <c r="E56" s="632"/>
      <c r="F56" s="632"/>
      <c r="G56" s="632">
        <v>2</v>
      </c>
      <c r="H56" s="632"/>
      <c r="I56" s="989"/>
      <c r="K56" s="464" t="s">
        <v>1406</v>
      </c>
      <c r="L56" s="508"/>
    </row>
    <row r="57" spans="1:13" s="81" customFormat="1">
      <c r="A57" s="2014"/>
      <c r="B57" s="1961"/>
      <c r="C57" s="881" t="s">
        <v>254</v>
      </c>
      <c r="D57" s="877" t="s">
        <v>703</v>
      </c>
      <c r="E57" s="632"/>
      <c r="F57" s="632"/>
      <c r="G57" s="632">
        <v>1</v>
      </c>
      <c r="H57" s="632"/>
      <c r="I57" s="989"/>
      <c r="K57" s="464" t="s">
        <v>1406</v>
      </c>
      <c r="L57" s="508"/>
    </row>
    <row r="58" spans="1:13" s="81" customFormat="1" ht="15" thickBot="1">
      <c r="A58" s="2014"/>
      <c r="B58" s="1980"/>
      <c r="C58" s="783" t="s">
        <v>255</v>
      </c>
      <c r="D58" s="878" t="s">
        <v>769</v>
      </c>
      <c r="E58" s="554"/>
      <c r="F58" s="554"/>
      <c r="G58" s="554"/>
      <c r="H58" s="554"/>
      <c r="I58" s="560"/>
      <c r="K58" s="464" t="s">
        <v>1406</v>
      </c>
      <c r="L58" s="509" t="s">
        <v>445</v>
      </c>
    </row>
    <row r="59" spans="1:13" s="81" customFormat="1" ht="15" thickBot="1">
      <c r="A59" s="2014"/>
      <c r="B59" s="997" t="s">
        <v>139</v>
      </c>
      <c r="C59" s="998" t="s">
        <v>256</v>
      </c>
      <c r="D59" s="816" t="s">
        <v>332</v>
      </c>
      <c r="E59" s="983"/>
      <c r="F59" s="983"/>
      <c r="G59" s="983"/>
      <c r="H59" s="983"/>
      <c r="I59" s="984"/>
      <c r="K59" s="464" t="s">
        <v>1406</v>
      </c>
      <c r="L59" s="510" t="s">
        <v>448</v>
      </c>
    </row>
    <row r="60" spans="1:13" s="81" customFormat="1">
      <c r="A60" s="2014"/>
      <c r="B60" s="1935" t="s">
        <v>142</v>
      </c>
      <c r="C60" s="2004"/>
      <c r="D60" s="1397" t="s">
        <v>1488</v>
      </c>
      <c r="E60" s="784"/>
      <c r="F60" s="784"/>
      <c r="G60" s="784"/>
      <c r="H60" s="784"/>
      <c r="I60" s="988"/>
      <c r="K60" s="464" t="s">
        <v>1406</v>
      </c>
      <c r="L60" s="510"/>
    </row>
    <row r="61" spans="1:13" s="81" customFormat="1" ht="15" thickBot="1">
      <c r="A61" s="2014"/>
      <c r="B61" s="1958"/>
      <c r="C61" s="2005"/>
      <c r="D61" s="878" t="s">
        <v>697</v>
      </c>
      <c r="E61" s="554"/>
      <c r="F61" s="554"/>
      <c r="G61" s="554"/>
      <c r="H61" s="554"/>
      <c r="I61" s="560"/>
      <c r="K61" s="464" t="s">
        <v>1406</v>
      </c>
      <c r="L61" s="508"/>
    </row>
    <row r="62" spans="1:13" s="81" customFormat="1">
      <c r="A62" s="2014"/>
      <c r="B62" s="1935" t="s">
        <v>264</v>
      </c>
      <c r="C62" s="2004"/>
      <c r="D62" s="879" t="s">
        <v>771</v>
      </c>
      <c r="E62" s="784"/>
      <c r="F62" s="784"/>
      <c r="G62" s="987"/>
      <c r="H62" s="784"/>
      <c r="I62" s="988"/>
      <c r="K62" s="464" t="s">
        <v>1406</v>
      </c>
      <c r="L62" s="510" t="s">
        <v>396</v>
      </c>
    </row>
    <row r="63" spans="1:13" s="81" customFormat="1" ht="15" thickBot="1">
      <c r="A63" s="2015"/>
      <c r="B63" s="1958"/>
      <c r="C63" s="2005"/>
      <c r="D63" s="806" t="s">
        <v>152</v>
      </c>
      <c r="E63" s="554"/>
      <c r="F63" s="554"/>
      <c r="G63" s="554"/>
      <c r="H63" s="554"/>
      <c r="I63" s="560"/>
      <c r="K63" s="464" t="s">
        <v>1406</v>
      </c>
      <c r="L63" s="508"/>
    </row>
    <row r="64" spans="1:13">
      <c r="K64" s="1370"/>
    </row>
    <row r="65" spans="11:11">
      <c r="K65" s="1370"/>
    </row>
    <row r="66" spans="11:11">
      <c r="K66" s="1370"/>
    </row>
    <row r="67" spans="11:11">
      <c r="K67" s="1370"/>
    </row>
    <row r="68" spans="11:11">
      <c r="K68" s="1370"/>
    </row>
    <row r="69" spans="11:11">
      <c r="K69" s="1370"/>
    </row>
    <row r="70" spans="11:11">
      <c r="K70" s="1370"/>
    </row>
    <row r="71" spans="11:11">
      <c r="K71" s="1370"/>
    </row>
    <row r="72" spans="11:11">
      <c r="K72" s="1370"/>
    </row>
    <row r="73" spans="11:11">
      <c r="K73" s="1370"/>
    </row>
    <row r="74" spans="11:11">
      <c r="K74" s="1370"/>
    </row>
    <row r="75" spans="11:11">
      <c r="K75" s="1370"/>
    </row>
    <row r="76" spans="11:11">
      <c r="K76" s="1370"/>
    </row>
    <row r="77" spans="11:11">
      <c r="K77" s="1370"/>
    </row>
    <row r="78" spans="11:11">
      <c r="K78" s="1370"/>
    </row>
    <row r="79" spans="11:11">
      <c r="K79" s="1370"/>
    </row>
    <row r="80" spans="11:11">
      <c r="K80" s="1370"/>
    </row>
    <row r="81" spans="11:11">
      <c r="K81" s="1370"/>
    </row>
    <row r="82" spans="11:11">
      <c r="K82" s="1370"/>
    </row>
    <row r="83" spans="11:11">
      <c r="K83" s="1370"/>
    </row>
    <row r="84" spans="11:11">
      <c r="K84" s="1370"/>
    </row>
    <row r="85" spans="11:11">
      <c r="K85" s="1370"/>
    </row>
    <row r="86" spans="11:11">
      <c r="K86" s="1370"/>
    </row>
    <row r="87" spans="11:11">
      <c r="K87" s="1370"/>
    </row>
    <row r="88" spans="11:11">
      <c r="K88" s="1370"/>
    </row>
    <row r="89" spans="11:11">
      <c r="K89" s="1370"/>
    </row>
    <row r="90" spans="11:11">
      <c r="K90" s="1370"/>
    </row>
    <row r="91" spans="11:11">
      <c r="K91" s="1370"/>
    </row>
    <row r="92" spans="11:11">
      <c r="K92" s="1370"/>
    </row>
    <row r="93" spans="11:11">
      <c r="K93" s="1370"/>
    </row>
    <row r="94" spans="11:11">
      <c r="K94" s="1370"/>
    </row>
    <row r="95" spans="11:11">
      <c r="K95" s="1370"/>
    </row>
    <row r="96" spans="11:11">
      <c r="K96" s="1370"/>
    </row>
    <row r="97" spans="11:11">
      <c r="K97" s="1370"/>
    </row>
    <row r="98" spans="11:11">
      <c r="K98" s="1370"/>
    </row>
    <row r="99" spans="11:11">
      <c r="K99" s="1370"/>
    </row>
    <row r="100" spans="11:11">
      <c r="K100" s="1370"/>
    </row>
    <row r="101" spans="11:11">
      <c r="K101" s="1370"/>
    </row>
    <row r="102" spans="11:11">
      <c r="K102" s="1370"/>
    </row>
    <row r="103" spans="11:11">
      <c r="K103" s="1370"/>
    </row>
    <row r="104" spans="11:11">
      <c r="K104" s="1370"/>
    </row>
    <row r="105" spans="11:11">
      <c r="K105" s="1370"/>
    </row>
    <row r="106" spans="11:11">
      <c r="K106" s="1370"/>
    </row>
    <row r="107" spans="11:11">
      <c r="K107" s="1370"/>
    </row>
    <row r="108" spans="11:11">
      <c r="K108" s="1370"/>
    </row>
    <row r="109" spans="11:11">
      <c r="K109" s="1370"/>
    </row>
    <row r="110" spans="11:11">
      <c r="K110" s="1370"/>
    </row>
    <row r="111" spans="11:11">
      <c r="K111" s="1370"/>
    </row>
    <row r="112" spans="11:11">
      <c r="K112" s="1370"/>
    </row>
    <row r="113" spans="11:11">
      <c r="K113" s="1370"/>
    </row>
    <row r="114" spans="11:11">
      <c r="K114" s="1370"/>
    </row>
    <row r="115" spans="11:11">
      <c r="K115" s="1370"/>
    </row>
    <row r="116" spans="11:11">
      <c r="K116" s="1370"/>
    </row>
    <row r="117" spans="11:11">
      <c r="K117" s="1370"/>
    </row>
    <row r="118" spans="11:11">
      <c r="K118" s="1370"/>
    </row>
    <row r="119" spans="11:11">
      <c r="K119" s="1370"/>
    </row>
    <row r="120" spans="11:11">
      <c r="K120" s="1370"/>
    </row>
    <row r="121" spans="11:11">
      <c r="K121" s="1370"/>
    </row>
    <row r="122" spans="11:11">
      <c r="K122" s="1370"/>
    </row>
    <row r="123" spans="11:11">
      <c r="K123" s="1370"/>
    </row>
    <row r="124" spans="11:11">
      <c r="K124" s="1370"/>
    </row>
    <row r="125" spans="11:11">
      <c r="K125" s="1370"/>
    </row>
    <row r="126" spans="11:11">
      <c r="K126" s="1370"/>
    </row>
    <row r="127" spans="11:11">
      <c r="K127" s="1370"/>
    </row>
    <row r="128" spans="11:11">
      <c r="K128" s="1370"/>
    </row>
    <row r="129" spans="11:11">
      <c r="K129" s="1370"/>
    </row>
    <row r="130" spans="11:11">
      <c r="K130" s="1370"/>
    </row>
    <row r="131" spans="11:11">
      <c r="K131" s="1370"/>
    </row>
    <row r="132" spans="11:11">
      <c r="K132" s="1370"/>
    </row>
    <row r="133" spans="11:11">
      <c r="K133" s="1370"/>
    </row>
    <row r="134" spans="11:11">
      <c r="K134" s="1370"/>
    </row>
    <row r="135" spans="11:11">
      <c r="K135" s="1370"/>
    </row>
    <row r="136" spans="11:11">
      <c r="K136" s="1370"/>
    </row>
    <row r="137" spans="11:11">
      <c r="K137" s="1370"/>
    </row>
    <row r="138" spans="11:11">
      <c r="K138" s="1370"/>
    </row>
    <row r="139" spans="11:11">
      <c r="K139" s="1370"/>
    </row>
    <row r="140" spans="11:11">
      <c r="K140" s="1370"/>
    </row>
    <row r="141" spans="11:11">
      <c r="K141" s="1370"/>
    </row>
    <row r="142" spans="11:11">
      <c r="K142" s="1370"/>
    </row>
    <row r="143" spans="11:11">
      <c r="K143" s="1370"/>
    </row>
    <row r="144" spans="11:11">
      <c r="K144" s="1370"/>
    </row>
    <row r="145" spans="11:11">
      <c r="K145" s="1370"/>
    </row>
    <row r="146" spans="11:11">
      <c r="K146" s="1370"/>
    </row>
    <row r="147" spans="11:11">
      <c r="K147" s="1370"/>
    </row>
    <row r="148" spans="11:11">
      <c r="K148" s="1370"/>
    </row>
    <row r="149" spans="11:11">
      <c r="K149" s="1370"/>
    </row>
    <row r="150" spans="11:11">
      <c r="K150" s="1370"/>
    </row>
    <row r="151" spans="11:11">
      <c r="K151" s="1370"/>
    </row>
    <row r="152" spans="11:11">
      <c r="K152" s="1370"/>
    </row>
    <row r="153" spans="11:11">
      <c r="K153" s="1370"/>
    </row>
    <row r="154" spans="11:11">
      <c r="K154" s="1370"/>
    </row>
    <row r="155" spans="11:11">
      <c r="K155" s="1370"/>
    </row>
    <row r="156" spans="11:11">
      <c r="K156" s="1370"/>
    </row>
    <row r="157" spans="11:11">
      <c r="K157" s="1370"/>
    </row>
    <row r="158" spans="11:11">
      <c r="K158" s="1370"/>
    </row>
    <row r="159" spans="11:11">
      <c r="K159" s="1370"/>
    </row>
    <row r="160" spans="11:11">
      <c r="K160" s="1370"/>
    </row>
    <row r="161" spans="11:11">
      <c r="K161" s="1370"/>
    </row>
    <row r="162" spans="11:11">
      <c r="K162" s="1370"/>
    </row>
    <row r="163" spans="11:11">
      <c r="K163" s="1370"/>
    </row>
    <row r="164" spans="11:11">
      <c r="K164" s="1370"/>
    </row>
    <row r="165" spans="11:11">
      <c r="K165" s="1370"/>
    </row>
    <row r="166" spans="11:11">
      <c r="K166" s="1370"/>
    </row>
    <row r="167" spans="11:11">
      <c r="K167" s="1370"/>
    </row>
    <row r="168" spans="11:11">
      <c r="K168" s="1370"/>
    </row>
    <row r="169" spans="11:11">
      <c r="K169" s="1370"/>
    </row>
    <row r="170" spans="11:11">
      <c r="K170" s="1370"/>
    </row>
    <row r="171" spans="11:11">
      <c r="K171" s="1370"/>
    </row>
    <row r="172" spans="11:11">
      <c r="K172" s="1370"/>
    </row>
    <row r="173" spans="11:11">
      <c r="K173" s="1370"/>
    </row>
    <row r="174" spans="11:11">
      <c r="K174" s="1370"/>
    </row>
    <row r="175" spans="11:11">
      <c r="K175" s="1370"/>
    </row>
    <row r="176" spans="11:11">
      <c r="K176" s="1370"/>
    </row>
    <row r="177" spans="11:11">
      <c r="K177" s="1370"/>
    </row>
    <row r="178" spans="11:11">
      <c r="K178" s="1370"/>
    </row>
    <row r="179" spans="11:11">
      <c r="K179" s="1370"/>
    </row>
    <row r="180" spans="11:11">
      <c r="K180" s="1370"/>
    </row>
    <row r="181" spans="11:11">
      <c r="K181" s="1370"/>
    </row>
    <row r="182" spans="11:11">
      <c r="K182" s="1370"/>
    </row>
    <row r="183" spans="11:11">
      <c r="K183" s="1370"/>
    </row>
    <row r="184" spans="11:11">
      <c r="K184" s="1370"/>
    </row>
    <row r="185" spans="11:11">
      <c r="K185" s="1370"/>
    </row>
    <row r="186" spans="11:11">
      <c r="K186" s="1370"/>
    </row>
    <row r="187" spans="11:11">
      <c r="K187" s="1370"/>
    </row>
    <row r="188" spans="11:11">
      <c r="K188" s="1370"/>
    </row>
    <row r="189" spans="11:11">
      <c r="K189" s="1370"/>
    </row>
    <row r="190" spans="11:11">
      <c r="K190" s="1370"/>
    </row>
    <row r="191" spans="11:11">
      <c r="K191" s="1370"/>
    </row>
    <row r="192" spans="11:11">
      <c r="K192" s="1370"/>
    </row>
    <row r="193" spans="11:11">
      <c r="K193" s="1370"/>
    </row>
    <row r="194" spans="11:11">
      <c r="K194" s="1370"/>
    </row>
    <row r="195" spans="11:11">
      <c r="K195" s="1370"/>
    </row>
    <row r="196" spans="11:11">
      <c r="K196" s="1370"/>
    </row>
    <row r="197" spans="11:11">
      <c r="K197" s="1370"/>
    </row>
    <row r="198" spans="11:11">
      <c r="K198" s="1370"/>
    </row>
    <row r="199" spans="11:11">
      <c r="K199" s="1370"/>
    </row>
    <row r="200" spans="11:11">
      <c r="K200" s="1370"/>
    </row>
    <row r="201" spans="11:11">
      <c r="K201" s="1370"/>
    </row>
    <row r="202" spans="11:11">
      <c r="K202" s="1370"/>
    </row>
    <row r="203" spans="11:11">
      <c r="K203" s="1370"/>
    </row>
    <row r="204" spans="11:11">
      <c r="K204" s="1370"/>
    </row>
    <row r="205" spans="11:11">
      <c r="K205" s="1370"/>
    </row>
    <row r="206" spans="11:11">
      <c r="K206" s="1370"/>
    </row>
    <row r="207" spans="11:11">
      <c r="K207" s="1370"/>
    </row>
    <row r="208" spans="11:11">
      <c r="K208" s="1370"/>
    </row>
    <row r="209" spans="11:11">
      <c r="K209" s="1370"/>
    </row>
    <row r="210" spans="11:11">
      <c r="K210" s="1370"/>
    </row>
    <row r="211" spans="11:11">
      <c r="K211" s="1370"/>
    </row>
    <row r="212" spans="11:11">
      <c r="K212" s="1370"/>
    </row>
    <row r="213" spans="11:11">
      <c r="K213" s="1370"/>
    </row>
    <row r="214" spans="11:11">
      <c r="K214" s="1370"/>
    </row>
    <row r="215" spans="11:11">
      <c r="K215" s="1370"/>
    </row>
    <row r="216" spans="11:11">
      <c r="K216" s="1370"/>
    </row>
    <row r="217" spans="11:11">
      <c r="K217" s="1370"/>
    </row>
    <row r="218" spans="11:11">
      <c r="K218" s="1370"/>
    </row>
    <row r="219" spans="11:11">
      <c r="K219" s="1370"/>
    </row>
    <row r="220" spans="11:11">
      <c r="K220" s="1370"/>
    </row>
    <row r="221" spans="11:11">
      <c r="K221" s="1370"/>
    </row>
    <row r="222" spans="11:11">
      <c r="K222" s="1370"/>
    </row>
    <row r="223" spans="11:11">
      <c r="K223" s="1370"/>
    </row>
    <row r="224" spans="11:11">
      <c r="K224" s="1370"/>
    </row>
  </sheetData>
  <autoFilter ref="A1:M63"/>
  <mergeCells count="27">
    <mergeCell ref="A53:A63"/>
    <mergeCell ref="B2:I2"/>
    <mergeCell ref="E5:I5"/>
    <mergeCell ref="E3:I3"/>
    <mergeCell ref="E4:I4"/>
    <mergeCell ref="B10:C10"/>
    <mergeCell ref="B11:B22"/>
    <mergeCell ref="C12:C14"/>
    <mergeCell ref="C15:C17"/>
    <mergeCell ref="C18:C20"/>
    <mergeCell ref="C21:C22"/>
    <mergeCell ref="B23:B24"/>
    <mergeCell ref="C53:C54"/>
    <mergeCell ref="B53:B58"/>
    <mergeCell ref="B60:C61"/>
    <mergeCell ref="B62:C63"/>
    <mergeCell ref="B25:C27"/>
    <mergeCell ref="B28:B29"/>
    <mergeCell ref="C28:C29"/>
    <mergeCell ref="B46:B52"/>
    <mergeCell ref="B40:C44"/>
    <mergeCell ref="B36:C39"/>
    <mergeCell ref="B45:C45"/>
    <mergeCell ref="C46:C48"/>
    <mergeCell ref="C49:C50"/>
    <mergeCell ref="C51:C52"/>
    <mergeCell ref="B30:B34"/>
  </mergeCells>
  <pageMargins left="0.70866141732283472" right="0.70866141732283472" top="0.74803149606299213" bottom="0.74803149606299213" header="0.31496062992125984" footer="0.31496062992125984"/>
  <pageSetup scale="39" fitToHeight="0" orientation="portrait"/>
  <rowBreaks count="1" manualBreakCount="1">
    <brk id="34"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DA65DB97-6088-4D3E-AF80-E6C153126344}">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17" operator="containsText" text="0" id="{DA65DB97-6088-4D3E-AF80-E6C153126344}">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rgb="FF00B0F0"/>
    <pageSetUpPr fitToPage="1"/>
  </sheetPr>
  <dimension ref="A1:M71"/>
  <sheetViews>
    <sheetView topLeftCell="A37" zoomScale="80" zoomScaleNormal="80" zoomScaleSheetLayoutView="90" zoomScalePageLayoutView="80" workbookViewId="0">
      <selection activeCell="K8" sqref="K8:K14"/>
    </sheetView>
  </sheetViews>
  <sheetFormatPr baseColWidth="10" defaultColWidth="11.5" defaultRowHeight="14" x14ac:dyDescent="0"/>
  <cols>
    <col min="1" max="1" width="2.83203125" style="310" customWidth="1"/>
    <col min="2" max="2" width="30.6640625" style="489" customWidth="1"/>
    <col min="3" max="3" width="30.6640625" style="461" customWidth="1"/>
    <col min="4" max="4" width="50.6640625" style="461" customWidth="1"/>
    <col min="5" max="9" width="3.6640625" style="461" customWidth="1"/>
    <col min="10" max="10" width="7.5" style="621" customWidth="1"/>
    <col min="11" max="11" width="50.6640625" style="496" customWidth="1"/>
    <col min="12" max="12" width="30.6640625" style="461" customWidth="1"/>
    <col min="13" max="13" width="3.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6.25" customHeight="1" thickBot="1">
      <c r="B6" s="713" t="str">
        <f>+'PROGRAMA ARQ.'!C30</f>
        <v>2.6</v>
      </c>
      <c r="C6" s="713" t="str">
        <f>+'PROGRAMA ARQ.'!D30</f>
        <v>SALA DE AMAMANTAMIENTO</v>
      </c>
      <c r="D6" s="834">
        <f>+'PROGRAMA ARQ.'!F30</f>
        <v>3.6</v>
      </c>
      <c r="E6" s="692" t="s">
        <v>366</v>
      </c>
      <c r="F6" s="693" t="s">
        <v>544</v>
      </c>
      <c r="G6" s="693" t="s">
        <v>2</v>
      </c>
      <c r="H6" s="693" t="s">
        <v>171</v>
      </c>
      <c r="I6" s="694" t="s">
        <v>172</v>
      </c>
      <c r="J6" s="608"/>
      <c r="K6" s="1299" t="s">
        <v>293</v>
      </c>
      <c r="L6" s="705" t="s">
        <v>120</v>
      </c>
      <c r="M6" s="706" t="s">
        <v>178</v>
      </c>
    </row>
    <row r="7" spans="2:13" s="367" customFormat="1" ht="16" thickBot="1">
      <c r="B7" s="667" t="s">
        <v>1378</v>
      </c>
      <c r="C7" s="667" t="s">
        <v>1379</v>
      </c>
      <c r="D7" s="670" t="s">
        <v>1380</v>
      </c>
      <c r="E7" s="671"/>
      <c r="F7" s="672"/>
      <c r="G7" s="672"/>
      <c r="H7" s="671"/>
      <c r="I7" s="673"/>
      <c r="J7" s="595"/>
      <c r="K7" s="235"/>
      <c r="L7" s="696"/>
      <c r="M7" s="697"/>
    </row>
    <row r="8" spans="2:13" ht="182">
      <c r="B8" s="1827" t="s">
        <v>122</v>
      </c>
      <c r="C8" s="1900"/>
      <c r="D8" s="875" t="s">
        <v>1381</v>
      </c>
      <c r="E8" s="886"/>
      <c r="F8" s="886"/>
      <c r="G8" s="875"/>
      <c r="H8" s="886"/>
      <c r="I8" s="952"/>
      <c r="K8" s="496" t="s">
        <v>1421</v>
      </c>
      <c r="L8" s="461" t="s">
        <v>430</v>
      </c>
    </row>
    <row r="9" spans="2:13" ht="28">
      <c r="B9" s="1829"/>
      <c r="C9" s="1933"/>
      <c r="D9" s="876" t="s">
        <v>840</v>
      </c>
      <c r="E9" s="887"/>
      <c r="F9" s="887"/>
      <c r="G9" s="876"/>
      <c r="H9" s="887"/>
      <c r="I9" s="676"/>
      <c r="K9" s="496" t="s">
        <v>1421</v>
      </c>
      <c r="L9" s="461" t="s">
        <v>486</v>
      </c>
    </row>
    <row r="10" spans="2:13" ht="42">
      <c r="B10" s="1829"/>
      <c r="C10" s="1933"/>
      <c r="D10" s="876" t="s">
        <v>1367</v>
      </c>
      <c r="E10" s="887"/>
      <c r="F10" s="887"/>
      <c r="G10" s="876"/>
      <c r="H10" s="887"/>
      <c r="I10" s="676"/>
      <c r="K10" s="496" t="s">
        <v>1421</v>
      </c>
    </row>
    <row r="11" spans="2:13">
      <c r="B11" s="1829"/>
      <c r="C11" s="1933"/>
      <c r="D11" s="876" t="s">
        <v>614</v>
      </c>
      <c r="E11" s="887"/>
      <c r="F11" s="887"/>
      <c r="G11" s="876"/>
      <c r="H11" s="887"/>
      <c r="I11" s="676"/>
      <c r="K11" s="496" t="s">
        <v>1421</v>
      </c>
    </row>
    <row r="12" spans="2:13">
      <c r="B12" s="1829"/>
      <c r="C12" s="1933"/>
      <c r="D12" s="491" t="s">
        <v>704</v>
      </c>
      <c r="E12" s="887"/>
      <c r="F12" s="887"/>
      <c r="G12" s="876"/>
      <c r="H12" s="887"/>
      <c r="I12" s="676"/>
      <c r="K12" s="496" t="s">
        <v>1421</v>
      </c>
    </row>
    <row r="13" spans="2:13">
      <c r="B13" s="1829"/>
      <c r="C13" s="1933"/>
      <c r="D13" s="491" t="s">
        <v>705</v>
      </c>
      <c r="E13" s="887"/>
      <c r="F13" s="887"/>
      <c r="G13" s="876"/>
      <c r="H13" s="887"/>
      <c r="I13" s="676"/>
      <c r="K13" s="496" t="s">
        <v>1421</v>
      </c>
    </row>
    <row r="14" spans="2:13" ht="15" thickBot="1">
      <c r="B14" s="1829"/>
      <c r="C14" s="1933"/>
      <c r="D14" s="491" t="s">
        <v>839</v>
      </c>
      <c r="E14" s="887"/>
      <c r="F14" s="887"/>
      <c r="G14" s="876"/>
      <c r="H14" s="887"/>
      <c r="I14" s="676"/>
      <c r="K14" s="496" t="s">
        <v>1421</v>
      </c>
    </row>
    <row r="15" spans="2:13">
      <c r="B15" s="1755" t="s">
        <v>1389</v>
      </c>
      <c r="C15" s="1761"/>
      <c r="D15" s="722" t="s">
        <v>841</v>
      </c>
      <c r="E15" s="867"/>
      <c r="F15" s="867"/>
      <c r="G15" s="867"/>
      <c r="H15" s="867"/>
      <c r="I15" s="794"/>
      <c r="K15" s="496" t="s">
        <v>1421</v>
      </c>
      <c r="L15" s="461" t="s">
        <v>430</v>
      </c>
    </row>
    <row r="16" spans="2:13" ht="28">
      <c r="B16" s="1756"/>
      <c r="C16" s="1762"/>
      <c r="D16" s="640" t="s">
        <v>851</v>
      </c>
      <c r="E16" s="868"/>
      <c r="F16" s="868"/>
      <c r="G16" s="868"/>
      <c r="H16" s="868"/>
      <c r="I16" s="795"/>
      <c r="K16" s="496" t="s">
        <v>1406</v>
      </c>
    </row>
    <row r="17" spans="2:12" ht="29" thickBot="1">
      <c r="B17" s="1757"/>
      <c r="C17" s="1763"/>
      <c r="D17" s="769" t="s">
        <v>842</v>
      </c>
      <c r="E17" s="869"/>
      <c r="F17" s="869"/>
      <c r="G17" s="869"/>
      <c r="H17" s="869"/>
      <c r="I17" s="796"/>
      <c r="K17" s="496" t="s">
        <v>1406</v>
      </c>
      <c r="L17" s="461" t="s">
        <v>430</v>
      </c>
    </row>
    <row r="18" spans="2:12">
      <c r="B18" s="1755" t="s">
        <v>143</v>
      </c>
      <c r="C18" s="1892" t="s">
        <v>241</v>
      </c>
      <c r="D18" s="722" t="s">
        <v>706</v>
      </c>
      <c r="E18" s="867"/>
      <c r="F18" s="867"/>
      <c r="G18" s="867"/>
      <c r="H18" s="867"/>
      <c r="I18" s="794"/>
      <c r="K18" s="496" t="s">
        <v>1406</v>
      </c>
    </row>
    <row r="19" spans="2:12">
      <c r="B19" s="1756"/>
      <c r="C19" s="1893"/>
      <c r="D19" s="640" t="s">
        <v>860</v>
      </c>
      <c r="E19" s="868"/>
      <c r="F19" s="868"/>
      <c r="G19" s="868"/>
      <c r="H19" s="868"/>
      <c r="I19" s="795"/>
      <c r="K19" s="496" t="s">
        <v>1406</v>
      </c>
      <c r="L19" s="383"/>
    </row>
    <row r="20" spans="2:12" ht="28">
      <c r="B20" s="1756"/>
      <c r="C20" s="1893"/>
      <c r="D20" s="999" t="s">
        <v>861</v>
      </c>
      <c r="E20" s="868"/>
      <c r="F20" s="868"/>
      <c r="G20" s="868"/>
      <c r="H20" s="868"/>
      <c r="I20" s="795"/>
      <c r="K20" s="496" t="s">
        <v>1406</v>
      </c>
      <c r="L20" s="383" t="s">
        <v>427</v>
      </c>
    </row>
    <row r="21" spans="2:12">
      <c r="B21" s="1756"/>
      <c r="C21" s="868" t="s">
        <v>242</v>
      </c>
      <c r="D21" s="1000" t="s">
        <v>862</v>
      </c>
      <c r="E21" s="868"/>
      <c r="F21" s="868"/>
      <c r="G21" s="868"/>
      <c r="H21" s="868"/>
      <c r="I21" s="795"/>
      <c r="K21" s="496" t="s">
        <v>1406</v>
      </c>
    </row>
    <row r="22" spans="2:12" ht="28">
      <c r="B22" s="1756"/>
      <c r="C22" s="1754" t="s">
        <v>243</v>
      </c>
      <c r="D22" s="649" t="s">
        <v>692</v>
      </c>
      <c r="E22" s="868"/>
      <c r="F22" s="868"/>
      <c r="G22" s="655"/>
      <c r="H22" s="868"/>
      <c r="I22" s="795"/>
      <c r="K22" s="496" t="s">
        <v>1406</v>
      </c>
      <c r="L22" s="483" t="s">
        <v>424</v>
      </c>
    </row>
    <row r="23" spans="2:12" ht="28.25" customHeight="1">
      <c r="B23" s="1756"/>
      <c r="C23" s="1754"/>
      <c r="D23" s="649" t="s">
        <v>805</v>
      </c>
      <c r="E23" s="868"/>
      <c r="F23" s="868"/>
      <c r="G23" s="655"/>
      <c r="H23" s="868"/>
      <c r="I23" s="795"/>
      <c r="K23" s="496" t="s">
        <v>1406</v>
      </c>
      <c r="L23" s="463"/>
    </row>
    <row r="24" spans="2:12" ht="28">
      <c r="B24" s="1756"/>
      <c r="C24" s="1893" t="s">
        <v>244</v>
      </c>
      <c r="D24" s="999" t="s">
        <v>863</v>
      </c>
      <c r="E24" s="868"/>
      <c r="F24" s="868"/>
      <c r="G24" s="655"/>
      <c r="H24" s="868"/>
      <c r="I24" s="795"/>
      <c r="K24" s="496" t="s">
        <v>1406</v>
      </c>
      <c r="L24" s="480"/>
    </row>
    <row r="25" spans="2:12" ht="29" thickBot="1">
      <c r="B25" s="1757"/>
      <c r="C25" s="2017"/>
      <c r="D25" s="724" t="s">
        <v>741</v>
      </c>
      <c r="E25" s="869"/>
      <c r="F25" s="869"/>
      <c r="G25" s="1002"/>
      <c r="H25" s="869"/>
      <c r="I25" s="796"/>
      <c r="K25" s="496" t="s">
        <v>1406</v>
      </c>
      <c r="L25" s="480"/>
    </row>
    <row r="26" spans="2:12">
      <c r="B26" s="1755" t="s">
        <v>144</v>
      </c>
      <c r="C26" s="867" t="s">
        <v>245</v>
      </c>
      <c r="D26" s="1003" t="s">
        <v>552</v>
      </c>
      <c r="E26" s="867"/>
      <c r="F26" s="867"/>
      <c r="G26" s="867"/>
      <c r="H26" s="867"/>
      <c r="I26" s="794"/>
      <c r="K26" s="496" t="s">
        <v>935</v>
      </c>
      <c r="L26" s="578"/>
    </row>
    <row r="27" spans="2:12" ht="15" thickBot="1">
      <c r="B27" s="1757"/>
      <c r="C27" s="869" t="s">
        <v>246</v>
      </c>
      <c r="D27" s="1004" t="s">
        <v>441</v>
      </c>
      <c r="E27" s="869"/>
      <c r="F27" s="869"/>
      <c r="G27" s="869"/>
      <c r="H27" s="869"/>
      <c r="I27" s="796"/>
      <c r="K27" s="496" t="s">
        <v>1406</v>
      </c>
      <c r="L27" s="578"/>
    </row>
    <row r="28" spans="2:12">
      <c r="B28" s="1755" t="s">
        <v>141</v>
      </c>
      <c r="C28" s="1761"/>
      <c r="D28" s="1003" t="s">
        <v>707</v>
      </c>
      <c r="E28" s="867"/>
      <c r="F28" s="867"/>
      <c r="G28" s="867"/>
      <c r="H28" s="867"/>
      <c r="I28" s="794"/>
      <c r="K28" s="496" t="s">
        <v>1406</v>
      </c>
    </row>
    <row r="29" spans="2:12">
      <c r="B29" s="1756"/>
      <c r="C29" s="1762"/>
      <c r="D29" s="868" t="s">
        <v>843</v>
      </c>
      <c r="E29" s="868"/>
      <c r="F29" s="868"/>
      <c r="G29" s="868"/>
      <c r="H29" s="868"/>
      <c r="I29" s="795"/>
      <c r="K29" s="496" t="s">
        <v>1406</v>
      </c>
    </row>
    <row r="30" spans="2:12">
      <c r="B30" s="1756"/>
      <c r="C30" s="1762"/>
      <c r="D30" s="999" t="s">
        <v>263</v>
      </c>
      <c r="E30" s="868"/>
      <c r="F30" s="868"/>
      <c r="G30" s="868"/>
      <c r="H30" s="868"/>
      <c r="I30" s="795"/>
      <c r="K30" s="496" t="s">
        <v>1406</v>
      </c>
    </row>
    <row r="31" spans="2:12" ht="28">
      <c r="B31" s="1756"/>
      <c r="C31" s="1762"/>
      <c r="D31" s="999" t="s">
        <v>262</v>
      </c>
      <c r="E31" s="868"/>
      <c r="F31" s="868"/>
      <c r="G31" s="868"/>
      <c r="H31" s="868"/>
      <c r="I31" s="795"/>
      <c r="K31" s="496" t="s">
        <v>1406</v>
      </c>
    </row>
    <row r="32" spans="2:12" ht="29" thickBot="1">
      <c r="B32" s="1757"/>
      <c r="C32" s="1763"/>
      <c r="D32" s="1004" t="s">
        <v>708</v>
      </c>
      <c r="E32" s="869"/>
      <c r="F32" s="869"/>
      <c r="G32" s="869"/>
      <c r="H32" s="869"/>
      <c r="I32" s="796"/>
      <c r="K32" s="496" t="s">
        <v>1406</v>
      </c>
    </row>
    <row r="33" spans="2:13" s="81" customFormat="1" ht="28">
      <c r="B33" s="1935" t="s">
        <v>140</v>
      </c>
      <c r="C33" s="966" t="s">
        <v>414</v>
      </c>
      <c r="D33" s="786" t="s">
        <v>515</v>
      </c>
      <c r="E33" s="528"/>
      <c r="F33" s="528"/>
      <c r="G33" s="528"/>
      <c r="H33" s="528"/>
      <c r="I33" s="529"/>
      <c r="J33" s="362"/>
      <c r="K33" s="496" t="s">
        <v>1406</v>
      </c>
      <c r="L33" s="376"/>
      <c r="M33" s="362"/>
    </row>
    <row r="34" spans="2:13" s="81" customFormat="1" ht="43.25" customHeight="1">
      <c r="B34" s="1936"/>
      <c r="C34" s="963"/>
      <c r="D34" s="628" t="s">
        <v>444</v>
      </c>
      <c r="E34" s="512"/>
      <c r="F34" s="512"/>
      <c r="G34" s="512"/>
      <c r="H34" s="512"/>
      <c r="I34" s="518"/>
      <c r="J34" s="362"/>
      <c r="K34" s="496" t="s">
        <v>1406</v>
      </c>
      <c r="L34" s="376"/>
      <c r="M34" s="362"/>
    </row>
    <row r="35" spans="2:13">
      <c r="B35" s="1936"/>
      <c r="C35" s="871" t="s">
        <v>256</v>
      </c>
      <c r="D35" s="640" t="s">
        <v>709</v>
      </c>
      <c r="E35" s="868"/>
      <c r="F35" s="868"/>
      <c r="G35" s="868"/>
      <c r="H35" s="868"/>
      <c r="I35" s="795"/>
      <c r="K35" s="496" t="s">
        <v>1406</v>
      </c>
    </row>
    <row r="36" spans="2:13" ht="15" thickBot="1">
      <c r="B36" s="1958"/>
      <c r="C36" s="768" t="s">
        <v>410</v>
      </c>
      <c r="D36" s="769" t="s">
        <v>844</v>
      </c>
      <c r="E36" s="869"/>
      <c r="F36" s="869"/>
      <c r="G36" s="869"/>
      <c r="H36" s="869"/>
      <c r="I36" s="796"/>
      <c r="K36" s="496" t="s">
        <v>1406</v>
      </c>
    </row>
    <row r="37" spans="2:13" s="1165" customFormat="1">
      <c r="B37" s="1755" t="s">
        <v>123</v>
      </c>
      <c r="C37" s="1220" t="s">
        <v>78</v>
      </c>
      <c r="D37" s="1313" t="s">
        <v>848</v>
      </c>
      <c r="E37" s="1313"/>
      <c r="F37" s="1313">
        <v>1</v>
      </c>
      <c r="G37" s="1313">
        <f>+F37*'PROGRAMA ARQ.'!$E$30</f>
        <v>1</v>
      </c>
      <c r="H37" s="1313"/>
      <c r="I37" s="1317"/>
      <c r="J37" s="1311"/>
      <c r="K37" s="1324" t="s">
        <v>416</v>
      </c>
      <c r="L37" s="1311"/>
    </row>
    <row r="38" spans="2:13">
      <c r="B38" s="1756"/>
      <c r="C38" s="643" t="s">
        <v>845</v>
      </c>
      <c r="D38" s="868" t="s">
        <v>847</v>
      </c>
      <c r="E38" s="868"/>
      <c r="F38" s="868">
        <v>1</v>
      </c>
      <c r="G38" s="868">
        <f>+F38*'PROGRAMA ARQ.'!$E$30</f>
        <v>1</v>
      </c>
      <c r="H38" s="868"/>
      <c r="I38" s="795"/>
      <c r="K38" s="496" t="s">
        <v>1406</v>
      </c>
    </row>
    <row r="39" spans="2:13" ht="15" thickBot="1">
      <c r="B39" s="1757"/>
      <c r="C39" s="962" t="s">
        <v>347</v>
      </c>
      <c r="D39" s="869" t="s">
        <v>847</v>
      </c>
      <c r="E39" s="869"/>
      <c r="F39" s="869">
        <v>1</v>
      </c>
      <c r="G39" s="869">
        <f>+F39*'PROGRAMA ARQ.'!$E$30</f>
        <v>1</v>
      </c>
      <c r="H39" s="869"/>
      <c r="I39" s="796"/>
      <c r="K39" s="496" t="s">
        <v>1406</v>
      </c>
    </row>
    <row r="40" spans="2:13" ht="15" thickBot="1">
      <c r="B40" s="2018" t="s">
        <v>124</v>
      </c>
      <c r="C40" s="2019"/>
      <c r="D40" s="802" t="s">
        <v>397</v>
      </c>
      <c r="E40" s="802"/>
      <c r="F40" s="802"/>
      <c r="G40" s="802"/>
      <c r="H40" s="802"/>
      <c r="I40" s="803"/>
      <c r="K40" s="496" t="s">
        <v>935</v>
      </c>
    </row>
    <row r="41" spans="2:13">
      <c r="B41" s="1755" t="s">
        <v>132</v>
      </c>
      <c r="C41" s="1761"/>
      <c r="D41" s="867" t="s">
        <v>846</v>
      </c>
      <c r="E41" s="867"/>
      <c r="F41" s="867">
        <v>1</v>
      </c>
      <c r="G41" s="867">
        <f>+F41*'PROGRAMA ARQ.'!$E$30</f>
        <v>1</v>
      </c>
      <c r="H41" s="867"/>
      <c r="I41" s="794"/>
      <c r="K41" s="496" t="s">
        <v>1406</v>
      </c>
    </row>
    <row r="42" spans="2:13" ht="15" thickBot="1">
      <c r="B42" s="1757"/>
      <c r="C42" s="1763"/>
      <c r="D42" s="878" t="s">
        <v>856</v>
      </c>
      <c r="E42" s="869"/>
      <c r="F42" s="869">
        <v>1</v>
      </c>
      <c r="G42" s="869">
        <f>+F42*'PROGRAMA ARQ.'!$E$30</f>
        <v>1</v>
      </c>
      <c r="H42" s="869"/>
      <c r="I42" s="796"/>
      <c r="K42" s="496" t="s">
        <v>1406</v>
      </c>
    </row>
    <row r="43" spans="2:13">
      <c r="B43" s="1755" t="s">
        <v>133</v>
      </c>
      <c r="C43" s="1892" t="s">
        <v>409</v>
      </c>
      <c r="D43" s="885" t="s">
        <v>1451</v>
      </c>
      <c r="E43" s="867"/>
      <c r="F43" s="867">
        <v>1</v>
      </c>
      <c r="G43" s="867">
        <f>+F43*'PROGRAMA ARQ.'!$E$30</f>
        <v>1</v>
      </c>
      <c r="H43" s="867"/>
      <c r="I43" s="794"/>
      <c r="K43" s="496" t="s">
        <v>1406</v>
      </c>
      <c r="L43" s="461" t="s">
        <v>485</v>
      </c>
    </row>
    <row r="44" spans="2:13">
      <c r="B44" s="1756"/>
      <c r="C44" s="1893"/>
      <c r="D44" s="877" t="s">
        <v>821</v>
      </c>
      <c r="E44" s="868"/>
      <c r="F44" s="868"/>
      <c r="G44" s="640"/>
      <c r="H44" s="868"/>
      <c r="I44" s="795"/>
      <c r="K44" s="496" t="s">
        <v>1406</v>
      </c>
    </row>
    <row r="45" spans="2:13">
      <c r="B45" s="1756"/>
      <c r="C45" s="1893"/>
      <c r="D45" s="877" t="s">
        <v>695</v>
      </c>
      <c r="E45" s="868"/>
      <c r="F45" s="868"/>
      <c r="G45" s="640"/>
      <c r="H45" s="868"/>
      <c r="I45" s="795"/>
      <c r="K45" s="496" t="s">
        <v>1406</v>
      </c>
    </row>
    <row r="46" spans="2:13">
      <c r="B46" s="1756"/>
      <c r="C46" s="2016" t="s">
        <v>849</v>
      </c>
      <c r="D46" s="877" t="s">
        <v>889</v>
      </c>
      <c r="E46" s="868"/>
      <c r="F46" s="868">
        <v>1</v>
      </c>
      <c r="G46" s="868">
        <f>+F46*'PROGRAMA ARQ.'!$E$30</f>
        <v>1</v>
      </c>
      <c r="H46" s="868"/>
      <c r="I46" s="795"/>
      <c r="K46" s="496" t="s">
        <v>1406</v>
      </c>
    </row>
    <row r="47" spans="2:13">
      <c r="B47" s="1756"/>
      <c r="C47" s="2016"/>
      <c r="D47" s="877" t="s">
        <v>821</v>
      </c>
      <c r="E47" s="868"/>
      <c r="F47" s="868"/>
      <c r="G47" s="868"/>
      <c r="H47" s="868"/>
      <c r="I47" s="795"/>
      <c r="K47" s="496" t="s">
        <v>1406</v>
      </c>
    </row>
    <row r="48" spans="2:13" ht="28">
      <c r="B48" s="1756"/>
      <c r="C48" s="2016"/>
      <c r="D48" s="880" t="s">
        <v>376</v>
      </c>
      <c r="E48" s="868"/>
      <c r="F48" s="868"/>
      <c r="G48" s="868"/>
      <c r="H48" s="868"/>
      <c r="I48" s="795"/>
      <c r="K48" s="496" t="s">
        <v>1406</v>
      </c>
    </row>
    <row r="49" spans="1:13">
      <c r="B49" s="1756"/>
      <c r="C49" s="1893" t="s">
        <v>484</v>
      </c>
      <c r="D49" s="652" t="s">
        <v>379</v>
      </c>
      <c r="E49" s="868"/>
      <c r="F49" s="868"/>
      <c r="G49" s="868"/>
      <c r="H49" s="868"/>
      <c r="I49" s="795"/>
      <c r="K49" s="496" t="s">
        <v>1406</v>
      </c>
    </row>
    <row r="50" spans="1:13">
      <c r="B50" s="1756"/>
      <c r="C50" s="1893"/>
      <c r="D50" s="652" t="s">
        <v>382</v>
      </c>
      <c r="E50" s="868"/>
      <c r="F50" s="868"/>
      <c r="G50" s="868"/>
      <c r="H50" s="868"/>
      <c r="I50" s="795"/>
      <c r="K50" s="496" t="s">
        <v>1406</v>
      </c>
    </row>
    <row r="51" spans="1:13" s="81" customFormat="1" ht="15" thickBot="1">
      <c r="B51" s="1757"/>
      <c r="C51" s="2017"/>
      <c r="D51" s="755" t="s">
        <v>529</v>
      </c>
      <c r="E51" s="519"/>
      <c r="F51" s="519"/>
      <c r="G51" s="519"/>
      <c r="H51" s="519"/>
      <c r="I51" s="520"/>
      <c r="J51" s="362"/>
      <c r="K51" s="496" t="s">
        <v>1406</v>
      </c>
      <c r="L51" s="376"/>
      <c r="M51" s="362"/>
    </row>
    <row r="52" spans="1:13" ht="28">
      <c r="B52" s="1755" t="s">
        <v>134</v>
      </c>
      <c r="C52" s="873" t="s">
        <v>850</v>
      </c>
      <c r="D52" s="1005" t="s">
        <v>857</v>
      </c>
      <c r="E52" s="867"/>
      <c r="F52" s="867"/>
      <c r="G52" s="867"/>
      <c r="H52" s="867"/>
      <c r="I52" s="794"/>
      <c r="K52" s="496" t="s">
        <v>1406</v>
      </c>
    </row>
    <row r="53" spans="1:13" ht="34.5" customHeight="1" thickBot="1">
      <c r="B53" s="1757"/>
      <c r="C53" s="770" t="s">
        <v>483</v>
      </c>
      <c r="D53" s="1006" t="s">
        <v>858</v>
      </c>
      <c r="E53" s="869"/>
      <c r="F53" s="869"/>
      <c r="G53" s="869"/>
      <c r="H53" s="869"/>
      <c r="I53" s="796"/>
      <c r="K53" s="496" t="s">
        <v>1406</v>
      </c>
    </row>
    <row r="54" spans="1:13">
      <c r="A54" s="461"/>
      <c r="B54" s="1755" t="s">
        <v>135</v>
      </c>
      <c r="C54" s="1948" t="s">
        <v>248</v>
      </c>
      <c r="D54" s="885" t="s">
        <v>750</v>
      </c>
      <c r="E54" s="867"/>
      <c r="F54" s="867"/>
      <c r="G54" s="867"/>
      <c r="H54" s="867"/>
      <c r="I54" s="794"/>
      <c r="K54" s="496" t="s">
        <v>1406</v>
      </c>
      <c r="M54" s="461"/>
    </row>
    <row r="55" spans="1:13">
      <c r="A55" s="461"/>
      <c r="B55" s="1756"/>
      <c r="C55" s="1949"/>
      <c r="D55" s="877" t="s">
        <v>749</v>
      </c>
      <c r="E55" s="868"/>
      <c r="F55" s="868"/>
      <c r="G55" s="868"/>
      <c r="H55" s="868"/>
      <c r="I55" s="795"/>
      <c r="K55" s="496" t="s">
        <v>1406</v>
      </c>
      <c r="M55" s="461"/>
    </row>
    <row r="56" spans="1:13">
      <c r="A56" s="461"/>
      <c r="B56" s="1756"/>
      <c r="C56" s="1949" t="s">
        <v>249</v>
      </c>
      <c r="D56" s="877" t="s">
        <v>753</v>
      </c>
      <c r="E56" s="868"/>
      <c r="F56" s="868"/>
      <c r="G56" s="868"/>
      <c r="H56" s="868"/>
      <c r="I56" s="795"/>
      <c r="K56" s="496" t="s">
        <v>1406</v>
      </c>
      <c r="M56" s="461"/>
    </row>
    <row r="57" spans="1:13">
      <c r="A57" s="461"/>
      <c r="B57" s="1756"/>
      <c r="C57" s="1949"/>
      <c r="D57" s="877" t="s">
        <v>752</v>
      </c>
      <c r="E57" s="868"/>
      <c r="F57" s="868"/>
      <c r="G57" s="868"/>
      <c r="H57" s="868"/>
      <c r="I57" s="795"/>
      <c r="K57" s="496" t="s">
        <v>1406</v>
      </c>
      <c r="M57" s="461"/>
    </row>
    <row r="58" spans="1:13">
      <c r="A58" s="461"/>
      <c r="B58" s="1756"/>
      <c r="C58" s="1949" t="s">
        <v>250</v>
      </c>
      <c r="D58" s="877" t="s">
        <v>685</v>
      </c>
      <c r="E58" s="868"/>
      <c r="F58" s="868"/>
      <c r="G58" s="868"/>
      <c r="H58" s="868"/>
      <c r="I58" s="795"/>
      <c r="K58" s="496" t="s">
        <v>1406</v>
      </c>
      <c r="M58" s="461"/>
    </row>
    <row r="59" spans="1:13" ht="15" thickBot="1">
      <c r="A59" s="461"/>
      <c r="B59" s="1757"/>
      <c r="C59" s="1979"/>
      <c r="D59" s="878" t="s">
        <v>326</v>
      </c>
      <c r="E59" s="869"/>
      <c r="F59" s="869"/>
      <c r="G59" s="869"/>
      <c r="H59" s="869"/>
      <c r="I59" s="796"/>
      <c r="K59" s="496" t="s">
        <v>1406</v>
      </c>
    </row>
    <row r="60" spans="1:13" ht="14.5" customHeight="1">
      <c r="A60" s="1858" t="s">
        <v>137</v>
      </c>
      <c r="B60" s="1755" t="s">
        <v>138</v>
      </c>
      <c r="C60" s="1948" t="s">
        <v>864</v>
      </c>
      <c r="D60" s="1005" t="s">
        <v>852</v>
      </c>
      <c r="E60" s="867"/>
      <c r="F60" s="867"/>
      <c r="G60" s="867"/>
      <c r="H60" s="867"/>
      <c r="I60" s="794"/>
      <c r="K60" s="625" t="s">
        <v>436</v>
      </c>
      <c r="L60" s="489" t="s">
        <v>398</v>
      </c>
    </row>
    <row r="61" spans="1:13" ht="28">
      <c r="A61" s="1859"/>
      <c r="B61" s="1756"/>
      <c r="C61" s="1949"/>
      <c r="D61" s="628" t="s">
        <v>1585</v>
      </c>
      <c r="E61" s="868"/>
      <c r="F61" s="868" t="s">
        <v>710</v>
      </c>
      <c r="G61" s="868" t="s">
        <v>710</v>
      </c>
      <c r="H61" s="868"/>
      <c r="I61" s="795"/>
      <c r="K61" s="625" t="s">
        <v>303</v>
      </c>
      <c r="L61" s="489" t="s">
        <v>398</v>
      </c>
    </row>
    <row r="62" spans="1:13" ht="28">
      <c r="A62" s="1859"/>
      <c r="B62" s="1756"/>
      <c r="C62" s="1949"/>
      <c r="D62" s="628" t="s">
        <v>865</v>
      </c>
      <c r="E62" s="868"/>
      <c r="F62" s="868"/>
      <c r="G62" s="868"/>
      <c r="H62" s="868"/>
      <c r="I62" s="795"/>
      <c r="K62" s="496" t="s">
        <v>1406</v>
      </c>
      <c r="L62" s="489" t="s">
        <v>853</v>
      </c>
    </row>
    <row r="63" spans="1:13" s="1165" customFormat="1">
      <c r="A63" s="1859"/>
      <c r="B63" s="1756"/>
      <c r="C63" s="1310" t="s">
        <v>251</v>
      </c>
      <c r="D63" s="1279" t="s">
        <v>854</v>
      </c>
      <c r="E63" s="1233"/>
      <c r="F63" s="1233">
        <v>1</v>
      </c>
      <c r="G63" s="1233">
        <v>1</v>
      </c>
      <c r="H63" s="1233"/>
      <c r="I63" s="1204"/>
      <c r="J63" s="1311"/>
      <c r="K63" s="1325" t="s">
        <v>400</v>
      </c>
      <c r="L63" s="1311"/>
    </row>
    <row r="64" spans="1:13">
      <c r="A64" s="1859"/>
      <c r="B64" s="1756"/>
      <c r="C64" s="874" t="s">
        <v>253</v>
      </c>
      <c r="D64" s="868" t="s">
        <v>397</v>
      </c>
      <c r="E64" s="868"/>
      <c r="F64" s="868"/>
      <c r="G64" s="868"/>
      <c r="H64" s="868"/>
      <c r="I64" s="795"/>
      <c r="K64" s="496" t="s">
        <v>935</v>
      </c>
    </row>
    <row r="65" spans="1:12" ht="15" thickBot="1">
      <c r="A65" s="1859"/>
      <c r="B65" s="1757"/>
      <c r="C65" s="770" t="s">
        <v>255</v>
      </c>
      <c r="D65" s="869" t="s">
        <v>397</v>
      </c>
      <c r="E65" s="869"/>
      <c r="F65" s="869"/>
      <c r="G65" s="869"/>
      <c r="H65" s="869"/>
      <c r="I65" s="796"/>
      <c r="K65" s="496" t="s">
        <v>935</v>
      </c>
      <c r="L65" s="489" t="s">
        <v>398</v>
      </c>
    </row>
    <row r="66" spans="1:12">
      <c r="A66" s="1859"/>
      <c r="B66" s="1755" t="s">
        <v>399</v>
      </c>
      <c r="C66" s="867" t="s">
        <v>256</v>
      </c>
      <c r="D66" s="761" t="s">
        <v>332</v>
      </c>
      <c r="E66" s="867"/>
      <c r="F66" s="867"/>
      <c r="G66" s="867"/>
      <c r="H66" s="867"/>
      <c r="I66" s="794"/>
      <c r="K66" s="496" t="s">
        <v>1455</v>
      </c>
      <c r="L66" s="489" t="s">
        <v>398</v>
      </c>
    </row>
    <row r="67" spans="1:12" ht="15" thickBot="1">
      <c r="A67" s="1859"/>
      <c r="B67" s="1757"/>
      <c r="C67" s="869" t="s">
        <v>257</v>
      </c>
      <c r="D67" s="869" t="s">
        <v>855</v>
      </c>
      <c r="E67" s="869"/>
      <c r="F67" s="869"/>
      <c r="G67" s="869"/>
      <c r="H67" s="869"/>
      <c r="I67" s="796"/>
      <c r="K67" s="496" t="s">
        <v>1406</v>
      </c>
    </row>
    <row r="68" spans="1:12">
      <c r="A68" s="1859"/>
      <c r="B68" s="1755" t="s">
        <v>142</v>
      </c>
      <c r="C68" s="1761"/>
      <c r="D68" s="867" t="s">
        <v>866</v>
      </c>
      <c r="E68" s="867"/>
      <c r="F68" s="867"/>
      <c r="G68" s="867"/>
      <c r="H68" s="867"/>
      <c r="I68" s="794"/>
      <c r="K68" s="496" t="s">
        <v>1406</v>
      </c>
    </row>
    <row r="69" spans="1:12" ht="15" thickBot="1">
      <c r="A69" s="1859"/>
      <c r="B69" s="1757"/>
      <c r="C69" s="1763"/>
      <c r="D69" s="752" t="s">
        <v>859</v>
      </c>
      <c r="E69" s="869"/>
      <c r="F69" s="869"/>
      <c r="G69" s="869"/>
      <c r="H69" s="869"/>
      <c r="I69" s="796"/>
      <c r="K69" s="496" t="s">
        <v>1406</v>
      </c>
    </row>
    <row r="70" spans="1:12">
      <c r="A70" s="1859"/>
      <c r="B70" s="1755" t="s">
        <v>264</v>
      </c>
      <c r="C70" s="1761"/>
      <c r="D70" s="722" t="s">
        <v>771</v>
      </c>
      <c r="E70" s="867"/>
      <c r="F70" s="867"/>
      <c r="G70" s="867"/>
      <c r="H70" s="867"/>
      <c r="I70" s="794"/>
      <c r="L70" s="461" t="s">
        <v>396</v>
      </c>
    </row>
    <row r="71" spans="1:12" ht="15" thickBot="1">
      <c r="A71" s="1860"/>
      <c r="B71" s="1757"/>
      <c r="C71" s="1763"/>
      <c r="D71" s="1007" t="s">
        <v>153</v>
      </c>
      <c r="E71" s="869"/>
      <c r="F71" s="869"/>
      <c r="G71" s="869"/>
      <c r="H71" s="869"/>
      <c r="I71" s="796"/>
      <c r="K71" s="496" t="s">
        <v>1406</v>
      </c>
    </row>
  </sheetData>
  <autoFilter ref="A1:M71"/>
  <mergeCells count="31">
    <mergeCell ref="A60:A71"/>
    <mergeCell ref="B2:I2"/>
    <mergeCell ref="E5:I5"/>
    <mergeCell ref="E3:I3"/>
    <mergeCell ref="E4:I4"/>
    <mergeCell ref="B8:C14"/>
    <mergeCell ref="B26:B27"/>
    <mergeCell ref="B28:C32"/>
    <mergeCell ref="B33:B36"/>
    <mergeCell ref="B37:B39"/>
    <mergeCell ref="B15:C17"/>
    <mergeCell ref="B18:B25"/>
    <mergeCell ref="C18:C20"/>
    <mergeCell ref="C22:C23"/>
    <mergeCell ref="C24:C25"/>
    <mergeCell ref="B40:C40"/>
    <mergeCell ref="B41:C42"/>
    <mergeCell ref="B43:B51"/>
    <mergeCell ref="C43:C45"/>
    <mergeCell ref="C46:C48"/>
    <mergeCell ref="C49:C51"/>
    <mergeCell ref="B52:B53"/>
    <mergeCell ref="B54:B59"/>
    <mergeCell ref="C54:C55"/>
    <mergeCell ref="C56:C57"/>
    <mergeCell ref="C58:C59"/>
    <mergeCell ref="B70:C71"/>
    <mergeCell ref="C60:C62"/>
    <mergeCell ref="B60:B65"/>
    <mergeCell ref="B66:B67"/>
    <mergeCell ref="B68:C69"/>
  </mergeCells>
  <pageMargins left="0.70866141732283472" right="0.70866141732283472" top="0.74803149606299213" bottom="0.74803149606299213" header="0.31496062992125984" footer="0.31496062992125984"/>
  <pageSetup scale="37" fitToHeight="0" orientation="portrait"/>
  <rowBreaks count="1" manualBreakCount="1">
    <brk id="42"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455CA2FB-3994-48D2-A6EF-60C2F20FD82A}">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19" operator="containsText" text="0" id="{455CA2FB-3994-48D2-A6EF-60C2F20FD82A}">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rgb="FF00B0F0"/>
    <pageSetUpPr fitToPage="1"/>
  </sheetPr>
  <dimension ref="A1:M90"/>
  <sheetViews>
    <sheetView topLeftCell="A94" zoomScale="80" zoomScaleNormal="80" zoomScaleSheetLayoutView="90" zoomScalePageLayoutView="80" workbookViewId="0">
      <selection activeCell="K8" sqref="K8:K14"/>
    </sheetView>
  </sheetViews>
  <sheetFormatPr baseColWidth="10" defaultColWidth="11.5" defaultRowHeight="14" x14ac:dyDescent="0"/>
  <cols>
    <col min="1" max="1" width="2.83203125" style="310" customWidth="1"/>
    <col min="2" max="3" width="30.6640625" style="310" customWidth="1"/>
    <col min="4" max="4" width="50.6640625" style="310" customWidth="1"/>
    <col min="5" max="9" width="3.6640625" style="310" customWidth="1"/>
    <col min="10" max="10" width="7.5" style="81" customWidth="1"/>
    <col min="11" max="11" width="50.6640625" style="464" customWidth="1"/>
    <col min="12" max="12" width="30.6640625" style="310" customWidth="1"/>
    <col min="13" max="13" width="3.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67.5" customHeight="1" thickBot="1">
      <c r="B6" s="713" t="str">
        <f>+'PROGRAMA ARQ.'!C31</f>
        <v>2.7</v>
      </c>
      <c r="C6" s="713" t="str">
        <f>+'PROGRAMA ARQ.'!D31</f>
        <v>BAÑO ACCESIBLE</v>
      </c>
      <c r="D6" s="833">
        <f>+'PROGRAMA ARQ.'!F31</f>
        <v>3.6</v>
      </c>
      <c r="E6" s="692" t="s">
        <v>366</v>
      </c>
      <c r="F6" s="693" t="s">
        <v>544</v>
      </c>
      <c r="G6" s="693" t="s">
        <v>2</v>
      </c>
      <c r="H6" s="693" t="s">
        <v>171</v>
      </c>
      <c r="I6" s="694" t="s">
        <v>172</v>
      </c>
      <c r="J6" s="608"/>
      <c r="K6" s="1299" t="s">
        <v>293</v>
      </c>
      <c r="L6" s="705" t="s">
        <v>120</v>
      </c>
      <c r="M6" s="706" t="s">
        <v>178</v>
      </c>
    </row>
    <row r="7" spans="2:13" s="367" customFormat="1" ht="16" thickBot="1">
      <c r="B7" s="667" t="s">
        <v>1378</v>
      </c>
      <c r="C7" s="667" t="s">
        <v>1379</v>
      </c>
      <c r="D7" s="670" t="s">
        <v>1380</v>
      </c>
      <c r="E7" s="671"/>
      <c r="F7" s="672"/>
      <c r="G7" s="672"/>
      <c r="H7" s="671"/>
      <c r="I7" s="673"/>
      <c r="J7" s="595"/>
      <c r="K7" s="235"/>
      <c r="L7" s="696"/>
      <c r="M7" s="697"/>
    </row>
    <row r="8" spans="2:13" ht="183" thickBot="1">
      <c r="B8" s="2027" t="s">
        <v>122</v>
      </c>
      <c r="C8" s="2028"/>
      <c r="D8" s="859" t="s">
        <v>1381</v>
      </c>
      <c r="E8" s="859"/>
      <c r="F8" s="354"/>
      <c r="G8" s="354"/>
      <c r="H8" s="859"/>
      <c r="I8" s="857"/>
      <c r="K8" s="496" t="s">
        <v>1406</v>
      </c>
    </row>
    <row r="9" spans="2:13">
      <c r="B9" s="1755" t="s">
        <v>1389</v>
      </c>
      <c r="C9" s="2020"/>
      <c r="D9" s="809" t="s">
        <v>294</v>
      </c>
      <c r="E9" s="809"/>
      <c r="F9" s="762"/>
      <c r="G9" s="762"/>
      <c r="H9" s="762"/>
      <c r="I9" s="805"/>
      <c r="K9" s="496" t="s">
        <v>1406</v>
      </c>
    </row>
    <row r="10" spans="2:13" ht="42">
      <c r="B10" s="1967"/>
      <c r="C10" s="2021"/>
      <c r="D10" s="644" t="s">
        <v>1367</v>
      </c>
      <c r="E10" s="644"/>
      <c r="F10" s="642"/>
      <c r="G10" s="642"/>
      <c r="H10" s="642"/>
      <c r="I10" s="791"/>
      <c r="K10" s="496" t="s">
        <v>1406</v>
      </c>
    </row>
    <row r="11" spans="2:13" ht="28">
      <c r="B11" s="1967"/>
      <c r="C11" s="2021"/>
      <c r="D11" s="644" t="s">
        <v>887</v>
      </c>
      <c r="E11" s="644"/>
      <c r="F11" s="642"/>
      <c r="G11" s="642"/>
      <c r="H11" s="642"/>
      <c r="I11" s="791"/>
      <c r="K11" s="496" t="s">
        <v>1406</v>
      </c>
    </row>
    <row r="12" spans="2:13">
      <c r="B12" s="1967"/>
      <c r="C12" s="2021"/>
      <c r="D12" s="644" t="s">
        <v>884</v>
      </c>
      <c r="E12" s="644"/>
      <c r="F12" s="642"/>
      <c r="G12" s="642"/>
      <c r="H12" s="642"/>
      <c r="I12" s="791"/>
      <c r="K12" s="496" t="s">
        <v>1406</v>
      </c>
    </row>
    <row r="13" spans="2:13" ht="29" thickBot="1">
      <c r="B13" s="1968"/>
      <c r="C13" s="2022"/>
      <c r="D13" s="1012" t="s">
        <v>711</v>
      </c>
      <c r="E13" s="1012"/>
      <c r="F13" s="759"/>
      <c r="G13" s="759"/>
      <c r="H13" s="759"/>
      <c r="I13" s="592"/>
      <c r="K13" s="496" t="s">
        <v>1406</v>
      </c>
    </row>
    <row r="14" spans="2:13">
      <c r="B14" s="1966" t="s">
        <v>143</v>
      </c>
      <c r="C14" s="1013"/>
      <c r="D14" s="722" t="s">
        <v>296</v>
      </c>
      <c r="E14" s="722"/>
      <c r="F14" s="762"/>
      <c r="G14" s="762"/>
      <c r="H14" s="762"/>
      <c r="I14" s="805"/>
      <c r="K14" s="496" t="s">
        <v>1406</v>
      </c>
    </row>
    <row r="15" spans="2:13">
      <c r="B15" s="1967"/>
      <c r="C15" s="1893" t="s">
        <v>241</v>
      </c>
      <c r="D15" s="645">
        <f>+D6*K15</f>
        <v>0.28800000000000003</v>
      </c>
      <c r="E15" s="642" t="s">
        <v>258</v>
      </c>
      <c r="F15" s="642"/>
      <c r="G15" s="642"/>
      <c r="H15" s="642"/>
      <c r="I15" s="791"/>
      <c r="K15" s="1326">
        <v>0.08</v>
      </c>
      <c r="L15" s="358" t="s">
        <v>888</v>
      </c>
    </row>
    <row r="16" spans="2:13">
      <c r="B16" s="1967"/>
      <c r="C16" s="1893"/>
      <c r="D16" s="645" t="s">
        <v>260</v>
      </c>
      <c r="E16" s="645"/>
      <c r="F16" s="642"/>
      <c r="G16" s="642"/>
      <c r="H16" s="642"/>
      <c r="I16" s="791"/>
      <c r="K16" s="496" t="s">
        <v>1406</v>
      </c>
      <c r="L16" s="358"/>
    </row>
    <row r="17" spans="2:13" ht="28">
      <c r="B17" s="1967"/>
      <c r="C17" s="1893" t="s">
        <v>242</v>
      </c>
      <c r="D17" s="644" t="s">
        <v>297</v>
      </c>
      <c r="E17" s="644"/>
      <c r="F17" s="642"/>
      <c r="G17" s="642"/>
      <c r="H17" s="642"/>
      <c r="I17" s="791"/>
      <c r="K17" s="496" t="s">
        <v>1406</v>
      </c>
    </row>
    <row r="18" spans="2:13">
      <c r="B18" s="1967"/>
      <c r="C18" s="1893"/>
      <c r="D18" s="645">
        <f>+D6*K18</f>
        <v>0.14400000000000002</v>
      </c>
      <c r="E18" s="642" t="s">
        <v>258</v>
      </c>
      <c r="F18" s="642"/>
      <c r="G18" s="642"/>
      <c r="H18" s="644"/>
      <c r="I18" s="791"/>
      <c r="K18" s="1326">
        <v>0.04</v>
      </c>
      <c r="L18" s="310" t="s">
        <v>888</v>
      </c>
    </row>
    <row r="19" spans="2:13">
      <c r="B19" s="1967"/>
      <c r="C19" s="1009" t="s">
        <v>243</v>
      </c>
      <c r="D19" s="646" t="s">
        <v>300</v>
      </c>
      <c r="E19" s="646"/>
      <c r="F19" s="642"/>
      <c r="G19" s="642"/>
      <c r="H19" s="645"/>
      <c r="I19" s="791"/>
      <c r="K19" s="496" t="s">
        <v>1406</v>
      </c>
    </row>
    <row r="20" spans="2:13">
      <c r="B20" s="1967"/>
      <c r="C20" s="1893" t="s">
        <v>244</v>
      </c>
      <c r="D20" s="646" t="s">
        <v>299</v>
      </c>
      <c r="E20" s="646"/>
      <c r="F20" s="642"/>
      <c r="G20" s="642"/>
      <c r="H20" s="645"/>
      <c r="I20" s="791"/>
      <c r="K20" s="496" t="s">
        <v>1406</v>
      </c>
    </row>
    <row r="21" spans="2:13" ht="29" thickBot="1">
      <c r="B21" s="1968"/>
      <c r="C21" s="2017"/>
      <c r="D21" s="724" t="s">
        <v>741</v>
      </c>
      <c r="E21" s="869"/>
      <c r="F21" s="869"/>
      <c r="G21" s="1002"/>
      <c r="H21" s="869"/>
      <c r="I21" s="796"/>
      <c r="J21" s="621"/>
      <c r="K21" s="496" t="s">
        <v>1406</v>
      </c>
      <c r="L21" s="480"/>
    </row>
    <row r="22" spans="2:13" ht="28">
      <c r="B22" s="1966" t="s">
        <v>144</v>
      </c>
      <c r="C22" s="1014" t="s">
        <v>245</v>
      </c>
      <c r="D22" s="761" t="s">
        <v>370</v>
      </c>
      <c r="E22" s="761"/>
      <c r="F22" s="762"/>
      <c r="G22" s="762"/>
      <c r="H22" s="762"/>
      <c r="I22" s="805"/>
      <c r="K22" s="1250" t="s">
        <v>935</v>
      </c>
    </row>
    <row r="23" spans="2:13" ht="15" thickBot="1">
      <c r="B23" s="1968"/>
      <c r="C23" s="1015" t="s">
        <v>246</v>
      </c>
      <c r="D23" s="1016" t="s">
        <v>300</v>
      </c>
      <c r="E23" s="1016"/>
      <c r="F23" s="759"/>
      <c r="G23" s="759"/>
      <c r="H23" s="759"/>
      <c r="I23" s="592"/>
      <c r="K23" s="1250" t="s">
        <v>935</v>
      </c>
    </row>
    <row r="24" spans="2:13" s="1165" customFormat="1">
      <c r="B24" s="1966" t="s">
        <v>141</v>
      </c>
      <c r="C24" s="2020"/>
      <c r="D24" s="1235" t="s">
        <v>301</v>
      </c>
      <c r="E24" s="1235"/>
      <c r="F24" s="1236"/>
      <c r="G24" s="1236"/>
      <c r="H24" s="1236"/>
      <c r="I24" s="1254"/>
      <c r="K24" s="1327" t="s">
        <v>416</v>
      </c>
      <c r="M24" s="1165" t="s">
        <v>304</v>
      </c>
    </row>
    <row r="25" spans="2:13" s="1165" customFormat="1">
      <c r="B25" s="1967"/>
      <c r="C25" s="2021"/>
      <c r="D25" s="1328" t="s">
        <v>891</v>
      </c>
      <c r="E25" s="1328"/>
      <c r="F25" s="1262"/>
      <c r="G25" s="1262"/>
      <c r="H25" s="1262"/>
      <c r="I25" s="1263"/>
      <c r="K25" s="1327" t="s">
        <v>416</v>
      </c>
    </row>
    <row r="26" spans="2:13">
      <c r="B26" s="1967"/>
      <c r="C26" s="2021"/>
      <c r="D26" s="642" t="s">
        <v>736</v>
      </c>
      <c r="E26" s="642"/>
      <c r="F26" s="642"/>
      <c r="G26" s="642"/>
      <c r="H26" s="642"/>
      <c r="I26" s="791"/>
      <c r="K26" s="496" t="s">
        <v>1406</v>
      </c>
    </row>
    <row r="27" spans="2:13">
      <c r="B27" s="1967"/>
      <c r="C27" s="2021"/>
      <c r="D27" s="652" t="s">
        <v>315</v>
      </c>
      <c r="E27" s="652"/>
      <c r="F27" s="642"/>
      <c r="G27" s="642"/>
      <c r="H27" s="642"/>
      <c r="I27" s="791"/>
      <c r="K27" s="496" t="s">
        <v>1406</v>
      </c>
      <c r="M27" s="310" t="s">
        <v>314</v>
      </c>
    </row>
    <row r="28" spans="2:13">
      <c r="B28" s="1967"/>
      <c r="C28" s="2021"/>
      <c r="D28" s="646" t="s">
        <v>305</v>
      </c>
      <c r="E28" s="646"/>
      <c r="F28" s="642"/>
      <c r="G28" s="642"/>
      <c r="H28" s="642"/>
      <c r="I28" s="791"/>
      <c r="K28" s="496" t="s">
        <v>1406</v>
      </c>
      <c r="M28" s="310" t="s">
        <v>304</v>
      </c>
    </row>
    <row r="29" spans="2:13">
      <c r="B29" s="1967"/>
      <c r="C29" s="2021"/>
      <c r="D29" s="646" t="s">
        <v>307</v>
      </c>
      <c r="E29" s="646"/>
      <c r="F29" s="642"/>
      <c r="G29" s="642"/>
      <c r="H29" s="642"/>
      <c r="I29" s="791"/>
      <c r="K29" s="496" t="s">
        <v>1406</v>
      </c>
    </row>
    <row r="30" spans="2:13" ht="28">
      <c r="B30" s="1967"/>
      <c r="C30" s="2021"/>
      <c r="D30" s="646" t="s">
        <v>355</v>
      </c>
      <c r="E30" s="646"/>
      <c r="F30" s="642"/>
      <c r="G30" s="642"/>
      <c r="H30" s="642"/>
      <c r="I30" s="791"/>
      <c r="K30" s="496" t="s">
        <v>1406</v>
      </c>
    </row>
    <row r="31" spans="2:13">
      <c r="B31" s="1967"/>
      <c r="C31" s="2021"/>
      <c r="D31" s="646" t="s">
        <v>308</v>
      </c>
      <c r="E31" s="646"/>
      <c r="F31" s="642"/>
      <c r="G31" s="642"/>
      <c r="H31" s="642"/>
      <c r="I31" s="791"/>
      <c r="K31" s="496" t="s">
        <v>1406</v>
      </c>
    </row>
    <row r="32" spans="2:13" ht="28">
      <c r="B32" s="1967"/>
      <c r="C32" s="2021"/>
      <c r="D32" s="646" t="s">
        <v>310</v>
      </c>
      <c r="E32" s="646"/>
      <c r="F32" s="642"/>
      <c r="G32" s="642"/>
      <c r="H32" s="642"/>
      <c r="I32" s="791"/>
      <c r="K32" s="496" t="s">
        <v>1406</v>
      </c>
    </row>
    <row r="33" spans="2:13" s="1165" customFormat="1" ht="28">
      <c r="B33" s="1967"/>
      <c r="C33" s="2021"/>
      <c r="D33" s="1328" t="s">
        <v>306</v>
      </c>
      <c r="E33" s="1328"/>
      <c r="F33" s="1262"/>
      <c r="G33" s="1262"/>
      <c r="H33" s="1262"/>
      <c r="I33" s="1263"/>
      <c r="K33" s="1327" t="s">
        <v>416</v>
      </c>
    </row>
    <row r="34" spans="2:13" ht="28.25" customHeight="1">
      <c r="B34" s="1967"/>
      <c r="C34" s="2021"/>
      <c r="D34" s="646" t="s">
        <v>309</v>
      </c>
      <c r="E34" s="646"/>
      <c r="F34" s="642"/>
      <c r="G34" s="642"/>
      <c r="H34" s="642"/>
      <c r="I34" s="791"/>
      <c r="K34" s="496" t="s">
        <v>1406</v>
      </c>
    </row>
    <row r="35" spans="2:13" ht="17.25" customHeight="1">
      <c r="B35" s="1967"/>
      <c r="C35" s="2021"/>
      <c r="D35" s="646" t="s">
        <v>263</v>
      </c>
      <c r="E35" s="646"/>
      <c r="F35" s="642"/>
      <c r="G35" s="642"/>
      <c r="H35" s="642"/>
      <c r="I35" s="791"/>
      <c r="K35" s="496" t="s">
        <v>1406</v>
      </c>
    </row>
    <row r="36" spans="2:13" ht="28">
      <c r="B36" s="1967"/>
      <c r="C36" s="2021"/>
      <c r="D36" s="646" t="s">
        <v>311</v>
      </c>
      <c r="E36" s="646"/>
      <c r="F36" s="642"/>
      <c r="G36" s="642"/>
      <c r="H36" s="642"/>
      <c r="I36" s="791"/>
      <c r="K36" s="496" t="s">
        <v>1406</v>
      </c>
    </row>
    <row r="37" spans="2:13" ht="28">
      <c r="B37" s="1967"/>
      <c r="C37" s="2021"/>
      <c r="D37" s="646" t="s">
        <v>312</v>
      </c>
      <c r="E37" s="646"/>
      <c r="F37" s="642"/>
      <c r="G37" s="642"/>
      <c r="H37" s="642"/>
      <c r="I37" s="791"/>
      <c r="K37" s="496" t="s">
        <v>1406</v>
      </c>
    </row>
    <row r="38" spans="2:13">
      <c r="B38" s="1967"/>
      <c r="C38" s="2021"/>
      <c r="D38" s="646" t="s">
        <v>313</v>
      </c>
      <c r="E38" s="646"/>
      <c r="F38" s="642"/>
      <c r="G38" s="642"/>
      <c r="H38" s="642"/>
      <c r="I38" s="791"/>
      <c r="K38" s="496" t="s">
        <v>1406</v>
      </c>
    </row>
    <row r="39" spans="2:13" ht="29" thickBot="1">
      <c r="B39" s="1968"/>
      <c r="C39" s="2022"/>
      <c r="D39" s="1016" t="s">
        <v>262</v>
      </c>
      <c r="E39" s="1016"/>
      <c r="F39" s="759"/>
      <c r="G39" s="759"/>
      <c r="H39" s="759"/>
      <c r="I39" s="592"/>
      <c r="K39" s="496" t="s">
        <v>1406</v>
      </c>
    </row>
    <row r="40" spans="2:13" s="1165" customFormat="1">
      <c r="B40" s="1966" t="s">
        <v>140</v>
      </c>
      <c r="C40" s="2020"/>
      <c r="D40" s="1235" t="s">
        <v>893</v>
      </c>
      <c r="E40" s="1235"/>
      <c r="F40" s="1236"/>
      <c r="G40" s="1236"/>
      <c r="H40" s="1236"/>
      <c r="I40" s="1254"/>
      <c r="K40" s="1327" t="s">
        <v>416</v>
      </c>
    </row>
    <row r="41" spans="2:13" s="81" customFormat="1" ht="28">
      <c r="B41" s="1967"/>
      <c r="C41" s="2021"/>
      <c r="D41" s="628" t="s">
        <v>515</v>
      </c>
      <c r="E41" s="512"/>
      <c r="F41" s="512"/>
      <c r="G41" s="512"/>
      <c r="H41" s="512"/>
      <c r="I41" s="518"/>
      <c r="J41" s="362"/>
      <c r="K41" s="496" t="s">
        <v>1406</v>
      </c>
      <c r="L41" s="376"/>
      <c r="M41" s="362"/>
    </row>
    <row r="42" spans="2:13" s="81" customFormat="1" ht="43" thickBot="1">
      <c r="B42" s="1968"/>
      <c r="C42" s="2022"/>
      <c r="D42" s="778" t="s">
        <v>444</v>
      </c>
      <c r="E42" s="519"/>
      <c r="F42" s="519"/>
      <c r="G42" s="519"/>
      <c r="H42" s="519"/>
      <c r="I42" s="520"/>
      <c r="J42" s="362"/>
      <c r="K42" s="496" t="s">
        <v>1406</v>
      </c>
      <c r="L42" s="376"/>
      <c r="M42" s="362"/>
    </row>
    <row r="43" spans="2:13" s="1165" customFormat="1" ht="14.5" customHeight="1">
      <c r="B43" s="1966" t="s">
        <v>123</v>
      </c>
      <c r="C43" s="1329" t="s">
        <v>340</v>
      </c>
      <c r="D43" s="1235" t="s">
        <v>890</v>
      </c>
      <c r="E43" s="1235"/>
      <c r="F43" s="1236">
        <v>1</v>
      </c>
      <c r="G43" s="1236">
        <f>+F43*'PROGRAMA ARQ.'!$E$31</f>
        <v>1</v>
      </c>
      <c r="H43" s="1236"/>
      <c r="I43" s="1254"/>
      <c r="K43" s="1327" t="s">
        <v>416</v>
      </c>
      <c r="M43" s="1280" t="s">
        <v>712</v>
      </c>
    </row>
    <row r="44" spans="2:13" s="1165" customFormat="1">
      <c r="B44" s="1967"/>
      <c r="C44" s="1330" t="s">
        <v>341</v>
      </c>
      <c r="D44" s="1328" t="s">
        <v>372</v>
      </c>
      <c r="E44" s="1328"/>
      <c r="F44" s="1262">
        <v>1</v>
      </c>
      <c r="G44" s="1262">
        <f>+F44*'PROGRAMA ARQ.'!$E$31</f>
        <v>1</v>
      </c>
      <c r="H44" s="1262"/>
      <c r="I44" s="1263"/>
      <c r="K44" s="1327" t="s">
        <v>416</v>
      </c>
      <c r="M44" s="1280"/>
    </row>
    <row r="45" spans="2:13">
      <c r="B45" s="1967"/>
      <c r="C45" s="1011" t="s">
        <v>344</v>
      </c>
      <c r="D45" s="652" t="s">
        <v>373</v>
      </c>
      <c r="E45" s="652"/>
      <c r="F45" s="642">
        <v>1</v>
      </c>
      <c r="G45" s="642">
        <f>+F45*'PROGRAMA ARQ.'!$E$31</f>
        <v>1</v>
      </c>
      <c r="H45" s="642"/>
      <c r="I45" s="791"/>
      <c r="K45" s="496" t="s">
        <v>1406</v>
      </c>
      <c r="M45" s="579"/>
    </row>
    <row r="46" spans="2:13">
      <c r="B46" s="1967"/>
      <c r="C46" s="1011" t="s">
        <v>175</v>
      </c>
      <c r="D46" s="652" t="s">
        <v>350</v>
      </c>
      <c r="E46" s="652"/>
      <c r="F46" s="642">
        <v>2</v>
      </c>
      <c r="G46" s="642">
        <f>+F46*'PROGRAMA ARQ.'!$E$31</f>
        <v>2</v>
      </c>
      <c r="H46" s="642"/>
      <c r="I46" s="791"/>
      <c r="K46" s="496" t="s">
        <v>1406</v>
      </c>
      <c r="M46" s="579"/>
    </row>
    <row r="47" spans="2:13" s="1165" customFormat="1">
      <c r="B47" s="1967"/>
      <c r="C47" s="1330" t="s">
        <v>345</v>
      </c>
      <c r="D47" s="1328" t="s">
        <v>353</v>
      </c>
      <c r="E47" s="1328"/>
      <c r="F47" s="1262">
        <v>1</v>
      </c>
      <c r="G47" s="1262">
        <f>+F47*'PROGRAMA ARQ.'!$E$31</f>
        <v>1</v>
      </c>
      <c r="H47" s="1262"/>
      <c r="I47" s="1263"/>
      <c r="K47" s="1327" t="s">
        <v>416</v>
      </c>
      <c r="M47" s="1280"/>
    </row>
    <row r="48" spans="2:13" s="1165" customFormat="1">
      <c r="B48" s="1967"/>
      <c r="C48" s="1330" t="s">
        <v>346</v>
      </c>
      <c r="D48" s="1328" t="s">
        <v>352</v>
      </c>
      <c r="E48" s="1328"/>
      <c r="F48" s="1262">
        <v>1</v>
      </c>
      <c r="G48" s="1262">
        <f>+F48*'PROGRAMA ARQ.'!$E$31</f>
        <v>1</v>
      </c>
      <c r="H48" s="1262"/>
      <c r="I48" s="1263"/>
      <c r="K48" s="1327" t="s">
        <v>416</v>
      </c>
      <c r="M48" s="1280"/>
    </row>
    <row r="49" spans="2:13">
      <c r="B49" s="1967"/>
      <c r="C49" s="1011" t="s">
        <v>347</v>
      </c>
      <c r="D49" s="652" t="s">
        <v>351</v>
      </c>
      <c r="E49" s="652"/>
      <c r="F49" s="642">
        <v>1</v>
      </c>
      <c r="G49" s="642">
        <f>+F49*'PROGRAMA ARQ.'!$E$31</f>
        <v>1</v>
      </c>
      <c r="H49" s="642"/>
      <c r="I49" s="791"/>
      <c r="K49" s="496" t="s">
        <v>1406</v>
      </c>
      <c r="M49" s="579"/>
    </row>
    <row r="50" spans="2:13">
      <c r="B50" s="1967"/>
      <c r="C50" s="1011" t="s">
        <v>342</v>
      </c>
      <c r="D50" s="652" t="s">
        <v>351</v>
      </c>
      <c r="E50" s="652"/>
      <c r="F50" s="642">
        <v>1</v>
      </c>
      <c r="G50" s="642">
        <f>+F50*'PROGRAMA ARQ.'!$E$31</f>
        <v>1</v>
      </c>
      <c r="H50" s="642"/>
      <c r="I50" s="791"/>
      <c r="K50" s="496" t="s">
        <v>1406</v>
      </c>
      <c r="M50" s="579"/>
    </row>
    <row r="51" spans="2:13">
      <c r="B51" s="1967"/>
      <c r="C51" s="1011" t="s">
        <v>348</v>
      </c>
      <c r="D51" s="652" t="s">
        <v>351</v>
      </c>
      <c r="E51" s="652"/>
      <c r="F51" s="642">
        <v>1</v>
      </c>
      <c r="G51" s="642">
        <f>+F51*'PROGRAMA ARQ.'!$E$31</f>
        <v>1</v>
      </c>
      <c r="H51" s="642"/>
      <c r="I51" s="791"/>
      <c r="K51" s="496" t="s">
        <v>1406</v>
      </c>
      <c r="M51" s="579"/>
    </row>
    <row r="52" spans="2:13">
      <c r="B52" s="1967"/>
      <c r="C52" s="1011" t="s">
        <v>349</v>
      </c>
      <c r="D52" s="652" t="s">
        <v>354</v>
      </c>
      <c r="E52" s="652"/>
      <c r="F52" s="642">
        <v>1</v>
      </c>
      <c r="G52" s="642">
        <f>+F52*'PROGRAMA ARQ.'!$E$31</f>
        <v>1</v>
      </c>
      <c r="H52" s="642"/>
      <c r="I52" s="791"/>
      <c r="K52" s="496" t="s">
        <v>1406</v>
      </c>
      <c r="M52" s="579"/>
    </row>
    <row r="53" spans="2:13" s="1165" customFormat="1" ht="15" thickBot="1">
      <c r="B53" s="1968"/>
      <c r="C53" s="1331" t="s">
        <v>343</v>
      </c>
      <c r="D53" s="1332" t="s">
        <v>356</v>
      </c>
      <c r="E53" s="1332"/>
      <c r="F53" s="1269">
        <v>1</v>
      </c>
      <c r="G53" s="1269">
        <f>+F53*'PROGRAMA ARQ.'!$E$31</f>
        <v>1</v>
      </c>
      <c r="H53" s="1269"/>
      <c r="I53" s="1270"/>
      <c r="K53" s="1327" t="s">
        <v>416</v>
      </c>
      <c r="M53" s="1280"/>
    </row>
    <row r="54" spans="2:13" ht="15" thickBot="1">
      <c r="B54" s="2023" t="s">
        <v>124</v>
      </c>
      <c r="C54" s="2024"/>
      <c r="D54" s="816" t="s">
        <v>298</v>
      </c>
      <c r="E54" s="816"/>
      <c r="F54" s="750"/>
      <c r="G54" s="750"/>
      <c r="H54" s="750"/>
      <c r="I54" s="810"/>
      <c r="K54" s="1250" t="s">
        <v>367</v>
      </c>
    </row>
    <row r="55" spans="2:13" ht="15" thickBot="1">
      <c r="B55" s="2023" t="s">
        <v>132</v>
      </c>
      <c r="C55" s="2024"/>
      <c r="D55" s="816" t="s">
        <v>298</v>
      </c>
      <c r="E55" s="816"/>
      <c r="F55" s="750"/>
      <c r="G55" s="750"/>
      <c r="H55" s="1019"/>
      <c r="I55" s="810"/>
      <c r="K55" s="1250" t="s">
        <v>367</v>
      </c>
    </row>
    <row r="56" spans="2:13">
      <c r="B56" s="1966" t="s">
        <v>133</v>
      </c>
      <c r="C56" s="2020"/>
      <c r="D56" s="764" t="s">
        <v>379</v>
      </c>
      <c r="E56" s="764"/>
      <c r="F56" s="762"/>
      <c r="G56" s="762"/>
      <c r="H56" s="809"/>
      <c r="I56" s="805"/>
      <c r="K56" s="496" t="s">
        <v>1406</v>
      </c>
    </row>
    <row r="57" spans="2:13" s="1165" customFormat="1">
      <c r="B57" s="1967"/>
      <c r="C57" s="2021"/>
      <c r="D57" s="1328" t="s">
        <v>889</v>
      </c>
      <c r="E57" s="1328"/>
      <c r="F57" s="1262"/>
      <c r="G57" s="1262"/>
      <c r="H57" s="1333"/>
      <c r="I57" s="1263"/>
      <c r="K57" s="1327" t="s">
        <v>416</v>
      </c>
    </row>
    <row r="58" spans="2:13">
      <c r="B58" s="1967"/>
      <c r="C58" s="2021"/>
      <c r="D58" s="652" t="s">
        <v>382</v>
      </c>
      <c r="E58" s="652"/>
      <c r="F58" s="642"/>
      <c r="G58" s="642"/>
      <c r="H58" s="642"/>
      <c r="I58" s="791"/>
      <c r="K58" s="496" t="s">
        <v>1406</v>
      </c>
    </row>
    <row r="59" spans="2:13" ht="28">
      <c r="B59" s="1967"/>
      <c r="C59" s="2021"/>
      <c r="D59" s="652" t="s">
        <v>376</v>
      </c>
      <c r="E59" s="652"/>
      <c r="F59" s="642"/>
      <c r="G59" s="642"/>
      <c r="H59" s="642"/>
      <c r="I59" s="791"/>
      <c r="K59" s="496" t="s">
        <v>1406</v>
      </c>
    </row>
    <row r="60" spans="2:13">
      <c r="B60" s="1967"/>
      <c r="C60" s="2021"/>
      <c r="D60" s="652" t="s">
        <v>317</v>
      </c>
      <c r="E60" s="652"/>
      <c r="F60" s="642"/>
      <c r="G60" s="642"/>
      <c r="H60" s="642"/>
      <c r="I60" s="791"/>
      <c r="K60" s="496" t="s">
        <v>1406</v>
      </c>
    </row>
    <row r="61" spans="2:13" ht="15" thickBot="1">
      <c r="B61" s="1968"/>
      <c r="C61" s="2022"/>
      <c r="D61" s="752" t="s">
        <v>318</v>
      </c>
      <c r="E61" s="752"/>
      <c r="F61" s="759"/>
      <c r="G61" s="759"/>
      <c r="H61" s="759"/>
      <c r="I61" s="592"/>
      <c r="K61" s="496" t="s">
        <v>1406</v>
      </c>
    </row>
    <row r="62" spans="2:13" ht="28">
      <c r="B62" s="1966" t="s">
        <v>134</v>
      </c>
      <c r="C62" s="2020"/>
      <c r="D62" s="764" t="s">
        <v>885</v>
      </c>
      <c r="E62" s="764"/>
      <c r="F62" s="762"/>
      <c r="G62" s="762"/>
      <c r="H62" s="762"/>
      <c r="I62" s="805"/>
      <c r="K62" s="496" t="s">
        <v>1406</v>
      </c>
    </row>
    <row r="63" spans="2:13" s="1165" customFormat="1" ht="15" thickBot="1">
      <c r="B63" s="1968"/>
      <c r="C63" s="2022"/>
      <c r="D63" s="1332" t="s">
        <v>714</v>
      </c>
      <c r="E63" s="1332"/>
      <c r="F63" s="1269"/>
      <c r="G63" s="1269"/>
      <c r="H63" s="1269"/>
      <c r="I63" s="1270"/>
      <c r="K63" s="1327" t="s">
        <v>1454</v>
      </c>
    </row>
    <row r="64" spans="2:13" s="1165" customFormat="1">
      <c r="B64" s="1966" t="s">
        <v>135</v>
      </c>
      <c r="C64" s="2025" t="s">
        <v>248</v>
      </c>
      <c r="D64" s="1235" t="s">
        <v>322</v>
      </c>
      <c r="E64" s="1236"/>
      <c r="F64" s="1236"/>
      <c r="G64" s="1236"/>
      <c r="H64" s="1236"/>
      <c r="I64" s="1254"/>
      <c r="K64" s="1327" t="s">
        <v>1454</v>
      </c>
    </row>
    <row r="65" spans="1:11" s="1165" customFormat="1">
      <c r="B65" s="1967"/>
      <c r="C65" s="2026"/>
      <c r="D65" s="1328" t="s">
        <v>323</v>
      </c>
      <c r="E65" s="1328"/>
      <c r="F65" s="1262"/>
      <c r="G65" s="1262"/>
      <c r="H65" s="1262"/>
      <c r="I65" s="1263"/>
      <c r="K65" s="1327" t="s">
        <v>1454</v>
      </c>
    </row>
    <row r="66" spans="1:11">
      <c r="B66" s="1967"/>
      <c r="C66" s="1893" t="s">
        <v>249</v>
      </c>
      <c r="D66" s="652" t="s">
        <v>240</v>
      </c>
      <c r="E66" s="652"/>
      <c r="F66" s="642"/>
      <c r="G66" s="642"/>
      <c r="H66" s="642"/>
      <c r="I66" s="791"/>
      <c r="K66" s="496" t="s">
        <v>1406</v>
      </c>
    </row>
    <row r="67" spans="1:11">
      <c r="B67" s="1967"/>
      <c r="C67" s="1893"/>
      <c r="D67" s="652" t="s">
        <v>324</v>
      </c>
      <c r="E67" s="652"/>
      <c r="F67" s="642"/>
      <c r="G67" s="642"/>
      <c r="H67" s="642"/>
      <c r="I67" s="791"/>
      <c r="K67" s="496" t="s">
        <v>1406</v>
      </c>
    </row>
    <row r="68" spans="1:11">
      <c r="B68" s="1967"/>
      <c r="C68" s="1893" t="s">
        <v>250</v>
      </c>
      <c r="D68" s="652" t="s">
        <v>325</v>
      </c>
      <c r="E68" s="652"/>
      <c r="F68" s="642"/>
      <c r="G68" s="642"/>
      <c r="H68" s="642"/>
      <c r="I68" s="791"/>
      <c r="K68" s="496" t="s">
        <v>1406</v>
      </c>
    </row>
    <row r="69" spans="1:11">
      <c r="B69" s="1967"/>
      <c r="C69" s="1893"/>
      <c r="D69" s="652" t="s">
        <v>326</v>
      </c>
      <c r="E69" s="652"/>
      <c r="F69" s="642"/>
      <c r="G69" s="642"/>
      <c r="H69" s="642"/>
      <c r="I69" s="791"/>
      <c r="K69" s="496" t="s">
        <v>1406</v>
      </c>
    </row>
    <row r="70" spans="1:11" ht="15" thickBot="1">
      <c r="B70" s="1968"/>
      <c r="C70" s="2017"/>
      <c r="D70" s="752" t="s">
        <v>327</v>
      </c>
      <c r="E70" s="752"/>
      <c r="F70" s="759"/>
      <c r="G70" s="759"/>
      <c r="H70" s="759"/>
      <c r="I70" s="592"/>
      <c r="K70" s="496" t="s">
        <v>1406</v>
      </c>
    </row>
    <row r="71" spans="1:11" s="1165" customFormat="1" ht="14.5" customHeight="1">
      <c r="A71" s="1858" t="s">
        <v>137</v>
      </c>
      <c r="B71" s="1966" t="s">
        <v>138</v>
      </c>
      <c r="C71" s="1948" t="s">
        <v>438</v>
      </c>
      <c r="D71" s="1235" t="s">
        <v>331</v>
      </c>
      <c r="E71" s="1235"/>
      <c r="F71" s="1236"/>
      <c r="G71" s="1236"/>
      <c r="H71" s="1236"/>
      <c r="I71" s="1254"/>
      <c r="K71" s="1327" t="s">
        <v>436</v>
      </c>
    </row>
    <row r="72" spans="1:11" ht="28">
      <c r="A72" s="1859"/>
      <c r="B72" s="1967"/>
      <c r="C72" s="1949"/>
      <c r="D72" s="652" t="s">
        <v>330</v>
      </c>
      <c r="E72" s="652"/>
      <c r="F72" s="642"/>
      <c r="G72" s="642"/>
      <c r="H72" s="642"/>
      <c r="I72" s="791"/>
      <c r="K72" s="496" t="s">
        <v>1406</v>
      </c>
    </row>
    <row r="73" spans="1:11" ht="28">
      <c r="A73" s="1859"/>
      <c r="B73" s="1967"/>
      <c r="C73" s="1949"/>
      <c r="D73" s="652" t="s">
        <v>329</v>
      </c>
      <c r="E73" s="652"/>
      <c r="F73" s="642"/>
      <c r="G73" s="642"/>
      <c r="H73" s="642"/>
      <c r="I73" s="791"/>
      <c r="K73" s="496" t="s">
        <v>1406</v>
      </c>
    </row>
    <row r="74" spans="1:11">
      <c r="A74" s="1859"/>
      <c r="B74" s="1967"/>
      <c r="C74" s="1010" t="s">
        <v>251</v>
      </c>
      <c r="D74" s="652" t="s">
        <v>358</v>
      </c>
      <c r="E74" s="652"/>
      <c r="F74" s="642">
        <v>1</v>
      </c>
      <c r="G74" s="642">
        <v>1</v>
      </c>
      <c r="H74" s="642"/>
      <c r="I74" s="791"/>
      <c r="K74" s="496" t="s">
        <v>1406</v>
      </c>
    </row>
    <row r="75" spans="1:11">
      <c r="A75" s="1859"/>
      <c r="B75" s="1967"/>
      <c r="C75" s="1010" t="s">
        <v>252</v>
      </c>
      <c r="D75" s="652" t="s">
        <v>359</v>
      </c>
      <c r="E75" s="652"/>
      <c r="F75" s="642">
        <v>1</v>
      </c>
      <c r="G75" s="642">
        <v>1</v>
      </c>
      <c r="H75" s="642"/>
      <c r="I75" s="791"/>
      <c r="K75" s="496" t="s">
        <v>1406</v>
      </c>
    </row>
    <row r="76" spans="1:11">
      <c r="A76" s="1859"/>
      <c r="B76" s="1967"/>
      <c r="C76" s="1010" t="s">
        <v>253</v>
      </c>
      <c r="D76" s="652" t="s">
        <v>298</v>
      </c>
      <c r="E76" s="652"/>
      <c r="F76" s="642"/>
      <c r="G76" s="642"/>
      <c r="H76" s="642"/>
      <c r="I76" s="791"/>
      <c r="K76" s="464" t="s">
        <v>935</v>
      </c>
    </row>
    <row r="77" spans="1:11">
      <c r="A77" s="1859"/>
      <c r="B77" s="1967"/>
      <c r="C77" s="1010" t="s">
        <v>254</v>
      </c>
      <c r="D77" s="652" t="s">
        <v>298</v>
      </c>
      <c r="E77" s="652"/>
      <c r="F77" s="642"/>
      <c r="G77" s="642"/>
      <c r="H77" s="642"/>
      <c r="I77" s="791"/>
      <c r="K77" s="464" t="s">
        <v>935</v>
      </c>
    </row>
    <row r="78" spans="1:11" ht="15" thickBot="1">
      <c r="A78" s="1859"/>
      <c r="B78" s="1968"/>
      <c r="C78" s="1015" t="s">
        <v>255</v>
      </c>
      <c r="D78" s="752" t="s">
        <v>298</v>
      </c>
      <c r="E78" s="752"/>
      <c r="F78" s="759"/>
      <c r="G78" s="759"/>
      <c r="H78" s="759"/>
      <c r="I78" s="592"/>
      <c r="K78" s="464" t="s">
        <v>935</v>
      </c>
    </row>
    <row r="79" spans="1:11">
      <c r="A79" s="1859"/>
      <c r="B79" s="1966" t="s">
        <v>139</v>
      </c>
      <c r="C79" s="1014" t="s">
        <v>256</v>
      </c>
      <c r="D79" s="761" t="s">
        <v>298</v>
      </c>
      <c r="E79" s="761"/>
      <c r="F79" s="762"/>
      <c r="G79" s="762"/>
      <c r="H79" s="812"/>
      <c r="I79" s="805"/>
      <c r="K79" s="464" t="s">
        <v>935</v>
      </c>
    </row>
    <row r="80" spans="1:11" ht="29" thickBot="1">
      <c r="A80" s="1859"/>
      <c r="B80" s="1968"/>
      <c r="C80" s="1015" t="s">
        <v>257</v>
      </c>
      <c r="D80" s="752" t="s">
        <v>333</v>
      </c>
      <c r="E80" s="752"/>
      <c r="F80" s="759"/>
      <c r="G80" s="759"/>
      <c r="H80" s="759"/>
      <c r="I80" s="592"/>
      <c r="K80" s="496" t="s">
        <v>1406</v>
      </c>
    </row>
    <row r="81" spans="1:11" ht="28">
      <c r="A81" s="1859"/>
      <c r="B81" s="1966" t="s">
        <v>142</v>
      </c>
      <c r="C81" s="2020"/>
      <c r="D81" s="764" t="s">
        <v>334</v>
      </c>
      <c r="E81" s="764"/>
      <c r="F81" s="762"/>
      <c r="G81" s="762"/>
      <c r="H81" s="762"/>
      <c r="I81" s="805"/>
      <c r="K81" s="496" t="s">
        <v>1406</v>
      </c>
    </row>
    <row r="82" spans="1:11">
      <c r="A82" s="1859"/>
      <c r="B82" s="1967"/>
      <c r="C82" s="2021"/>
      <c r="D82" s="652" t="s">
        <v>715</v>
      </c>
      <c r="E82" s="652"/>
      <c r="F82" s="642"/>
      <c r="G82" s="642"/>
      <c r="H82" s="642"/>
      <c r="I82" s="791"/>
      <c r="K82" s="496" t="s">
        <v>1406</v>
      </c>
    </row>
    <row r="83" spans="1:11">
      <c r="A83" s="1859"/>
      <c r="B83" s="1967"/>
      <c r="C83" s="2021"/>
      <c r="D83" s="1395" t="s">
        <v>1489</v>
      </c>
      <c r="E83" s="652"/>
      <c r="F83" s="642"/>
      <c r="G83" s="642"/>
      <c r="H83" s="642"/>
      <c r="I83" s="791"/>
      <c r="K83" s="496" t="s">
        <v>1406</v>
      </c>
    </row>
    <row r="84" spans="1:11" ht="29" thickBot="1">
      <c r="A84" s="1859"/>
      <c r="B84" s="1968"/>
      <c r="C84" s="2022"/>
      <c r="D84" s="752" t="s">
        <v>335</v>
      </c>
      <c r="E84" s="752"/>
      <c r="F84" s="759"/>
      <c r="G84" s="759"/>
      <c r="H84" s="759"/>
      <c r="I84" s="592"/>
      <c r="K84" s="496" t="s">
        <v>1406</v>
      </c>
    </row>
    <row r="85" spans="1:11" ht="28">
      <c r="A85" s="1859"/>
      <c r="B85" s="1966" t="s">
        <v>264</v>
      </c>
      <c r="C85" s="2020"/>
      <c r="D85" s="764" t="s">
        <v>886</v>
      </c>
      <c r="E85" s="764"/>
      <c r="F85" s="762"/>
      <c r="G85" s="762"/>
      <c r="H85" s="762"/>
      <c r="I85" s="805"/>
      <c r="K85" s="496" t="s">
        <v>1406</v>
      </c>
    </row>
    <row r="86" spans="1:11" ht="28">
      <c r="A86" s="1859"/>
      <c r="B86" s="1967"/>
      <c r="C86" s="2021"/>
      <c r="D86" s="644" t="s">
        <v>336</v>
      </c>
      <c r="E86" s="644"/>
      <c r="F86" s="642"/>
      <c r="G86" s="642"/>
      <c r="H86" s="642"/>
      <c r="I86" s="791"/>
      <c r="K86" s="496" t="s">
        <v>1406</v>
      </c>
    </row>
    <row r="87" spans="1:11">
      <c r="A87" s="1859"/>
      <c r="B87" s="1967"/>
      <c r="C87" s="2021"/>
      <c r="D87" s="644" t="s">
        <v>771</v>
      </c>
      <c r="E87" s="644"/>
      <c r="F87" s="642"/>
      <c r="G87" s="642"/>
      <c r="H87" s="642"/>
      <c r="I87" s="791"/>
      <c r="K87" s="496" t="s">
        <v>1406</v>
      </c>
    </row>
    <row r="88" spans="1:11" ht="15" thickBot="1">
      <c r="A88" s="1860"/>
      <c r="B88" s="1968"/>
      <c r="C88" s="2022"/>
      <c r="D88" s="1020" t="s">
        <v>716</v>
      </c>
      <c r="E88" s="759"/>
      <c r="F88" s="759"/>
      <c r="G88" s="759"/>
      <c r="H88" s="759"/>
      <c r="I88" s="592"/>
      <c r="K88" s="496" t="s">
        <v>1406</v>
      </c>
    </row>
    <row r="90" spans="1:11">
      <c r="B90" s="311" t="s">
        <v>1498</v>
      </c>
    </row>
  </sheetData>
  <autoFilter ref="A1:M88"/>
  <mergeCells count="28">
    <mergeCell ref="A71:A88"/>
    <mergeCell ref="E3:I3"/>
    <mergeCell ref="B2:I2"/>
    <mergeCell ref="E4:I4"/>
    <mergeCell ref="E5:I5"/>
    <mergeCell ref="B8:C8"/>
    <mergeCell ref="B9:C13"/>
    <mergeCell ref="B14:B21"/>
    <mergeCell ref="C15:C16"/>
    <mergeCell ref="C17:C18"/>
    <mergeCell ref="C20:C21"/>
    <mergeCell ref="B22:B23"/>
    <mergeCell ref="B24:C39"/>
    <mergeCell ref="B40:C42"/>
    <mergeCell ref="B43:B53"/>
    <mergeCell ref="B56:C61"/>
    <mergeCell ref="B54:C54"/>
    <mergeCell ref="B55:C55"/>
    <mergeCell ref="B62:C63"/>
    <mergeCell ref="B64:B70"/>
    <mergeCell ref="C64:C65"/>
    <mergeCell ref="C66:C67"/>
    <mergeCell ref="C68:C70"/>
    <mergeCell ref="B71:B78"/>
    <mergeCell ref="C71:C73"/>
    <mergeCell ref="B79:B80"/>
    <mergeCell ref="B81:C84"/>
    <mergeCell ref="B85:C88"/>
  </mergeCells>
  <pageMargins left="0.70866141732283472" right="0.70866141732283472" top="0.74803149606299213" bottom="0.74803149606299213" header="0.31496062992125984" footer="0.31496062992125984"/>
  <pageSetup scale="37" fitToHeight="0" orientation="portrait"/>
  <rowBreaks count="2" manualBreakCount="2">
    <brk id="39" max="16383" man="1"/>
    <brk id="70"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E3190968-415E-4EB6-A95A-CEC931E87DCC}">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21" operator="containsText" text="0" id="{E3190968-415E-4EB6-A95A-CEC931E87DCC}">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rgb="FF00B0F0"/>
    <pageSetUpPr fitToPage="1"/>
  </sheetPr>
  <dimension ref="A1:M72"/>
  <sheetViews>
    <sheetView zoomScale="80" zoomScaleNormal="80" zoomScaleSheetLayoutView="90" zoomScalePageLayoutView="80" workbookViewId="0">
      <selection activeCell="K8" sqref="K8:K14"/>
    </sheetView>
  </sheetViews>
  <sheetFormatPr baseColWidth="10" defaultColWidth="11.5" defaultRowHeight="14" x14ac:dyDescent="0"/>
  <cols>
    <col min="1" max="1" width="3.83203125" style="310" bestFit="1" customWidth="1"/>
    <col min="2" max="3" width="30.6640625" style="310" customWidth="1"/>
    <col min="4" max="4" width="50.6640625" style="310" customWidth="1"/>
    <col min="5" max="9" width="3.6640625" style="310" customWidth="1"/>
    <col min="10" max="10" width="7.5" style="81" customWidth="1"/>
    <col min="11" max="11" width="50.6640625" style="464" customWidth="1"/>
    <col min="12" max="12" width="30.6640625" style="310" customWidth="1"/>
    <col min="13" max="13" width="3.5" style="310" customWidth="1"/>
    <col min="14" max="16384" width="11.5" style="310"/>
  </cols>
  <sheetData>
    <row r="1" spans="2:13" s="1165" customFormat="1" ht="15" thickBot="1">
      <c r="K1" s="1327"/>
    </row>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1" thickBot="1">
      <c r="B6" s="847" t="str">
        <f>IF(D6=0,0,'PROGRAMA ARQ.'!C32)</f>
        <v>2.8</v>
      </c>
      <c r="C6" s="847" t="str">
        <f>IF(D6=0,0,'PROGRAMA ARQ.'!D32)</f>
        <v>BAÑO PERSONAL</v>
      </c>
      <c r="D6" s="847">
        <f>+'PROGRAMA ARQ.'!I32</f>
        <v>1.96</v>
      </c>
      <c r="E6" s="692" t="s">
        <v>366</v>
      </c>
      <c r="F6" s="693" t="s">
        <v>544</v>
      </c>
      <c r="G6" s="693" t="s">
        <v>2</v>
      </c>
      <c r="H6" s="693" t="s">
        <v>171</v>
      </c>
      <c r="I6" s="694" t="s">
        <v>172</v>
      </c>
      <c r="J6" s="608"/>
      <c r="K6" s="1299" t="s">
        <v>293</v>
      </c>
      <c r="L6" s="705" t="s">
        <v>120</v>
      </c>
      <c r="M6" s="706" t="s">
        <v>681</v>
      </c>
    </row>
    <row r="7" spans="2:13" s="367" customFormat="1" ht="16" thickBot="1">
      <c r="B7" s="667" t="s">
        <v>1378</v>
      </c>
      <c r="C7" s="667" t="s">
        <v>1379</v>
      </c>
      <c r="D7" s="670" t="s">
        <v>1380</v>
      </c>
      <c r="E7" s="671"/>
      <c r="F7" s="672"/>
      <c r="G7" s="672"/>
      <c r="H7" s="671"/>
      <c r="I7" s="673"/>
      <c r="J7" s="595"/>
      <c r="K7" s="235"/>
      <c r="L7" s="696"/>
      <c r="M7" s="697"/>
    </row>
    <row r="8" spans="2:13" ht="183" thickBot="1">
      <c r="B8" s="1996" t="s">
        <v>122</v>
      </c>
      <c r="C8" s="2029"/>
      <c r="D8" s="1008" t="s">
        <v>1381</v>
      </c>
      <c r="E8" s="1008"/>
      <c r="F8" s="353"/>
      <c r="G8" s="353"/>
      <c r="H8" s="1008"/>
      <c r="I8" s="215"/>
      <c r="K8" s="496" t="s">
        <v>1406</v>
      </c>
    </row>
    <row r="9" spans="2:13">
      <c r="B9" s="1755" t="s">
        <v>1388</v>
      </c>
      <c r="C9" s="2020"/>
      <c r="D9" s="809" t="s">
        <v>295</v>
      </c>
      <c r="E9" s="809"/>
      <c r="F9" s="762"/>
      <c r="G9" s="762"/>
      <c r="H9" s="762"/>
      <c r="I9" s="805"/>
      <c r="K9" s="496" t="s">
        <v>1406</v>
      </c>
    </row>
    <row r="10" spans="2:13">
      <c r="B10" s="1967"/>
      <c r="C10" s="2021"/>
      <c r="D10" s="642" t="s">
        <v>1367</v>
      </c>
      <c r="E10" s="642"/>
      <c r="F10" s="642"/>
      <c r="G10" s="642"/>
      <c r="H10" s="642"/>
      <c r="I10" s="791"/>
      <c r="K10" s="496" t="s">
        <v>1406</v>
      </c>
    </row>
    <row r="11" spans="2:13">
      <c r="B11" s="1967"/>
      <c r="C11" s="2021"/>
      <c r="D11" s="644" t="s">
        <v>338</v>
      </c>
      <c r="E11" s="644"/>
      <c r="F11" s="642"/>
      <c r="G11" s="642"/>
      <c r="H11" s="642"/>
      <c r="I11" s="791"/>
      <c r="K11" s="496" t="s">
        <v>1406</v>
      </c>
    </row>
    <row r="12" spans="2:13" ht="29" thickBot="1">
      <c r="B12" s="1968"/>
      <c r="C12" s="2022"/>
      <c r="D12" s="1012" t="s">
        <v>337</v>
      </c>
      <c r="E12" s="1012"/>
      <c r="F12" s="759"/>
      <c r="G12" s="759"/>
      <c r="H12" s="759"/>
      <c r="I12" s="592"/>
      <c r="K12" s="496" t="s">
        <v>1406</v>
      </c>
    </row>
    <row r="13" spans="2:13">
      <c r="B13" s="1966" t="s">
        <v>143</v>
      </c>
      <c r="C13" s="1013"/>
      <c r="D13" s="722" t="s">
        <v>296</v>
      </c>
      <c r="E13" s="722"/>
      <c r="F13" s="762"/>
      <c r="G13" s="762"/>
      <c r="H13" s="762"/>
      <c r="I13" s="805"/>
      <c r="K13" s="496" t="s">
        <v>1406</v>
      </c>
    </row>
    <row r="14" spans="2:13">
      <c r="B14" s="1967"/>
      <c r="C14" s="1893" t="s">
        <v>241</v>
      </c>
      <c r="D14" s="645">
        <f>+D6*K14</f>
        <v>0.15679999999999999</v>
      </c>
      <c r="E14" s="642" t="s">
        <v>258</v>
      </c>
      <c r="F14" s="642"/>
      <c r="G14" s="642"/>
      <c r="H14" s="642"/>
      <c r="I14" s="791"/>
      <c r="K14" s="1326">
        <v>0.08</v>
      </c>
      <c r="L14" s="358" t="s">
        <v>888</v>
      </c>
    </row>
    <row r="15" spans="2:13">
      <c r="B15" s="1967"/>
      <c r="C15" s="1893"/>
      <c r="D15" s="645" t="s">
        <v>260</v>
      </c>
      <c r="E15" s="645"/>
      <c r="F15" s="642"/>
      <c r="G15" s="642"/>
      <c r="H15" s="642"/>
      <c r="I15" s="791"/>
      <c r="K15" s="496" t="s">
        <v>1406</v>
      </c>
      <c r="L15" s="358"/>
    </row>
    <row r="16" spans="2:13" ht="28">
      <c r="B16" s="1967"/>
      <c r="C16" s="1893" t="s">
        <v>242</v>
      </c>
      <c r="D16" s="644" t="s">
        <v>892</v>
      </c>
      <c r="E16" s="644"/>
      <c r="F16" s="642"/>
      <c r="G16" s="642"/>
      <c r="H16" s="642"/>
      <c r="I16" s="791"/>
      <c r="K16" s="496" t="s">
        <v>1406</v>
      </c>
    </row>
    <row r="17" spans="2:13">
      <c r="B17" s="1967"/>
      <c r="C17" s="1893"/>
      <c r="D17" s="645">
        <f>+D6*K17</f>
        <v>7.8399999999999997E-2</v>
      </c>
      <c r="E17" s="642" t="s">
        <v>258</v>
      </c>
      <c r="F17" s="642"/>
      <c r="G17" s="642"/>
      <c r="H17" s="644"/>
      <c r="I17" s="791"/>
      <c r="K17" s="1326">
        <v>0.04</v>
      </c>
      <c r="L17" s="310" t="s">
        <v>888</v>
      </c>
    </row>
    <row r="18" spans="2:13">
      <c r="B18" s="1967"/>
      <c r="C18" s="1009" t="s">
        <v>243</v>
      </c>
      <c r="D18" s="646" t="s">
        <v>300</v>
      </c>
      <c r="E18" s="646"/>
      <c r="F18" s="642"/>
      <c r="G18" s="642"/>
      <c r="H18" s="645"/>
      <c r="I18" s="791"/>
      <c r="K18" s="1250" t="s">
        <v>935</v>
      </c>
    </row>
    <row r="19" spans="2:13" ht="15" thickBot="1">
      <c r="B19" s="1968"/>
      <c r="C19" s="1021" t="s">
        <v>244</v>
      </c>
      <c r="D19" s="1016" t="s">
        <v>300</v>
      </c>
      <c r="E19" s="1016"/>
      <c r="F19" s="759"/>
      <c r="G19" s="759"/>
      <c r="H19" s="813"/>
      <c r="I19" s="592"/>
      <c r="K19" s="1250" t="s">
        <v>935</v>
      </c>
    </row>
    <row r="20" spans="2:13" ht="28">
      <c r="B20" s="1966" t="s">
        <v>144</v>
      </c>
      <c r="C20" s="1022" t="s">
        <v>245</v>
      </c>
      <c r="D20" s="1003" t="s">
        <v>370</v>
      </c>
      <c r="E20" s="1003"/>
      <c r="F20" s="867"/>
      <c r="G20" s="867"/>
      <c r="H20" s="867"/>
      <c r="I20" s="794"/>
      <c r="K20" s="1250" t="s">
        <v>116</v>
      </c>
    </row>
    <row r="21" spans="2:13" ht="15" thickBot="1">
      <c r="B21" s="1968"/>
      <c r="C21" s="1015" t="s">
        <v>246</v>
      </c>
      <c r="D21" s="1016" t="s">
        <v>300</v>
      </c>
      <c r="E21" s="1016"/>
      <c r="F21" s="759"/>
      <c r="G21" s="759"/>
      <c r="H21" s="759"/>
      <c r="I21" s="592"/>
      <c r="K21" s="1250" t="s">
        <v>116</v>
      </c>
    </row>
    <row r="22" spans="2:13">
      <c r="B22" s="1967" t="s">
        <v>1334</v>
      </c>
      <c r="C22" s="2021"/>
      <c r="D22" s="642" t="s">
        <v>736</v>
      </c>
      <c r="E22" s="642"/>
      <c r="F22" s="642"/>
      <c r="G22" s="642"/>
      <c r="H22" s="642"/>
      <c r="I22" s="791"/>
      <c r="K22" s="496" t="s">
        <v>1406</v>
      </c>
    </row>
    <row r="23" spans="2:13">
      <c r="B23" s="1967"/>
      <c r="C23" s="2021"/>
      <c r="D23" s="652" t="s">
        <v>315</v>
      </c>
      <c r="E23" s="652"/>
      <c r="F23" s="642"/>
      <c r="G23" s="642"/>
      <c r="H23" s="642"/>
      <c r="I23" s="791"/>
      <c r="K23" s="496" t="s">
        <v>1406</v>
      </c>
    </row>
    <row r="24" spans="2:13">
      <c r="B24" s="1967"/>
      <c r="C24" s="2021"/>
      <c r="D24" s="646" t="s">
        <v>339</v>
      </c>
      <c r="E24" s="646"/>
      <c r="F24" s="642"/>
      <c r="G24" s="642"/>
      <c r="H24" s="632"/>
      <c r="I24" s="791"/>
      <c r="K24" s="496" t="s">
        <v>1406</v>
      </c>
    </row>
    <row r="25" spans="2:13" ht="28">
      <c r="B25" s="1967"/>
      <c r="C25" s="2021"/>
      <c r="D25" s="646" t="s">
        <v>310</v>
      </c>
      <c r="E25" s="646"/>
      <c r="F25" s="642"/>
      <c r="G25" s="642"/>
      <c r="H25" s="642"/>
      <c r="I25" s="791"/>
      <c r="K25" s="496" t="s">
        <v>1406</v>
      </c>
    </row>
    <row r="26" spans="2:13">
      <c r="B26" s="1967"/>
      <c r="C26" s="2021"/>
      <c r="D26" s="646" t="s">
        <v>309</v>
      </c>
      <c r="E26" s="646"/>
      <c r="F26" s="642"/>
      <c r="G26" s="642"/>
      <c r="H26" s="642"/>
      <c r="I26" s="791"/>
      <c r="K26" s="496" t="s">
        <v>1406</v>
      </c>
    </row>
    <row r="27" spans="2:13" ht="28">
      <c r="B27" s="1967"/>
      <c r="C27" s="2021"/>
      <c r="D27" s="646" t="s">
        <v>311</v>
      </c>
      <c r="E27" s="646"/>
      <c r="F27" s="642"/>
      <c r="G27" s="642"/>
      <c r="H27" s="642"/>
      <c r="I27" s="791"/>
      <c r="K27" s="496" t="s">
        <v>1406</v>
      </c>
    </row>
    <row r="28" spans="2:13" ht="28">
      <c r="B28" s="1967"/>
      <c r="C28" s="2021"/>
      <c r="D28" s="646" t="s">
        <v>312</v>
      </c>
      <c r="E28" s="646"/>
      <c r="F28" s="642"/>
      <c r="G28" s="642"/>
      <c r="H28" s="642"/>
      <c r="I28" s="791"/>
      <c r="K28" s="496" t="s">
        <v>1406</v>
      </c>
    </row>
    <row r="29" spans="2:13">
      <c r="B29" s="1967"/>
      <c r="C29" s="2021"/>
      <c r="D29" s="646" t="s">
        <v>313</v>
      </c>
      <c r="E29" s="646"/>
      <c r="F29" s="642"/>
      <c r="G29" s="642"/>
      <c r="H29" s="642"/>
      <c r="I29" s="791"/>
      <c r="K29" s="496" t="s">
        <v>1406</v>
      </c>
    </row>
    <row r="30" spans="2:13" ht="29" thickBot="1">
      <c r="B30" s="1968"/>
      <c r="C30" s="2022"/>
      <c r="D30" s="1016" t="s">
        <v>262</v>
      </c>
      <c r="E30" s="1016"/>
      <c r="F30" s="759"/>
      <c r="G30" s="759"/>
      <c r="H30" s="759"/>
      <c r="I30" s="592"/>
      <c r="K30" s="496" t="s">
        <v>1406</v>
      </c>
    </row>
    <row r="31" spans="2:13">
      <c r="B31" s="1966" t="s">
        <v>140</v>
      </c>
      <c r="C31" s="2020"/>
      <c r="D31" s="764" t="s">
        <v>713</v>
      </c>
      <c r="E31" s="764"/>
      <c r="F31" s="762"/>
      <c r="G31" s="762"/>
      <c r="H31" s="762"/>
      <c r="I31" s="805"/>
      <c r="K31" s="496" t="s">
        <v>1406</v>
      </c>
    </row>
    <row r="32" spans="2:13" s="81" customFormat="1" ht="28">
      <c r="B32" s="1967"/>
      <c r="C32" s="2021"/>
      <c r="D32" s="628" t="s">
        <v>515</v>
      </c>
      <c r="E32" s="512"/>
      <c r="F32" s="512"/>
      <c r="G32" s="512"/>
      <c r="H32" s="512"/>
      <c r="I32" s="518"/>
      <c r="J32" s="362"/>
      <c r="K32" s="496" t="s">
        <v>1406</v>
      </c>
      <c r="L32" s="376"/>
      <c r="M32" s="362"/>
    </row>
    <row r="33" spans="2:13" s="81" customFormat="1" ht="43" thickBot="1">
      <c r="B33" s="1968"/>
      <c r="C33" s="2022"/>
      <c r="D33" s="778" t="s">
        <v>444</v>
      </c>
      <c r="E33" s="519"/>
      <c r="F33" s="519"/>
      <c r="G33" s="519"/>
      <c r="H33" s="519"/>
      <c r="I33" s="520"/>
      <c r="J33" s="362"/>
      <c r="K33" s="496" t="s">
        <v>1406</v>
      </c>
      <c r="L33" s="376"/>
      <c r="M33" s="362"/>
    </row>
    <row r="34" spans="2:13">
      <c r="B34" s="1966" t="s">
        <v>123</v>
      </c>
      <c r="C34" s="1017" t="s">
        <v>340</v>
      </c>
      <c r="D34" s="764" t="s">
        <v>371</v>
      </c>
      <c r="E34" s="764"/>
      <c r="F34" s="762">
        <v>1</v>
      </c>
      <c r="G34" s="762" t="e">
        <f>+F34*'PROGRAMA ARQ.'!#REF!</f>
        <v>#REF!</v>
      </c>
      <c r="H34" s="762"/>
      <c r="I34" s="805"/>
      <c r="K34" s="496" t="s">
        <v>1432</v>
      </c>
    </row>
    <row r="35" spans="2:13">
      <c r="B35" s="1967"/>
      <c r="C35" s="1011" t="s">
        <v>341</v>
      </c>
      <c r="D35" s="652" t="s">
        <v>374</v>
      </c>
      <c r="E35" s="652"/>
      <c r="F35" s="642">
        <v>1</v>
      </c>
      <c r="G35" s="642" t="e">
        <f>+F35*'PROGRAMA ARQ.'!#REF!</f>
        <v>#REF!</v>
      </c>
      <c r="H35" s="642"/>
      <c r="I35" s="791"/>
      <c r="K35" s="496" t="s">
        <v>1432</v>
      </c>
    </row>
    <row r="36" spans="2:13">
      <c r="B36" s="1967"/>
      <c r="C36" s="1011" t="s">
        <v>175</v>
      </c>
      <c r="D36" s="652" t="s">
        <v>350</v>
      </c>
      <c r="E36" s="652"/>
      <c r="F36" s="642">
        <v>2</v>
      </c>
      <c r="G36" s="642" t="e">
        <f>+F36*'PROGRAMA ARQ.'!#REF!</f>
        <v>#REF!</v>
      </c>
      <c r="H36" s="642"/>
      <c r="I36" s="791"/>
      <c r="K36" s="496" t="s">
        <v>1432</v>
      </c>
    </row>
    <row r="37" spans="2:13">
      <c r="B37" s="1967"/>
      <c r="C37" s="1011" t="s">
        <v>347</v>
      </c>
      <c r="D37" s="652" t="s">
        <v>351</v>
      </c>
      <c r="E37" s="652"/>
      <c r="F37" s="642">
        <v>1</v>
      </c>
      <c r="G37" s="642" t="e">
        <f>+F37*'PROGRAMA ARQ.'!#REF!</f>
        <v>#REF!</v>
      </c>
      <c r="H37" s="642"/>
      <c r="I37" s="791"/>
      <c r="K37" s="496" t="s">
        <v>1432</v>
      </c>
    </row>
    <row r="38" spans="2:13">
      <c r="B38" s="1967"/>
      <c r="C38" s="1011" t="s">
        <v>342</v>
      </c>
      <c r="D38" s="652" t="s">
        <v>351</v>
      </c>
      <c r="E38" s="652"/>
      <c r="F38" s="642">
        <v>1</v>
      </c>
      <c r="G38" s="642" t="e">
        <f>+F38*'PROGRAMA ARQ.'!#REF!</f>
        <v>#REF!</v>
      </c>
      <c r="H38" s="642"/>
      <c r="I38" s="791"/>
      <c r="K38" s="496" t="s">
        <v>1432</v>
      </c>
    </row>
    <row r="39" spans="2:13">
      <c r="B39" s="1967"/>
      <c r="C39" s="1011" t="s">
        <v>348</v>
      </c>
      <c r="D39" s="652" t="s">
        <v>351</v>
      </c>
      <c r="E39" s="652"/>
      <c r="F39" s="642">
        <v>1</v>
      </c>
      <c r="G39" s="642" t="e">
        <f>+F39*'PROGRAMA ARQ.'!#REF!</f>
        <v>#REF!</v>
      </c>
      <c r="H39" s="642"/>
      <c r="I39" s="791"/>
      <c r="K39" s="496" t="s">
        <v>1432</v>
      </c>
    </row>
    <row r="40" spans="2:13">
      <c r="B40" s="1967"/>
      <c r="C40" s="1011" t="s">
        <v>349</v>
      </c>
      <c r="D40" s="652" t="s">
        <v>354</v>
      </c>
      <c r="E40" s="652"/>
      <c r="F40" s="642">
        <v>1</v>
      </c>
      <c r="G40" s="642" t="e">
        <f>+F40*'PROGRAMA ARQ.'!#REF!</f>
        <v>#REF!</v>
      </c>
      <c r="H40" s="642"/>
      <c r="I40" s="791"/>
      <c r="K40" s="496" t="s">
        <v>1432</v>
      </c>
    </row>
    <row r="41" spans="2:13" ht="15" thickBot="1">
      <c r="B41" s="1968"/>
      <c r="C41" s="1018" t="s">
        <v>343</v>
      </c>
      <c r="D41" s="752" t="s">
        <v>356</v>
      </c>
      <c r="E41" s="752"/>
      <c r="F41" s="759">
        <v>1</v>
      </c>
      <c r="G41" s="759" t="e">
        <f>+F41*'PROGRAMA ARQ.'!#REF!</f>
        <v>#REF!</v>
      </c>
      <c r="H41" s="759"/>
      <c r="I41" s="592"/>
      <c r="K41" s="496" t="s">
        <v>1432</v>
      </c>
    </row>
    <row r="42" spans="2:13" ht="29" thickBot="1">
      <c r="B42" s="958" t="s">
        <v>124</v>
      </c>
      <c r="C42" s="959" t="s">
        <v>911</v>
      </c>
      <c r="D42" s="816" t="s">
        <v>904</v>
      </c>
      <c r="E42" s="816"/>
      <c r="F42" s="750">
        <f>+INICIO!C19</f>
        <v>21</v>
      </c>
      <c r="G42" s="750" t="e">
        <f>+F42*'PROGRAMA ARQ.'!#REF!</f>
        <v>#REF!</v>
      </c>
      <c r="H42" s="750"/>
      <c r="I42" s="810"/>
      <c r="K42" s="496" t="s">
        <v>1406</v>
      </c>
    </row>
    <row r="43" spans="2:13" ht="15" thickBot="1">
      <c r="B43" s="2023" t="s">
        <v>132</v>
      </c>
      <c r="C43" s="2024"/>
      <c r="D43" s="816" t="s">
        <v>298</v>
      </c>
      <c r="E43" s="750"/>
      <c r="F43" s="750"/>
      <c r="G43" s="750"/>
      <c r="H43" s="1019"/>
      <c r="I43" s="810"/>
      <c r="K43" s="464" t="s">
        <v>935</v>
      </c>
    </row>
    <row r="44" spans="2:13">
      <c r="B44" s="1966" t="s">
        <v>133</v>
      </c>
      <c r="C44" s="2020"/>
      <c r="D44" s="764" t="s">
        <v>905</v>
      </c>
      <c r="E44" s="764"/>
      <c r="F44" s="762"/>
      <c r="G44" s="762"/>
      <c r="H44" s="762"/>
      <c r="I44" s="805"/>
      <c r="K44" s="496" t="s">
        <v>1432</v>
      </c>
    </row>
    <row r="45" spans="2:13">
      <c r="B45" s="1967"/>
      <c r="C45" s="2021"/>
      <c r="D45" s="652" t="s">
        <v>382</v>
      </c>
      <c r="E45" s="652"/>
      <c r="F45" s="642"/>
      <c r="G45" s="642"/>
      <c r="H45" s="642"/>
      <c r="I45" s="791"/>
      <c r="K45" s="496" t="s">
        <v>1432</v>
      </c>
    </row>
    <row r="46" spans="2:13" ht="28">
      <c r="B46" s="1967"/>
      <c r="C46" s="2021"/>
      <c r="D46" s="652" t="s">
        <v>376</v>
      </c>
      <c r="E46" s="652"/>
      <c r="F46" s="642"/>
      <c r="G46" s="642"/>
      <c r="H46" s="642"/>
      <c r="I46" s="791"/>
      <c r="K46" s="496" t="s">
        <v>1432</v>
      </c>
    </row>
    <row r="47" spans="2:13">
      <c r="B47" s="1967"/>
      <c r="C47" s="2021"/>
      <c r="D47" s="652" t="s">
        <v>317</v>
      </c>
      <c r="E47" s="652"/>
      <c r="F47" s="642"/>
      <c r="G47" s="642"/>
      <c r="H47" s="642"/>
      <c r="I47" s="791"/>
      <c r="K47" s="496" t="s">
        <v>1432</v>
      </c>
    </row>
    <row r="48" spans="2:13" ht="15" thickBot="1">
      <c r="B48" s="1968"/>
      <c r="C48" s="2022"/>
      <c r="D48" s="752" t="s">
        <v>318</v>
      </c>
      <c r="E48" s="752"/>
      <c r="F48" s="759"/>
      <c r="G48" s="759"/>
      <c r="H48" s="759"/>
      <c r="I48" s="592"/>
      <c r="K48" s="496" t="s">
        <v>1432</v>
      </c>
    </row>
    <row r="49" spans="1:11" ht="28">
      <c r="B49" s="1966" t="s">
        <v>134</v>
      </c>
      <c r="C49" s="2020"/>
      <c r="D49" s="764" t="s">
        <v>885</v>
      </c>
      <c r="E49" s="764"/>
      <c r="F49" s="762"/>
      <c r="G49" s="762"/>
      <c r="H49" s="762"/>
      <c r="I49" s="805"/>
      <c r="K49" s="496" t="s">
        <v>1432</v>
      </c>
    </row>
    <row r="50" spans="1:11" s="1165" customFormat="1" ht="15" thickBot="1">
      <c r="B50" s="1968"/>
      <c r="C50" s="2022"/>
      <c r="D50" s="1332" t="s">
        <v>320</v>
      </c>
      <c r="E50" s="1332"/>
      <c r="F50" s="1269"/>
      <c r="G50" s="1269"/>
      <c r="H50" s="1269"/>
      <c r="I50" s="1270"/>
      <c r="K50" s="1327" t="s">
        <v>1454</v>
      </c>
    </row>
    <row r="51" spans="1:11" s="1165" customFormat="1">
      <c r="A51" s="1858" t="s">
        <v>137</v>
      </c>
      <c r="B51" s="1966" t="s">
        <v>135</v>
      </c>
      <c r="C51" s="2025" t="s">
        <v>248</v>
      </c>
      <c r="D51" s="1235" t="s">
        <v>322</v>
      </c>
      <c r="E51" s="1235"/>
      <c r="F51" s="1236"/>
      <c r="G51" s="1236"/>
      <c r="H51" s="1236"/>
      <c r="I51" s="1254"/>
      <c r="K51" s="1327" t="s">
        <v>1454</v>
      </c>
    </row>
    <row r="52" spans="1:11" s="1165" customFormat="1">
      <c r="A52" s="1859"/>
      <c r="B52" s="1967"/>
      <c r="C52" s="2026"/>
      <c r="D52" s="1328" t="s">
        <v>323</v>
      </c>
      <c r="E52" s="1328"/>
      <c r="F52" s="1262"/>
      <c r="G52" s="1262"/>
      <c r="H52" s="1262"/>
      <c r="I52" s="1263"/>
      <c r="K52" s="1327" t="s">
        <v>1454</v>
      </c>
    </row>
    <row r="53" spans="1:11">
      <c r="A53" s="1859"/>
      <c r="B53" s="1967"/>
      <c r="C53" s="1893" t="s">
        <v>249</v>
      </c>
      <c r="D53" s="652" t="s">
        <v>240</v>
      </c>
      <c r="E53" s="652"/>
      <c r="F53" s="642"/>
      <c r="G53" s="642"/>
      <c r="H53" s="642"/>
      <c r="I53" s="791"/>
      <c r="K53" s="496" t="s">
        <v>1406</v>
      </c>
    </row>
    <row r="54" spans="1:11">
      <c r="A54" s="1859"/>
      <c r="B54" s="1967"/>
      <c r="C54" s="1893"/>
      <c r="D54" s="652" t="s">
        <v>324</v>
      </c>
      <c r="E54" s="652"/>
      <c r="F54" s="642"/>
      <c r="G54" s="642"/>
      <c r="H54" s="642"/>
      <c r="I54" s="791"/>
      <c r="K54" s="496" t="s">
        <v>1406</v>
      </c>
    </row>
    <row r="55" spans="1:11">
      <c r="A55" s="1859"/>
      <c r="B55" s="1967"/>
      <c r="C55" s="1893" t="s">
        <v>250</v>
      </c>
      <c r="D55" s="652" t="s">
        <v>325</v>
      </c>
      <c r="E55" s="652"/>
      <c r="F55" s="642"/>
      <c r="G55" s="642"/>
      <c r="H55" s="642"/>
      <c r="I55" s="791"/>
      <c r="K55" s="496" t="s">
        <v>1406</v>
      </c>
    </row>
    <row r="56" spans="1:11">
      <c r="A56" s="1859"/>
      <c r="B56" s="1967"/>
      <c r="C56" s="1893"/>
      <c r="D56" s="652" t="s">
        <v>326</v>
      </c>
      <c r="E56" s="652"/>
      <c r="F56" s="642"/>
      <c r="G56" s="642"/>
      <c r="H56" s="642"/>
      <c r="I56" s="791"/>
      <c r="K56" s="496" t="s">
        <v>1406</v>
      </c>
    </row>
    <row r="57" spans="1:11" ht="15" thickBot="1">
      <c r="A57" s="1859"/>
      <c r="B57" s="1968"/>
      <c r="C57" s="2017"/>
      <c r="D57" s="752" t="s">
        <v>327</v>
      </c>
      <c r="E57" s="752"/>
      <c r="F57" s="759"/>
      <c r="G57" s="759"/>
      <c r="H57" s="759"/>
      <c r="I57" s="592"/>
      <c r="K57" s="496" t="s">
        <v>1406</v>
      </c>
    </row>
    <row r="58" spans="1:11" ht="29" customHeight="1">
      <c r="A58" s="1859"/>
      <c r="B58" s="1966" t="s">
        <v>138</v>
      </c>
      <c r="C58" s="1892" t="s">
        <v>438</v>
      </c>
      <c r="D58" s="764" t="s">
        <v>330</v>
      </c>
      <c r="E58" s="764"/>
      <c r="F58" s="762"/>
      <c r="G58" s="762"/>
      <c r="H58" s="762"/>
      <c r="I58" s="805"/>
      <c r="K58" s="496" t="s">
        <v>1406</v>
      </c>
    </row>
    <row r="59" spans="1:11" ht="28">
      <c r="A59" s="1859"/>
      <c r="B59" s="1967"/>
      <c r="C59" s="1893"/>
      <c r="D59" s="652" t="s">
        <v>329</v>
      </c>
      <c r="E59" s="652"/>
      <c r="F59" s="642"/>
      <c r="G59" s="642"/>
      <c r="H59" s="642"/>
      <c r="I59" s="791"/>
      <c r="K59" s="496" t="s">
        <v>1406</v>
      </c>
    </row>
    <row r="60" spans="1:11" s="1165" customFormat="1">
      <c r="A60" s="1859"/>
      <c r="B60" s="1967"/>
      <c r="C60" s="1893"/>
      <c r="D60" s="1328" t="s">
        <v>331</v>
      </c>
      <c r="E60" s="1328"/>
      <c r="F60" s="1262"/>
      <c r="G60" s="1262"/>
      <c r="H60" s="1262"/>
      <c r="I60" s="1263"/>
      <c r="K60" s="1327" t="s">
        <v>436</v>
      </c>
    </row>
    <row r="61" spans="1:11">
      <c r="A61" s="1859"/>
      <c r="B61" s="1967"/>
      <c r="C61" s="1010" t="s">
        <v>251</v>
      </c>
      <c r="D61" s="652" t="s">
        <v>358</v>
      </c>
      <c r="E61" s="652"/>
      <c r="F61" s="642">
        <v>1</v>
      </c>
      <c r="G61" s="642" t="e">
        <f>+F61*'PROGRAMA ARQ.'!#REF!</f>
        <v>#REF!</v>
      </c>
      <c r="H61" s="642"/>
      <c r="I61" s="791"/>
      <c r="K61" s="496" t="s">
        <v>1406</v>
      </c>
    </row>
    <row r="62" spans="1:11">
      <c r="A62" s="1859"/>
      <c r="B62" s="1967"/>
      <c r="C62" s="1010" t="s">
        <v>252</v>
      </c>
      <c r="D62" s="652" t="s">
        <v>359</v>
      </c>
      <c r="E62" s="652"/>
      <c r="F62" s="642">
        <v>1</v>
      </c>
      <c r="G62" s="642" t="e">
        <f>+F62*'PROGRAMA ARQ.'!#REF!</f>
        <v>#REF!</v>
      </c>
      <c r="H62" s="642"/>
      <c r="I62" s="791"/>
      <c r="K62" s="496" t="s">
        <v>1406</v>
      </c>
    </row>
    <row r="63" spans="1:11">
      <c r="A63" s="1859"/>
      <c r="B63" s="1967"/>
      <c r="C63" s="1010" t="s">
        <v>253</v>
      </c>
      <c r="D63" s="652" t="s">
        <v>298</v>
      </c>
      <c r="E63" s="652"/>
      <c r="F63" s="642"/>
      <c r="G63" s="642"/>
      <c r="H63" s="642"/>
      <c r="I63" s="791"/>
      <c r="K63" s="464" t="s">
        <v>935</v>
      </c>
    </row>
    <row r="64" spans="1:11">
      <c r="A64" s="1859"/>
      <c r="B64" s="1967"/>
      <c r="C64" s="1010" t="s">
        <v>254</v>
      </c>
      <c r="D64" s="652" t="s">
        <v>298</v>
      </c>
      <c r="E64" s="652"/>
      <c r="F64" s="642"/>
      <c r="G64" s="642"/>
      <c r="H64" s="642"/>
      <c r="I64" s="791"/>
      <c r="K64" s="464" t="s">
        <v>935</v>
      </c>
    </row>
    <row r="65" spans="1:11" ht="15" thickBot="1">
      <c r="A65" s="1859"/>
      <c r="B65" s="1968"/>
      <c r="C65" s="1015" t="s">
        <v>255</v>
      </c>
      <c r="D65" s="752" t="s">
        <v>298</v>
      </c>
      <c r="E65" s="752"/>
      <c r="F65" s="759"/>
      <c r="G65" s="759"/>
      <c r="H65" s="759"/>
      <c r="I65" s="592"/>
      <c r="K65" s="464" t="s">
        <v>935</v>
      </c>
    </row>
    <row r="66" spans="1:11">
      <c r="A66" s="1859"/>
      <c r="B66" s="1966" t="s">
        <v>139</v>
      </c>
      <c r="C66" s="1014" t="s">
        <v>256</v>
      </c>
      <c r="D66" s="761" t="s">
        <v>298</v>
      </c>
      <c r="E66" s="761"/>
      <c r="F66" s="762"/>
      <c r="G66" s="762"/>
      <c r="H66" s="812"/>
      <c r="I66" s="805"/>
      <c r="K66" s="464" t="s">
        <v>935</v>
      </c>
    </row>
    <row r="67" spans="1:11" ht="29" thickBot="1">
      <c r="A67" s="1859"/>
      <c r="B67" s="1968"/>
      <c r="C67" s="1021" t="s">
        <v>257</v>
      </c>
      <c r="D67" s="752" t="s">
        <v>333</v>
      </c>
      <c r="E67" s="752"/>
      <c r="F67" s="759"/>
      <c r="G67" s="759"/>
      <c r="H67" s="759"/>
      <c r="I67" s="592"/>
      <c r="K67" s="496" t="s">
        <v>1406</v>
      </c>
    </row>
    <row r="68" spans="1:11">
      <c r="A68" s="1859"/>
      <c r="B68" s="1966" t="s">
        <v>142</v>
      </c>
      <c r="C68" s="2020"/>
      <c r="D68" s="764" t="s">
        <v>357</v>
      </c>
      <c r="E68" s="764"/>
      <c r="F68" s="762"/>
      <c r="G68" s="762"/>
      <c r="H68" s="762"/>
      <c r="I68" s="805"/>
      <c r="K68" s="496" t="s">
        <v>1432</v>
      </c>
    </row>
    <row r="69" spans="1:11">
      <c r="A69" s="1859"/>
      <c r="B69" s="1967"/>
      <c r="C69" s="2021"/>
      <c r="D69" s="652" t="s">
        <v>715</v>
      </c>
      <c r="E69" s="652"/>
      <c r="F69" s="642"/>
      <c r="G69" s="642"/>
      <c r="H69" s="642"/>
      <c r="I69" s="791"/>
      <c r="K69" s="496" t="s">
        <v>1432</v>
      </c>
    </row>
    <row r="70" spans="1:11" ht="15" thickBot="1">
      <c r="A70" s="1859"/>
      <c r="B70" s="1968"/>
      <c r="C70" s="2022"/>
      <c r="D70" s="1398" t="s">
        <v>1490</v>
      </c>
      <c r="E70" s="752"/>
      <c r="F70" s="759"/>
      <c r="G70" s="759"/>
      <c r="H70" s="759"/>
      <c r="I70" s="592"/>
      <c r="K70" s="496" t="s">
        <v>1432</v>
      </c>
    </row>
    <row r="71" spans="1:11">
      <c r="A71" s="1859"/>
      <c r="B71" s="1966" t="s">
        <v>264</v>
      </c>
      <c r="C71" s="2020"/>
      <c r="D71" s="764" t="s">
        <v>771</v>
      </c>
      <c r="E71" s="764"/>
      <c r="F71" s="762"/>
      <c r="G71" s="762"/>
      <c r="H71" s="762"/>
      <c r="I71" s="805"/>
      <c r="K71" s="496" t="s">
        <v>1406</v>
      </c>
    </row>
    <row r="72" spans="1:11" ht="15" thickBot="1">
      <c r="A72" s="1860"/>
      <c r="B72" s="1968"/>
      <c r="C72" s="2022"/>
      <c r="D72" s="1020" t="s">
        <v>717</v>
      </c>
      <c r="E72" s="1012"/>
      <c r="F72" s="759"/>
      <c r="G72" s="759"/>
      <c r="H72" s="759"/>
      <c r="I72" s="592"/>
      <c r="K72" s="496" t="s">
        <v>1406</v>
      </c>
    </row>
  </sheetData>
  <autoFilter ref="K1:K72"/>
  <mergeCells count="26">
    <mergeCell ref="A51:A72"/>
    <mergeCell ref="E3:I3"/>
    <mergeCell ref="B2:I2"/>
    <mergeCell ref="E4:I4"/>
    <mergeCell ref="E5:I5"/>
    <mergeCell ref="B8:C8"/>
    <mergeCell ref="B9:C12"/>
    <mergeCell ref="B13:B19"/>
    <mergeCell ref="C14:C15"/>
    <mergeCell ref="C16:C17"/>
    <mergeCell ref="B20:B21"/>
    <mergeCell ref="B22:C30"/>
    <mergeCell ref="B31:C33"/>
    <mergeCell ref="B34:B41"/>
    <mergeCell ref="B43:C43"/>
    <mergeCell ref="B44:C48"/>
    <mergeCell ref="B49:C50"/>
    <mergeCell ref="B51:B57"/>
    <mergeCell ref="C51:C52"/>
    <mergeCell ref="C53:C54"/>
    <mergeCell ref="C55:C57"/>
    <mergeCell ref="B71:C72"/>
    <mergeCell ref="B58:B65"/>
    <mergeCell ref="C58:C60"/>
    <mergeCell ref="B66:B67"/>
    <mergeCell ref="B68:C70"/>
  </mergeCells>
  <conditionalFormatting sqref="D6">
    <cfRule type="cellIs" dxfId="41" priority="5" operator="equal">
      <formula>0</formula>
    </cfRule>
  </conditionalFormatting>
  <conditionalFormatting sqref="C6">
    <cfRule type="cellIs" dxfId="40" priority="3" operator="equal">
      <formula>0</formula>
    </cfRule>
  </conditionalFormatting>
  <conditionalFormatting sqref="B6">
    <cfRule type="cellIs" dxfId="39" priority="2" operator="equal">
      <formula>0</formula>
    </cfRule>
  </conditionalFormatting>
  <pageMargins left="0.70866141732283472" right="0.70866141732283472" top="0.74803149606299213" bottom="0.74803149606299213" header="0.31496062992125984" footer="0.31496062992125984"/>
  <pageSetup scale="39" fitToHeight="0" orientation="portrait"/>
  <rowBreaks count="1" manualBreakCount="1">
    <brk id="43"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FF46B911-BA96-4A4A-B5E9-F413E8708179}">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23" operator="containsText" text="0" id="{FF46B911-BA96-4A4A-B5E9-F413E8708179}">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rgb="FF00B0F0"/>
    <pageSetUpPr fitToPage="1"/>
  </sheetPr>
  <dimension ref="A1:AY139"/>
  <sheetViews>
    <sheetView tabSelected="1" view="pageBreakPreview" topLeftCell="A16" zoomScale="125" zoomScaleNormal="125" zoomScalePageLayoutView="125" workbookViewId="0">
      <selection activeCell="D31" sqref="D31"/>
    </sheetView>
  </sheetViews>
  <sheetFormatPr baseColWidth="10" defaultColWidth="11.5" defaultRowHeight="14" x14ac:dyDescent="0"/>
  <cols>
    <col min="1" max="1" width="2.5" style="2" customWidth="1"/>
    <col min="2" max="2" width="21.33203125" style="6" customWidth="1"/>
    <col min="3" max="3" width="6.5" style="5" customWidth="1"/>
    <col min="4" max="4" width="66.1640625" style="6" customWidth="1"/>
    <col min="5" max="5" width="7.33203125" style="6" customWidth="1"/>
    <col min="6" max="6" width="14.1640625" style="5" customWidth="1"/>
    <col min="7" max="7" width="11.5" style="5" customWidth="1"/>
    <col min="8" max="8" width="11.83203125" style="5" customWidth="1"/>
    <col min="9" max="9" width="15.83203125" customWidth="1"/>
    <col min="10" max="10" width="2.1640625" style="81" customWidth="1"/>
    <col min="11" max="11" width="21" style="60" hidden="1" customWidth="1"/>
    <col min="12" max="12" width="22" style="60" hidden="1" customWidth="1"/>
    <col min="13" max="13" width="22.33203125" style="60" hidden="1" customWidth="1"/>
    <col min="14" max="14" width="12.6640625" style="60" hidden="1" customWidth="1"/>
    <col min="15" max="15" width="7.6640625" style="60" hidden="1" customWidth="1"/>
    <col min="16" max="16" width="6.6640625" style="60" hidden="1" customWidth="1"/>
    <col min="17" max="17" width="12.6640625" style="60" hidden="1" customWidth="1"/>
    <col min="18" max="18" width="64.1640625" style="24" hidden="1" customWidth="1"/>
    <col min="19" max="19" width="62.1640625" style="139" hidden="1" customWidth="1"/>
    <col min="20" max="26" width="11.5" hidden="1" customWidth="1"/>
    <col min="27" max="40" width="11.5" style="2" hidden="1" customWidth="1"/>
    <col min="41" max="46" width="11.5" style="2" customWidth="1"/>
    <col min="47" max="47" width="11.5" style="2" hidden="1" customWidth="1"/>
    <col min="48" max="50" width="31.1640625" style="1529" hidden="1" customWidth="1"/>
    <col min="51" max="51" width="55.6640625" style="2" hidden="1" customWidth="1"/>
    <col min="52" max="78" width="0" style="2" hidden="1" customWidth="1"/>
    <col min="79" max="16384" width="11.5" style="2"/>
  </cols>
  <sheetData>
    <row r="1" spans="1:50" ht="25">
      <c r="B1" s="223" t="str">
        <f>IF(INICIO!D6=INICIO!N31,"PROGRAMA ARQUITECTÓNICO META PRESIDENCIAL SALAS CUNA / 2 PISOS","PROGRAMA ARQUITECTÓNICO META PRESIDENCIAL SALAS CUNA / 1 PISO")</f>
        <v>PROGRAMA ARQUITECTÓNICO META PRESIDENCIAL SALAS CUNA / 1 PISO</v>
      </c>
    </row>
    <row r="2" spans="1:50" ht="11.5" customHeight="1" thickBot="1">
      <c r="B2" s="223"/>
    </row>
    <row r="3" spans="1:50" ht="15" thickBot="1">
      <c r="B3" s="91" t="s">
        <v>1512</v>
      </c>
      <c r="C3" s="1569">
        <f>+IF(INICIO!D6=INICIO!N31,2,1)</f>
        <v>1</v>
      </c>
      <c r="H3" s="1581"/>
      <c r="I3" s="1569" t="s">
        <v>1079</v>
      </c>
    </row>
    <row r="4" spans="1:50" ht="18">
      <c r="B4" s="1637">
        <f>+C9</f>
        <v>2</v>
      </c>
      <c r="C4" s="1641" t="s">
        <v>239</v>
      </c>
      <c r="D4" s="1639">
        <f>+C10</f>
        <v>4</v>
      </c>
      <c r="E4" s="1557" t="str">
        <f>IF(C9=1,"1 SALA CUNA",IF(C9=2,"2 SALAS CUNAS",IF(C9=3,"3 SALAS CUNAS",IF(C9=4,"4 SALAS CUNAS","SIN SALA CUNA"))))</f>
        <v>2 SALAS CUNAS</v>
      </c>
      <c r="F4" s="1558"/>
      <c r="G4" s="1558"/>
      <c r="H4" s="1582"/>
      <c r="I4" s="1609">
        <f>+I11</f>
        <v>152</v>
      </c>
      <c r="J4" s="256"/>
      <c r="K4" s="182"/>
      <c r="L4" s="182"/>
      <c r="M4" s="182"/>
      <c r="N4" s="182"/>
      <c r="O4" s="182"/>
      <c r="P4" s="182"/>
      <c r="Q4" s="54"/>
    </row>
    <row r="5" spans="1:50" ht="19" thickBot="1">
      <c r="B5" s="1638"/>
      <c r="C5" s="1642"/>
      <c r="D5" s="1640"/>
      <c r="E5" s="1559" t="str">
        <f>IF(C10=1,"1 NIVEL MEDIO",IF(C10=2,"2 NIVELES MEDIOS",IF(C10=3,"3 NIVELES MEDIOS",IF(C10=4,"4 NIVELES MEDIOS","SIN NIVEL MEDIO"))))</f>
        <v>4 NIVELES MEDIOS</v>
      </c>
      <c r="F5" s="1560"/>
      <c r="G5" s="1560"/>
      <c r="H5" s="1560"/>
      <c r="I5" s="1610"/>
      <c r="J5" s="257"/>
      <c r="K5" s="182"/>
      <c r="L5" s="182"/>
      <c r="M5" s="182"/>
      <c r="N5" s="182"/>
      <c r="O5" s="182"/>
      <c r="P5" s="182"/>
      <c r="Q5" s="54"/>
    </row>
    <row r="6" spans="1:50" ht="31" thickBot="1">
      <c r="A6" s="1"/>
      <c r="B6" s="1585"/>
      <c r="C6" s="1568"/>
      <c r="D6" s="1588" t="str">
        <f>IF(INICIO!D3=INICIO!N9,"ZONA CENTRO NORTE",IF(INICIO!D3=INICIO!N10,"ZONA CENTRO NORTE",IF(INICIO!D3=INICIO!N11,"ZONA CENTRO NORTE",IF(INICIO!D3=INICIO!N12,"ZONA CENTRO NORTE",IF(INICIO!D3=INICIO!N13,"ZONA CENTRO NORTE",IF(INICIO!D3=INICIO!N14,"ZONA CENTRO NORTE",IF(INICIO!D3=INICIO!N15,"ZONA CENTRO NORTE",IF(INICIO!D3=INICIO!N16,"ZONA CENTRO NORTE","ZONA SUR"))))))))</f>
        <v>ZONA CENTRO NORTE</v>
      </c>
      <c r="E6" s="1647" t="str">
        <f>IF(INICIO!D6=INICIO!N31,"2 PISOS","1 PISO")</f>
        <v>1 PISO</v>
      </c>
      <c r="F6" s="1647"/>
      <c r="G6" s="1647"/>
      <c r="H6" s="1647"/>
      <c r="I6" s="1648"/>
      <c r="J6" s="258"/>
      <c r="K6" s="50"/>
      <c r="L6" s="50"/>
      <c r="M6" s="50"/>
      <c r="N6" s="50"/>
      <c r="O6" s="50"/>
      <c r="P6" s="50"/>
      <c r="Q6" s="50"/>
      <c r="R6" s="24" t="s">
        <v>119</v>
      </c>
      <c r="S6" s="139" t="s">
        <v>121</v>
      </c>
      <c r="AV6" s="1536" t="s">
        <v>1523</v>
      </c>
      <c r="AW6" s="1536" t="s">
        <v>1522</v>
      </c>
      <c r="AX6" s="1536" t="s">
        <v>1524</v>
      </c>
    </row>
    <row r="7" spans="1:50" ht="19" thickBot="1">
      <c r="B7" s="141"/>
      <c r="C7" s="141"/>
      <c r="D7" s="141"/>
      <c r="E7" s="141"/>
      <c r="F7" s="141"/>
      <c r="G7" s="141"/>
      <c r="H7" s="141"/>
      <c r="I7" s="141"/>
      <c r="J7" s="161"/>
      <c r="K7" s="141"/>
      <c r="L7" s="141"/>
      <c r="M7" s="141"/>
      <c r="N7" s="141"/>
      <c r="O7" s="54"/>
      <c r="P7" s="141"/>
      <c r="Q7" s="54"/>
    </row>
    <row r="8" spans="1:50" ht="19" hidden="1" thickBot="1">
      <c r="B8" s="249" t="s">
        <v>182</v>
      </c>
      <c r="C8" s="181" t="str">
        <f>+INICIO!D3</f>
        <v>VALPARAISO</v>
      </c>
      <c r="D8" s="28"/>
      <c r="E8" s="181"/>
      <c r="F8" s="243"/>
      <c r="G8" s="243"/>
      <c r="H8" s="243"/>
      <c r="I8" s="244"/>
      <c r="J8" s="161"/>
      <c r="K8" s="85"/>
      <c r="L8" s="85"/>
      <c r="M8" s="85"/>
      <c r="N8" s="85"/>
      <c r="O8" s="54"/>
      <c r="P8" s="141"/>
      <c r="Q8" s="54"/>
    </row>
    <row r="9" spans="1:50" ht="18">
      <c r="B9" s="279" t="s">
        <v>13</v>
      </c>
      <c r="C9" s="280">
        <f>+INICIO!D4</f>
        <v>2</v>
      </c>
      <c r="D9" s="603" t="s">
        <v>88</v>
      </c>
      <c r="E9" s="604"/>
      <c r="F9" s="315"/>
      <c r="G9" s="315"/>
      <c r="H9" s="315"/>
      <c r="I9" s="281">
        <f>+INICIO!C12</f>
        <v>40</v>
      </c>
      <c r="J9" s="50"/>
      <c r="K9" s="54">
        <f>+IF(C3=2,I10,I10+I9)</f>
        <v>152</v>
      </c>
      <c r="L9" s="54"/>
      <c r="M9" s="54"/>
      <c r="N9" s="54"/>
      <c r="O9" s="54"/>
      <c r="P9" s="54"/>
      <c r="Q9" s="54"/>
    </row>
    <row r="10" spans="1:50" ht="18">
      <c r="B10" s="176" t="s">
        <v>14</v>
      </c>
      <c r="C10" s="175">
        <f>+INICIO!D5</f>
        <v>4</v>
      </c>
      <c r="D10" s="245" t="s">
        <v>89</v>
      </c>
      <c r="E10" s="207"/>
      <c r="F10" s="129"/>
      <c r="G10" s="129"/>
      <c r="H10" s="129"/>
      <c r="I10" s="177">
        <f>+INICIO!C13</f>
        <v>112</v>
      </c>
      <c r="J10" s="50"/>
      <c r="K10" s="54"/>
      <c r="L10" s="54"/>
      <c r="M10" s="54"/>
      <c r="N10" s="54"/>
      <c r="O10" s="54"/>
      <c r="P10" s="54"/>
      <c r="Q10" s="54"/>
    </row>
    <row r="11" spans="1:50" ht="19" thickBot="1">
      <c r="B11" s="178" t="s">
        <v>181</v>
      </c>
      <c r="C11" s="179">
        <f>+C9+C10</f>
        <v>6</v>
      </c>
      <c r="D11" s="246" t="s">
        <v>90</v>
      </c>
      <c r="E11" s="246"/>
      <c r="F11" s="247"/>
      <c r="G11" s="247"/>
      <c r="H11" s="247"/>
      <c r="I11" s="180">
        <f>+INICIO!C10</f>
        <v>152</v>
      </c>
      <c r="J11" s="50"/>
      <c r="K11" s="54"/>
      <c r="L11" s="54"/>
      <c r="M11" s="54"/>
      <c r="N11" s="54"/>
      <c r="O11" s="54"/>
      <c r="P11" s="54"/>
      <c r="Q11" s="54"/>
    </row>
    <row r="12" spans="1:50" ht="19" thickBot="1">
      <c r="B12" s="216"/>
      <c r="C12" s="217"/>
      <c r="D12" s="218"/>
      <c r="E12" s="66"/>
      <c r="K12" s="54"/>
      <c r="L12" s="54"/>
      <c r="M12" s="54"/>
      <c r="N12" s="54"/>
      <c r="O12" s="54"/>
      <c r="P12" s="54"/>
      <c r="Q12" s="54"/>
    </row>
    <row r="13" spans="1:50" ht="18">
      <c r="B13" s="1618" t="s">
        <v>118</v>
      </c>
      <c r="C13" s="1619"/>
      <c r="D13" s="1619"/>
      <c r="E13" s="1619"/>
      <c r="F13" s="1619"/>
      <c r="G13" s="1619"/>
      <c r="H13" s="1619"/>
      <c r="I13" s="1620"/>
      <c r="J13" s="258"/>
      <c r="K13" s="54"/>
      <c r="L13" s="54"/>
      <c r="M13" s="54"/>
      <c r="N13" s="54"/>
      <c r="O13" s="54"/>
      <c r="P13" s="54"/>
      <c r="Q13" s="54"/>
    </row>
    <row r="14" spans="1:50" ht="18">
      <c r="B14" s="1621"/>
      <c r="C14" s="1622"/>
      <c r="D14" s="1622"/>
      <c r="E14" s="1622"/>
      <c r="F14" s="1622"/>
      <c r="G14" s="1622"/>
      <c r="H14" s="1622"/>
      <c r="I14" s="1623"/>
      <c r="J14" s="258"/>
      <c r="K14" s="54"/>
      <c r="L14" s="54"/>
      <c r="M14" s="54"/>
      <c r="N14" s="54"/>
      <c r="O14" s="54"/>
      <c r="P14" s="54"/>
      <c r="Q14" s="54"/>
    </row>
    <row r="15" spans="1:50" ht="19" thickBot="1">
      <c r="B15" s="1624"/>
      <c r="C15" s="1625"/>
      <c r="D15" s="1625"/>
      <c r="E15" s="1625"/>
      <c r="F15" s="1625"/>
      <c r="G15" s="1625"/>
      <c r="H15" s="1625"/>
      <c r="I15" s="1626"/>
      <c r="J15" s="258"/>
      <c r="K15" s="55"/>
      <c r="L15" s="55"/>
      <c r="M15" s="55"/>
      <c r="N15" s="55"/>
      <c r="O15" s="55"/>
      <c r="P15" s="55"/>
      <c r="Q15" s="55"/>
    </row>
    <row r="16" spans="1:50" ht="26" thickBot="1">
      <c r="B16" s="1583"/>
      <c r="C16" s="1586"/>
      <c r="D16" s="1586"/>
      <c r="E16" s="1586"/>
      <c r="F16" s="1586"/>
      <c r="G16" s="1645" t="s">
        <v>1555</v>
      </c>
      <c r="H16" s="1646"/>
      <c r="I16" s="1584"/>
      <c r="J16" s="258"/>
      <c r="K16" s="55"/>
      <c r="L16" s="55"/>
      <c r="M16" s="55"/>
      <c r="N16" s="55"/>
      <c r="O16" s="55"/>
      <c r="P16" s="55"/>
      <c r="Q16" s="55"/>
    </row>
    <row r="17" spans="2:51" s="54" customFormat="1" ht="29" thickBot="1">
      <c r="B17" s="236" t="s">
        <v>223</v>
      </c>
      <c r="C17" s="235" t="s">
        <v>224</v>
      </c>
      <c r="D17" s="1447" t="s">
        <v>183</v>
      </c>
      <c r="E17" s="1447" t="s">
        <v>222</v>
      </c>
      <c r="F17" s="230" t="s">
        <v>226</v>
      </c>
      <c r="G17" s="696" t="s">
        <v>1520</v>
      </c>
      <c r="H17" s="229" t="s">
        <v>1514</v>
      </c>
      <c r="I17" s="695" t="s">
        <v>227</v>
      </c>
      <c r="J17" s="142"/>
      <c r="K17" s="232" t="s">
        <v>228</v>
      </c>
      <c r="L17" s="233" t="s">
        <v>229</v>
      </c>
      <c r="M17" s="230" t="s">
        <v>230</v>
      </c>
      <c r="N17" s="142"/>
      <c r="O17" s="142"/>
      <c r="P17" s="142"/>
      <c r="Q17" s="142"/>
      <c r="R17" s="143" t="s">
        <v>4</v>
      </c>
      <c r="S17" s="140"/>
      <c r="AV17" s="1535"/>
      <c r="AW17" s="1535"/>
      <c r="AX17" s="1535"/>
    </row>
    <row r="18" spans="2:51" ht="15" customHeight="1">
      <c r="B18" s="1603" t="s">
        <v>1326</v>
      </c>
      <c r="C18" s="237" t="s">
        <v>43</v>
      </c>
      <c r="D18" s="338" t="s">
        <v>147</v>
      </c>
      <c r="E18" s="52">
        <f>+INICIO!D4</f>
        <v>2</v>
      </c>
      <c r="F18" s="226">
        <f>IF(E18&gt;0,R18*INICIO!N4,0)</f>
        <v>62</v>
      </c>
      <c r="G18" s="1449">
        <f>+IF($C$3=1,E18*F18,0)</f>
        <v>124</v>
      </c>
      <c r="H18" s="1442">
        <f>+IF($C$3=2,E18*F18,0)</f>
        <v>0</v>
      </c>
      <c r="I18" s="1452">
        <f>+H18+G18</f>
        <v>124</v>
      </c>
      <c r="J18" s="82"/>
      <c r="K18" s="231">
        <f>+F18*2.5</f>
        <v>155</v>
      </c>
      <c r="L18" s="225">
        <f>IF(INICIO!D3=INICIO!N9,(F18*0.14),IF(INICIO!D3=INICIO!N10,(F18*0.14),IF(INICIO!D3=INICIO!N11,(F18*0.14),IF(INICIO!D3=INICIO!N12,(F18*0.14),IF(INICIO!D3=INICIO!N13,(F18*0.14),IF(INICIO!D3=INICIO!N14,(F18*0.17),IF(INICIO!D3=INICIO!N15,(F18*0.17),IF(INICIO!D3=INICIO!N16,(F18*0.17),IF(INICIO!D3=INICIO!N17,(F18*0.17),(F18*0.2))))))))))</f>
        <v>10.540000000000001</v>
      </c>
      <c r="M18" s="226">
        <f>+F18*0.08</f>
        <v>4.96</v>
      </c>
      <c r="N18" s="1606" t="s">
        <v>87</v>
      </c>
      <c r="O18" s="1600" t="s">
        <v>180</v>
      </c>
      <c r="P18" s="82">
        <f>+F18/20</f>
        <v>3.1</v>
      </c>
      <c r="Q18" s="82"/>
      <c r="R18" s="24">
        <v>3.1</v>
      </c>
      <c r="AV18" s="1532"/>
      <c r="AW18" s="1532"/>
      <c r="AX18" s="1532"/>
    </row>
    <row r="19" spans="2:51" ht="15" customHeight="1">
      <c r="B19" s="1604"/>
      <c r="C19" s="238" t="s">
        <v>44</v>
      </c>
      <c r="D19" s="206" t="s">
        <v>1515</v>
      </c>
      <c r="E19" s="51">
        <f>+INICIO!D4</f>
        <v>2</v>
      </c>
      <c r="F19" s="121">
        <f>IF(E19&gt;0,11.3,0)</f>
        <v>11.3</v>
      </c>
      <c r="G19" s="1449">
        <f>+IF($C$3=1,E19*F19,0)</f>
        <v>22.6</v>
      </c>
      <c r="H19" s="1442">
        <f>+IF($C$3=2,E19*F19,0)</f>
        <v>0</v>
      </c>
      <c r="I19" s="1452">
        <f t="shared" ref="I19:I34" si="0">+H19+G19</f>
        <v>22.6</v>
      </c>
      <c r="J19" s="13"/>
      <c r="K19" s="166"/>
      <c r="L19" s="8">
        <f>IF(F19&gt;0,F19*8%,0)</f>
        <v>0.90400000000000003</v>
      </c>
      <c r="M19" s="121">
        <f>IF(F19&gt;0,F19*4%,0)</f>
        <v>0.45200000000000001</v>
      </c>
      <c r="N19" s="1607"/>
      <c r="O19" s="1601"/>
      <c r="P19" s="13"/>
      <c r="Q19" s="13"/>
      <c r="R19" s="86">
        <f>F19/20</f>
        <v>0.56500000000000006</v>
      </c>
      <c r="S19" s="139" t="s">
        <v>12</v>
      </c>
      <c r="AV19" s="1532"/>
      <c r="AW19" s="1532"/>
      <c r="AX19" s="1532"/>
    </row>
    <row r="20" spans="2:51" ht="15" customHeight="1">
      <c r="B20" s="1604"/>
      <c r="C20" s="238" t="s">
        <v>45</v>
      </c>
      <c r="D20" s="206" t="s">
        <v>677</v>
      </c>
      <c r="E20" s="51">
        <f>IF(INICIO!D4=0,0,IF(INICIO!D4=1,1,IF(INICIO!D4=2,1,IF(INICIO!D4=3,2,IF(INICIO!D4=4,2,IF(INICIO!D4=5,3,"CONSULTAR"))))))</f>
        <v>1</v>
      </c>
      <c r="F20" s="120">
        <f>IF(E20&gt;0,20,0)</f>
        <v>20</v>
      </c>
      <c r="G20" s="1449">
        <f>+IF($C$3=1,E20*F20,0)</f>
        <v>20</v>
      </c>
      <c r="H20" s="1442">
        <f>+IF($C$3=2,E20*F20,0)</f>
        <v>0</v>
      </c>
      <c r="I20" s="1452">
        <f t="shared" si="0"/>
        <v>20</v>
      </c>
      <c r="J20" s="13"/>
      <c r="K20" s="165">
        <f>+F20*2.5</f>
        <v>50</v>
      </c>
      <c r="L20" s="22">
        <f>IF(INICIO!D3=INICIO!N9,(F20*0.14),IF(INICIO!D3=INICIO!N10,(F20*0.14),IF(INICIO!D3=INICIO!N11,(F20*0.14),IF(INICIO!D3=INICIO!N12,(F20*0.14),IF(INICIO!D3=INICIO!N13,(F20*0.14),IF(INICIO!D3=INICIO!N14,(F20*0.17),IF(INICIO!D3=INICIO!N15,(F20*0.17),IF(INICIO!D3=INICIO!N16,(F20*0.17),IF(INICIO!D3=INICIO!N17,(F20*0.17),(F20*0.2))))))))))</f>
        <v>3.4000000000000004</v>
      </c>
      <c r="M20" s="120">
        <f>+F20*0.08</f>
        <v>1.6</v>
      </c>
      <c r="N20" s="1608"/>
      <c r="O20" s="1602"/>
      <c r="P20" s="82"/>
      <c r="Q20" s="82"/>
      <c r="R20" s="24">
        <f>F20/20</f>
        <v>1</v>
      </c>
      <c r="S20" s="139" t="s">
        <v>114</v>
      </c>
      <c r="AV20" s="1533" t="s">
        <v>1537</v>
      </c>
      <c r="AW20" s="1532"/>
      <c r="AX20" s="743" t="s">
        <v>1525</v>
      </c>
      <c r="AY20" s="1573" t="s">
        <v>1557</v>
      </c>
    </row>
    <row r="21" spans="2:51" ht="15" customHeight="1">
      <c r="B21" s="1604"/>
      <c r="C21" s="238" t="s">
        <v>46</v>
      </c>
      <c r="D21" s="206" t="s">
        <v>146</v>
      </c>
      <c r="E21" s="51">
        <f>+INICIO!D5</f>
        <v>4</v>
      </c>
      <c r="F21" s="120">
        <f>IF(E21&gt;0,+R21*INICIO!N5,0)</f>
        <v>64.399999999999991</v>
      </c>
      <c r="G21" s="1449">
        <f>E21*F21</f>
        <v>257.59999999999997</v>
      </c>
      <c r="H21" s="1442">
        <v>0</v>
      </c>
      <c r="I21" s="1452">
        <f t="shared" si="0"/>
        <v>257.59999999999997</v>
      </c>
      <c r="J21" s="82"/>
      <c r="K21" s="165">
        <f>+F21*2.5</f>
        <v>160.99999999999997</v>
      </c>
      <c r="L21" s="22">
        <f>IF(INICIO!D3=INICIO!N9,(F21*0.14),IF(INICIO!D3=INICIO!N10,(F21*0.14),IF(INICIO!D3=INICIO!N11,(F21*0.14),IF(INICIO!D3=INICIO!N12,(F21*0.14),IF(INICIO!D3=INICIO!N13,(F21*0.14),IF(INICIO!D3=INICIO!N14,(F21*0.17),IF(INICIO!D3=INICIO!N15,(F21*0.17),IF(INICIO!D3=INICIO!N16,(F21*0.17),IF(INICIO!D3=INICIO!N17,(F21*0.17),(F21*0.2))))))))))</f>
        <v>10.947999999999999</v>
      </c>
      <c r="M21" s="120">
        <f>+F21*0.08</f>
        <v>5.1519999999999992</v>
      </c>
      <c r="N21" s="1606" t="s">
        <v>145</v>
      </c>
      <c r="O21" s="1600" t="s">
        <v>179</v>
      </c>
      <c r="P21" s="82">
        <f>+F21/24</f>
        <v>2.6833333333333331</v>
      </c>
      <c r="Q21" s="82"/>
      <c r="R21" s="24">
        <v>2.2999999999999998</v>
      </c>
      <c r="AV21" s="1532"/>
      <c r="AW21" s="1532"/>
      <c r="AX21" s="743"/>
      <c r="AY21" s="218"/>
    </row>
    <row r="22" spans="2:51" ht="15" customHeight="1">
      <c r="B22" s="1604"/>
      <c r="C22" s="238" t="s">
        <v>47</v>
      </c>
      <c r="D22" s="206" t="s">
        <v>148</v>
      </c>
      <c r="E22" s="51">
        <f>+INICIO!D5</f>
        <v>4</v>
      </c>
      <c r="F22" s="121">
        <f>IF(E22&gt;0,11.3,0)</f>
        <v>11.3</v>
      </c>
      <c r="G22" s="1449">
        <f>E22*F22</f>
        <v>45.2</v>
      </c>
      <c r="H22" s="1442">
        <v>0</v>
      </c>
      <c r="I22" s="1452">
        <f t="shared" si="0"/>
        <v>45.2</v>
      </c>
      <c r="J22" s="13"/>
      <c r="K22" s="166"/>
      <c r="L22" s="8">
        <f>IF(F22&gt;0,F22*8%,0)</f>
        <v>0.90400000000000003</v>
      </c>
      <c r="M22" s="121">
        <f>IF(F22&gt;0,F22*4%,0)</f>
        <v>0.45200000000000001</v>
      </c>
      <c r="N22" s="1607"/>
      <c r="O22" s="1601"/>
      <c r="P22" s="13"/>
      <c r="Q22" s="13"/>
      <c r="R22" s="24">
        <f>F22/24</f>
        <v>0.47083333333333338</v>
      </c>
      <c r="S22" s="139" t="s">
        <v>117</v>
      </c>
      <c r="AV22" s="1532"/>
      <c r="AW22" s="1532"/>
      <c r="AX22" s="743"/>
      <c r="AY22" s="218"/>
    </row>
    <row r="23" spans="2:51" ht="15" customHeight="1" thickBot="1">
      <c r="B23" s="1605"/>
      <c r="C23" s="239" t="s">
        <v>48</v>
      </c>
      <c r="D23" s="1448" t="s">
        <v>678</v>
      </c>
      <c r="E23" s="69">
        <f>IF(INICIO!D5=0,0,IF(INICIO!D5=1,1,IF(INICIO!D5=2,1,IF(INICIO!D5=3,2,IF(INICIO!D5=4,2,IF(INICIO!D5=5,3,"CONSULTAR"))))))</f>
        <v>2</v>
      </c>
      <c r="F23" s="124">
        <f>IF(E23&gt;0,24,0)</f>
        <v>24</v>
      </c>
      <c r="G23" s="1449">
        <f>E23*F23</f>
        <v>48</v>
      </c>
      <c r="H23" s="1442">
        <v>0</v>
      </c>
      <c r="I23" s="1452">
        <f t="shared" si="0"/>
        <v>48</v>
      </c>
      <c r="J23" s="13"/>
      <c r="K23" s="167">
        <f>+F23*2.5</f>
        <v>60</v>
      </c>
      <c r="L23" s="128">
        <f>IF(INICIO!D3=INICIO!N9,(F23*0.14),IF(INICIO!D3=INICIO!N10,(F23*0.14),IF(INICIO!D3=INICIO!N11,(F23*0.14),IF(INICIO!D3=INICIO!N12,(F23*0.14),IF(INICIO!D3=INICIO!N13,(F23*0.14),IF(INICIO!D3=INICIO!N14,(F23*0.17),IF(INICIO!D3=INICIO!N15,(F23*0.17),IF(INICIO!D3=INICIO!N16,(F23*0.17),IF(INICIO!D3=INICIO!N17,(F23*0.17),(F23*0.2))))))))))</f>
        <v>4.08</v>
      </c>
      <c r="M23" s="168">
        <f>+F23*0.08</f>
        <v>1.92</v>
      </c>
      <c r="N23" s="1608"/>
      <c r="O23" s="1602"/>
      <c r="P23" s="82"/>
      <c r="Q23" s="82"/>
      <c r="R23" s="24">
        <f>F23/24</f>
        <v>1</v>
      </c>
      <c r="S23" s="139" t="s">
        <v>115</v>
      </c>
      <c r="AV23" s="1532"/>
      <c r="AW23" s="1532"/>
      <c r="AX23" s="743"/>
      <c r="AY23" s="218"/>
    </row>
    <row r="24" spans="2:51" ht="15" customHeight="1" thickBot="1">
      <c r="B24" s="1633"/>
      <c r="C24" s="1634"/>
      <c r="D24" s="1577" t="s">
        <v>0</v>
      </c>
      <c r="E24" s="26"/>
      <c r="F24" s="28"/>
      <c r="G24" s="1446">
        <f>SUM(G18:G23)</f>
        <v>517.39999999999986</v>
      </c>
      <c r="H24" s="1446">
        <f>SUM(H18:H23)</f>
        <v>0</v>
      </c>
      <c r="I24" s="30">
        <f>+H24+G24</f>
        <v>517.39999999999986</v>
      </c>
      <c r="J24" s="57"/>
      <c r="K24" s="57"/>
      <c r="L24" s="57"/>
      <c r="M24" s="57"/>
      <c r="N24" s="57"/>
      <c r="O24" s="57"/>
      <c r="P24" s="57"/>
      <c r="Q24" s="57"/>
      <c r="AV24" s="1532"/>
      <c r="AW24" s="1532"/>
      <c r="AX24" s="743"/>
      <c r="AY24" s="218"/>
    </row>
    <row r="25" spans="2:51" ht="15" customHeight="1">
      <c r="B25" s="1665" t="s">
        <v>126</v>
      </c>
      <c r="C25" s="237" t="s">
        <v>32</v>
      </c>
      <c r="D25" s="312" t="s">
        <v>1559</v>
      </c>
      <c r="E25" s="109">
        <v>1</v>
      </c>
      <c r="F25" s="126">
        <v>8.4</v>
      </c>
      <c r="G25" s="1451">
        <f>+F25*E25</f>
        <v>8.4</v>
      </c>
      <c r="H25" s="1443">
        <v>0</v>
      </c>
      <c r="I25" s="1537">
        <f t="shared" si="0"/>
        <v>8.4</v>
      </c>
      <c r="J25" s="13"/>
      <c r="K25" s="13"/>
      <c r="L25" s="13"/>
      <c r="M25" s="13"/>
      <c r="N25" s="13"/>
      <c r="O25" s="13"/>
      <c r="P25" s="13"/>
      <c r="Q25" s="13"/>
      <c r="R25" s="24" t="s">
        <v>5</v>
      </c>
      <c r="AV25" s="1532"/>
      <c r="AW25" s="1532"/>
      <c r="AX25" s="743"/>
      <c r="AY25" s="218"/>
    </row>
    <row r="26" spans="2:51" ht="15" customHeight="1">
      <c r="B26" s="1666"/>
      <c r="C26" s="238" t="s">
        <v>33</v>
      </c>
      <c r="D26" s="1540" t="s">
        <v>1560</v>
      </c>
      <c r="E26" s="127">
        <f>IF(INICIO!C11&gt;2,1,0)</f>
        <v>1</v>
      </c>
      <c r="F26" s="226">
        <f>IF(E26=0,0,8.4)</f>
        <v>8.4</v>
      </c>
      <c r="G26" s="1449">
        <f>+IF($C$3=1,E26*F26,0)</f>
        <v>8.4</v>
      </c>
      <c r="H26" s="1442">
        <f>+IF($C$3=2,E26*F26,0)</f>
        <v>0</v>
      </c>
      <c r="I26" s="1452">
        <f t="shared" si="0"/>
        <v>8.4</v>
      </c>
      <c r="J26" s="13"/>
      <c r="K26" s="13"/>
      <c r="L26" s="13"/>
      <c r="M26" s="13"/>
      <c r="N26" s="13"/>
      <c r="O26" s="13"/>
      <c r="P26" s="13"/>
      <c r="Q26" s="13"/>
      <c r="R26" s="24" t="s">
        <v>5</v>
      </c>
      <c r="AV26" s="1532" t="s">
        <v>1526</v>
      </c>
      <c r="AW26" s="1532"/>
      <c r="AX26" s="743" t="s">
        <v>1527</v>
      </c>
      <c r="AY26" s="1573" t="s">
        <v>1558</v>
      </c>
    </row>
    <row r="27" spans="2:51" ht="15" customHeight="1">
      <c r="B27" s="1666"/>
      <c r="C27" s="238" t="s">
        <v>34</v>
      </c>
      <c r="D27" s="1450" t="s">
        <v>151</v>
      </c>
      <c r="E27" s="127">
        <v>1</v>
      </c>
      <c r="F27" s="120">
        <f>IF(INICIO!C11=1,8.4,IF(INICIO!C11=2,8.4,IF(INICIO!C11=3,(8.4+0.5),IF(INICIO!C11=4,(8.4+1),IF(INICIO!C11=5,(8.4+1.5),IF(INICIO!C11=6,(8.4+2),IF(INICIO!C11=7,(8.4+2.5),IF(INICIO!C11=8,(8.4+3),"CONSULTAR"))))))))</f>
        <v>10.4</v>
      </c>
      <c r="G27" s="1524">
        <f>+F27*E27</f>
        <v>10.4</v>
      </c>
      <c r="H27" s="1525">
        <v>0</v>
      </c>
      <c r="I27" s="1452">
        <f t="shared" si="0"/>
        <v>10.4</v>
      </c>
      <c r="J27" s="13"/>
      <c r="K27" s="13"/>
      <c r="L27" s="13"/>
      <c r="M27" s="13"/>
      <c r="N27" s="13"/>
      <c r="O27" s="13"/>
      <c r="P27" s="13"/>
      <c r="Q27" s="13"/>
      <c r="R27" s="37" t="s">
        <v>895</v>
      </c>
      <c r="AV27" s="1532"/>
      <c r="AW27" s="1532"/>
      <c r="AX27" s="1532"/>
    </row>
    <row r="28" spans="2:51" ht="15" customHeight="1">
      <c r="B28" s="1666"/>
      <c r="C28" s="238" t="s">
        <v>35</v>
      </c>
      <c r="D28" s="1450" t="s">
        <v>1543</v>
      </c>
      <c r="E28" s="127">
        <v>1</v>
      </c>
      <c r="F28" s="120">
        <f>+INICIO!C19*1.5</f>
        <v>31.5</v>
      </c>
      <c r="G28" s="1449">
        <f>+IF($C$3=1,E28*F28,0)</f>
        <v>31.5</v>
      </c>
      <c r="H28" s="1442">
        <f>+IF($C$3=2,E28*F28,0)</f>
        <v>0</v>
      </c>
      <c r="I28" s="1452">
        <f t="shared" si="0"/>
        <v>31.5</v>
      </c>
      <c r="J28" s="13"/>
      <c r="K28" s="13"/>
      <c r="L28" s="13"/>
      <c r="M28" s="13"/>
      <c r="N28" s="13"/>
      <c r="O28" s="13"/>
      <c r="P28" s="13"/>
      <c r="Q28" s="13"/>
      <c r="R28" s="37" t="s">
        <v>896</v>
      </c>
      <c r="AV28" s="1532" t="s">
        <v>1546</v>
      </c>
      <c r="AW28" s="1532">
        <v>25.81</v>
      </c>
      <c r="AX28" s="1532" t="s">
        <v>1528</v>
      </c>
      <c r="AY28" s="1572" t="s">
        <v>1561</v>
      </c>
    </row>
    <row r="29" spans="2:51" ht="15" customHeight="1">
      <c r="B29" s="1666"/>
      <c r="C29" s="238" t="s">
        <v>36</v>
      </c>
      <c r="D29" s="1450" t="s">
        <v>1542</v>
      </c>
      <c r="E29" s="127">
        <v>1</v>
      </c>
      <c r="F29" s="120">
        <v>8.4</v>
      </c>
      <c r="G29" s="1524">
        <f>+F29*E29</f>
        <v>8.4</v>
      </c>
      <c r="H29" s="1525">
        <v>0</v>
      </c>
      <c r="I29" s="1452">
        <f t="shared" si="0"/>
        <v>8.4</v>
      </c>
      <c r="J29" s="13"/>
      <c r="K29" s="13"/>
      <c r="L29" s="13"/>
      <c r="M29" s="13"/>
      <c r="N29" s="13"/>
      <c r="O29" s="13"/>
      <c r="P29" s="13"/>
      <c r="Q29" s="13"/>
      <c r="R29" s="25" t="s">
        <v>897</v>
      </c>
      <c r="AV29" s="1532" t="s">
        <v>1541</v>
      </c>
      <c r="AW29" s="1532"/>
      <c r="AX29" s="1532" t="s">
        <v>1529</v>
      </c>
      <c r="AY29" s="1572" t="s">
        <v>1561</v>
      </c>
    </row>
    <row r="30" spans="2:51" ht="15" customHeight="1">
      <c r="B30" s="1666"/>
      <c r="C30" s="238" t="s">
        <v>37</v>
      </c>
      <c r="D30" s="1450" t="s">
        <v>153</v>
      </c>
      <c r="E30" s="127">
        <f>IF(INICIO!D4=0,0,IF(INICIO!D4=1,1,IF(INICIO!D4=2,1,IF(INICIO!D4=3,1,IF(INICIO!D4=4,2,"CONSULTAR")))))</f>
        <v>1</v>
      </c>
      <c r="F30" s="1541">
        <f>+IF(C3=1,3.6,4.6)</f>
        <v>3.6</v>
      </c>
      <c r="G30" s="1449">
        <f>+IF($C$3=1,E30*F30,0)</f>
        <v>3.6</v>
      </c>
      <c r="H30" s="1442">
        <f>+IF($C$3=2,E30*F30,0)</f>
        <v>0</v>
      </c>
      <c r="I30" s="1452">
        <f t="shared" si="0"/>
        <v>3.6</v>
      </c>
      <c r="J30" s="13"/>
      <c r="K30" s="13"/>
      <c r="L30" s="8">
        <f>IF(F30&gt;0,F30*8%,0)</f>
        <v>0.28800000000000003</v>
      </c>
      <c r="M30" s="121">
        <f>IF(F30&gt;0,F30*4%,0)</f>
        <v>0.14400000000000002</v>
      </c>
      <c r="N30" s="13"/>
      <c r="O30" s="13"/>
      <c r="P30" s="13"/>
      <c r="Q30" s="13"/>
      <c r="R30" s="25" t="s">
        <v>6</v>
      </c>
      <c r="AV30" s="1532" t="s">
        <v>1540</v>
      </c>
      <c r="AW30" s="1532">
        <v>5.51</v>
      </c>
      <c r="AX30" s="1532"/>
      <c r="AY30" s="1573" t="s">
        <v>1562</v>
      </c>
    </row>
    <row r="31" spans="2:51" ht="15" customHeight="1">
      <c r="B31" s="1666"/>
      <c r="C31" s="238" t="s">
        <v>38</v>
      </c>
      <c r="D31" s="1450" t="s">
        <v>154</v>
      </c>
      <c r="E31" s="127">
        <v>1</v>
      </c>
      <c r="F31" s="120">
        <v>3.6</v>
      </c>
      <c r="G31" s="1524">
        <f>+F31*E31</f>
        <v>3.6</v>
      </c>
      <c r="H31" s="1525">
        <v>0</v>
      </c>
      <c r="I31" s="1452">
        <f t="shared" si="0"/>
        <v>3.6</v>
      </c>
      <c r="J31" s="13"/>
      <c r="K31" s="13"/>
      <c r="L31" s="8">
        <f>IF(F31&gt;0,F31*8%,0)</f>
        <v>0.28800000000000003</v>
      </c>
      <c r="M31" s="121">
        <f>IF(F31&gt;0,F31*4%,0)</f>
        <v>0.14400000000000002</v>
      </c>
      <c r="N31" s="13"/>
      <c r="O31" s="13"/>
      <c r="P31" s="13"/>
      <c r="Q31" s="13"/>
      <c r="R31" s="24" t="s">
        <v>5</v>
      </c>
      <c r="AV31" s="1532"/>
      <c r="AW31" s="1532"/>
      <c r="AX31" s="1532"/>
    </row>
    <row r="32" spans="2:51" ht="15" customHeight="1">
      <c r="B32" s="1666"/>
      <c r="C32" s="238" t="s">
        <v>39</v>
      </c>
      <c r="D32" s="1450" t="s">
        <v>1521</v>
      </c>
      <c r="E32" s="1542">
        <f>IF(AND(C3=2,INICIO!C19&lt;10),1,IF(INICIO!C19&lt;10,0,1))</f>
        <v>1</v>
      </c>
      <c r="F32" s="120">
        <f>IF(E32&gt;0,1.96,0)</f>
        <v>1.96</v>
      </c>
      <c r="G32" s="1449">
        <f>+IF($C$3=1,E32*F32,0)</f>
        <v>1.96</v>
      </c>
      <c r="H32" s="1442">
        <f>+IF($C$3=2,E32*F32,0)</f>
        <v>0</v>
      </c>
      <c r="I32" s="1452">
        <f t="shared" si="0"/>
        <v>1.96</v>
      </c>
      <c r="J32" s="13"/>
      <c r="K32" s="13"/>
      <c r="L32" s="8">
        <f>IF(F32&gt;0,F32*8%,0)</f>
        <v>0.15679999999999999</v>
      </c>
      <c r="M32" s="121">
        <f>IF(F32&gt;0,F32*4%,0)</f>
        <v>7.8399999999999997E-2</v>
      </c>
      <c r="N32" s="13"/>
      <c r="O32" s="13"/>
      <c r="P32" s="13"/>
      <c r="Q32" s="13"/>
      <c r="S32" s="139" t="s">
        <v>85</v>
      </c>
      <c r="AV32" s="1532"/>
      <c r="AW32" s="1532"/>
      <c r="AX32" s="1532"/>
      <c r="AY32" s="1573" t="s">
        <v>1563</v>
      </c>
    </row>
    <row r="33" spans="1:51" ht="15" customHeight="1">
      <c r="B33" s="1666"/>
      <c r="C33" s="238" t="s">
        <v>40</v>
      </c>
      <c r="D33" s="1450" t="s">
        <v>157</v>
      </c>
      <c r="E33" s="127">
        <f>IF(C3=2,2,IF(INICIO!C11=1,1,IF(INICIO!C11=2,1,IF(INICIO!C11=3,1,IF(INICIO!C11=4,2,IF(INICIO!C11=5,2,IF(INICIO!C11&gt;5,2,"CONSULTAR")))))))</f>
        <v>2</v>
      </c>
      <c r="F33" s="120">
        <f>IF(INICIO!C11=3,7,IF(INICIO!C11&gt;6,7,5.5))</f>
        <v>5.5</v>
      </c>
      <c r="G33" s="1524">
        <f>+IF(C3=1,(F33*E33),(1*F33))</f>
        <v>11</v>
      </c>
      <c r="H33" s="1525">
        <f>+IF(C3=2,1*F33,0)</f>
        <v>0</v>
      </c>
      <c r="I33" s="1452">
        <f t="shared" si="0"/>
        <v>11</v>
      </c>
      <c r="J33" s="13"/>
      <c r="K33" s="13"/>
      <c r="L33" s="8">
        <f>IF(F33&gt;0,F33*8%,0)</f>
        <v>0.44</v>
      </c>
      <c r="M33" s="121">
        <f>IF(F33&gt;0,F33*4%,0)</f>
        <v>0.22</v>
      </c>
      <c r="N33" s="13"/>
      <c r="O33" s="13"/>
      <c r="P33" s="13"/>
      <c r="Q33" s="13"/>
      <c r="R33" s="37" t="s">
        <v>75</v>
      </c>
      <c r="S33" s="139" t="s">
        <v>8</v>
      </c>
      <c r="AV33" s="1532"/>
      <c r="AW33" s="1532"/>
      <c r="AX33" s="1532"/>
    </row>
    <row r="34" spans="1:51" ht="15" customHeight="1" thickBot="1">
      <c r="B34" s="1667"/>
      <c r="C34" s="238" t="s">
        <v>41</v>
      </c>
      <c r="D34" s="1450" t="s">
        <v>1578</v>
      </c>
      <c r="E34" s="127">
        <f>IF(INICIO!C11=1,1,IF(INICIO!C11=2,1,IF(INICIO!C11=3,1,IF(INICIO!C11=4,2,IF(INICIO!C11=5,2,IF(INICIO!C11&gt;5,2,"CONSULTAR"))))))</f>
        <v>2</v>
      </c>
      <c r="F34" s="120">
        <f>IF(INICIO!C11=3,6,IF(INICIO!C11&gt;6,6,5.5))</f>
        <v>5.5</v>
      </c>
      <c r="G34" s="1524">
        <f>+F34*E34</f>
        <v>11</v>
      </c>
      <c r="H34" s="1525">
        <v>0</v>
      </c>
      <c r="I34" s="1452">
        <f t="shared" si="0"/>
        <v>11</v>
      </c>
      <c r="J34" s="13"/>
      <c r="K34" s="13"/>
      <c r="L34" s="8">
        <f>IF(F34&gt;0,F34*8%,0)</f>
        <v>0.44</v>
      </c>
      <c r="M34" s="121">
        <f>IF(F34&gt;0,F34*4%,0)</f>
        <v>0.22</v>
      </c>
      <c r="N34" s="13"/>
      <c r="O34" s="13"/>
      <c r="P34" s="13"/>
      <c r="Q34" s="13"/>
      <c r="R34" s="37" t="s">
        <v>7</v>
      </c>
      <c r="S34" s="139" t="s">
        <v>8</v>
      </c>
      <c r="AV34" s="1532"/>
      <c r="AW34" s="1532"/>
      <c r="AX34" s="1532" t="s">
        <v>1530</v>
      </c>
      <c r="AY34" s="1573" t="s">
        <v>1579</v>
      </c>
    </row>
    <row r="35" spans="1:51" ht="15" customHeight="1" thickBot="1">
      <c r="B35" s="1631"/>
      <c r="C35" s="1632"/>
      <c r="D35" s="155" t="s">
        <v>0</v>
      </c>
      <c r="E35" s="1526"/>
      <c r="F35" s="1527"/>
      <c r="G35" s="410">
        <f>SUM(G25:G34)</f>
        <v>98.259999999999991</v>
      </c>
      <c r="H35" s="410">
        <f>SUM(H25:H34)</f>
        <v>0</v>
      </c>
      <c r="I35" s="1528">
        <f>+H35+G35</f>
        <v>98.259999999999991</v>
      </c>
      <c r="J35" s="57"/>
      <c r="K35" s="57"/>
      <c r="L35" s="57"/>
      <c r="M35" s="57"/>
      <c r="N35" s="57"/>
      <c r="O35" s="57"/>
      <c r="P35" s="57"/>
      <c r="Q35" s="57"/>
      <c r="AV35" s="1532"/>
      <c r="AW35" s="1532"/>
      <c r="AX35" s="1532"/>
    </row>
    <row r="36" spans="1:51" ht="15" customHeight="1">
      <c r="B36" s="1615" t="s">
        <v>127</v>
      </c>
      <c r="C36" s="237" t="s">
        <v>50</v>
      </c>
      <c r="D36" s="312" t="s">
        <v>160</v>
      </c>
      <c r="E36" s="1545">
        <f>IF(INICIO!D5=0,0,1)</f>
        <v>1</v>
      </c>
      <c r="F36" s="1546">
        <f>IF(INICIO!D5=0,0,IF(INICIO!D5=1,14,IF(INICIO!D5=2,14,IF(INICIO!D5=3,16,IF(INICIO!D5=4,18,"CONSULTAR")))))</f>
        <v>18</v>
      </c>
      <c r="G36" s="1135">
        <f>+F36*E36</f>
        <v>18</v>
      </c>
      <c r="H36" s="1546">
        <v>0</v>
      </c>
      <c r="I36" s="1537">
        <f>+H36+G36</f>
        <v>18</v>
      </c>
      <c r="J36" s="13"/>
      <c r="K36" s="13"/>
      <c r="L36" s="13"/>
      <c r="M36" s="13"/>
      <c r="N36" s="13"/>
      <c r="O36" s="13"/>
      <c r="P36" s="13"/>
      <c r="Q36" s="13"/>
      <c r="R36" s="37" t="s">
        <v>9</v>
      </c>
      <c r="S36" s="139" t="s">
        <v>84</v>
      </c>
      <c r="AV36" s="1532" t="s">
        <v>1544</v>
      </c>
      <c r="AW36" s="1532">
        <v>17.11</v>
      </c>
      <c r="AX36" s="1532"/>
    </row>
    <row r="37" spans="1:51" ht="15" customHeight="1">
      <c r="B37" s="1616"/>
      <c r="C37" s="238" t="s">
        <v>51</v>
      </c>
      <c r="D37" s="1540" t="s">
        <v>510</v>
      </c>
      <c r="E37" s="127">
        <f>IF(INICIO!D4=0,0,1)</f>
        <v>1</v>
      </c>
      <c r="F37" s="120">
        <f>IF(INICIO!D4=0,0,IF(INICIO!D4=1,9,IF(INICIO!D4=2,10,IF(INICIO!D4=3,13,IF(INICIO!D4=4,13,"CONSULTAR")))))</f>
        <v>10</v>
      </c>
      <c r="G37" s="165">
        <f>+F37*E37</f>
        <v>10</v>
      </c>
      <c r="H37" s="120">
        <v>0</v>
      </c>
      <c r="I37" s="1575">
        <f>+H37+G37</f>
        <v>10</v>
      </c>
      <c r="J37" s="13"/>
      <c r="K37" s="13"/>
      <c r="L37" s="13"/>
      <c r="M37" s="13"/>
      <c r="N37" s="13"/>
      <c r="O37" s="13"/>
      <c r="P37" s="13"/>
      <c r="Q37" s="13"/>
      <c r="R37" s="37"/>
      <c r="AV37" s="1532" t="s">
        <v>1531</v>
      </c>
      <c r="AW37" s="1532">
        <v>14.21</v>
      </c>
      <c r="AX37" s="1532"/>
    </row>
    <row r="38" spans="1:51" ht="15" customHeight="1">
      <c r="B38" s="1616"/>
      <c r="C38" s="238" t="s">
        <v>52</v>
      </c>
      <c r="D38" s="1450" t="s">
        <v>161</v>
      </c>
      <c r="E38" s="127">
        <f>IF(INICIO!D4=0,0,1)</f>
        <v>1</v>
      </c>
      <c r="F38" s="120">
        <f>IF(INICIO!D4=0,0,IF(INICIO!D4=1,5,IF(INICIO!D4=2,(5+0.5),IF(INICIO!D4=3,(5+3),IF(INICIO!D4&gt;3,8.5,"CONSULTAR")))))</f>
        <v>5.5</v>
      </c>
      <c r="G38" s="165">
        <f>+IF($C$3=1,E38*F38,0)</f>
        <v>5.5</v>
      </c>
      <c r="H38" s="120">
        <f>+IF($C$3=2,E38*F38,0)</f>
        <v>0</v>
      </c>
      <c r="I38" s="1575">
        <f t="shared" ref="I38:I44" si="1">+H38+G38</f>
        <v>5.5</v>
      </c>
      <c r="J38" s="13"/>
      <c r="K38" s="13"/>
      <c r="L38" s="13"/>
      <c r="M38" s="13"/>
      <c r="N38" s="13"/>
      <c r="O38" s="13"/>
      <c r="P38" s="13"/>
      <c r="Q38" s="13"/>
      <c r="R38" s="37" t="s">
        <v>898</v>
      </c>
      <c r="AV38" s="1532" t="s">
        <v>1531</v>
      </c>
      <c r="AW38" s="1532">
        <v>8.41</v>
      </c>
      <c r="AX38" s="1532"/>
      <c r="AY38" s="1572" t="s">
        <v>1564</v>
      </c>
    </row>
    <row r="39" spans="1:51" ht="15" customHeight="1">
      <c r="B39" s="1616"/>
      <c r="C39" s="238" t="s">
        <v>53</v>
      </c>
      <c r="D39" s="1450" t="s">
        <v>1565</v>
      </c>
      <c r="E39" s="127">
        <v>1</v>
      </c>
      <c r="F39" s="120">
        <f>IF(INICIO!C11=1,5.5,IF(INICIO!C11=2,6,IF(INICIO!C11=3,(6+1),IF(INICIO!C11=4,(6+2),IF(INICIO!C11=5,(6+2.5),IF(INICIO!C11=6,(6+3),IF(INICIO!C11&gt;6,(6+4),"CONSULTAR")))))))</f>
        <v>9</v>
      </c>
      <c r="G39" s="165">
        <f t="shared" ref="G39:G44" si="2">+F39*E39</f>
        <v>9</v>
      </c>
      <c r="H39" s="120"/>
      <c r="I39" s="1575">
        <f t="shared" si="1"/>
        <v>9</v>
      </c>
      <c r="J39" s="13"/>
      <c r="K39" s="13"/>
      <c r="L39" s="13"/>
      <c r="M39" s="13"/>
      <c r="N39" s="13"/>
      <c r="O39" s="13"/>
      <c r="P39" s="13"/>
      <c r="Q39" s="13"/>
      <c r="R39" s="37" t="s">
        <v>11</v>
      </c>
      <c r="S39" s="139" t="s">
        <v>110</v>
      </c>
      <c r="AV39" s="1532" t="s">
        <v>1547</v>
      </c>
      <c r="AW39" s="1532">
        <v>14.21</v>
      </c>
      <c r="AX39" s="1532"/>
    </row>
    <row r="40" spans="1:51" ht="15" customHeight="1">
      <c r="B40" s="1616"/>
      <c r="C40" s="238" t="s">
        <v>54</v>
      </c>
      <c r="D40" s="1450" t="s">
        <v>1566</v>
      </c>
      <c r="E40" s="127">
        <v>1</v>
      </c>
      <c r="F40" s="120">
        <f>IF(INICIO!C11=1,4,IF(INICIO!C11=2,4,IF(INICIO!C11=3,(4+1.5),IF(INICIO!C11=4,(4+1.5),IF(INICIO!C11=5,(4+2),IF(INICIO!C11=6,(4+2),IF(INICIO!C11&gt;6,8,"CONSULTAR")))))))</f>
        <v>6</v>
      </c>
      <c r="G40" s="165">
        <f t="shared" si="2"/>
        <v>6</v>
      </c>
      <c r="H40" s="120"/>
      <c r="I40" s="1575">
        <f t="shared" si="1"/>
        <v>6</v>
      </c>
      <c r="J40" s="13"/>
      <c r="K40" s="13"/>
      <c r="L40" s="13"/>
      <c r="M40" s="13"/>
      <c r="N40" s="13"/>
      <c r="O40" s="13"/>
      <c r="P40" s="13"/>
      <c r="Q40" s="13"/>
      <c r="R40" s="37"/>
      <c r="AV40" s="1532"/>
      <c r="AW40" s="1532"/>
      <c r="AX40" s="1532"/>
    </row>
    <row r="41" spans="1:51" ht="15" customHeight="1">
      <c r="B41" s="1616"/>
      <c r="C41" s="238" t="s">
        <v>55</v>
      </c>
      <c r="D41" s="1450" t="s">
        <v>1567</v>
      </c>
      <c r="E41" s="51">
        <v>1</v>
      </c>
      <c r="F41" s="121">
        <v>1</v>
      </c>
      <c r="G41" s="166">
        <f t="shared" si="2"/>
        <v>1</v>
      </c>
      <c r="H41" s="121"/>
      <c r="I41" s="1454">
        <f t="shared" si="1"/>
        <v>1</v>
      </c>
      <c r="J41" s="13"/>
      <c r="K41" s="13"/>
      <c r="L41" s="13"/>
      <c r="M41" s="13"/>
      <c r="N41" s="13"/>
      <c r="O41" s="13"/>
      <c r="P41" s="13"/>
      <c r="Q41" s="13"/>
      <c r="R41" s="24" t="s">
        <v>5</v>
      </c>
      <c r="S41" s="139" t="s">
        <v>91</v>
      </c>
      <c r="AV41" s="1532"/>
      <c r="AW41" s="1532"/>
      <c r="AX41" s="1532"/>
      <c r="AY41" s="1578"/>
    </row>
    <row r="42" spans="1:51" s="3" customFormat="1" ht="15" customHeight="1">
      <c r="B42" s="1616"/>
      <c r="C42" s="238" t="s">
        <v>509</v>
      </c>
      <c r="D42" s="1450" t="s">
        <v>1568</v>
      </c>
      <c r="E42" s="127">
        <v>1</v>
      </c>
      <c r="F42" s="120">
        <f>+IF(INICIO!C11&lt;3,3,IF(INICIO!C11&lt;5,5,IF(INICIO!C11&lt;7,7,IF(INICIO!C11&gt;6,8,0))))</f>
        <v>7</v>
      </c>
      <c r="G42" s="165">
        <f>+F42*E42</f>
        <v>7</v>
      </c>
      <c r="H42" s="120">
        <v>0</v>
      </c>
      <c r="I42" s="1575">
        <f>+H42+G42</f>
        <v>7</v>
      </c>
      <c r="J42" s="13"/>
      <c r="K42" s="13"/>
      <c r="L42" s="8">
        <f>IF(F42&gt;0,F42*8%,0)</f>
        <v>0.56000000000000005</v>
      </c>
      <c r="M42" s="121">
        <f>IF(F42&gt;0,F42*4%,0)</f>
        <v>0.28000000000000003</v>
      </c>
      <c r="N42" s="13"/>
      <c r="O42" s="13"/>
      <c r="P42" s="13"/>
      <c r="Q42" s="13"/>
      <c r="R42" s="38" t="s">
        <v>5</v>
      </c>
      <c r="S42" s="144"/>
      <c r="AV42" s="1532" t="s">
        <v>1532</v>
      </c>
      <c r="AW42" s="1532">
        <v>8.41</v>
      </c>
      <c r="AX42" s="1532"/>
      <c r="AY42" s="1574" t="s">
        <v>1576</v>
      </c>
    </row>
    <row r="43" spans="1:51" ht="15" customHeight="1">
      <c r="B43" s="1616"/>
      <c r="C43" s="238" t="s">
        <v>511</v>
      </c>
      <c r="D43" s="1450" t="s">
        <v>1570</v>
      </c>
      <c r="E43" s="127">
        <v>1</v>
      </c>
      <c r="F43" s="120">
        <v>4</v>
      </c>
      <c r="G43" s="165">
        <f>+F43*E43</f>
        <v>4</v>
      </c>
      <c r="H43" s="120"/>
      <c r="I43" s="1575">
        <f>+H43+G43</f>
        <v>4</v>
      </c>
      <c r="J43" s="13"/>
      <c r="K43" s="13"/>
      <c r="L43" s="13"/>
      <c r="M43" s="13"/>
      <c r="N43" s="13"/>
      <c r="O43" s="13"/>
      <c r="P43" s="13"/>
      <c r="Q43" s="13"/>
      <c r="AV43" s="1532"/>
      <c r="AW43" s="1532"/>
      <c r="AX43" s="1532"/>
      <c r="AY43" s="1572" t="s">
        <v>1571</v>
      </c>
    </row>
    <row r="44" spans="1:51" ht="15" customHeight="1" thickBot="1">
      <c r="A44" s="17"/>
      <c r="B44" s="1617"/>
      <c r="C44" s="239" t="s">
        <v>1577</v>
      </c>
      <c r="D44" s="1543" t="s">
        <v>1569</v>
      </c>
      <c r="E44" s="1544">
        <v>1</v>
      </c>
      <c r="F44" s="168">
        <v>4</v>
      </c>
      <c r="G44" s="167">
        <f t="shared" si="2"/>
        <v>4</v>
      </c>
      <c r="H44" s="168"/>
      <c r="I44" s="1576">
        <f t="shared" si="1"/>
        <v>4</v>
      </c>
      <c r="J44" s="13"/>
      <c r="K44" s="13"/>
      <c r="L44" s="13"/>
      <c r="M44" s="13"/>
      <c r="N44" s="13"/>
      <c r="O44" s="13"/>
      <c r="P44" s="13"/>
      <c r="Q44" s="13"/>
      <c r="R44" s="24" t="s">
        <v>5</v>
      </c>
      <c r="AV44" s="1532" t="s">
        <v>1533</v>
      </c>
      <c r="AW44" s="1532"/>
      <c r="AX44" s="1532" t="s">
        <v>1534</v>
      </c>
      <c r="AY44" s="1572" t="s">
        <v>1571</v>
      </c>
    </row>
    <row r="45" spans="1:51" ht="15" customHeight="1" thickBot="1">
      <c r="B45" s="1627"/>
      <c r="C45" s="1628"/>
      <c r="D45" s="361" t="s">
        <v>0</v>
      </c>
      <c r="E45" s="359"/>
      <c r="F45" s="152"/>
      <c r="G45" s="1458">
        <f>SUM(G36:G44)</f>
        <v>64.5</v>
      </c>
      <c r="H45" s="1458">
        <f>SUM(H36:H44)</f>
        <v>0</v>
      </c>
      <c r="I45" s="360">
        <f>SUM(I36:I44)</f>
        <v>64.5</v>
      </c>
      <c r="J45" s="57"/>
      <c r="K45" s="57"/>
      <c r="L45" s="57"/>
      <c r="M45" s="57"/>
      <c r="N45" s="57"/>
      <c r="O45" s="57"/>
      <c r="P45" s="57"/>
      <c r="Q45" s="57"/>
      <c r="AV45" s="1532"/>
      <c r="AW45" s="1532"/>
      <c r="AX45" s="1532"/>
    </row>
    <row r="46" spans="1:51" ht="15" customHeight="1" thickBot="1">
      <c r="B46" s="1629"/>
      <c r="C46" s="1630"/>
      <c r="D46" s="146" t="s">
        <v>95</v>
      </c>
      <c r="E46" s="147"/>
      <c r="F46" s="148"/>
      <c r="G46" s="1457">
        <f>+G45+G35+G24</f>
        <v>680.15999999999985</v>
      </c>
      <c r="H46" s="1457">
        <f>+H45+H35+H24</f>
        <v>0</v>
      </c>
      <c r="I46" s="149">
        <f>+H46+G46</f>
        <v>680.15999999999985</v>
      </c>
      <c r="J46" s="57"/>
      <c r="K46" s="57"/>
      <c r="L46" s="57"/>
      <c r="M46" s="57"/>
      <c r="N46" s="57"/>
      <c r="O46" s="57"/>
      <c r="P46" s="57"/>
      <c r="Q46" s="57"/>
      <c r="AV46" s="1532"/>
      <c r="AW46" s="1532"/>
      <c r="AX46" s="1532"/>
    </row>
    <row r="47" spans="1:51" ht="15" customHeight="1">
      <c r="B47" s="1615" t="s">
        <v>166</v>
      </c>
      <c r="C47" s="1440" t="s">
        <v>56</v>
      </c>
      <c r="D47" s="1435" t="s">
        <v>164</v>
      </c>
      <c r="E47" s="1611">
        <v>0.18</v>
      </c>
      <c r="F47" s="1612"/>
      <c r="G47" s="1467">
        <f>+G46*E47</f>
        <v>122.42879999999997</v>
      </c>
      <c r="H47" s="126">
        <f>+H46*E47</f>
        <v>0</v>
      </c>
      <c r="I47" s="1459">
        <f>+H47+G47</f>
        <v>122.42879999999997</v>
      </c>
      <c r="J47" s="13"/>
      <c r="K47" s="14"/>
      <c r="L47" s="14"/>
      <c r="M47" s="14"/>
      <c r="N47" s="14"/>
      <c r="O47" s="14"/>
      <c r="P47" s="14"/>
      <c r="Q47" s="14"/>
      <c r="AV47" s="1532"/>
      <c r="AW47" s="1532"/>
      <c r="AX47" s="1532"/>
    </row>
    <row r="48" spans="1:51" ht="15" customHeight="1" thickBot="1">
      <c r="B48" s="1616"/>
      <c r="C48" s="1439" t="s">
        <v>57</v>
      </c>
      <c r="D48" s="1460" t="s">
        <v>1573</v>
      </c>
      <c r="E48" s="1613"/>
      <c r="F48" s="1614"/>
      <c r="G48" s="166">
        <f>+IF($D$6="ZONA SUR",$AA$48,0)</f>
        <v>0</v>
      </c>
      <c r="H48" s="121">
        <f>+IF(C3=2,L48,0)</f>
        <v>0</v>
      </c>
      <c r="I48" s="1466">
        <f>+H48+G48</f>
        <v>0</v>
      </c>
      <c r="J48" s="13"/>
      <c r="K48" s="14"/>
      <c r="L48" s="124">
        <f>+IF($D$6="ZONA SUR",INICIO!C12*1,0)</f>
        <v>0</v>
      </c>
      <c r="M48" s="14"/>
      <c r="N48" s="14"/>
      <c r="O48" s="14"/>
      <c r="P48" s="14"/>
      <c r="Q48" s="14"/>
      <c r="R48" s="24" t="s">
        <v>49</v>
      </c>
      <c r="AA48" s="2">
        <f>IF(K9&gt;100,100,1*K9)</f>
        <v>100</v>
      </c>
      <c r="AV48" s="1532"/>
      <c r="AW48" s="1532"/>
      <c r="AX48" s="1532"/>
      <c r="AY48" s="1572" t="s">
        <v>1574</v>
      </c>
    </row>
    <row r="49" spans="1:51" ht="15" customHeight="1" thickBot="1">
      <c r="B49" s="1616"/>
      <c r="C49" s="1439" t="s">
        <v>207</v>
      </c>
      <c r="D49" s="1547" t="s">
        <v>1580</v>
      </c>
      <c r="E49" s="1635"/>
      <c r="F49" s="1636"/>
      <c r="G49" s="167">
        <f>+IF(C3=2,3.24,0)</f>
        <v>0</v>
      </c>
      <c r="H49" s="168">
        <f>+IF(C3=2,3.24,0)</f>
        <v>0</v>
      </c>
      <c r="I49" s="1548">
        <f>+H49+G49</f>
        <v>0</v>
      </c>
      <c r="J49" s="13"/>
      <c r="K49" s="14"/>
      <c r="L49" s="14"/>
      <c r="M49" s="14"/>
      <c r="N49" s="14"/>
      <c r="O49" s="14"/>
      <c r="P49" s="14"/>
      <c r="Q49" s="14"/>
      <c r="AV49" s="1532" t="s">
        <v>1535</v>
      </c>
      <c r="AW49" s="1532"/>
      <c r="AX49" s="1532"/>
    </row>
    <row r="50" spans="1:51" ht="15" customHeight="1" thickBot="1">
      <c r="A50" s="18"/>
      <c r="B50" s="1616"/>
      <c r="C50" s="1439"/>
      <c r="D50" s="1463" t="s">
        <v>0</v>
      </c>
      <c r="E50" s="1643"/>
      <c r="F50" s="1644"/>
      <c r="G50" s="1465">
        <f>SUM(G47:G49)</f>
        <v>122.42879999999997</v>
      </c>
      <c r="H50" s="1464">
        <f>SUM(H47:H49)</f>
        <v>0</v>
      </c>
      <c r="I50" s="95">
        <f>+H50+G50</f>
        <v>122.42879999999997</v>
      </c>
      <c r="J50" s="58"/>
      <c r="K50" s="58"/>
      <c r="L50" s="58"/>
      <c r="M50" s="58"/>
      <c r="N50" s="58"/>
      <c r="O50" s="58"/>
      <c r="P50" s="58"/>
      <c r="Q50" s="58"/>
      <c r="AV50" s="1532"/>
      <c r="AW50" s="1532"/>
      <c r="AX50" s="1532"/>
    </row>
    <row r="51" spans="1:51" ht="15" customHeight="1" thickBot="1">
      <c r="A51" s="18"/>
      <c r="B51" s="1617"/>
      <c r="C51" s="239"/>
      <c r="D51" s="93" t="s">
        <v>96</v>
      </c>
      <c r="E51" s="1461"/>
      <c r="F51" s="1462"/>
      <c r="G51" s="1473">
        <f>+G50+G46</f>
        <v>802.58879999999976</v>
      </c>
      <c r="H51" s="1473">
        <f>+H50+H46</f>
        <v>0</v>
      </c>
      <c r="I51" s="95">
        <f>+I50+I46</f>
        <v>802.58879999999976</v>
      </c>
      <c r="J51" s="58"/>
      <c r="K51" s="58"/>
      <c r="L51" s="58"/>
      <c r="M51" s="58"/>
      <c r="N51" s="58"/>
      <c r="O51" s="58"/>
      <c r="P51" s="58"/>
      <c r="Q51" s="58"/>
      <c r="AV51" s="1532"/>
      <c r="AW51" s="1532"/>
      <c r="AX51" s="1532"/>
    </row>
    <row r="52" spans="1:51" ht="15" customHeight="1" thickBot="1">
      <c r="B52" s="1677"/>
      <c r="C52" s="1678"/>
      <c r="D52" s="150" t="s">
        <v>1581</v>
      </c>
      <c r="E52" s="1598">
        <v>0.1</v>
      </c>
      <c r="F52" s="1599"/>
      <c r="G52" s="1458">
        <f>+G51*E52</f>
        <v>80.258879999999976</v>
      </c>
      <c r="H52" s="1458">
        <f>+H51*E52</f>
        <v>0</v>
      </c>
      <c r="I52" s="1455">
        <f>+H52+G52</f>
        <v>80.258879999999976</v>
      </c>
      <c r="J52" s="13"/>
      <c r="K52" s="13"/>
      <c r="L52" s="13"/>
      <c r="M52" s="13"/>
      <c r="N52" s="13"/>
      <c r="O52" s="13"/>
      <c r="P52" s="13"/>
      <c r="Q52" s="13"/>
      <c r="AV52" s="1532"/>
      <c r="AW52" s="1532"/>
      <c r="AX52" s="1532"/>
    </row>
    <row r="53" spans="1:51" ht="15" customHeight="1" thickBot="1">
      <c r="B53" s="1629"/>
      <c r="C53" s="1630"/>
      <c r="D53" s="97" t="s">
        <v>102</v>
      </c>
      <c r="E53" s="98"/>
      <c r="F53" s="99"/>
      <c r="G53" s="1564">
        <f>+G52+G51</f>
        <v>882.84767999999974</v>
      </c>
      <c r="H53" s="1565">
        <f>+H52+H51</f>
        <v>0</v>
      </c>
      <c r="I53" s="96">
        <f>SUM(I51:I52)</f>
        <v>882.84767999999974</v>
      </c>
      <c r="J53" s="57"/>
      <c r="K53" s="57"/>
      <c r="L53" s="57"/>
      <c r="M53" s="57"/>
      <c r="N53" s="57"/>
      <c r="O53" s="57"/>
      <c r="P53" s="57"/>
      <c r="Q53" s="57"/>
      <c r="AV53" s="1532"/>
      <c r="AW53" s="1532"/>
      <c r="AX53" s="1532"/>
    </row>
    <row r="54" spans="1:51" s="54" customFormat="1" ht="50" customHeight="1" thickBot="1">
      <c r="A54" s="88"/>
      <c r="B54" s="1539" t="s">
        <v>1551</v>
      </c>
      <c r="C54" s="1441" t="s">
        <v>92</v>
      </c>
      <c r="D54" s="194" t="s">
        <v>1575</v>
      </c>
      <c r="E54" s="1479"/>
      <c r="F54" s="1480"/>
      <c r="G54" s="1562">
        <f>+IF($D$6="ZONA CENTRO NORTE",$AA$48,0)</f>
        <v>100</v>
      </c>
      <c r="H54" s="1563">
        <f>+IF(C3=2,L54,0)</f>
        <v>0</v>
      </c>
      <c r="I54" s="1566">
        <f>+H54+G54</f>
        <v>100</v>
      </c>
      <c r="J54" s="13"/>
      <c r="K54" s="53"/>
      <c r="L54" s="124">
        <f>+IF($D$6="ZONA CENTRO NORTE",INICIO!C12*1,0)</f>
        <v>40</v>
      </c>
      <c r="M54" s="53"/>
      <c r="N54" s="53"/>
      <c r="O54" s="53"/>
      <c r="P54" s="53"/>
      <c r="Q54" s="53"/>
      <c r="R54" s="89"/>
      <c r="S54" s="140"/>
      <c r="AV54" s="1531"/>
      <c r="AW54" s="1531"/>
      <c r="AX54" s="1531"/>
      <c r="AY54" s="1572" t="s">
        <v>1574</v>
      </c>
    </row>
    <row r="55" spans="1:51" ht="15" customHeight="1" thickBot="1">
      <c r="A55" s="18"/>
      <c r="B55" s="1679"/>
      <c r="C55" s="1680"/>
      <c r="D55" s="101" t="s">
        <v>94</v>
      </c>
      <c r="E55" s="1483"/>
      <c r="F55" s="1468"/>
      <c r="G55" s="1487">
        <f>SUM(G54:G54)</f>
        <v>100</v>
      </c>
      <c r="H55" s="1469">
        <f>SUM(H54:H54)</f>
        <v>0</v>
      </c>
      <c r="I55" s="1470">
        <f>+H55+G55</f>
        <v>100</v>
      </c>
      <c r="J55" s="58"/>
      <c r="K55" s="15"/>
      <c r="L55" s="15"/>
      <c r="M55" s="15"/>
      <c r="N55" s="15"/>
      <c r="O55" s="15"/>
      <c r="P55" s="15"/>
      <c r="Q55" s="15"/>
      <c r="AV55" s="1532"/>
      <c r="AW55" s="1532"/>
      <c r="AX55" s="1532"/>
    </row>
    <row r="56" spans="1:51" ht="15" customHeight="1">
      <c r="A56" s="18"/>
      <c r="B56" s="1669" t="s">
        <v>129</v>
      </c>
      <c r="C56" s="240" t="s">
        <v>97</v>
      </c>
      <c r="D56" s="1481" t="s">
        <v>966</v>
      </c>
      <c r="E56" s="1481"/>
      <c r="F56" s="1485"/>
      <c r="G56" s="1497">
        <f>IF(INICIO!F6&gt;4,(+INICIO!C12*1),(+INICIO!C12*1.5))</f>
        <v>60</v>
      </c>
      <c r="H56" s="1471"/>
      <c r="I56" s="1453">
        <f>+H56+G56</f>
        <v>60</v>
      </c>
      <c r="J56" s="13"/>
      <c r="K56" s="45"/>
      <c r="L56" s="45"/>
      <c r="M56" s="45"/>
      <c r="N56" s="45"/>
      <c r="O56" s="45"/>
      <c r="P56" s="45"/>
      <c r="Q56" s="45"/>
      <c r="AV56" s="1532"/>
      <c r="AW56" s="1532"/>
      <c r="AX56" s="1532"/>
    </row>
    <row r="57" spans="1:51" ht="15" customHeight="1">
      <c r="A57" s="18"/>
      <c r="B57" s="1670"/>
      <c r="C57" s="242" t="s">
        <v>98</v>
      </c>
      <c r="D57" s="1482" t="s">
        <v>967</v>
      </c>
      <c r="E57" s="1482"/>
      <c r="F57" s="1486"/>
      <c r="G57" s="1498">
        <f>IF(INICIO!F6&gt;4,(+INICIO!C13*1),(+INICIO!C13*1.5))</f>
        <v>168</v>
      </c>
      <c r="H57" s="1472"/>
      <c r="I57" s="1456">
        <f>+H57+G57</f>
        <v>168</v>
      </c>
      <c r="J57" s="156"/>
      <c r="K57" s="20"/>
      <c r="L57" s="156"/>
      <c r="M57" s="20"/>
      <c r="N57" s="20"/>
      <c r="O57" s="20"/>
      <c r="P57" s="20"/>
      <c r="Q57" s="20"/>
      <c r="AV57" s="1532"/>
      <c r="AW57" s="1532"/>
      <c r="AX57" s="1532"/>
    </row>
    <row r="58" spans="1:51" ht="15" customHeight="1">
      <c r="A58" s="18"/>
      <c r="B58" s="1670"/>
      <c r="C58" s="242" t="s">
        <v>99</v>
      </c>
      <c r="D58" s="1482" t="s">
        <v>168</v>
      </c>
      <c r="E58" s="1482"/>
      <c r="F58" s="1486"/>
      <c r="G58" s="1499">
        <f>IF(INICIO!F6&gt;0,(INICIO!J10+INICIO!J11-I48-I54-I57-I56),(INICIO!C10*4-I48-I54-I57-I56))</f>
        <v>280</v>
      </c>
      <c r="H58" s="1472"/>
      <c r="I58" s="1454">
        <f>SUM(G58:H58)</f>
        <v>280</v>
      </c>
      <c r="J58" s="13"/>
      <c r="K58" s="45"/>
      <c r="L58" s="45"/>
      <c r="M58" s="45"/>
      <c r="N58" s="45"/>
      <c r="O58" s="45"/>
      <c r="P58" s="45"/>
      <c r="Q58" s="45"/>
      <c r="S58" s="139" t="s">
        <v>899</v>
      </c>
      <c r="AV58" s="1532"/>
      <c r="AW58" s="1532"/>
      <c r="AX58" s="1532"/>
    </row>
    <row r="59" spans="1:51" ht="15" customHeight="1" thickBot="1">
      <c r="A59" s="18"/>
      <c r="B59" s="1670"/>
      <c r="C59" s="242" t="s">
        <v>100</v>
      </c>
      <c r="D59" s="1482" t="s">
        <v>169</v>
      </c>
      <c r="E59" s="1552"/>
      <c r="F59" s="1553"/>
      <c r="G59" s="1554">
        <v>18</v>
      </c>
      <c r="H59" s="1555"/>
      <c r="I59" s="1556">
        <f>+H59+G59</f>
        <v>18</v>
      </c>
      <c r="J59" s="13"/>
      <c r="K59" s="45"/>
      <c r="L59" s="45"/>
      <c r="M59" s="45"/>
      <c r="N59" s="45"/>
      <c r="O59" s="45"/>
      <c r="P59" s="45"/>
      <c r="Q59" s="45"/>
      <c r="AV59" s="1532" t="s">
        <v>1545</v>
      </c>
      <c r="AW59" s="1532">
        <v>18</v>
      </c>
      <c r="AX59" s="1532"/>
    </row>
    <row r="60" spans="1:51" ht="15" customHeight="1" thickBot="1">
      <c r="B60" s="1679"/>
      <c r="C60" s="1680"/>
      <c r="D60" s="97" t="s">
        <v>103</v>
      </c>
      <c r="E60" s="1484"/>
      <c r="F60" s="1469"/>
      <c r="G60" s="1549">
        <f>SUM(G56:G59)</f>
        <v>526</v>
      </c>
      <c r="H60" s="1550">
        <f>SUM(H56:H59)</f>
        <v>0</v>
      </c>
      <c r="I60" s="1551">
        <f>SUM(G60:H60)</f>
        <v>526</v>
      </c>
      <c r="J60" s="57"/>
      <c r="K60" s="59"/>
      <c r="L60" s="59"/>
      <c r="M60" s="59"/>
      <c r="N60" s="59"/>
      <c r="O60" s="59"/>
      <c r="P60" s="59"/>
      <c r="Q60" s="59"/>
      <c r="AV60" s="1534"/>
      <c r="AW60" s="1534"/>
      <c r="AX60" s="1534"/>
    </row>
    <row r="61" spans="1:51" s="54" customFormat="1" ht="15" thickBot="1">
      <c r="B61" s="368"/>
      <c r="C61" s="368"/>
      <c r="D61" s="87"/>
      <c r="E61" s="87"/>
      <c r="F61" s="56"/>
      <c r="G61" s="56"/>
      <c r="H61" s="56"/>
      <c r="I61" s="57"/>
      <c r="J61" s="57"/>
      <c r="K61" s="59"/>
      <c r="L61" s="59"/>
      <c r="M61" s="59"/>
      <c r="N61" s="59"/>
      <c r="O61" s="59"/>
      <c r="P61" s="59"/>
      <c r="Q61" s="59"/>
      <c r="R61" s="89"/>
      <c r="S61" s="140"/>
      <c r="T61" s="60"/>
      <c r="U61" s="60"/>
      <c r="V61" s="60"/>
      <c r="W61" s="60"/>
      <c r="X61" s="60"/>
      <c r="Y61" s="60"/>
      <c r="Z61" s="60"/>
      <c r="AV61" s="1530"/>
      <c r="AW61" s="1530"/>
      <c r="AX61" s="1530"/>
    </row>
    <row r="62" spans="1:51" ht="29" thickBot="1">
      <c r="B62" s="91"/>
      <c r="C62" s="138"/>
      <c r="D62" s="1511" t="s">
        <v>900</v>
      </c>
      <c r="E62" s="104"/>
      <c r="F62" s="1500"/>
      <c r="G62" s="1500"/>
      <c r="H62" s="105"/>
      <c r="I62" s="1512">
        <f>+I58+I57+I56+I54+I48</f>
        <v>608</v>
      </c>
      <c r="J62" s="160"/>
      <c r="K62" s="2"/>
      <c r="L62" s="2">
        <v>100</v>
      </c>
      <c r="O62" s="2">
        <v>100</v>
      </c>
      <c r="AV62" s="3"/>
      <c r="AW62" s="3"/>
      <c r="AX62" s="3"/>
      <c r="AY62" s="1572" t="s">
        <v>1572</v>
      </c>
    </row>
    <row r="63" spans="1:51" ht="15" hidden="1" thickBot="1">
      <c r="G63" s="60"/>
      <c r="H63" s="54" t="s">
        <v>111</v>
      </c>
      <c r="I63" s="1538">
        <f>+I62/INICIO!C10</f>
        <v>4</v>
      </c>
      <c r="J63" s="157"/>
      <c r="K63" s="6"/>
      <c r="L63" s="183"/>
      <c r="M63" s="183">
        <f>+L62*G48/I62</f>
        <v>0</v>
      </c>
      <c r="O63" s="183">
        <f>+O62*L55/I62</f>
        <v>0</v>
      </c>
      <c r="AV63" s="3"/>
      <c r="AW63" s="3"/>
      <c r="AX63" s="3"/>
    </row>
    <row r="64" spans="1:51">
      <c r="G64" s="60"/>
      <c r="H64" s="54"/>
      <c r="I64" s="1561"/>
      <c r="J64" s="157"/>
      <c r="K64" s="6"/>
      <c r="L64" s="183"/>
      <c r="M64" s="183"/>
      <c r="O64" s="183"/>
      <c r="AV64" s="3"/>
      <c r="AW64" s="3"/>
      <c r="AX64" s="3"/>
    </row>
    <row r="65" spans="2:50">
      <c r="B65" s="1587" t="s">
        <v>1594</v>
      </c>
      <c r="D65" s="6" t="s">
        <v>1596</v>
      </c>
      <c r="G65" s="60"/>
      <c r="H65" s="54"/>
      <c r="I65" s="1561"/>
      <c r="J65" s="157"/>
      <c r="K65" s="6"/>
      <c r="L65" s="183"/>
      <c r="M65" s="183"/>
      <c r="O65" s="183"/>
      <c r="AV65" s="3"/>
      <c r="AW65" s="3"/>
      <c r="AX65" s="3"/>
    </row>
    <row r="66" spans="2:50">
      <c r="D66" s="6" t="s">
        <v>1595</v>
      </c>
      <c r="G66" s="60"/>
      <c r="H66" s="54"/>
      <c r="I66" s="1561"/>
      <c r="J66" s="157"/>
      <c r="K66" s="6"/>
      <c r="L66" s="183"/>
      <c r="M66" s="183"/>
      <c r="O66" s="183"/>
      <c r="AV66" s="3"/>
      <c r="AW66" s="3"/>
      <c r="AX66" s="3"/>
    </row>
    <row r="67" spans="2:50">
      <c r="D67" s="19"/>
      <c r="G67" s="60"/>
      <c r="H67" s="54"/>
      <c r="I67" s="1561"/>
      <c r="J67" s="157"/>
      <c r="K67" s="6"/>
      <c r="L67" s="183"/>
      <c r="M67" s="183"/>
      <c r="O67" s="183"/>
      <c r="AV67" s="3"/>
      <c r="AW67" s="3"/>
      <c r="AX67" s="3"/>
    </row>
    <row r="68" spans="2:50">
      <c r="G68" s="60"/>
      <c r="H68" s="54"/>
      <c r="I68" s="1561"/>
      <c r="J68" s="157"/>
      <c r="K68" s="6"/>
      <c r="L68" s="183"/>
      <c r="M68" s="183"/>
      <c r="O68" s="183"/>
      <c r="AV68" s="3"/>
      <c r="AW68" s="3"/>
      <c r="AX68" s="3"/>
    </row>
    <row r="69" spans="2:50">
      <c r="B69" s="1567"/>
      <c r="G69" s="60"/>
      <c r="H69" s="54"/>
      <c r="I69" s="1561"/>
      <c r="J69" s="157"/>
      <c r="K69" s="6"/>
      <c r="L69" s="183"/>
      <c r="M69" s="183"/>
      <c r="O69" s="183"/>
      <c r="AV69" s="3"/>
      <c r="AW69" s="3"/>
      <c r="AX69" s="3"/>
    </row>
    <row r="70" spans="2:50" ht="15" thickBot="1">
      <c r="F70" s="60"/>
      <c r="G70" s="60"/>
      <c r="H70" s="60"/>
      <c r="I70" s="157"/>
      <c r="J70" s="157"/>
      <c r="K70" s="6"/>
      <c r="L70" s="183"/>
      <c r="M70" s="183"/>
      <c r="O70" s="183"/>
      <c r="AV70" s="3"/>
      <c r="AW70" s="3"/>
      <c r="AX70" s="3"/>
    </row>
    <row r="71" spans="2:50" ht="38.5" customHeight="1" thickBot="1">
      <c r="B71" s="1501" t="s">
        <v>1556</v>
      </c>
      <c r="C71" s="31"/>
      <c r="D71" s="1478"/>
      <c r="E71" s="1478"/>
      <c r="F71" s="1478"/>
      <c r="G71" s="1478"/>
      <c r="H71" s="1478"/>
      <c r="I71" s="1488">
        <f>+I100</f>
        <v>1590.0543098583146</v>
      </c>
      <c r="J71" s="157"/>
      <c r="K71" s="6"/>
      <c r="L71" s="183"/>
      <c r="M71" s="183"/>
      <c r="O71" s="183"/>
      <c r="AV71" s="3"/>
      <c r="AW71" s="3"/>
      <c r="AX71" s="3" t="s">
        <v>1536</v>
      </c>
    </row>
    <row r="72" spans="2:50">
      <c r="F72" s="60"/>
      <c r="G72" s="60"/>
      <c r="H72" s="60"/>
      <c r="I72" s="157"/>
      <c r="J72" s="157"/>
      <c r="K72" s="6"/>
      <c r="L72" s="183"/>
      <c r="M72" s="183"/>
      <c r="O72" s="183"/>
      <c r="AX72" s="3"/>
    </row>
    <row r="73" spans="2:50" ht="23" hidden="1">
      <c r="B73" s="1589" t="s">
        <v>109</v>
      </c>
      <c r="C73" s="1590"/>
      <c r="D73" s="1590"/>
      <c r="E73" s="1590"/>
      <c r="F73" s="1590"/>
      <c r="G73" s="1590"/>
      <c r="H73" s="1590"/>
      <c r="I73" s="1591"/>
      <c r="J73" s="255"/>
      <c r="K73" s="59"/>
      <c r="L73" s="59"/>
      <c r="M73" s="59"/>
      <c r="N73" s="59"/>
      <c r="O73" s="59"/>
      <c r="P73" s="59"/>
      <c r="Q73" s="59"/>
      <c r="AX73" s="3"/>
    </row>
    <row r="74" spans="2:50" ht="23" hidden="1">
      <c r="B74" s="1592"/>
      <c r="C74" s="1593"/>
      <c r="D74" s="1593"/>
      <c r="E74" s="1593"/>
      <c r="F74" s="1593"/>
      <c r="G74" s="1593"/>
      <c r="H74" s="1593"/>
      <c r="I74" s="1594"/>
      <c r="J74" s="255"/>
      <c r="K74" s="59"/>
      <c r="L74" s="59"/>
      <c r="M74" s="59"/>
      <c r="N74" s="59"/>
      <c r="O74" s="59"/>
      <c r="P74" s="59"/>
      <c r="Q74" s="59"/>
      <c r="AX74" s="3"/>
    </row>
    <row r="75" spans="2:50" ht="24" hidden="1" thickBot="1">
      <c r="B75" s="1595"/>
      <c r="C75" s="1596"/>
      <c r="D75" s="1596"/>
      <c r="E75" s="1596"/>
      <c r="F75" s="1596"/>
      <c r="G75" s="1596"/>
      <c r="H75" s="1596"/>
      <c r="I75" s="1597"/>
      <c r="J75" s="255"/>
      <c r="K75" s="54"/>
      <c r="L75" s="54"/>
      <c r="M75" s="54"/>
      <c r="N75" s="54"/>
      <c r="O75" s="54"/>
      <c r="P75" s="54"/>
      <c r="Q75" s="54"/>
      <c r="AX75" s="3"/>
    </row>
    <row r="76" spans="2:50" ht="39" hidden="1" customHeight="1" thickBot="1">
      <c r="B76" s="273"/>
      <c r="C76" s="274"/>
      <c r="D76" s="91" t="s">
        <v>231</v>
      </c>
      <c r="E76" s="92"/>
      <c r="F76" s="1436"/>
      <c r="G76" s="266" t="s">
        <v>232</v>
      </c>
      <c r="H76" s="1444" t="s">
        <v>233</v>
      </c>
      <c r="I76" s="1509" t="s">
        <v>234</v>
      </c>
      <c r="J76" s="263"/>
      <c r="K76" s="54"/>
      <c r="L76" s="54"/>
      <c r="M76" s="54"/>
      <c r="N76" s="54"/>
      <c r="O76" s="54"/>
      <c r="P76" s="54"/>
      <c r="Q76" s="54"/>
      <c r="T76" s="2"/>
      <c r="U76" s="2"/>
      <c r="V76" s="2"/>
      <c r="W76" s="2"/>
      <c r="X76" s="2"/>
      <c r="Y76" s="2"/>
      <c r="Z76" s="2"/>
      <c r="AX76" s="3"/>
    </row>
    <row r="77" spans="2:50" ht="15" hidden="1" thickBot="1">
      <c r="B77" s="194"/>
      <c r="C77" s="253"/>
      <c r="D77" s="91" t="s">
        <v>106</v>
      </c>
      <c r="E77" s="92"/>
      <c r="F77" s="1436"/>
      <c r="G77" s="1506">
        <v>32</v>
      </c>
      <c r="H77" s="1508">
        <f>+I53</f>
        <v>882.84767999999974</v>
      </c>
      <c r="I77" s="1510">
        <f>+H77*G77</f>
        <v>28251.125759999992</v>
      </c>
      <c r="J77" s="158"/>
      <c r="K77" s="54"/>
      <c r="L77" s="54"/>
      <c r="M77" s="54"/>
      <c r="N77" s="54"/>
      <c r="O77" s="54"/>
      <c r="P77" s="54"/>
      <c r="Q77" s="54"/>
      <c r="AX77" s="3"/>
    </row>
    <row r="78" spans="2:50" ht="15" hidden="1" thickBot="1">
      <c r="B78" s="194"/>
      <c r="C78" s="253"/>
      <c r="D78" s="91" t="s">
        <v>107</v>
      </c>
      <c r="E78" s="92"/>
      <c r="F78" s="1436"/>
      <c r="G78" s="1506">
        <v>10</v>
      </c>
      <c r="H78" s="1508">
        <f>+I55</f>
        <v>100</v>
      </c>
      <c r="I78" s="1510">
        <f>+H78*G78</f>
        <v>1000</v>
      </c>
      <c r="J78" s="158"/>
      <c r="K78" s="54"/>
      <c r="L78" s="54"/>
      <c r="M78" s="54"/>
      <c r="N78" s="54"/>
      <c r="O78" s="54"/>
      <c r="P78" s="54"/>
      <c r="Q78" s="54"/>
    </row>
    <row r="79" spans="2:50" ht="15" hidden="1" thickBot="1">
      <c r="B79" s="194"/>
      <c r="C79" s="253"/>
      <c r="D79" s="91" t="s">
        <v>108</v>
      </c>
      <c r="E79" s="92"/>
      <c r="F79" s="1436"/>
      <c r="G79" s="1506">
        <v>2</v>
      </c>
      <c r="H79" s="1508">
        <f>+I60</f>
        <v>526</v>
      </c>
      <c r="I79" s="1510">
        <f>+H79*G79</f>
        <v>1052</v>
      </c>
      <c r="J79" s="158"/>
      <c r="K79" s="1420">
        <f>SUM(I77:I79)</f>
        <v>30303.125759999992</v>
      </c>
      <c r="L79" s="54"/>
      <c r="M79" s="54"/>
      <c r="N79" s="54"/>
      <c r="O79" s="54"/>
      <c r="P79" s="54"/>
      <c r="Q79" s="54"/>
    </row>
    <row r="80" spans="2:50" ht="15" hidden="1" thickBot="1">
      <c r="B80" s="194"/>
      <c r="C80" s="253"/>
      <c r="D80" s="91" t="s">
        <v>105</v>
      </c>
      <c r="E80" s="92"/>
      <c r="F80" s="1436"/>
      <c r="G80" s="1506"/>
      <c r="H80" s="1508"/>
      <c r="I80" s="1510">
        <v>360</v>
      </c>
      <c r="J80" s="158"/>
      <c r="K80" s="54"/>
      <c r="L80" s="54"/>
      <c r="M80" s="54"/>
      <c r="N80" s="54"/>
      <c r="O80" s="54"/>
      <c r="P80" s="54"/>
      <c r="Q80" s="54"/>
    </row>
    <row r="81" spans="2:17" ht="15" hidden="1" thickBot="1">
      <c r="B81" s="194"/>
      <c r="C81" s="12"/>
      <c r="D81" s="91" t="s">
        <v>3</v>
      </c>
      <c r="E81" s="92"/>
      <c r="F81" s="1436"/>
      <c r="G81" s="1507">
        <v>0.12</v>
      </c>
      <c r="H81" s="1508"/>
      <c r="I81" s="1510">
        <f>+I77*G81</f>
        <v>3390.1350911999989</v>
      </c>
      <c r="J81" s="158"/>
      <c r="K81" s="54"/>
      <c r="L81" s="54"/>
      <c r="M81" s="54"/>
      <c r="N81" s="54"/>
      <c r="O81" s="54"/>
      <c r="P81" s="54"/>
      <c r="Q81" s="54"/>
    </row>
    <row r="82" spans="2:17" ht="16" hidden="1" thickBot="1">
      <c r="B82" s="150"/>
      <c r="C82" s="151"/>
      <c r="D82" s="1503" t="s">
        <v>104</v>
      </c>
      <c r="E82" s="1504"/>
      <c r="F82" s="1505"/>
      <c r="G82" s="1502"/>
      <c r="H82" s="1502"/>
      <c r="I82" s="117">
        <f>SUM(I77:I81)</f>
        <v>34053.260851199993</v>
      </c>
      <c r="J82" s="159"/>
      <c r="K82" s="349">
        <f>+I82*24000</f>
        <v>817278260.42879987</v>
      </c>
      <c r="L82" s="54"/>
      <c r="M82" s="54"/>
      <c r="N82" s="54"/>
      <c r="O82" s="54"/>
      <c r="P82" s="54"/>
      <c r="Q82" s="54"/>
    </row>
    <row r="83" spans="2:17" ht="15" hidden="1">
      <c r="B83" s="12"/>
      <c r="C83" s="12"/>
      <c r="D83" s="1474"/>
      <c r="E83" s="1475"/>
      <c r="F83" s="1476"/>
      <c r="G83" s="1476"/>
      <c r="H83" s="1476"/>
      <c r="I83" s="1477"/>
      <c r="J83" s="159"/>
      <c r="K83" s="349"/>
      <c r="L83" s="54"/>
      <c r="M83" s="54"/>
      <c r="N83" s="54"/>
      <c r="O83" s="54"/>
      <c r="P83" s="54"/>
      <c r="Q83" s="54"/>
    </row>
    <row r="84" spans="2:17" ht="15" hidden="1">
      <c r="B84" s="12"/>
      <c r="C84" s="12"/>
      <c r="D84" s="1474"/>
      <c r="E84" s="1475"/>
      <c r="F84" s="1476"/>
      <c r="G84" s="1476"/>
      <c r="H84" s="1476"/>
      <c r="I84" s="1477"/>
      <c r="J84" s="159"/>
      <c r="K84" s="349"/>
      <c r="L84" s="54"/>
      <c r="M84" s="54"/>
      <c r="N84" s="54"/>
      <c r="O84" s="54"/>
      <c r="P84" s="54"/>
      <c r="Q84" s="54"/>
    </row>
    <row r="85" spans="2:17" ht="15" hidden="1">
      <c r="B85" s="12"/>
      <c r="C85" s="12"/>
      <c r="D85" s="1474"/>
      <c r="E85" s="1475"/>
      <c r="F85" s="1476"/>
      <c r="G85" s="1476"/>
      <c r="H85" s="1476"/>
      <c r="I85" s="1477"/>
      <c r="J85" s="159"/>
      <c r="K85" s="349"/>
      <c r="L85" s="54"/>
      <c r="M85" s="54"/>
      <c r="N85" s="54"/>
      <c r="O85" s="54"/>
      <c r="P85" s="54"/>
      <c r="Q85" s="54"/>
    </row>
    <row r="86" spans="2:17" ht="15" hidden="1">
      <c r="B86" s="12"/>
      <c r="C86" s="12"/>
      <c r="D86" s="1474"/>
      <c r="E86" s="1475"/>
      <c r="F86" s="1476"/>
      <c r="G86" s="1476"/>
      <c r="H86" s="1476"/>
      <c r="I86" s="1477"/>
      <c r="J86" s="159"/>
      <c r="K86" s="349"/>
      <c r="L86" s="54"/>
      <c r="M86" s="54"/>
      <c r="N86" s="54"/>
      <c r="O86" s="54"/>
      <c r="P86" s="54"/>
      <c r="Q86" s="54"/>
    </row>
    <row r="87" spans="2:17" ht="15" hidden="1">
      <c r="B87" s="12"/>
      <c r="C87" s="12"/>
      <c r="D87" s="1474"/>
      <c r="E87" s="1475"/>
      <c r="F87" s="1476"/>
      <c r="G87" s="1476"/>
      <c r="H87" s="1476"/>
      <c r="I87" s="1477"/>
      <c r="J87" s="159"/>
      <c r="K87" s="349"/>
      <c r="L87" s="54"/>
      <c r="M87" s="54"/>
      <c r="N87" s="54"/>
      <c r="O87" s="54"/>
      <c r="P87" s="54"/>
      <c r="Q87" s="54"/>
    </row>
    <row r="88" spans="2:17" ht="15" hidden="1" thickBot="1"/>
    <row r="89" spans="2:17" ht="23" hidden="1">
      <c r="B89" s="1671" t="s">
        <v>281</v>
      </c>
      <c r="C89" s="1672"/>
      <c r="D89" s="1672"/>
      <c r="E89" s="1672"/>
      <c r="F89" s="1672"/>
      <c r="G89" s="1672"/>
      <c r="H89" s="1672"/>
      <c r="I89" s="1673"/>
      <c r="J89" s="255"/>
      <c r="K89" s="6"/>
    </row>
    <row r="90" spans="2:17" ht="23" hidden="1">
      <c r="B90" s="1674"/>
      <c r="C90" s="1675"/>
      <c r="D90" s="1675"/>
      <c r="E90" s="1675"/>
      <c r="F90" s="1675"/>
      <c r="G90" s="1675"/>
      <c r="H90" s="1675"/>
      <c r="I90" s="1676"/>
      <c r="J90" s="255"/>
      <c r="K90" s="6"/>
    </row>
    <row r="91" spans="2:17" ht="24" hidden="1" thickBot="1">
      <c r="B91" s="1674"/>
      <c r="C91" s="1675"/>
      <c r="D91" s="1675"/>
      <c r="E91" s="1675"/>
      <c r="F91" s="1675"/>
      <c r="G91" s="1675"/>
      <c r="H91" s="1675"/>
      <c r="I91" s="1676"/>
      <c r="J91" s="255"/>
    </row>
    <row r="92" spans="2:17" ht="24" hidden="1" thickBot="1">
      <c r="B92" s="1658" t="s">
        <v>280</v>
      </c>
      <c r="C92" s="1659"/>
      <c r="D92" s="1659"/>
      <c r="E92" s="1659"/>
      <c r="F92" s="1659"/>
      <c r="G92" s="1659"/>
      <c r="H92" s="1659"/>
      <c r="I92" s="1660"/>
      <c r="J92" s="307"/>
    </row>
    <row r="93" spans="2:17" hidden="1">
      <c r="B93" s="1668"/>
      <c r="C93" s="1631" t="s">
        <v>279</v>
      </c>
      <c r="D93" s="312" t="s">
        <v>269</v>
      </c>
      <c r="E93" s="314"/>
      <c r="F93" s="315"/>
      <c r="G93" s="315"/>
      <c r="H93" s="315"/>
      <c r="I93" s="316">
        <f>+I55+G53+I60</f>
        <v>1508.8476799999999</v>
      </c>
      <c r="J93" s="259"/>
    </row>
    <row r="94" spans="2:17" hidden="1">
      <c r="B94" s="1661"/>
      <c r="C94" s="1663"/>
      <c r="D94" s="206" t="s">
        <v>268</v>
      </c>
      <c r="E94" s="313"/>
      <c r="F94" s="129"/>
      <c r="G94" s="129"/>
      <c r="H94" s="129"/>
      <c r="I94" s="317">
        <f>+G53</f>
        <v>882.84767999999974</v>
      </c>
      <c r="J94" s="260"/>
    </row>
    <row r="95" spans="2:17" hidden="1">
      <c r="B95" s="1661"/>
      <c r="C95" s="1663"/>
      <c r="D95" s="206" t="s">
        <v>1516</v>
      </c>
      <c r="E95" s="313"/>
      <c r="F95" s="129"/>
      <c r="G95" s="129"/>
      <c r="H95" s="129"/>
      <c r="I95" s="208">
        <f>+I58</f>
        <v>280</v>
      </c>
      <c r="J95" s="259"/>
    </row>
    <row r="96" spans="2:17" hidden="1">
      <c r="B96" s="1661"/>
      <c r="C96" s="1663"/>
      <c r="D96" s="206" t="s">
        <v>272</v>
      </c>
      <c r="E96" s="313"/>
      <c r="F96" s="129"/>
      <c r="G96" s="129"/>
      <c r="H96" s="129"/>
      <c r="I96" s="208">
        <f>+I95+I94</f>
        <v>1162.8476799999999</v>
      </c>
      <c r="J96" s="259"/>
    </row>
    <row r="97" spans="2:12" hidden="1">
      <c r="B97" s="1661"/>
      <c r="C97" s="1663"/>
      <c r="D97" s="324" t="s">
        <v>273</v>
      </c>
      <c r="E97" s="313"/>
      <c r="F97" s="129"/>
      <c r="G97" s="129"/>
      <c r="H97" s="129"/>
      <c r="I97" s="208">
        <f>SQRT(I96)</f>
        <v>34.100552488192911</v>
      </c>
      <c r="J97" s="259"/>
      <c r="K97" s="183"/>
    </row>
    <row r="98" spans="2:12" hidden="1">
      <c r="B98" s="1661"/>
      <c r="C98" s="1663"/>
      <c r="D98" s="324" t="s">
        <v>266</v>
      </c>
      <c r="E98" s="313"/>
      <c r="F98" s="129"/>
      <c r="G98" s="129"/>
      <c r="H98" s="129"/>
      <c r="I98" s="208">
        <f>+(I97)+6</f>
        <v>40.100552488192911</v>
      </c>
      <c r="J98" s="259"/>
      <c r="K98" s="183"/>
    </row>
    <row r="99" spans="2:12" ht="15" hidden="1" thickBot="1">
      <c r="B99" s="1661"/>
      <c r="C99" s="1663"/>
      <c r="D99" s="325" t="s">
        <v>267</v>
      </c>
      <c r="E99" s="320"/>
      <c r="F99" s="190"/>
      <c r="G99" s="190"/>
      <c r="H99" s="190"/>
      <c r="I99" s="195">
        <f>(I97)+6</f>
        <v>40.100552488192911</v>
      </c>
      <c r="J99" s="259"/>
      <c r="K99" s="183"/>
    </row>
    <row r="100" spans="2:12" ht="15" hidden="1" thickBot="1">
      <c r="B100" s="1661"/>
      <c r="C100" s="1663"/>
      <c r="D100" s="214" t="s">
        <v>198</v>
      </c>
      <c r="E100" s="323"/>
      <c r="F100" s="31"/>
      <c r="G100" s="31"/>
      <c r="H100" s="31"/>
      <c r="I100" s="330">
        <f>IF(INICIO!I6=0,((+I99*I98)-18),+I99*I98)</f>
        <v>1590.0543098583146</v>
      </c>
      <c r="J100" s="261"/>
      <c r="K100" s="196">
        <f>+I100-I94</f>
        <v>707.20662985831484</v>
      </c>
      <c r="L100" s="60" t="s">
        <v>199</v>
      </c>
    </row>
    <row r="101" spans="2:12" hidden="1">
      <c r="B101" s="1661"/>
      <c r="C101" s="1663"/>
      <c r="D101" s="326" t="s">
        <v>187</v>
      </c>
      <c r="E101" s="321"/>
      <c r="F101" s="248"/>
      <c r="G101" s="248"/>
      <c r="H101" s="248"/>
      <c r="I101" s="322">
        <f>+I94/I100</f>
        <v>0.55523114809749352</v>
      </c>
      <c r="J101" s="259"/>
    </row>
    <row r="102" spans="2:12" ht="15" hidden="1" thickBot="1">
      <c r="B102" s="1662"/>
      <c r="C102" s="1664"/>
      <c r="D102" s="327" t="s">
        <v>188</v>
      </c>
      <c r="E102" s="318"/>
      <c r="F102" s="247"/>
      <c r="G102" s="247"/>
      <c r="H102" s="247"/>
      <c r="I102" s="319">
        <f>+I94/I100</f>
        <v>0.55523114809749352</v>
      </c>
      <c r="J102" s="259"/>
    </row>
    <row r="103" spans="2:12" ht="19" hidden="1" thickBot="1">
      <c r="B103" s="1658" t="s">
        <v>284</v>
      </c>
      <c r="C103" s="1659"/>
      <c r="D103" s="1659"/>
      <c r="E103" s="1659"/>
      <c r="F103" s="1659"/>
      <c r="G103" s="1659"/>
      <c r="H103" s="1659"/>
      <c r="I103" s="1660"/>
      <c r="J103" s="259"/>
    </row>
    <row r="104" spans="2:12" hidden="1">
      <c r="B104" s="1661"/>
      <c r="C104" s="1663" t="s">
        <v>200</v>
      </c>
      <c r="D104" s="338" t="s">
        <v>269</v>
      </c>
      <c r="E104" s="321"/>
      <c r="F104" s="248"/>
      <c r="G104" s="248"/>
      <c r="H104" s="248"/>
      <c r="I104" s="322">
        <f>+$I$60+$I$55+$I$53</f>
        <v>1508.8476799999999</v>
      </c>
      <c r="J104" s="259"/>
    </row>
    <row r="105" spans="2:12" hidden="1">
      <c r="B105" s="1661"/>
      <c r="C105" s="1663"/>
      <c r="D105" s="206" t="s">
        <v>268</v>
      </c>
      <c r="E105" s="313"/>
      <c r="F105" s="129"/>
      <c r="G105" s="129"/>
      <c r="H105" s="129"/>
      <c r="I105" s="208">
        <f>+I53</f>
        <v>882.84767999999974</v>
      </c>
      <c r="J105" s="260"/>
    </row>
    <row r="106" spans="2:12" hidden="1">
      <c r="B106" s="1661"/>
      <c r="C106" s="1663"/>
      <c r="D106" s="324" t="s">
        <v>265</v>
      </c>
      <c r="E106" s="313"/>
      <c r="F106" s="129"/>
      <c r="G106" s="129"/>
      <c r="H106" s="129"/>
      <c r="I106" s="208">
        <f>SQRT(I105)</f>
        <v>29.712752817603416</v>
      </c>
      <c r="J106" s="259"/>
      <c r="K106" s="183"/>
    </row>
    <row r="107" spans="2:12" hidden="1">
      <c r="B107" s="1661"/>
      <c r="C107" s="1663"/>
      <c r="D107" s="324" t="s">
        <v>266</v>
      </c>
      <c r="E107" s="313"/>
      <c r="F107" s="129"/>
      <c r="G107" s="129"/>
      <c r="H107" s="129"/>
      <c r="I107" s="208">
        <f>+I106+6</f>
        <v>35.712752817603416</v>
      </c>
      <c r="J107" s="259"/>
      <c r="K107" s="183"/>
    </row>
    <row r="108" spans="2:12" hidden="1">
      <c r="B108" s="1661"/>
      <c r="C108" s="1663"/>
      <c r="D108" s="325" t="s">
        <v>267</v>
      </c>
      <c r="E108" s="320"/>
      <c r="F108" s="190"/>
      <c r="G108" s="190"/>
      <c r="H108" s="190"/>
      <c r="I108" s="195">
        <f>+I106+8</f>
        <v>37.712752817603416</v>
      </c>
      <c r="J108" s="259"/>
    </row>
    <row r="109" spans="2:12" hidden="1">
      <c r="B109" s="1661"/>
      <c r="C109" s="1663"/>
      <c r="D109" s="334" t="s">
        <v>270</v>
      </c>
      <c r="E109" s="313"/>
      <c r="F109" s="129"/>
      <c r="G109" s="129"/>
      <c r="H109" s="129"/>
      <c r="I109" s="335">
        <f>+I108*I107</f>
        <v>1346.8262194464476</v>
      </c>
      <c r="J109" s="261"/>
      <c r="K109" s="196">
        <f>+I109-I105</f>
        <v>463.97853944644783</v>
      </c>
      <c r="L109" s="60" t="s">
        <v>199</v>
      </c>
    </row>
    <row r="110" spans="2:12" ht="15" hidden="1" thickBot="1">
      <c r="B110" s="1661"/>
      <c r="C110" s="1663"/>
      <c r="D110" s="336" t="s">
        <v>901</v>
      </c>
      <c r="E110" s="320"/>
      <c r="F110" s="190"/>
      <c r="G110" s="190"/>
      <c r="H110" s="190"/>
      <c r="I110" s="337">
        <f>IF(L113&lt;I109,0,L113-I109)</f>
        <v>124.58658055355181</v>
      </c>
      <c r="J110" s="261"/>
      <c r="K110" s="196"/>
    </row>
    <row r="111" spans="2:12" ht="15" hidden="1" thickBot="1">
      <c r="B111" s="1661"/>
      <c r="C111" s="1663"/>
      <c r="D111" s="214" t="s">
        <v>278</v>
      </c>
      <c r="E111" s="323"/>
      <c r="F111" s="31"/>
      <c r="G111" s="31"/>
      <c r="H111" s="31"/>
      <c r="I111" s="330">
        <f>+I110+I109</f>
        <v>1471.4127999999994</v>
      </c>
      <c r="J111" s="261"/>
      <c r="K111" s="333">
        <f>+I105/I109</f>
        <v>0.65550229662357973</v>
      </c>
    </row>
    <row r="112" spans="2:12" hidden="1">
      <c r="B112" s="1661"/>
      <c r="C112" s="1663"/>
      <c r="D112" s="326" t="s">
        <v>187</v>
      </c>
      <c r="E112" s="321"/>
      <c r="F112" s="248"/>
      <c r="G112" s="248"/>
      <c r="H112" s="248"/>
      <c r="I112" s="322">
        <f>+I105/I111</f>
        <v>0.60000000000000009</v>
      </c>
      <c r="J112" s="259"/>
    </row>
    <row r="113" spans="2:13" ht="15" hidden="1" thickBot="1">
      <c r="B113" s="1662"/>
      <c r="C113" s="1664"/>
      <c r="D113" s="327" t="s">
        <v>188</v>
      </c>
      <c r="E113" s="318"/>
      <c r="F113" s="247"/>
      <c r="G113" s="247"/>
      <c r="H113" s="247"/>
      <c r="I113" s="319">
        <f>+I105/I111</f>
        <v>0.60000000000000009</v>
      </c>
      <c r="J113" s="259"/>
      <c r="L113" s="183">
        <f>+(I105*100)/60</f>
        <v>1471.4127999999994</v>
      </c>
      <c r="M113" s="60">
        <v>0.6</v>
      </c>
    </row>
    <row r="114" spans="2:13" ht="19" hidden="1" thickBot="1">
      <c r="B114" s="1658" t="s">
        <v>282</v>
      </c>
      <c r="C114" s="1659"/>
      <c r="D114" s="1659"/>
      <c r="E114" s="1659"/>
      <c r="F114" s="1659"/>
      <c r="G114" s="1659"/>
      <c r="H114" s="1659"/>
      <c r="I114" s="1660"/>
    </row>
    <row r="115" spans="2:13" hidden="1">
      <c r="B115" s="1661"/>
      <c r="C115" s="1663" t="s">
        <v>283</v>
      </c>
      <c r="D115" s="338" t="s">
        <v>269</v>
      </c>
      <c r="E115" s="321"/>
      <c r="F115" s="248"/>
      <c r="G115" s="248"/>
      <c r="H115" s="248"/>
      <c r="I115" s="322">
        <f>+$I$60+$I$55+$I$53</f>
        <v>1508.8476799999999</v>
      </c>
    </row>
    <row r="116" spans="2:13" hidden="1">
      <c r="B116" s="1661"/>
      <c r="C116" s="1663"/>
      <c r="D116" s="206" t="s">
        <v>268</v>
      </c>
      <c r="E116" s="313"/>
      <c r="F116" s="129"/>
      <c r="G116" s="129"/>
      <c r="H116" s="129"/>
      <c r="I116" s="208">
        <f>+I53</f>
        <v>882.84767999999974</v>
      </c>
    </row>
    <row r="117" spans="2:13" hidden="1">
      <c r="B117" s="1661"/>
      <c r="C117" s="1663"/>
      <c r="D117" s="324" t="s">
        <v>265</v>
      </c>
      <c r="E117" s="313"/>
      <c r="F117" s="129"/>
      <c r="G117" s="129"/>
      <c r="H117" s="129"/>
      <c r="I117" s="208">
        <f>SQRT(I116)</f>
        <v>29.712752817603416</v>
      </c>
    </row>
    <row r="118" spans="2:13" hidden="1">
      <c r="B118" s="1661"/>
      <c r="C118" s="1663"/>
      <c r="D118" s="324" t="s">
        <v>266</v>
      </c>
      <c r="E118" s="313"/>
      <c r="F118" s="129"/>
      <c r="G118" s="129"/>
      <c r="H118" s="129"/>
      <c r="I118" s="208">
        <f>+I117+6</f>
        <v>35.712752817603416</v>
      </c>
    </row>
    <row r="119" spans="2:13" hidden="1">
      <c r="B119" s="1661"/>
      <c r="C119" s="1663"/>
      <c r="D119" s="325" t="s">
        <v>267</v>
      </c>
      <c r="E119" s="320"/>
      <c r="F119" s="190"/>
      <c r="G119" s="190"/>
      <c r="H119" s="190"/>
      <c r="I119" s="195">
        <f>+I117+8</f>
        <v>37.712752817603416</v>
      </c>
    </row>
    <row r="120" spans="2:13" hidden="1">
      <c r="B120" s="1661"/>
      <c r="C120" s="1663"/>
      <c r="D120" s="334" t="s">
        <v>270</v>
      </c>
      <c r="E120" s="313"/>
      <c r="F120" s="129"/>
      <c r="G120" s="129"/>
      <c r="H120" s="129"/>
      <c r="I120" s="335">
        <f>+I119*I118</f>
        <v>1346.8262194464476</v>
      </c>
    </row>
    <row r="121" spans="2:13" ht="15" hidden="1" thickBot="1">
      <c r="B121" s="1661"/>
      <c r="C121" s="1663"/>
      <c r="D121" s="336" t="s">
        <v>902</v>
      </c>
      <c r="E121" s="320"/>
      <c r="F121" s="190"/>
      <c r="G121" s="190"/>
      <c r="H121" s="190"/>
      <c r="I121" s="337">
        <f>+L124-I120</f>
        <v>860.29298055355162</v>
      </c>
    </row>
    <row r="122" spans="2:13" ht="15" hidden="1" thickBot="1">
      <c r="B122" s="1661"/>
      <c r="C122" s="1663"/>
      <c r="D122" s="214" t="s">
        <v>278</v>
      </c>
      <c r="E122" s="323"/>
      <c r="F122" s="31"/>
      <c r="G122" s="31"/>
      <c r="H122" s="31"/>
      <c r="I122" s="330">
        <f>+I121+I120</f>
        <v>2207.1191999999992</v>
      </c>
    </row>
    <row r="123" spans="2:13" hidden="1">
      <c r="B123" s="1661"/>
      <c r="C123" s="1663"/>
      <c r="D123" s="326" t="s">
        <v>894</v>
      </c>
      <c r="E123" s="321"/>
      <c r="F123" s="248"/>
      <c r="G123" s="248"/>
      <c r="H123" s="248"/>
      <c r="I123" s="322">
        <f>+I116/I122</f>
        <v>0.4</v>
      </c>
    </row>
    <row r="124" spans="2:13" ht="15" hidden="1" thickBot="1">
      <c r="B124" s="1662"/>
      <c r="C124" s="1664"/>
      <c r="D124" s="327" t="s">
        <v>188</v>
      </c>
      <c r="E124" s="318"/>
      <c r="F124" s="247"/>
      <c r="G124" s="247"/>
      <c r="H124" s="247"/>
      <c r="I124" s="319">
        <f>+I116/I122</f>
        <v>0.4</v>
      </c>
      <c r="L124" s="183">
        <f>+(I116*100)/40</f>
        <v>2207.1191999999992</v>
      </c>
    </row>
    <row r="125" spans="2:13" ht="19" hidden="1" thickBot="1">
      <c r="B125" s="580"/>
      <c r="C125" s="581"/>
      <c r="D125" s="263"/>
      <c r="E125" s="12"/>
      <c r="F125" s="368"/>
      <c r="G125" s="368"/>
      <c r="H125" s="368"/>
      <c r="I125" s="371"/>
      <c r="L125" s="183"/>
    </row>
    <row r="126" spans="2:13" ht="19" hidden="1" thickBot="1">
      <c r="B126" s="1649" t="s">
        <v>1539</v>
      </c>
      <c r="C126" s="1650"/>
      <c r="D126" s="1650"/>
      <c r="E126" s="1650"/>
      <c r="F126" s="1650"/>
      <c r="G126" s="1434"/>
      <c r="H126" s="1434"/>
      <c r="I126" s="582">
        <f>+I4*15</f>
        <v>2280</v>
      </c>
      <c r="L126" s="183"/>
    </row>
    <row r="127" spans="2:13" hidden="1"/>
    <row r="128" spans="2:13" ht="15" hidden="1" thickBot="1">
      <c r="B128" s="1657" t="s">
        <v>274</v>
      </c>
      <c r="C128" s="1657"/>
      <c r="D128" s="1657"/>
      <c r="E128" s="1657"/>
      <c r="F128" s="1657"/>
      <c r="G128" s="1657"/>
      <c r="H128" s="1657"/>
      <c r="I128" s="1657"/>
    </row>
    <row r="129" spans="2:9" ht="15" hidden="1" thickBot="1">
      <c r="B129" s="1651" t="s">
        <v>286</v>
      </c>
      <c r="C129" s="1652"/>
      <c r="D129" s="1652"/>
      <c r="E129" s="1652"/>
      <c r="F129" s="193"/>
      <c r="G129" s="193"/>
      <c r="H129" s="193"/>
      <c r="I129" s="340"/>
    </row>
    <row r="130" spans="2:9" hidden="1">
      <c r="B130" s="1653" t="s">
        <v>287</v>
      </c>
      <c r="C130" s="1654"/>
      <c r="D130" s="1654"/>
      <c r="E130" s="1654"/>
      <c r="F130" s="315"/>
      <c r="G130" s="315"/>
      <c r="H130" s="315"/>
      <c r="I130" s="347"/>
    </row>
    <row r="131" spans="2:9" hidden="1">
      <c r="B131" s="1655" t="s">
        <v>1080</v>
      </c>
      <c r="C131" s="1656"/>
      <c r="D131" s="1656"/>
      <c r="E131" s="1656"/>
      <c r="F131" s="129"/>
      <c r="G131" s="129"/>
      <c r="H131" s="129"/>
      <c r="I131" s="348"/>
    </row>
    <row r="132" spans="2:9" hidden="1">
      <c r="B132" s="194" t="s">
        <v>288</v>
      </c>
      <c r="C132" s="12"/>
      <c r="D132" s="12"/>
      <c r="E132" s="12"/>
      <c r="F132" s="368"/>
      <c r="G132" s="368"/>
      <c r="H132" s="368"/>
      <c r="I132" s="341"/>
    </row>
    <row r="133" spans="2:9" hidden="1">
      <c r="B133" s="194" t="s">
        <v>289</v>
      </c>
      <c r="C133" s="331"/>
      <c r="D133" s="331"/>
      <c r="E133" s="331"/>
      <c r="F133" s="368"/>
      <c r="G133" s="368"/>
      <c r="H133" s="368"/>
      <c r="I133" s="341"/>
    </row>
    <row r="134" spans="2:9" hidden="1">
      <c r="B134" s="342" t="s">
        <v>1081</v>
      </c>
      <c r="C134" s="12"/>
      <c r="D134" s="368"/>
      <c r="E134" s="343"/>
      <c r="F134" s="368"/>
      <c r="G134" s="368"/>
      <c r="H134" s="368"/>
      <c r="I134" s="341"/>
    </row>
    <row r="135" spans="2:9" hidden="1">
      <c r="B135" s="342" t="s">
        <v>291</v>
      </c>
      <c r="C135" s="12"/>
      <c r="D135" s="368"/>
      <c r="E135" s="343"/>
      <c r="F135" s="368"/>
      <c r="G135" s="368"/>
      <c r="H135" s="368"/>
      <c r="I135" s="341"/>
    </row>
    <row r="136" spans="2:9" hidden="1">
      <c r="B136" s="342" t="s">
        <v>1082</v>
      </c>
      <c r="C136" s="12"/>
      <c r="D136" s="368"/>
      <c r="E136" s="343"/>
      <c r="F136" s="368"/>
      <c r="G136" s="368"/>
      <c r="H136" s="368"/>
      <c r="I136" s="341"/>
    </row>
    <row r="137" spans="2:9" ht="15" hidden="1" thickBot="1">
      <c r="B137" s="344" t="s">
        <v>292</v>
      </c>
      <c r="C137" s="151"/>
      <c r="D137" s="154"/>
      <c r="E137" s="606"/>
      <c r="F137" s="154"/>
      <c r="G137" s="154"/>
      <c r="H137" s="154"/>
      <c r="I137" s="607"/>
    </row>
    <row r="138" spans="2:9" hidden="1">
      <c r="B138" s="218"/>
      <c r="C138" s="12"/>
      <c r="D138" s="368"/>
      <c r="E138" s="343"/>
      <c r="F138" s="368"/>
      <c r="G138" s="368"/>
      <c r="H138" s="368"/>
      <c r="I138" s="343"/>
    </row>
    <row r="139" spans="2:9" hidden="1">
      <c r="B139" s="218"/>
      <c r="C139" s="12"/>
      <c r="D139" s="368"/>
      <c r="E139" s="310"/>
      <c r="F139" s="368"/>
      <c r="G139" s="368"/>
      <c r="H139" s="368"/>
      <c r="I139" s="310"/>
    </row>
  </sheetData>
  <sheetProtection algorithmName="SHA-512" hashValue="TmATM8FsCi4+FBwT+wDS49X6scAcFkK5DGwZFnrnOhAPw4E3V4hU2d97KPMygmFa9rAkre0YvQzZZCdPUkZumg==" saltValue="2iWipG2VV24jL8emQShwpA==" spinCount="100000" sheet="1" objects="1" scenarios="1"/>
  <mergeCells count="43">
    <mergeCell ref="B114:I114"/>
    <mergeCell ref="B115:B124"/>
    <mergeCell ref="C115:C124"/>
    <mergeCell ref="B36:B44"/>
    <mergeCell ref="B25:B34"/>
    <mergeCell ref="C104:C113"/>
    <mergeCell ref="C93:C102"/>
    <mergeCell ref="B104:B113"/>
    <mergeCell ref="B93:B102"/>
    <mergeCell ref="B56:B59"/>
    <mergeCell ref="B103:I103"/>
    <mergeCell ref="B92:I92"/>
    <mergeCell ref="B89:I91"/>
    <mergeCell ref="B52:C53"/>
    <mergeCell ref="B55:C55"/>
    <mergeCell ref="B60:C60"/>
    <mergeCell ref="B126:F126"/>
    <mergeCell ref="B129:E129"/>
    <mergeCell ref="B130:E130"/>
    <mergeCell ref="B131:E131"/>
    <mergeCell ref="B128:I128"/>
    <mergeCell ref="I4:I5"/>
    <mergeCell ref="E47:F47"/>
    <mergeCell ref="E48:F48"/>
    <mergeCell ref="B47:B51"/>
    <mergeCell ref="B13:I15"/>
    <mergeCell ref="B45:C46"/>
    <mergeCell ref="B35:C35"/>
    <mergeCell ref="B24:C24"/>
    <mergeCell ref="E49:F49"/>
    <mergeCell ref="B4:B5"/>
    <mergeCell ref="D4:D5"/>
    <mergeCell ref="C4:C5"/>
    <mergeCell ref="E50:F50"/>
    <mergeCell ref="G16:H16"/>
    <mergeCell ref="E6:I6"/>
    <mergeCell ref="B73:I75"/>
    <mergeCell ref="E52:F52"/>
    <mergeCell ref="O18:O20"/>
    <mergeCell ref="O21:O23"/>
    <mergeCell ref="B18:B23"/>
    <mergeCell ref="N18:N20"/>
    <mergeCell ref="N21:N23"/>
  </mergeCells>
  <phoneticPr fontId="4" type="noConversion"/>
  <conditionalFormatting sqref="B3:C3 C4:C5">
    <cfRule type="cellIs" dxfId="67" priority="2" operator="equal">
      <formula>2</formula>
    </cfRule>
    <cfRule type="cellIs" dxfId="66" priority="3" operator="equal">
      <formula>$C$3=2</formula>
    </cfRule>
  </conditionalFormatting>
  <printOptions horizontalCentered="1" verticalCentered="1"/>
  <pageMargins left="0.70866141732283472" right="0.70866141732283472" top="0.74803149606299213" bottom="0.74803149606299213" header="0.31496062992125984" footer="0.31496062992125984"/>
  <pageSetup paperSize="300" scale="58" orientation="portrait"/>
  <rowBreaks count="1" manualBreakCount="1">
    <brk id="61" min="1" max="8" man="1"/>
  </rowBreaks>
  <ignoredErrors>
    <ignoredError sqref="G26:G31 G33 I58 I45 G38 I51" formula="1"/>
  </ignoredErrors>
  <legacyDrawingHF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rgb="FF00B0F0"/>
    <pageSetUpPr fitToPage="1"/>
  </sheetPr>
  <dimension ref="A1:M52"/>
  <sheetViews>
    <sheetView zoomScale="90" zoomScaleNormal="90" zoomScaleSheetLayoutView="70" zoomScalePageLayoutView="90" workbookViewId="0">
      <selection activeCell="K8" sqref="K8:K14"/>
    </sheetView>
  </sheetViews>
  <sheetFormatPr baseColWidth="10" defaultColWidth="11.5" defaultRowHeight="14" x14ac:dyDescent="0"/>
  <cols>
    <col min="1" max="1" width="3.6640625" style="310" customWidth="1"/>
    <col min="2" max="3" width="30.6640625" style="310" customWidth="1"/>
    <col min="4" max="4" width="50.6640625" style="310" customWidth="1"/>
    <col min="5" max="9" width="3.6640625" style="310" customWidth="1"/>
    <col min="10" max="10" width="7.5" style="81" customWidth="1"/>
    <col min="11" max="11" width="50.6640625" style="487" customWidth="1"/>
    <col min="12" max="12" width="30.6640625" style="310" customWidth="1"/>
    <col min="13" max="13" width="3.664062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97"/>
      <c r="L2" s="507"/>
      <c r="M2" s="362"/>
    </row>
    <row r="3" spans="2:13" s="81" customFormat="1" ht="25.25" customHeight="1" thickBot="1">
      <c r="B3" s="820" t="s">
        <v>1385</v>
      </c>
      <c r="C3" s="821"/>
      <c r="D3" s="822"/>
      <c r="E3" s="1746" t="str">
        <f>+'PROGRAMA ARQ.'!E4</f>
        <v>2 SALAS CUNAS</v>
      </c>
      <c r="F3" s="1747"/>
      <c r="G3" s="1747"/>
      <c r="H3" s="1747"/>
      <c r="I3" s="1748"/>
      <c r="J3" s="382"/>
      <c r="K3" s="597"/>
      <c r="L3" s="507"/>
      <c r="M3" s="362"/>
    </row>
    <row r="4" spans="2:13" s="81" customFormat="1" ht="25.25" customHeight="1" thickBot="1">
      <c r="B4" s="823">
        <f>+'PROGRAMA ARQ.'!I4:I5</f>
        <v>152</v>
      </c>
      <c r="C4" s="505"/>
      <c r="D4" s="661"/>
      <c r="E4" s="1737" t="str">
        <f>+'PROGRAMA ARQ.'!E5</f>
        <v>4 NIVELES MEDIOS</v>
      </c>
      <c r="F4" s="1738"/>
      <c r="G4" s="1738"/>
      <c r="H4" s="1738"/>
      <c r="I4" s="1739"/>
      <c r="J4" s="382"/>
      <c r="K4" s="597"/>
      <c r="L4" s="507"/>
      <c r="M4" s="362"/>
    </row>
    <row r="5" spans="2:13" s="81" customFormat="1" ht="15" thickBot="1">
      <c r="B5" s="695" t="s">
        <v>1374</v>
      </c>
      <c r="C5" s="235" t="s">
        <v>1375</v>
      </c>
      <c r="D5" s="235" t="s">
        <v>1376</v>
      </c>
      <c r="E5" s="1818" t="s">
        <v>1377</v>
      </c>
      <c r="F5" s="1819"/>
      <c r="G5" s="1819"/>
      <c r="H5" s="1819"/>
      <c r="I5" s="1820"/>
      <c r="J5" s="675"/>
      <c r="K5" s="597"/>
      <c r="L5" s="507"/>
      <c r="M5" s="362"/>
    </row>
    <row r="6" spans="2:13" s="616" customFormat="1" ht="78" customHeight="1" thickBot="1">
      <c r="B6" s="713" t="str">
        <f>+'PROGRAMA ARQ.'!C33</f>
        <v>2.9</v>
      </c>
      <c r="C6" s="713" t="str">
        <f>+'PROGRAMA ARQ.'!D33</f>
        <v>BODEGA DE MATERIAL DIDÁCTICO</v>
      </c>
      <c r="D6" s="833">
        <f>+'PROGRAMA ARQ.'!F33</f>
        <v>5.5</v>
      </c>
      <c r="E6" s="692" t="s">
        <v>366</v>
      </c>
      <c r="F6" s="693" t="s">
        <v>544</v>
      </c>
      <c r="G6" s="693" t="s">
        <v>2</v>
      </c>
      <c r="H6" s="693" t="s">
        <v>171</v>
      </c>
      <c r="I6" s="694" t="s">
        <v>172</v>
      </c>
      <c r="J6" s="608"/>
      <c r="K6" s="704" t="s">
        <v>293</v>
      </c>
      <c r="L6" s="705" t="s">
        <v>120</v>
      </c>
      <c r="M6" s="706" t="s">
        <v>178</v>
      </c>
    </row>
    <row r="7" spans="2:13" s="367" customFormat="1" ht="16" thickBot="1">
      <c r="B7" s="667" t="s">
        <v>1378</v>
      </c>
      <c r="C7" s="667" t="s">
        <v>1379</v>
      </c>
      <c r="D7" s="670" t="s">
        <v>1380</v>
      </c>
      <c r="E7" s="671"/>
      <c r="F7" s="672"/>
      <c r="G7" s="672"/>
      <c r="H7" s="671"/>
      <c r="I7" s="673"/>
      <c r="J7" s="595"/>
      <c r="K7" s="1145"/>
      <c r="L7" s="696"/>
      <c r="M7" s="697"/>
    </row>
    <row r="8" spans="2:13" ht="183" thickBot="1">
      <c r="B8" s="2027" t="s">
        <v>122</v>
      </c>
      <c r="C8" s="2028"/>
      <c r="D8" s="859" t="s">
        <v>1381</v>
      </c>
      <c r="E8" s="859"/>
      <c r="F8" s="354"/>
      <c r="G8" s="354"/>
      <c r="H8" s="859"/>
      <c r="I8" s="857"/>
      <c r="K8" s="496" t="s">
        <v>1406</v>
      </c>
    </row>
    <row r="9" spans="2:13">
      <c r="B9" s="1755" t="s">
        <v>1388</v>
      </c>
      <c r="C9" s="2020"/>
      <c r="D9" s="809" t="s">
        <v>719</v>
      </c>
      <c r="E9" s="809"/>
      <c r="F9" s="762"/>
      <c r="G9" s="762"/>
      <c r="H9" s="762"/>
      <c r="I9" s="805"/>
      <c r="K9" s="496" t="s">
        <v>1406</v>
      </c>
    </row>
    <row r="10" spans="2:13" ht="42">
      <c r="B10" s="1967"/>
      <c r="C10" s="2021"/>
      <c r="D10" s="644" t="s">
        <v>1367</v>
      </c>
      <c r="E10" s="644"/>
      <c r="F10" s="642"/>
      <c r="G10" s="642"/>
      <c r="H10" s="642"/>
      <c r="I10" s="791"/>
      <c r="K10" s="496" t="s">
        <v>1406</v>
      </c>
    </row>
    <row r="11" spans="2:13">
      <c r="B11" s="1967"/>
      <c r="C11" s="2021"/>
      <c r="D11" s="644" t="s">
        <v>369</v>
      </c>
      <c r="E11" s="644"/>
      <c r="F11" s="642"/>
      <c r="G11" s="642"/>
      <c r="H11" s="642"/>
      <c r="I11" s="791"/>
      <c r="K11" s="496" t="s">
        <v>1406</v>
      </c>
    </row>
    <row r="12" spans="2:13" s="350" customFormat="1" ht="29.5" customHeight="1" thickBot="1">
      <c r="B12" s="1968"/>
      <c r="C12" s="2022"/>
      <c r="D12" s="727" t="s">
        <v>908</v>
      </c>
      <c r="E12" s="727"/>
      <c r="F12" s="552"/>
      <c r="G12" s="552"/>
      <c r="H12" s="552"/>
      <c r="I12" s="725"/>
      <c r="J12" s="362"/>
      <c r="K12" s="496" t="s">
        <v>1406</v>
      </c>
    </row>
    <row r="13" spans="2:13" ht="28">
      <c r="B13" s="1966" t="s">
        <v>143</v>
      </c>
      <c r="C13" s="1022" t="s">
        <v>241</v>
      </c>
      <c r="D13" s="761" t="s">
        <v>907</v>
      </c>
      <c r="E13" s="762"/>
      <c r="F13" s="762"/>
      <c r="G13" s="762"/>
      <c r="H13" s="762"/>
      <c r="I13" s="805"/>
      <c r="K13" s="496" t="s">
        <v>1406</v>
      </c>
      <c r="L13" s="358"/>
    </row>
    <row r="14" spans="2:13" ht="33" customHeight="1">
      <c r="B14" s="1967"/>
      <c r="C14" s="1009" t="s">
        <v>242</v>
      </c>
      <c r="D14" s="644" t="s">
        <v>906</v>
      </c>
      <c r="E14" s="644"/>
      <c r="F14" s="642"/>
      <c r="G14" s="642"/>
      <c r="H14" s="642"/>
      <c r="I14" s="791"/>
      <c r="K14" s="496" t="s">
        <v>1406</v>
      </c>
    </row>
    <row r="15" spans="2:13">
      <c r="B15" s="1967"/>
      <c r="C15" s="1009" t="s">
        <v>243</v>
      </c>
      <c r="D15" s="646" t="s">
        <v>300</v>
      </c>
      <c r="E15" s="646"/>
      <c r="F15" s="642"/>
      <c r="G15" s="642"/>
      <c r="H15" s="645"/>
      <c r="I15" s="791"/>
      <c r="K15" s="496" t="s">
        <v>1406</v>
      </c>
    </row>
    <row r="16" spans="2:13" ht="29" thickBot="1">
      <c r="B16" s="1968"/>
      <c r="C16" s="1021" t="s">
        <v>244</v>
      </c>
      <c r="D16" s="1016" t="s">
        <v>913</v>
      </c>
      <c r="E16" s="1016"/>
      <c r="F16" s="759"/>
      <c r="G16" s="759"/>
      <c r="H16" s="813"/>
      <c r="I16" s="592"/>
      <c r="K16" s="496" t="s">
        <v>1406</v>
      </c>
    </row>
    <row r="17" spans="2:13" s="350" customFormat="1" ht="33.75" customHeight="1">
      <c r="B17" s="1966" t="s">
        <v>144</v>
      </c>
      <c r="C17" s="1022" t="s">
        <v>245</v>
      </c>
      <c r="D17" s="726" t="s">
        <v>370</v>
      </c>
      <c r="E17" s="726"/>
      <c r="F17" s="589"/>
      <c r="G17" s="589"/>
      <c r="H17" s="589"/>
      <c r="I17" s="723"/>
      <c r="J17" s="362"/>
      <c r="K17" s="496" t="s">
        <v>1406</v>
      </c>
    </row>
    <row r="18" spans="2:13" s="81" customFormat="1" ht="15" thickBot="1">
      <c r="B18" s="1968"/>
      <c r="C18" s="1024" t="s">
        <v>246</v>
      </c>
      <c r="D18" s="752" t="s">
        <v>1069</v>
      </c>
      <c r="E18" s="752"/>
      <c r="F18" s="554"/>
      <c r="G18" s="554"/>
      <c r="H18" s="554"/>
      <c r="I18" s="560"/>
      <c r="K18" s="496" t="s">
        <v>1406</v>
      </c>
    </row>
    <row r="19" spans="2:13">
      <c r="B19" s="1967"/>
      <c r="C19" s="2021"/>
      <c r="D19" s="642" t="s">
        <v>736</v>
      </c>
      <c r="E19" s="642"/>
      <c r="F19" s="642"/>
      <c r="G19" s="642"/>
      <c r="H19" s="642"/>
      <c r="I19" s="791"/>
      <c r="K19" s="496" t="s">
        <v>1432</v>
      </c>
    </row>
    <row r="20" spans="2:13" ht="31.5" customHeight="1" thickBot="1">
      <c r="B20" s="1968"/>
      <c r="C20" s="2022"/>
      <c r="D20" s="1016" t="s">
        <v>262</v>
      </c>
      <c r="E20" s="1016"/>
      <c r="F20" s="759"/>
      <c r="G20" s="759"/>
      <c r="H20" s="759"/>
      <c r="I20" s="592"/>
      <c r="K20" s="496" t="s">
        <v>1432</v>
      </c>
    </row>
    <row r="21" spans="2:13" ht="15" thickBot="1">
      <c r="B21" s="2032" t="s">
        <v>140</v>
      </c>
      <c r="C21" s="2033"/>
      <c r="D21" s="816" t="s">
        <v>713</v>
      </c>
      <c r="E21" s="816"/>
      <c r="F21" s="750"/>
      <c r="G21" s="750"/>
      <c r="H21" s="750"/>
      <c r="I21" s="810"/>
      <c r="K21" s="496" t="s">
        <v>1406</v>
      </c>
    </row>
    <row r="22" spans="2:13" ht="15" thickBot="1">
      <c r="B22" s="1996" t="s">
        <v>123</v>
      </c>
      <c r="C22" s="1997"/>
      <c r="D22" s="816" t="s">
        <v>298</v>
      </c>
      <c r="E22" s="816"/>
      <c r="F22" s="750"/>
      <c r="G22" s="750"/>
      <c r="H22" s="750"/>
      <c r="I22" s="810"/>
      <c r="K22" s="597" t="s">
        <v>935</v>
      </c>
    </row>
    <row r="23" spans="2:13">
      <c r="B23" s="1966" t="s">
        <v>124</v>
      </c>
      <c r="C23" s="2030" t="s">
        <v>912</v>
      </c>
      <c r="D23" s="764" t="s">
        <v>380</v>
      </c>
      <c r="E23" s="764"/>
      <c r="F23" s="762"/>
      <c r="G23" s="762"/>
      <c r="H23" s="762"/>
      <c r="I23" s="805"/>
      <c r="K23" s="496" t="s">
        <v>1406</v>
      </c>
      <c r="M23" s="2039" t="s">
        <v>720</v>
      </c>
    </row>
    <row r="24" spans="2:13" ht="45.5" customHeight="1">
      <c r="B24" s="1967"/>
      <c r="C24" s="2031"/>
      <c r="D24" s="633" t="s">
        <v>381</v>
      </c>
      <c r="E24" s="652"/>
      <c r="F24" s="642"/>
      <c r="G24" s="642"/>
      <c r="H24" s="642"/>
      <c r="I24" s="791"/>
      <c r="K24" s="496" t="s">
        <v>1406</v>
      </c>
      <c r="M24" s="2039"/>
    </row>
    <row r="25" spans="2:13" ht="15" thickBot="1">
      <c r="B25" s="1968"/>
      <c r="C25" s="2040"/>
      <c r="D25" s="752" t="s">
        <v>384</v>
      </c>
      <c r="E25" s="752"/>
      <c r="F25" s="759"/>
      <c r="G25" s="759"/>
      <c r="H25" s="759"/>
      <c r="I25" s="592"/>
      <c r="K25" s="496" t="s">
        <v>1432</v>
      </c>
    </row>
    <row r="26" spans="2:13" ht="15" thickBot="1">
      <c r="B26" s="2023" t="s">
        <v>132</v>
      </c>
      <c r="C26" s="2024"/>
      <c r="D26" s="816" t="s">
        <v>298</v>
      </c>
      <c r="E26" s="816"/>
      <c r="F26" s="750"/>
      <c r="G26" s="750"/>
      <c r="H26" s="1019"/>
      <c r="I26" s="810"/>
      <c r="K26" s="597" t="s">
        <v>935</v>
      </c>
    </row>
    <row r="27" spans="2:13">
      <c r="B27" s="1966" t="s">
        <v>133</v>
      </c>
      <c r="C27" s="2020"/>
      <c r="D27" s="764" t="s">
        <v>173</v>
      </c>
      <c r="E27" s="764"/>
      <c r="F27" s="762"/>
      <c r="G27" s="762"/>
      <c r="H27" s="809"/>
      <c r="I27" s="805"/>
      <c r="K27" s="496" t="s">
        <v>1406</v>
      </c>
    </row>
    <row r="28" spans="2:13">
      <c r="B28" s="2034"/>
      <c r="C28" s="2035"/>
      <c r="D28" s="1388" t="s">
        <v>379</v>
      </c>
      <c r="E28" s="1388"/>
      <c r="F28" s="1389"/>
      <c r="G28" s="1389"/>
      <c r="H28" s="1390"/>
      <c r="I28" s="1391"/>
      <c r="K28" s="1387"/>
    </row>
    <row r="29" spans="2:13">
      <c r="B29" s="1967"/>
      <c r="C29" s="2021"/>
      <c r="D29" s="652" t="s">
        <v>382</v>
      </c>
      <c r="E29" s="652"/>
      <c r="F29" s="642"/>
      <c r="G29" s="642"/>
      <c r="H29" s="642"/>
      <c r="I29" s="791"/>
      <c r="K29" s="496" t="s">
        <v>1406</v>
      </c>
    </row>
    <row r="30" spans="2:13">
      <c r="B30" s="1967"/>
      <c r="C30" s="2021"/>
      <c r="D30" s="652" t="s">
        <v>909</v>
      </c>
      <c r="E30" s="652"/>
      <c r="F30" s="642"/>
      <c r="G30" s="642"/>
      <c r="H30" s="642"/>
      <c r="I30" s="791"/>
      <c r="K30" s="496" t="s">
        <v>1406</v>
      </c>
    </row>
    <row r="31" spans="2:13">
      <c r="B31" s="1967"/>
      <c r="C31" s="2021"/>
      <c r="D31" s="652" t="s">
        <v>317</v>
      </c>
      <c r="E31" s="652"/>
      <c r="F31" s="642"/>
      <c r="G31" s="642"/>
      <c r="H31" s="642"/>
      <c r="I31" s="791"/>
      <c r="K31" s="496" t="s">
        <v>1406</v>
      </c>
    </row>
    <row r="32" spans="2:13" ht="15" thickBot="1">
      <c r="B32" s="1968"/>
      <c r="C32" s="2022"/>
      <c r="D32" s="752" t="s">
        <v>318</v>
      </c>
      <c r="E32" s="752"/>
      <c r="F32" s="759"/>
      <c r="G32" s="759"/>
      <c r="H32" s="759"/>
      <c r="I32" s="592"/>
      <c r="K32" s="496" t="s">
        <v>1406</v>
      </c>
    </row>
    <row r="33" spans="1:11" ht="15" thickBot="1">
      <c r="B33" s="2032" t="s">
        <v>134</v>
      </c>
      <c r="C33" s="2033"/>
      <c r="D33" s="816" t="s">
        <v>298</v>
      </c>
      <c r="E33" s="816"/>
      <c r="F33" s="750"/>
      <c r="G33" s="750"/>
      <c r="H33" s="750"/>
      <c r="I33" s="810"/>
      <c r="K33" s="597" t="s">
        <v>935</v>
      </c>
    </row>
    <row r="34" spans="1:11" s="1165" customFormat="1">
      <c r="B34" s="1966" t="s">
        <v>135</v>
      </c>
      <c r="C34" s="2036" t="s">
        <v>248</v>
      </c>
      <c r="D34" s="1235" t="s">
        <v>322</v>
      </c>
      <c r="E34" s="1235"/>
      <c r="F34" s="1236"/>
      <c r="G34" s="1236"/>
      <c r="H34" s="1236"/>
      <c r="I34" s="1254"/>
      <c r="K34" s="1324" t="s">
        <v>1454</v>
      </c>
    </row>
    <row r="35" spans="1:11">
      <c r="B35" s="1967"/>
      <c r="C35" s="2037"/>
      <c r="D35" s="652" t="s">
        <v>383</v>
      </c>
      <c r="E35" s="652"/>
      <c r="F35" s="642"/>
      <c r="G35" s="642"/>
      <c r="H35" s="642"/>
      <c r="I35" s="791"/>
      <c r="K35" s="496" t="s">
        <v>1406</v>
      </c>
    </row>
    <row r="36" spans="1:11">
      <c r="B36" s="1967"/>
      <c r="C36" s="2037" t="s">
        <v>249</v>
      </c>
      <c r="D36" s="652" t="s">
        <v>327</v>
      </c>
      <c r="E36" s="652"/>
      <c r="F36" s="642"/>
      <c r="G36" s="642"/>
      <c r="H36" s="642"/>
      <c r="I36" s="791"/>
      <c r="K36" s="496" t="s">
        <v>1406</v>
      </c>
    </row>
    <row r="37" spans="1:11">
      <c r="B37" s="1967"/>
      <c r="C37" s="2037"/>
      <c r="D37" s="652" t="s">
        <v>324</v>
      </c>
      <c r="E37" s="652"/>
      <c r="F37" s="642"/>
      <c r="G37" s="642"/>
      <c r="H37" s="642"/>
      <c r="I37" s="791"/>
      <c r="K37" s="496" t="s">
        <v>1406</v>
      </c>
    </row>
    <row r="38" spans="1:11">
      <c r="B38" s="1967"/>
      <c r="C38" s="2037" t="s">
        <v>250</v>
      </c>
      <c r="D38" s="652" t="s">
        <v>325</v>
      </c>
      <c r="E38" s="652"/>
      <c r="F38" s="642"/>
      <c r="G38" s="642"/>
      <c r="H38" s="642"/>
      <c r="I38" s="791"/>
      <c r="K38" s="496" t="s">
        <v>1406</v>
      </c>
    </row>
    <row r="39" spans="1:11">
      <c r="B39" s="1967"/>
      <c r="C39" s="2037"/>
      <c r="D39" s="652" t="s">
        <v>326</v>
      </c>
      <c r="E39" s="652"/>
      <c r="F39" s="642"/>
      <c r="G39" s="642"/>
      <c r="H39" s="642"/>
      <c r="I39" s="791"/>
      <c r="K39" s="496" t="s">
        <v>1406</v>
      </c>
    </row>
    <row r="40" spans="1:11" ht="15" thickBot="1">
      <c r="B40" s="1968"/>
      <c r="C40" s="2038"/>
      <c r="D40" s="752" t="s">
        <v>327</v>
      </c>
      <c r="E40" s="752"/>
      <c r="F40" s="759"/>
      <c r="G40" s="759"/>
      <c r="H40" s="759"/>
      <c r="I40" s="592"/>
      <c r="K40" s="496" t="s">
        <v>1406</v>
      </c>
    </row>
    <row r="41" spans="1:11" s="1165" customFormat="1" ht="14.5" customHeight="1">
      <c r="A41" s="1858" t="s">
        <v>137</v>
      </c>
      <c r="B41" s="1966" t="s">
        <v>138</v>
      </c>
      <c r="C41" s="2030" t="s">
        <v>910</v>
      </c>
      <c r="D41" s="1235" t="s">
        <v>794</v>
      </c>
      <c r="E41" s="1235"/>
      <c r="F41" s="1236"/>
      <c r="G41" s="1236"/>
      <c r="H41" s="1236"/>
      <c r="I41" s="1254"/>
      <c r="K41" s="1325" t="s">
        <v>436</v>
      </c>
    </row>
    <row r="42" spans="1:11">
      <c r="A42" s="1859"/>
      <c r="B42" s="1967"/>
      <c r="C42" s="2031"/>
      <c r="D42" s="633" t="s">
        <v>385</v>
      </c>
      <c r="E42" s="652"/>
      <c r="F42" s="642"/>
      <c r="G42" s="642"/>
      <c r="H42" s="642"/>
      <c r="I42" s="791"/>
      <c r="K42" s="496" t="s">
        <v>1406</v>
      </c>
    </row>
    <row r="43" spans="1:11">
      <c r="A43" s="1859"/>
      <c r="B43" s="1967"/>
      <c r="C43" s="1010" t="s">
        <v>251</v>
      </c>
      <c r="D43" s="652" t="s">
        <v>386</v>
      </c>
      <c r="E43" s="652"/>
      <c r="F43" s="642">
        <v>1</v>
      </c>
      <c r="G43" s="642">
        <f>+F43*'PROGRAMA ARQ.'!E33</f>
        <v>2</v>
      </c>
      <c r="H43" s="642"/>
      <c r="I43" s="791"/>
      <c r="K43" s="496" t="s">
        <v>1406</v>
      </c>
    </row>
    <row r="44" spans="1:11">
      <c r="A44" s="1859"/>
      <c r="B44" s="1967"/>
      <c r="C44" s="1010" t="s">
        <v>252</v>
      </c>
      <c r="D44" s="652" t="s">
        <v>359</v>
      </c>
      <c r="E44" s="652"/>
      <c r="F44" s="642">
        <v>1</v>
      </c>
      <c r="G44" s="642">
        <f>+F44*'PROGRAMA ARQ.'!E33</f>
        <v>2</v>
      </c>
      <c r="H44" s="642"/>
      <c r="I44" s="791"/>
      <c r="K44" s="496" t="s">
        <v>1406</v>
      </c>
    </row>
    <row r="45" spans="1:11">
      <c r="A45" s="1859"/>
      <c r="B45" s="1967"/>
      <c r="C45" s="1010" t="s">
        <v>253</v>
      </c>
      <c r="D45" s="652" t="s">
        <v>298</v>
      </c>
      <c r="E45" s="652"/>
      <c r="F45" s="642"/>
      <c r="G45" s="642"/>
      <c r="H45" s="642"/>
      <c r="I45" s="791"/>
      <c r="K45" s="597" t="s">
        <v>935</v>
      </c>
    </row>
    <row r="46" spans="1:11">
      <c r="A46" s="1859"/>
      <c r="B46" s="1967"/>
      <c r="C46" s="1010" t="s">
        <v>254</v>
      </c>
      <c r="D46" s="652" t="s">
        <v>298</v>
      </c>
      <c r="E46" s="652"/>
      <c r="F46" s="642"/>
      <c r="G46" s="642"/>
      <c r="H46" s="642"/>
      <c r="I46" s="791"/>
      <c r="K46" s="597" t="s">
        <v>935</v>
      </c>
    </row>
    <row r="47" spans="1:11" ht="15" thickBot="1">
      <c r="A47" s="1859"/>
      <c r="B47" s="1968"/>
      <c r="C47" s="1015" t="s">
        <v>255</v>
      </c>
      <c r="D47" s="752" t="s">
        <v>298</v>
      </c>
      <c r="E47" s="752"/>
      <c r="F47" s="759"/>
      <c r="G47" s="759"/>
      <c r="H47" s="759"/>
      <c r="I47" s="592"/>
      <c r="K47" s="597" t="s">
        <v>935</v>
      </c>
    </row>
    <row r="48" spans="1:11">
      <c r="A48" s="1859"/>
      <c r="B48" s="1966" t="s">
        <v>139</v>
      </c>
      <c r="C48" s="1014" t="s">
        <v>256</v>
      </c>
      <c r="D48" s="761" t="s">
        <v>298</v>
      </c>
      <c r="E48" s="761"/>
      <c r="F48" s="762"/>
      <c r="G48" s="762"/>
      <c r="H48" s="812"/>
      <c r="I48" s="805"/>
      <c r="K48" s="597" t="s">
        <v>935</v>
      </c>
    </row>
    <row r="49" spans="1:11" ht="15" thickBot="1">
      <c r="A49" s="1859"/>
      <c r="B49" s="1968"/>
      <c r="C49" s="1021" t="s">
        <v>257</v>
      </c>
      <c r="D49" s="752" t="s">
        <v>298</v>
      </c>
      <c r="E49" s="752"/>
      <c r="F49" s="759"/>
      <c r="G49" s="759"/>
      <c r="H49" s="759"/>
      <c r="I49" s="592"/>
      <c r="K49" s="597" t="s">
        <v>935</v>
      </c>
    </row>
    <row r="50" spans="1:11" ht="15" thickBot="1">
      <c r="A50" s="1859"/>
      <c r="B50" s="2032" t="s">
        <v>142</v>
      </c>
      <c r="C50" s="2033"/>
      <c r="D50" s="816" t="s">
        <v>298</v>
      </c>
      <c r="E50" s="816"/>
      <c r="F50" s="750"/>
      <c r="G50" s="750"/>
      <c r="H50" s="750"/>
      <c r="I50" s="810"/>
      <c r="K50" s="597" t="s">
        <v>935</v>
      </c>
    </row>
    <row r="51" spans="1:11">
      <c r="A51" s="1859"/>
      <c r="B51" s="1966" t="s">
        <v>264</v>
      </c>
      <c r="C51" s="2020"/>
      <c r="D51" s="764" t="s">
        <v>771</v>
      </c>
      <c r="E51" s="762"/>
      <c r="F51" s="762"/>
      <c r="G51" s="762"/>
      <c r="H51" s="762"/>
      <c r="I51" s="805"/>
    </row>
    <row r="52" spans="1:11" ht="43" thickBot="1">
      <c r="A52" s="1860"/>
      <c r="B52" s="1968"/>
      <c r="C52" s="2022"/>
      <c r="D52" s="752" t="s">
        <v>721</v>
      </c>
      <c r="E52" s="752"/>
      <c r="F52" s="759"/>
      <c r="G52" s="759"/>
      <c r="H52" s="759"/>
      <c r="I52" s="592"/>
      <c r="K52" s="496" t="s">
        <v>1406</v>
      </c>
    </row>
  </sheetData>
  <autoFilter ref="K1:K52"/>
  <mergeCells count="27">
    <mergeCell ref="A41:A52"/>
    <mergeCell ref="E3:I3"/>
    <mergeCell ref="B2:I2"/>
    <mergeCell ref="E4:I4"/>
    <mergeCell ref="M23:M24"/>
    <mergeCell ref="E5:I5"/>
    <mergeCell ref="B8:C8"/>
    <mergeCell ref="B9:C12"/>
    <mergeCell ref="B13:B16"/>
    <mergeCell ref="B17:B18"/>
    <mergeCell ref="B19:C20"/>
    <mergeCell ref="B21:C21"/>
    <mergeCell ref="B22:C22"/>
    <mergeCell ref="B23:B25"/>
    <mergeCell ref="C23:C25"/>
    <mergeCell ref="B26:C26"/>
    <mergeCell ref="B27:C32"/>
    <mergeCell ref="B33:C33"/>
    <mergeCell ref="B34:B40"/>
    <mergeCell ref="C34:C35"/>
    <mergeCell ref="C36:C37"/>
    <mergeCell ref="C38:C40"/>
    <mergeCell ref="B41:B47"/>
    <mergeCell ref="C41:C42"/>
    <mergeCell ref="B48:B49"/>
    <mergeCell ref="B50:C50"/>
    <mergeCell ref="B51:C52"/>
  </mergeCells>
  <pageMargins left="0.70866141732283472" right="0.70866141732283472" top="0.74803149606299213" bottom="0.74803149606299213" header="0.31496062992125984" footer="0.31496062992125984"/>
  <pageSetup scale="39" fitToHeight="0" orientation="portrait"/>
  <rowBreaks count="1" manualBreakCount="1">
    <brk id="40"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CBB2FB67-5FF4-4D2E-AEC2-B6D066E66FAB}">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27" operator="containsText" text="0" id="{CBB2FB67-5FF4-4D2E-AEC2-B6D066E66FAB}">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rgb="FF00B0F0"/>
    <pageSetUpPr fitToPage="1"/>
  </sheetPr>
  <dimension ref="A1:M51"/>
  <sheetViews>
    <sheetView workbookViewId="0">
      <selection activeCell="K8" sqref="K8:K14"/>
    </sheetView>
  </sheetViews>
  <sheetFormatPr baseColWidth="10" defaultColWidth="11.5" defaultRowHeight="14" x14ac:dyDescent="0"/>
  <cols>
    <col min="1" max="1" width="2.83203125" style="310" customWidth="1"/>
    <col min="2" max="3" width="30.6640625" style="310" customWidth="1"/>
    <col min="4" max="4" width="50.6640625" style="350" customWidth="1"/>
    <col min="5" max="9" width="3.6640625" style="310" customWidth="1"/>
    <col min="10" max="10" width="7.5" style="81" customWidth="1"/>
    <col min="11" max="11" width="50.6640625" style="496" customWidth="1"/>
    <col min="12" max="12" width="30.6640625" style="310" customWidth="1"/>
    <col min="13" max="13" width="3.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97"/>
      <c r="L2" s="507"/>
      <c r="M2" s="362"/>
    </row>
    <row r="3" spans="2:13" s="81" customFormat="1" ht="25.25" customHeight="1" thickBot="1">
      <c r="B3" s="820" t="s">
        <v>1385</v>
      </c>
      <c r="C3" s="821"/>
      <c r="D3" s="822"/>
      <c r="E3" s="1746" t="str">
        <f>+'PROGRAMA ARQ.'!E4</f>
        <v>2 SALAS CUNAS</v>
      </c>
      <c r="F3" s="1747"/>
      <c r="G3" s="1747"/>
      <c r="H3" s="1747"/>
      <c r="I3" s="1748"/>
      <c r="J3" s="382"/>
      <c r="K3" s="597"/>
      <c r="L3" s="507"/>
      <c r="M3" s="362"/>
    </row>
    <row r="4" spans="2:13" s="81" customFormat="1" ht="25.25" customHeight="1" thickBot="1">
      <c r="B4" s="823">
        <f>+'PROGRAMA ARQ.'!I4:I5</f>
        <v>152</v>
      </c>
      <c r="C4" s="505"/>
      <c r="D4" s="661"/>
      <c r="E4" s="1737" t="str">
        <f>+'PROGRAMA ARQ.'!E5</f>
        <v>4 NIVELES MEDIOS</v>
      </c>
      <c r="F4" s="1738"/>
      <c r="G4" s="1738"/>
      <c r="H4" s="1738"/>
      <c r="I4" s="1739"/>
      <c r="J4" s="382"/>
      <c r="K4" s="597"/>
      <c r="L4" s="507"/>
      <c r="M4" s="362"/>
    </row>
    <row r="5" spans="2:13" s="81" customFormat="1" ht="15" thickBot="1">
      <c r="B5" s="695" t="s">
        <v>1374</v>
      </c>
      <c r="C5" s="235" t="s">
        <v>1375</v>
      </c>
      <c r="D5" s="235" t="s">
        <v>1376</v>
      </c>
      <c r="E5" s="1818" t="s">
        <v>1377</v>
      </c>
      <c r="F5" s="1819"/>
      <c r="G5" s="1819"/>
      <c r="H5" s="1819"/>
      <c r="I5" s="1820"/>
      <c r="J5" s="675"/>
      <c r="K5" s="597"/>
      <c r="L5" s="507"/>
      <c r="M5" s="362"/>
    </row>
    <row r="6" spans="2:13" s="616" customFormat="1" ht="68.25" customHeight="1" thickBot="1">
      <c r="B6" s="713" t="str">
        <f>+'PROGRAMA ARQ.'!C34</f>
        <v>2.10</v>
      </c>
      <c r="C6" s="713" t="str">
        <f>+'PROGRAMA ARQ.'!D34</f>
        <v>BODEGA GENERAL*</v>
      </c>
      <c r="D6" s="833">
        <f>+'PROGRAMA ARQ.'!F34</f>
        <v>5.5</v>
      </c>
      <c r="E6" s="692" t="s">
        <v>366</v>
      </c>
      <c r="F6" s="693" t="s">
        <v>544</v>
      </c>
      <c r="G6" s="693" t="s">
        <v>2</v>
      </c>
      <c r="H6" s="693" t="s">
        <v>171</v>
      </c>
      <c r="I6" s="694" t="s">
        <v>172</v>
      </c>
      <c r="J6" s="608"/>
      <c r="K6" s="1299" t="s">
        <v>293</v>
      </c>
      <c r="L6" s="705" t="s">
        <v>120</v>
      </c>
      <c r="M6" s="706" t="s">
        <v>178</v>
      </c>
    </row>
    <row r="7" spans="2:13" s="367" customFormat="1" ht="16" thickBot="1">
      <c r="B7" s="667" t="s">
        <v>1378</v>
      </c>
      <c r="C7" s="667" t="s">
        <v>1379</v>
      </c>
      <c r="D7" s="670" t="s">
        <v>1380</v>
      </c>
      <c r="E7" s="671"/>
      <c r="F7" s="672"/>
      <c r="G7" s="672"/>
      <c r="H7" s="671"/>
      <c r="I7" s="673"/>
      <c r="J7" s="595"/>
      <c r="K7" s="1145"/>
      <c r="L7" s="696"/>
      <c r="M7" s="697"/>
    </row>
    <row r="8" spans="2:13" ht="183" thickBot="1">
      <c r="B8" s="892" t="s">
        <v>122</v>
      </c>
      <c r="C8" s="1027"/>
      <c r="D8" s="858" t="s">
        <v>1381</v>
      </c>
      <c r="E8" s="859"/>
      <c r="F8" s="354"/>
      <c r="G8" s="354"/>
      <c r="H8" s="859"/>
      <c r="I8" s="857"/>
      <c r="K8" s="496" t="s">
        <v>1432</v>
      </c>
    </row>
    <row r="9" spans="2:13">
      <c r="B9" s="1755" t="s">
        <v>1388</v>
      </c>
      <c r="C9" s="2020"/>
      <c r="D9" s="588" t="s">
        <v>387</v>
      </c>
      <c r="E9" s="809"/>
      <c r="F9" s="762"/>
      <c r="G9" s="762"/>
      <c r="H9" s="762"/>
      <c r="I9" s="805"/>
      <c r="K9" s="496" t="s">
        <v>1406</v>
      </c>
    </row>
    <row r="10" spans="2:13" ht="43" thickBot="1">
      <c r="B10" s="1968"/>
      <c r="C10" s="2022"/>
      <c r="D10" s="792" t="s">
        <v>1367</v>
      </c>
      <c r="E10" s="1012"/>
      <c r="F10" s="759"/>
      <c r="G10" s="759"/>
      <c r="H10" s="759"/>
      <c r="I10" s="592"/>
      <c r="K10" s="496" t="s">
        <v>1406</v>
      </c>
    </row>
    <row r="11" spans="2:13" ht="28">
      <c r="B11" s="1966" t="s">
        <v>143</v>
      </c>
      <c r="C11" s="1014" t="s">
        <v>241</v>
      </c>
      <c r="D11" s="726" t="s">
        <v>368</v>
      </c>
      <c r="E11" s="762"/>
      <c r="F11" s="762"/>
      <c r="G11" s="762"/>
      <c r="H11" s="762"/>
      <c r="I11" s="805"/>
      <c r="K11" s="496" t="s">
        <v>1406</v>
      </c>
      <c r="L11" s="358"/>
    </row>
    <row r="12" spans="2:13" ht="33" customHeight="1">
      <c r="B12" s="1967"/>
      <c r="C12" s="1009" t="s">
        <v>242</v>
      </c>
      <c r="D12" s="591" t="s">
        <v>722</v>
      </c>
      <c r="E12" s="644"/>
      <c r="F12" s="642"/>
      <c r="G12" s="642"/>
      <c r="H12" s="642"/>
      <c r="I12" s="791"/>
      <c r="K12" s="496" t="s">
        <v>1406</v>
      </c>
    </row>
    <row r="13" spans="2:13">
      <c r="B13" s="1967"/>
      <c r="C13" s="1009" t="s">
        <v>243</v>
      </c>
      <c r="D13" s="590" t="s">
        <v>300</v>
      </c>
      <c r="E13" s="646"/>
      <c r="F13" s="642"/>
      <c r="G13" s="642"/>
      <c r="H13" s="645"/>
      <c r="I13" s="791"/>
      <c r="K13" s="496" t="s">
        <v>935</v>
      </c>
    </row>
    <row r="14" spans="2:13" ht="29" thickBot="1">
      <c r="B14" s="1968"/>
      <c r="C14" s="1021" t="s">
        <v>244</v>
      </c>
      <c r="D14" s="727" t="s">
        <v>468</v>
      </c>
      <c r="E14" s="1016"/>
      <c r="F14" s="759"/>
      <c r="G14" s="759"/>
      <c r="H14" s="813"/>
      <c r="I14" s="592"/>
      <c r="K14" s="496" t="s">
        <v>1406</v>
      </c>
    </row>
    <row r="15" spans="2:13" s="350" customFormat="1" ht="33.75" customHeight="1">
      <c r="B15" s="1966" t="s">
        <v>144</v>
      </c>
      <c r="C15" s="1022" t="s">
        <v>245</v>
      </c>
      <c r="D15" s="726" t="s">
        <v>370</v>
      </c>
      <c r="E15" s="726"/>
      <c r="F15" s="589"/>
      <c r="G15" s="589"/>
      <c r="H15" s="589"/>
      <c r="I15" s="723"/>
      <c r="J15" s="362"/>
      <c r="K15" s="496" t="s">
        <v>1406</v>
      </c>
    </row>
    <row r="16" spans="2:13" s="487" customFormat="1">
      <c r="B16" s="1967"/>
      <c r="C16" s="1009"/>
      <c r="D16" s="590" t="s">
        <v>908</v>
      </c>
      <c r="E16" s="590"/>
      <c r="F16" s="513"/>
      <c r="G16" s="513"/>
      <c r="H16" s="513"/>
      <c r="I16" s="545"/>
      <c r="J16" s="362"/>
      <c r="K16" s="496" t="s">
        <v>1406</v>
      </c>
    </row>
    <row r="17" spans="2:12" s="81" customFormat="1" ht="15" thickBot="1">
      <c r="B17" s="1968"/>
      <c r="C17" s="1024" t="s">
        <v>246</v>
      </c>
      <c r="D17" s="724" t="s">
        <v>300</v>
      </c>
      <c r="E17" s="752"/>
      <c r="F17" s="554"/>
      <c r="G17" s="554"/>
      <c r="H17" s="554"/>
      <c r="I17" s="560"/>
      <c r="K17" s="496" t="s">
        <v>935</v>
      </c>
    </row>
    <row r="18" spans="2:12">
      <c r="B18" s="1966" t="s">
        <v>141</v>
      </c>
      <c r="C18" s="2020"/>
      <c r="D18" s="726" t="s">
        <v>173</v>
      </c>
      <c r="E18" s="761"/>
      <c r="F18" s="762"/>
      <c r="G18" s="762"/>
      <c r="H18" s="762"/>
      <c r="I18" s="805"/>
      <c r="K18" s="496" t="s">
        <v>1406</v>
      </c>
    </row>
    <row r="19" spans="2:12">
      <c r="B19" s="1967"/>
      <c r="C19" s="2021"/>
      <c r="D19" s="513" t="s">
        <v>174</v>
      </c>
      <c r="E19" s="642"/>
      <c r="F19" s="642"/>
      <c r="G19" s="642"/>
      <c r="H19" s="642"/>
      <c r="I19" s="791"/>
      <c r="K19" s="496" t="s">
        <v>1406</v>
      </c>
    </row>
    <row r="20" spans="2:12" ht="31.5" customHeight="1" thickBot="1">
      <c r="B20" s="1968"/>
      <c r="C20" s="2022"/>
      <c r="D20" s="727" t="s">
        <v>262</v>
      </c>
      <c r="E20" s="1016"/>
      <c r="F20" s="759"/>
      <c r="G20" s="759"/>
      <c r="H20" s="759"/>
      <c r="I20" s="592"/>
      <c r="K20" s="496" t="s">
        <v>1406</v>
      </c>
    </row>
    <row r="21" spans="2:12" ht="15" thickBot="1">
      <c r="B21" s="2023" t="s">
        <v>140</v>
      </c>
      <c r="C21" s="2024"/>
      <c r="D21" s="815" t="s">
        <v>713</v>
      </c>
      <c r="E21" s="816"/>
      <c r="F21" s="750"/>
      <c r="G21" s="750"/>
      <c r="H21" s="750"/>
      <c r="I21" s="810"/>
      <c r="K21" s="496" t="s">
        <v>1406</v>
      </c>
    </row>
    <row r="22" spans="2:12" ht="15" thickBot="1">
      <c r="B22" s="1996" t="s">
        <v>123</v>
      </c>
      <c r="C22" s="1997"/>
      <c r="D22" s="815" t="s">
        <v>298</v>
      </c>
      <c r="E22" s="816"/>
      <c r="F22" s="750"/>
      <c r="G22" s="750"/>
      <c r="H22" s="750"/>
      <c r="I22" s="810"/>
      <c r="K22" s="496" t="s">
        <v>935</v>
      </c>
    </row>
    <row r="23" spans="2:12" ht="28">
      <c r="B23" s="1966" t="s">
        <v>124</v>
      </c>
      <c r="C23" s="1948" t="s">
        <v>912</v>
      </c>
      <c r="D23" s="776" t="s">
        <v>470</v>
      </c>
      <c r="E23" s="764"/>
      <c r="F23" s="762">
        <v>1</v>
      </c>
      <c r="G23" s="762">
        <f>+F23*'PROGRAMA ARQ.'!E34</f>
        <v>2</v>
      </c>
      <c r="H23" s="762"/>
      <c r="I23" s="805"/>
      <c r="K23" s="496" t="s">
        <v>1406</v>
      </c>
    </row>
    <row r="24" spans="2:12" ht="28">
      <c r="B24" s="1967"/>
      <c r="C24" s="1949"/>
      <c r="D24" s="633" t="s">
        <v>381</v>
      </c>
      <c r="E24" s="652"/>
      <c r="F24" s="642"/>
      <c r="G24" s="642"/>
      <c r="H24" s="642"/>
      <c r="I24" s="791"/>
      <c r="K24" s="496" t="s">
        <v>1406</v>
      </c>
    </row>
    <row r="25" spans="2:12" ht="15" thickBot="1">
      <c r="B25" s="1968"/>
      <c r="C25" s="1979"/>
      <c r="D25" s="724" t="s">
        <v>384</v>
      </c>
      <c r="E25" s="752"/>
      <c r="F25" s="759"/>
      <c r="G25" s="759"/>
      <c r="H25" s="759"/>
      <c r="I25" s="592"/>
      <c r="K25" s="496" t="s">
        <v>1406</v>
      </c>
    </row>
    <row r="26" spans="2:12" ht="15" thickBot="1">
      <c r="B26" s="2023" t="s">
        <v>132</v>
      </c>
      <c r="C26" s="2024"/>
      <c r="D26" s="815" t="s">
        <v>298</v>
      </c>
      <c r="E26" s="816"/>
      <c r="F26" s="750"/>
      <c r="G26" s="750"/>
      <c r="H26" s="1019"/>
      <c r="I26" s="810"/>
      <c r="K26" s="496" t="s">
        <v>935</v>
      </c>
    </row>
    <row r="27" spans="2:12">
      <c r="B27" s="1966" t="s">
        <v>133</v>
      </c>
      <c r="C27" s="2020"/>
      <c r="D27" s="776" t="s">
        <v>173</v>
      </c>
      <c r="E27" s="764"/>
      <c r="F27" s="762"/>
      <c r="G27" s="762"/>
      <c r="H27" s="809"/>
      <c r="I27" s="805"/>
      <c r="K27" s="496" t="s">
        <v>1406</v>
      </c>
    </row>
    <row r="28" spans="2:12">
      <c r="B28" s="2034"/>
      <c r="C28" s="2035"/>
      <c r="D28" s="1392" t="s">
        <v>379</v>
      </c>
      <c r="E28" s="1388"/>
      <c r="F28" s="1389"/>
      <c r="G28" s="1389"/>
      <c r="H28" s="1390"/>
      <c r="I28" s="1391"/>
      <c r="K28" s="1387"/>
    </row>
    <row r="29" spans="2:12">
      <c r="B29" s="1967"/>
      <c r="C29" s="2021"/>
      <c r="D29" s="633" t="s">
        <v>723</v>
      </c>
      <c r="E29" s="652"/>
      <c r="F29" s="642"/>
      <c r="G29" s="642"/>
      <c r="H29" s="642"/>
      <c r="I29" s="791"/>
      <c r="K29" s="496" t="s">
        <v>1406</v>
      </c>
    </row>
    <row r="30" spans="2:12">
      <c r="B30" s="1967"/>
      <c r="C30" s="2021"/>
      <c r="D30" s="652" t="s">
        <v>909</v>
      </c>
      <c r="E30" s="652"/>
      <c r="F30" s="642"/>
      <c r="G30" s="642"/>
      <c r="H30" s="642"/>
      <c r="I30" s="791"/>
      <c r="K30" s="496" t="s">
        <v>1406</v>
      </c>
    </row>
    <row r="31" spans="2:12">
      <c r="B31" s="1967"/>
      <c r="C31" s="2021"/>
      <c r="D31" s="652" t="s">
        <v>317</v>
      </c>
      <c r="E31" s="652"/>
      <c r="F31" s="642"/>
      <c r="G31" s="642"/>
      <c r="H31" s="642"/>
      <c r="I31" s="791"/>
      <c r="K31" s="496" t="s">
        <v>1406</v>
      </c>
      <c r="L31" s="310" t="s">
        <v>724</v>
      </c>
    </row>
    <row r="32" spans="2:12" ht="15" thickBot="1">
      <c r="B32" s="1968"/>
      <c r="C32" s="2022"/>
      <c r="D32" s="724" t="s">
        <v>318</v>
      </c>
      <c r="E32" s="752"/>
      <c r="F32" s="759"/>
      <c r="G32" s="759"/>
      <c r="H32" s="759"/>
      <c r="I32" s="592"/>
      <c r="K32" s="496" t="s">
        <v>1406</v>
      </c>
    </row>
    <row r="33" spans="1:11" ht="15" thickBot="1">
      <c r="B33" s="2032" t="s">
        <v>134</v>
      </c>
      <c r="C33" s="2033"/>
      <c r="D33" s="815" t="s">
        <v>298</v>
      </c>
      <c r="E33" s="816"/>
      <c r="F33" s="750"/>
      <c r="G33" s="750"/>
      <c r="H33" s="750"/>
      <c r="I33" s="810"/>
    </row>
    <row r="34" spans="1:11">
      <c r="B34" s="2041" t="s">
        <v>135</v>
      </c>
      <c r="C34" s="2036" t="s">
        <v>248</v>
      </c>
      <c r="D34" s="776" t="s">
        <v>322</v>
      </c>
      <c r="E34" s="764"/>
      <c r="F34" s="762"/>
      <c r="G34" s="762"/>
      <c r="H34" s="762"/>
      <c r="I34" s="805"/>
      <c r="K34" s="496" t="s">
        <v>1406</v>
      </c>
    </row>
    <row r="35" spans="1:11">
      <c r="B35" s="2042"/>
      <c r="C35" s="2037"/>
      <c r="D35" s="633" t="s">
        <v>383</v>
      </c>
      <c r="E35" s="652"/>
      <c r="F35" s="642"/>
      <c r="G35" s="642"/>
      <c r="H35" s="642"/>
      <c r="I35" s="791"/>
      <c r="K35" s="496" t="s">
        <v>1406</v>
      </c>
    </row>
    <row r="36" spans="1:11">
      <c r="B36" s="2042"/>
      <c r="C36" s="2044" t="s">
        <v>249</v>
      </c>
      <c r="D36" s="633" t="s">
        <v>327</v>
      </c>
      <c r="E36" s="652"/>
      <c r="F36" s="642"/>
      <c r="G36" s="642"/>
      <c r="H36" s="642"/>
      <c r="I36" s="791"/>
      <c r="K36" s="496" t="s">
        <v>1406</v>
      </c>
    </row>
    <row r="37" spans="1:11">
      <c r="B37" s="2042"/>
      <c r="C37" s="2044"/>
      <c r="D37" s="633" t="s">
        <v>324</v>
      </c>
      <c r="E37" s="652"/>
      <c r="F37" s="642"/>
      <c r="G37" s="642"/>
      <c r="H37" s="642"/>
      <c r="I37" s="791"/>
      <c r="K37" s="496" t="s">
        <v>1406</v>
      </c>
    </row>
    <row r="38" spans="1:11">
      <c r="B38" s="2042"/>
      <c r="C38" s="2044" t="s">
        <v>250</v>
      </c>
      <c r="D38" s="633" t="s">
        <v>325</v>
      </c>
      <c r="E38" s="652"/>
      <c r="F38" s="642"/>
      <c r="G38" s="642"/>
      <c r="H38" s="642"/>
      <c r="I38" s="791"/>
      <c r="K38" s="496" t="s">
        <v>1406</v>
      </c>
    </row>
    <row r="39" spans="1:11" ht="15" thickBot="1">
      <c r="B39" s="2043"/>
      <c r="C39" s="2045"/>
      <c r="D39" s="724" t="s">
        <v>326</v>
      </c>
      <c r="E39" s="752"/>
      <c r="F39" s="759"/>
      <c r="G39" s="759"/>
      <c r="H39" s="759"/>
      <c r="I39" s="592"/>
      <c r="K39" s="496" t="s">
        <v>1406</v>
      </c>
    </row>
    <row r="40" spans="1:11" s="1165" customFormat="1" ht="14.5" customHeight="1">
      <c r="A40" s="1858" t="s">
        <v>137</v>
      </c>
      <c r="B40" s="1966" t="s">
        <v>138</v>
      </c>
      <c r="C40" s="2030" t="s">
        <v>438</v>
      </c>
      <c r="D40" s="1336" t="s">
        <v>794</v>
      </c>
      <c r="E40" s="1235"/>
      <c r="F40" s="1236"/>
      <c r="G40" s="1236"/>
      <c r="H40" s="1236"/>
      <c r="I40" s="1254"/>
      <c r="K40" s="1324" t="s">
        <v>436</v>
      </c>
    </row>
    <row r="41" spans="1:11">
      <c r="A41" s="1859"/>
      <c r="B41" s="1967"/>
      <c r="C41" s="2031"/>
      <c r="D41" s="633" t="s">
        <v>385</v>
      </c>
      <c r="E41" s="652"/>
      <c r="F41" s="642"/>
      <c r="G41" s="642"/>
      <c r="H41" s="642"/>
      <c r="I41" s="791"/>
      <c r="K41" s="496" t="s">
        <v>1406</v>
      </c>
    </row>
    <row r="42" spans="1:11">
      <c r="A42" s="1859"/>
      <c r="B42" s="1967"/>
      <c r="C42" s="1010" t="s">
        <v>251</v>
      </c>
      <c r="D42" s="633" t="s">
        <v>386</v>
      </c>
      <c r="E42" s="652"/>
      <c r="F42" s="642">
        <v>1</v>
      </c>
      <c r="G42" s="642">
        <f>+F42*'PROGRAMA ARQ.'!$E$34</f>
        <v>2</v>
      </c>
      <c r="H42" s="642"/>
      <c r="I42" s="791"/>
      <c r="K42" s="496" t="s">
        <v>1406</v>
      </c>
    </row>
    <row r="43" spans="1:11">
      <c r="A43" s="1859"/>
      <c r="B43" s="1967"/>
      <c r="C43" s="1010" t="s">
        <v>252</v>
      </c>
      <c r="D43" s="633" t="s">
        <v>359</v>
      </c>
      <c r="E43" s="652"/>
      <c r="F43" s="642">
        <v>1</v>
      </c>
      <c r="G43" s="642">
        <f>+F43*'PROGRAMA ARQ.'!$E$34</f>
        <v>2</v>
      </c>
      <c r="H43" s="642"/>
      <c r="I43" s="791"/>
      <c r="K43" s="496" t="s">
        <v>1406</v>
      </c>
    </row>
    <row r="44" spans="1:11">
      <c r="A44" s="1859"/>
      <c r="B44" s="1967"/>
      <c r="C44" s="1010" t="s">
        <v>253</v>
      </c>
      <c r="D44" s="633" t="s">
        <v>298</v>
      </c>
      <c r="E44" s="652"/>
      <c r="F44" s="642"/>
      <c r="G44" s="642"/>
      <c r="H44" s="642"/>
      <c r="I44" s="791"/>
      <c r="K44" s="496" t="s">
        <v>935</v>
      </c>
    </row>
    <row r="45" spans="1:11">
      <c r="A45" s="1859"/>
      <c r="B45" s="1967"/>
      <c r="C45" s="1010" t="s">
        <v>254</v>
      </c>
      <c r="D45" s="633" t="s">
        <v>298</v>
      </c>
      <c r="E45" s="652"/>
      <c r="F45" s="642"/>
      <c r="G45" s="642"/>
      <c r="H45" s="642"/>
      <c r="I45" s="791"/>
      <c r="K45" s="496" t="s">
        <v>935</v>
      </c>
    </row>
    <row r="46" spans="1:11" ht="15" thickBot="1">
      <c r="A46" s="1859"/>
      <c r="B46" s="1968"/>
      <c r="C46" s="1015" t="s">
        <v>255</v>
      </c>
      <c r="D46" s="724" t="s">
        <v>298</v>
      </c>
      <c r="E46" s="752"/>
      <c r="F46" s="759"/>
      <c r="G46" s="759"/>
      <c r="H46" s="759"/>
      <c r="I46" s="592"/>
      <c r="K46" s="496" t="s">
        <v>935</v>
      </c>
    </row>
    <row r="47" spans="1:11">
      <c r="A47" s="1859"/>
      <c r="B47" s="1966" t="s">
        <v>139</v>
      </c>
      <c r="C47" s="1014" t="s">
        <v>256</v>
      </c>
      <c r="D47" s="726" t="s">
        <v>298</v>
      </c>
      <c r="E47" s="761"/>
      <c r="F47" s="762"/>
      <c r="G47" s="762"/>
      <c r="H47" s="812"/>
      <c r="I47" s="805"/>
      <c r="K47" s="496" t="s">
        <v>935</v>
      </c>
    </row>
    <row r="48" spans="1:11" ht="15" thickBot="1">
      <c r="A48" s="1859"/>
      <c r="B48" s="1968"/>
      <c r="C48" s="1021" t="s">
        <v>257</v>
      </c>
      <c r="D48" s="724" t="s">
        <v>298</v>
      </c>
      <c r="E48" s="752"/>
      <c r="F48" s="759"/>
      <c r="G48" s="759"/>
      <c r="H48" s="759"/>
      <c r="I48" s="592"/>
      <c r="K48" s="496" t="s">
        <v>935</v>
      </c>
    </row>
    <row r="49" spans="1:11" ht="15" thickBot="1">
      <c r="A49" s="1859"/>
      <c r="B49" s="2032" t="s">
        <v>142</v>
      </c>
      <c r="C49" s="2033"/>
      <c r="D49" s="815" t="s">
        <v>298</v>
      </c>
      <c r="E49" s="816"/>
      <c r="F49" s="750"/>
      <c r="G49" s="750"/>
      <c r="H49" s="750"/>
      <c r="I49" s="810"/>
      <c r="K49" s="496" t="s">
        <v>935</v>
      </c>
    </row>
    <row r="50" spans="1:11">
      <c r="A50" s="1859"/>
      <c r="B50" s="1966" t="s">
        <v>264</v>
      </c>
      <c r="C50" s="2020"/>
      <c r="D50" s="776" t="s">
        <v>771</v>
      </c>
      <c r="E50" s="764"/>
      <c r="F50" s="762"/>
      <c r="G50" s="762"/>
      <c r="H50" s="762"/>
      <c r="I50" s="805"/>
    </row>
    <row r="51" spans="1:11" ht="15" thickBot="1">
      <c r="A51" s="1860"/>
      <c r="B51" s="1968"/>
      <c r="C51" s="2022"/>
      <c r="D51" s="1030" t="s">
        <v>158</v>
      </c>
      <c r="E51" s="759"/>
      <c r="F51" s="759"/>
      <c r="G51" s="759"/>
      <c r="H51" s="759"/>
      <c r="I51" s="592"/>
      <c r="K51" s="496" t="s">
        <v>1406</v>
      </c>
    </row>
  </sheetData>
  <autoFilter ref="K1:K51"/>
  <mergeCells count="25">
    <mergeCell ref="E3:I3"/>
    <mergeCell ref="B2:I2"/>
    <mergeCell ref="E4:I4"/>
    <mergeCell ref="E5:I5"/>
    <mergeCell ref="B9:C10"/>
    <mergeCell ref="B11:B14"/>
    <mergeCell ref="B15:B17"/>
    <mergeCell ref="B18:C20"/>
    <mergeCell ref="B21:C21"/>
    <mergeCell ref="B23:B25"/>
    <mergeCell ref="C23:C25"/>
    <mergeCell ref="B22:C22"/>
    <mergeCell ref="B26:C26"/>
    <mergeCell ref="B27:C32"/>
    <mergeCell ref="B33:C33"/>
    <mergeCell ref="A40:A51"/>
    <mergeCell ref="B47:B48"/>
    <mergeCell ref="B49:C49"/>
    <mergeCell ref="B50:C51"/>
    <mergeCell ref="B34:B39"/>
    <mergeCell ref="C34:C35"/>
    <mergeCell ref="C36:C37"/>
    <mergeCell ref="C38:C39"/>
    <mergeCell ref="B40:B46"/>
    <mergeCell ref="C40:C41"/>
  </mergeCells>
  <pageMargins left="0.70866141732283472" right="0.70866141732283472" top="0.74803149606299213" bottom="0.74803149606299213" header="0.31496062992125984" footer="0.31496062992125984"/>
  <pageSetup scale="39" fitToHeight="0" orientation="portrait"/>
  <rowBreaks count="1" manualBreakCount="1">
    <brk id="39"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94A6FB97-021B-4371-863B-BE02E1157D40}">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29" operator="containsText" text="0" id="{94A6FB97-021B-4371-863B-BE02E1157D40}">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rgb="FFFFC000"/>
    <pageSetUpPr fitToPage="1"/>
  </sheetPr>
  <dimension ref="A1:N109"/>
  <sheetViews>
    <sheetView topLeftCell="A34" zoomScale="85" zoomScaleNormal="85" zoomScaleSheetLayoutView="100" zoomScalePageLayoutView="85" workbookViewId="0">
      <selection activeCell="C46" sqref="C46"/>
    </sheetView>
  </sheetViews>
  <sheetFormatPr baseColWidth="10" defaultColWidth="11.5" defaultRowHeight="14" x14ac:dyDescent="0"/>
  <cols>
    <col min="1" max="1" width="2.83203125" style="310" customWidth="1"/>
    <col min="2" max="2" width="30.6640625" style="310" customWidth="1"/>
    <col min="3" max="3" width="30.6640625" style="487" customWidth="1"/>
    <col min="4" max="4" width="50.6640625" style="487" customWidth="1"/>
    <col min="5" max="8" width="3.6640625" style="487" customWidth="1"/>
    <col min="9" max="9" width="5.6640625" style="487" customWidth="1"/>
    <col min="10" max="10" width="7.5" style="362" customWidth="1"/>
    <col min="11" max="11" width="50.6640625" style="496" customWidth="1"/>
    <col min="12" max="12" width="30.6640625" style="310" customWidth="1"/>
    <col min="13" max="13" width="3.5" style="310" customWidth="1"/>
    <col min="14" max="16384" width="11.5" style="310"/>
  </cols>
  <sheetData>
    <row r="1" spans="2:14" ht="15" thickBot="1"/>
    <row r="2" spans="2:14" s="81" customFormat="1" ht="69" customHeight="1" thickBot="1">
      <c r="B2" s="1743"/>
      <c r="C2" s="1744"/>
      <c r="D2" s="1744"/>
      <c r="E2" s="1744"/>
      <c r="F2" s="1744"/>
      <c r="G2" s="1744"/>
      <c r="H2" s="1744"/>
      <c r="I2" s="1745"/>
      <c r="J2" s="382"/>
      <c r="K2" s="597"/>
      <c r="L2" s="507"/>
      <c r="M2" s="362"/>
    </row>
    <row r="3" spans="2:14" s="81" customFormat="1" ht="25.25" customHeight="1" thickBot="1">
      <c r="B3" s="820" t="s">
        <v>1385</v>
      </c>
      <c r="C3" s="821"/>
      <c r="D3" s="822"/>
      <c r="E3" s="1746" t="str">
        <f>+'PROGRAMA ARQ.'!E4</f>
        <v>2 SALAS CUNAS</v>
      </c>
      <c r="F3" s="1747"/>
      <c r="G3" s="1747"/>
      <c r="H3" s="1747"/>
      <c r="I3" s="1748"/>
      <c r="J3" s="382"/>
      <c r="K3" s="597"/>
      <c r="L3" s="507"/>
      <c r="M3" s="362"/>
    </row>
    <row r="4" spans="2:14" s="81" customFormat="1" ht="25.25" customHeight="1" thickBot="1">
      <c r="B4" s="823">
        <f>+'PROGRAMA ARQ.'!I4:I5</f>
        <v>152</v>
      </c>
      <c r="C4" s="505"/>
      <c r="D4" s="661"/>
      <c r="E4" s="1737" t="str">
        <f>+'PROGRAMA ARQ.'!E5</f>
        <v>4 NIVELES MEDIOS</v>
      </c>
      <c r="F4" s="1738"/>
      <c r="G4" s="1738"/>
      <c r="H4" s="1738"/>
      <c r="I4" s="1739"/>
      <c r="J4" s="382"/>
      <c r="K4" s="597"/>
      <c r="L4" s="507"/>
      <c r="M4" s="362"/>
    </row>
    <row r="5" spans="2:14" s="81" customFormat="1" ht="15" thickBot="1">
      <c r="B5" s="695" t="s">
        <v>1374</v>
      </c>
      <c r="C5" s="235" t="s">
        <v>1375</v>
      </c>
      <c r="D5" s="235" t="s">
        <v>1376</v>
      </c>
      <c r="E5" s="1818" t="s">
        <v>1377</v>
      </c>
      <c r="F5" s="1819"/>
      <c r="G5" s="1819"/>
      <c r="H5" s="1819"/>
      <c r="I5" s="1820"/>
      <c r="J5" s="675"/>
      <c r="K5" s="597"/>
      <c r="L5" s="507"/>
      <c r="M5" s="362"/>
    </row>
    <row r="6" spans="2:14" s="616" customFormat="1" ht="71" thickBot="1">
      <c r="B6" s="712" t="str">
        <f>IF(D6=0,0,+'PROGRAMA ARQ.'!C36)</f>
        <v>3.1</v>
      </c>
      <c r="C6" s="712" t="str">
        <f>IF(D6=0,0,+'PROGRAMA ARQ.'!D36)</f>
        <v>COCINA GENERAL</v>
      </c>
      <c r="D6" s="832">
        <f>+'PROGRAMA ARQ.'!F36</f>
        <v>18</v>
      </c>
      <c r="E6" s="689" t="s">
        <v>366</v>
      </c>
      <c r="F6" s="690" t="s">
        <v>544</v>
      </c>
      <c r="G6" s="690" t="s">
        <v>2</v>
      </c>
      <c r="H6" s="690" t="s">
        <v>171</v>
      </c>
      <c r="I6" s="691" t="s">
        <v>172</v>
      </c>
      <c r="J6" s="608"/>
      <c r="K6" s="1337" t="s">
        <v>293</v>
      </c>
      <c r="L6" s="703" t="s">
        <v>120</v>
      </c>
      <c r="M6" s="846" t="s">
        <v>681</v>
      </c>
    </row>
    <row r="7" spans="2:14" s="367" customFormat="1" ht="16" thickBot="1">
      <c r="B7" s="667" t="s">
        <v>1378</v>
      </c>
      <c r="C7" s="667" t="s">
        <v>1379</v>
      </c>
      <c r="D7" s="670" t="s">
        <v>1380</v>
      </c>
      <c r="E7" s="671"/>
      <c r="F7" s="672"/>
      <c r="G7" s="672"/>
      <c r="H7" s="671"/>
      <c r="I7" s="673"/>
      <c r="J7" s="595"/>
      <c r="K7" s="1145"/>
      <c r="L7" s="696"/>
      <c r="M7" s="697"/>
    </row>
    <row r="8" spans="2:14" s="81" customFormat="1" ht="182">
      <c r="B8" s="1810" t="s">
        <v>122</v>
      </c>
      <c r="C8" s="2052"/>
      <c r="D8" s="964" t="s">
        <v>1381</v>
      </c>
      <c r="E8" s="1033"/>
      <c r="F8" s="1033"/>
      <c r="G8" s="964"/>
      <c r="H8" s="1033"/>
      <c r="I8" s="413"/>
      <c r="J8" s="362"/>
      <c r="K8" s="597"/>
      <c r="N8" s="81">
        <f>G8</f>
        <v>0</v>
      </c>
    </row>
    <row r="9" spans="2:14" s="81" customFormat="1" ht="99" thickBot="1">
      <c r="B9" s="1811"/>
      <c r="C9" s="2053"/>
      <c r="D9" s="363" t="s">
        <v>971</v>
      </c>
      <c r="E9" s="362"/>
      <c r="F9" s="362"/>
      <c r="G9" s="363"/>
      <c r="H9" s="362"/>
      <c r="I9" s="401"/>
      <c r="J9" s="362"/>
      <c r="K9" s="597" t="s">
        <v>1432</v>
      </c>
    </row>
    <row r="10" spans="2:14" s="81" customFormat="1" ht="42">
      <c r="B10" s="1935" t="s">
        <v>1388</v>
      </c>
      <c r="C10" s="2007"/>
      <c r="D10" s="786" t="s">
        <v>1367</v>
      </c>
      <c r="E10" s="528"/>
      <c r="F10" s="528"/>
      <c r="G10" s="528"/>
      <c r="H10" s="528"/>
      <c r="I10" s="529"/>
      <c r="J10" s="362"/>
    </row>
    <row r="11" spans="2:14" s="81" customFormat="1">
      <c r="B11" s="1961"/>
      <c r="C11" s="2008"/>
      <c r="D11" s="628" t="s">
        <v>972</v>
      </c>
      <c r="E11" s="512"/>
      <c r="F11" s="512"/>
      <c r="G11" s="512"/>
      <c r="H11" s="512"/>
      <c r="I11" s="518"/>
      <c r="J11" s="362"/>
      <c r="K11" s="597" t="s">
        <v>1406</v>
      </c>
    </row>
    <row r="12" spans="2:14" s="81" customFormat="1">
      <c r="B12" s="1961"/>
      <c r="C12" s="2008"/>
      <c r="D12" s="628" t="s">
        <v>973</v>
      </c>
      <c r="E12" s="512"/>
      <c r="F12" s="512"/>
      <c r="G12" s="512"/>
      <c r="H12" s="512"/>
      <c r="I12" s="518"/>
      <c r="J12" s="362"/>
      <c r="K12" s="597" t="s">
        <v>1406</v>
      </c>
    </row>
    <row r="13" spans="2:14" s="81" customFormat="1" ht="28">
      <c r="B13" s="1961"/>
      <c r="C13" s="2008"/>
      <c r="D13" s="628" t="s">
        <v>1038</v>
      </c>
      <c r="E13" s="512"/>
      <c r="F13" s="512"/>
      <c r="G13" s="512"/>
      <c r="H13" s="512"/>
      <c r="I13" s="518"/>
      <c r="J13" s="362"/>
      <c r="K13" s="597" t="s">
        <v>1406</v>
      </c>
      <c r="L13" s="81" t="s">
        <v>1039</v>
      </c>
    </row>
    <row r="14" spans="2:14" s="81" customFormat="1" ht="28">
      <c r="B14" s="1961"/>
      <c r="C14" s="2008"/>
      <c r="D14" s="628" t="s">
        <v>1042</v>
      </c>
      <c r="E14" s="512"/>
      <c r="F14" s="512"/>
      <c r="G14" s="512"/>
      <c r="H14" s="512"/>
      <c r="I14" s="518"/>
      <c r="J14" s="362"/>
      <c r="K14" s="597" t="s">
        <v>1406</v>
      </c>
    </row>
    <row r="15" spans="2:14" s="81" customFormat="1">
      <c r="B15" s="1961"/>
      <c r="C15" s="2008"/>
      <c r="D15" s="628" t="s">
        <v>974</v>
      </c>
      <c r="E15" s="512"/>
      <c r="F15" s="512"/>
      <c r="G15" s="512"/>
      <c r="H15" s="512"/>
      <c r="I15" s="518"/>
      <c r="J15" s="362"/>
      <c r="K15" s="597" t="s">
        <v>1406</v>
      </c>
    </row>
    <row r="16" spans="2:14" s="81" customFormat="1" ht="42">
      <c r="B16" s="1961"/>
      <c r="C16" s="2008"/>
      <c r="D16" s="628" t="s">
        <v>996</v>
      </c>
      <c r="E16" s="512"/>
      <c r="F16" s="512"/>
      <c r="G16" s="512"/>
      <c r="H16" s="512"/>
      <c r="I16" s="518"/>
      <c r="J16" s="362"/>
      <c r="K16" s="597" t="s">
        <v>1406</v>
      </c>
    </row>
    <row r="17" spans="2:12" s="81" customFormat="1" ht="42">
      <c r="B17" s="1962"/>
      <c r="C17" s="2054"/>
      <c r="D17" s="940" t="s">
        <v>1480</v>
      </c>
      <c r="E17" s="532"/>
      <c r="F17" s="532"/>
      <c r="G17" s="532"/>
      <c r="H17" s="532"/>
      <c r="I17" s="533"/>
      <c r="J17" s="362"/>
      <c r="K17" s="597" t="s">
        <v>1406</v>
      </c>
    </row>
    <row r="18" spans="2:12" s="81" customFormat="1" ht="15" thickBot="1">
      <c r="B18" s="1980"/>
      <c r="C18" s="2009"/>
      <c r="D18" s="519" t="s">
        <v>726</v>
      </c>
      <c r="E18" s="519"/>
      <c r="F18" s="519"/>
      <c r="G18" s="519"/>
      <c r="H18" s="519"/>
      <c r="I18" s="520"/>
      <c r="J18" s="362"/>
      <c r="K18" s="597" t="s">
        <v>1406</v>
      </c>
    </row>
    <row r="19" spans="2:12" s="1165" customFormat="1">
      <c r="B19" s="1960" t="s">
        <v>143</v>
      </c>
      <c r="C19" s="1906" t="s">
        <v>241</v>
      </c>
      <c r="D19" s="1338" t="s">
        <v>975</v>
      </c>
      <c r="E19" s="1162"/>
      <c r="F19" s="1162"/>
      <c r="G19" s="1162"/>
      <c r="H19" s="1162"/>
      <c r="I19" s="1163"/>
      <c r="J19" s="1164"/>
      <c r="K19" s="1324" t="s">
        <v>1456</v>
      </c>
    </row>
    <row r="20" spans="2:12" s="81" customFormat="1">
      <c r="B20" s="1961"/>
      <c r="C20" s="1905"/>
      <c r="D20" s="631" t="s">
        <v>260</v>
      </c>
      <c r="E20" s="512"/>
      <c r="F20" s="512"/>
      <c r="G20" s="512"/>
      <c r="H20" s="512"/>
      <c r="I20" s="518"/>
      <c r="J20" s="362"/>
      <c r="K20" s="597" t="s">
        <v>1406</v>
      </c>
      <c r="L20" s="358"/>
    </row>
    <row r="21" spans="2:12" s="81" customFormat="1">
      <c r="B21" s="1961"/>
      <c r="C21" s="1905"/>
      <c r="D21" s="633" t="s">
        <v>390</v>
      </c>
      <c r="E21" s="512"/>
      <c r="F21" s="512"/>
      <c r="G21" s="512"/>
      <c r="H21" s="512"/>
      <c r="I21" s="518"/>
      <c r="J21" s="362"/>
      <c r="K21" s="597" t="s">
        <v>1406</v>
      </c>
      <c r="L21" s="358"/>
    </row>
    <row r="22" spans="2:12" s="1165" customFormat="1" ht="28">
      <c r="B22" s="1961"/>
      <c r="C22" s="1310" t="s">
        <v>242</v>
      </c>
      <c r="D22" s="1261" t="s">
        <v>976</v>
      </c>
      <c r="E22" s="1167"/>
      <c r="F22" s="1167"/>
      <c r="G22" s="1167"/>
      <c r="H22" s="1167"/>
      <c r="I22" s="1168"/>
      <c r="J22" s="1164"/>
      <c r="K22" s="1324" t="s">
        <v>1456</v>
      </c>
      <c r="L22" s="1287"/>
    </row>
    <row r="23" spans="2:12" s="81" customFormat="1">
      <c r="B23" s="1961"/>
      <c r="C23" s="881" t="s">
        <v>243</v>
      </c>
      <c r="D23" s="633" t="s">
        <v>552</v>
      </c>
      <c r="E23" s="512"/>
      <c r="F23" s="512"/>
      <c r="G23" s="631"/>
      <c r="H23" s="512"/>
      <c r="I23" s="518"/>
      <c r="J23" s="362"/>
      <c r="K23" s="597" t="s">
        <v>935</v>
      </c>
    </row>
    <row r="24" spans="2:12" s="81" customFormat="1" ht="15" thickBot="1">
      <c r="B24" s="1980"/>
      <c r="C24" s="783" t="s">
        <v>244</v>
      </c>
      <c r="D24" s="724" t="s">
        <v>552</v>
      </c>
      <c r="E24" s="519"/>
      <c r="F24" s="519"/>
      <c r="G24" s="1038"/>
      <c r="H24" s="519"/>
      <c r="I24" s="520"/>
      <c r="J24" s="362"/>
      <c r="K24" s="597" t="s">
        <v>935</v>
      </c>
    </row>
    <row r="25" spans="2:12" s="81" customFormat="1">
      <c r="B25" s="1960" t="s">
        <v>144</v>
      </c>
      <c r="C25" s="882" t="s">
        <v>245</v>
      </c>
      <c r="D25" s="776" t="s">
        <v>389</v>
      </c>
      <c r="E25" s="528"/>
      <c r="F25" s="528"/>
      <c r="G25" s="528"/>
      <c r="H25" s="528"/>
      <c r="I25" s="529"/>
      <c r="J25" s="362"/>
      <c r="K25" s="597" t="s">
        <v>1406</v>
      </c>
    </row>
    <row r="26" spans="2:12" s="81" customFormat="1" ht="15" thickBot="1">
      <c r="B26" s="1980"/>
      <c r="C26" s="783" t="s">
        <v>246</v>
      </c>
      <c r="D26" s="724" t="s">
        <v>388</v>
      </c>
      <c r="E26" s="519"/>
      <c r="F26" s="519"/>
      <c r="G26" s="519"/>
      <c r="H26" s="519"/>
      <c r="I26" s="520"/>
      <c r="J26" s="362"/>
      <c r="K26" s="597" t="s">
        <v>1406</v>
      </c>
    </row>
    <row r="27" spans="2:12" s="81" customFormat="1">
      <c r="B27" s="1960" t="s">
        <v>141</v>
      </c>
      <c r="C27" s="2007"/>
      <c r="D27" s="528" t="s">
        <v>982</v>
      </c>
      <c r="E27" s="528"/>
      <c r="F27" s="528"/>
      <c r="G27" s="528"/>
      <c r="H27" s="528"/>
      <c r="I27" s="529"/>
      <c r="J27" s="362"/>
      <c r="K27" s="597" t="s">
        <v>1406</v>
      </c>
    </row>
    <row r="28" spans="2:12" s="81" customFormat="1">
      <c r="B28" s="1961"/>
      <c r="C28" s="2008"/>
      <c r="D28" s="877" t="s">
        <v>736</v>
      </c>
      <c r="E28" s="512"/>
      <c r="F28" s="512"/>
      <c r="G28" s="512"/>
      <c r="H28" s="512"/>
      <c r="I28" s="518"/>
      <c r="J28" s="362"/>
      <c r="K28" s="597" t="s">
        <v>1406</v>
      </c>
    </row>
    <row r="29" spans="2:12" s="81" customFormat="1" ht="15" thickBot="1">
      <c r="B29" s="1980"/>
      <c r="C29" s="2009"/>
      <c r="D29" s="878" t="s">
        <v>989</v>
      </c>
      <c r="E29" s="519"/>
      <c r="F29" s="519"/>
      <c r="G29" s="519"/>
      <c r="H29" s="519"/>
      <c r="I29" s="520"/>
      <c r="J29" s="362"/>
      <c r="K29" s="597" t="s">
        <v>1406</v>
      </c>
    </row>
    <row r="30" spans="2:12" s="81" customFormat="1" ht="28">
      <c r="B30" s="1960" t="s">
        <v>140</v>
      </c>
      <c r="C30" s="1906" t="s">
        <v>1014</v>
      </c>
      <c r="D30" s="786" t="s">
        <v>727</v>
      </c>
      <c r="E30" s="528"/>
      <c r="F30" s="528"/>
      <c r="G30" s="528"/>
      <c r="H30" s="528"/>
      <c r="I30" s="529"/>
      <c r="J30" s="362"/>
      <c r="K30" s="597" t="s">
        <v>1406</v>
      </c>
    </row>
    <row r="31" spans="2:12" s="81" customFormat="1" ht="28">
      <c r="B31" s="1961"/>
      <c r="C31" s="1905"/>
      <c r="D31" s="628" t="s">
        <v>981</v>
      </c>
      <c r="E31" s="512"/>
      <c r="F31" s="512"/>
      <c r="G31" s="512"/>
      <c r="H31" s="512"/>
      <c r="I31" s="518"/>
      <c r="J31" s="362"/>
      <c r="K31" s="597" t="s">
        <v>1406</v>
      </c>
    </row>
    <row r="32" spans="2:12" s="1164" customFormat="1" ht="28">
      <c r="B32" s="1961"/>
      <c r="C32" s="1905"/>
      <c r="D32" s="1217" t="s">
        <v>961</v>
      </c>
      <c r="E32" s="1167"/>
      <c r="F32" s="1167"/>
      <c r="G32" s="1167"/>
      <c r="H32" s="1167"/>
      <c r="I32" s="1168"/>
      <c r="K32" s="1324" t="s">
        <v>718</v>
      </c>
    </row>
    <row r="33" spans="2:13" s="81" customFormat="1" ht="28">
      <c r="B33" s="1961"/>
      <c r="C33" s="1905" t="s">
        <v>414</v>
      </c>
      <c r="D33" s="628" t="s">
        <v>515</v>
      </c>
      <c r="E33" s="512"/>
      <c r="F33" s="512"/>
      <c r="G33" s="512"/>
      <c r="H33" s="512"/>
      <c r="I33" s="518"/>
      <c r="J33" s="362"/>
      <c r="K33" s="597" t="s">
        <v>1406</v>
      </c>
      <c r="L33" s="594"/>
      <c r="M33" s="362"/>
    </row>
    <row r="34" spans="2:13" s="81" customFormat="1" ht="42">
      <c r="B34" s="1961"/>
      <c r="C34" s="1905"/>
      <c r="D34" s="628" t="s">
        <v>444</v>
      </c>
      <c r="E34" s="512"/>
      <c r="F34" s="512"/>
      <c r="G34" s="512"/>
      <c r="H34" s="512"/>
      <c r="I34" s="518"/>
      <c r="J34" s="362"/>
      <c r="K34" s="597" t="s">
        <v>1406</v>
      </c>
      <c r="L34" s="568"/>
      <c r="M34" s="362"/>
    </row>
    <row r="35" spans="2:13" s="1165" customFormat="1" ht="15" thickBot="1">
      <c r="B35" s="1980"/>
      <c r="C35" s="1339" t="s">
        <v>411</v>
      </c>
      <c r="D35" s="1268" t="s">
        <v>1025</v>
      </c>
      <c r="E35" s="1210"/>
      <c r="F35" s="1210"/>
      <c r="G35" s="1210"/>
      <c r="H35" s="1210"/>
      <c r="I35" s="1211"/>
      <c r="J35" s="1164"/>
      <c r="K35" s="1324" t="s">
        <v>718</v>
      </c>
      <c r="L35" s="1324"/>
      <c r="M35" s="1164"/>
    </row>
    <row r="36" spans="2:13" s="362" customFormat="1" ht="43.25" customHeight="1">
      <c r="B36" s="1935" t="s">
        <v>1391</v>
      </c>
      <c r="C36" s="911" t="s">
        <v>987</v>
      </c>
      <c r="D36" s="528" t="s">
        <v>985</v>
      </c>
      <c r="E36" s="528"/>
      <c r="F36" s="1039">
        <f>1*'PROGRAMA ARQ.'!$E$36</f>
        <v>1</v>
      </c>
      <c r="G36" s="1039">
        <f>+F36*'PROGRAMA ARQ.'!$E$36</f>
        <v>1</v>
      </c>
      <c r="H36" s="528"/>
      <c r="I36" s="529"/>
      <c r="K36" s="597" t="s">
        <v>1406</v>
      </c>
      <c r="L36" s="363" t="s">
        <v>988</v>
      </c>
    </row>
    <row r="37" spans="2:13" s="362" customFormat="1" ht="28">
      <c r="B37" s="1936"/>
      <c r="C37" s="894" t="s">
        <v>984</v>
      </c>
      <c r="D37" s="512" t="s">
        <v>986</v>
      </c>
      <c r="E37" s="512"/>
      <c r="F37" s="1035">
        <f>1*'PROGRAMA ARQ.'!$E$36</f>
        <v>1</v>
      </c>
      <c r="G37" s="1035">
        <f>+F37*'PROGRAMA ARQ.'!$E$36</f>
        <v>1</v>
      </c>
      <c r="H37" s="512"/>
      <c r="I37" s="518"/>
      <c r="K37" s="597" t="s">
        <v>1406</v>
      </c>
      <c r="L37" s="363" t="s">
        <v>988</v>
      </c>
    </row>
    <row r="38" spans="2:13" s="81" customFormat="1" ht="28">
      <c r="B38" s="1936"/>
      <c r="C38" s="894" t="s">
        <v>728</v>
      </c>
      <c r="D38" s="512" t="s">
        <v>729</v>
      </c>
      <c r="E38" s="512"/>
      <c r="F38" s="1035">
        <f>1*'PROGRAMA ARQ.'!$E$36</f>
        <v>1</v>
      </c>
      <c r="G38" s="1035">
        <f>+F38*'PROGRAMA ARQ.'!$E$36</f>
        <v>1</v>
      </c>
      <c r="H38" s="512"/>
      <c r="I38" s="518"/>
      <c r="J38" s="362"/>
      <c r="K38" s="597" t="s">
        <v>1406</v>
      </c>
      <c r="L38" s="363" t="s">
        <v>988</v>
      </c>
    </row>
    <row r="39" spans="2:13" s="81" customFormat="1">
      <c r="B39" s="1936"/>
      <c r="C39" s="894" t="s">
        <v>349</v>
      </c>
      <c r="D39" s="653" t="s">
        <v>581</v>
      </c>
      <c r="E39" s="512"/>
      <c r="F39" s="1035">
        <f>1*'PROGRAMA ARQ.'!$E$36</f>
        <v>1</v>
      </c>
      <c r="G39" s="1035">
        <f>+F39*'PROGRAMA ARQ.'!$E$36</f>
        <v>1</v>
      </c>
      <c r="H39" s="512"/>
      <c r="I39" s="518"/>
      <c r="J39" s="362"/>
      <c r="K39" s="597" t="s">
        <v>1406</v>
      </c>
      <c r="L39" s="363"/>
    </row>
    <row r="40" spans="2:13" s="81" customFormat="1" ht="28">
      <c r="B40" s="1936"/>
      <c r="C40" s="894" t="s">
        <v>994</v>
      </c>
      <c r="D40" s="628" t="s">
        <v>1002</v>
      </c>
      <c r="E40" s="512"/>
      <c r="F40" s="1035">
        <f>1*'PROGRAMA ARQ.'!$E$36</f>
        <v>1</v>
      </c>
      <c r="G40" s="1035">
        <f>+F40*'PROGRAMA ARQ.'!$E$36</f>
        <v>1</v>
      </c>
      <c r="H40" s="512"/>
      <c r="I40" s="518"/>
      <c r="J40" s="362"/>
      <c r="K40" s="597" t="s">
        <v>1406</v>
      </c>
      <c r="L40" s="363"/>
    </row>
    <row r="41" spans="2:13" s="81" customFormat="1">
      <c r="B41" s="1936"/>
      <c r="C41" s="894" t="s">
        <v>970</v>
      </c>
      <c r="D41" s="512" t="s">
        <v>977</v>
      </c>
      <c r="E41" s="512"/>
      <c r="F41" s="1035">
        <f>1*'PROGRAMA ARQ.'!$E$36</f>
        <v>1</v>
      </c>
      <c r="G41" s="1035">
        <f>+F41*'PROGRAMA ARQ.'!$E$36</f>
        <v>1</v>
      </c>
      <c r="H41" s="512"/>
      <c r="I41" s="518"/>
      <c r="J41" s="362"/>
      <c r="K41" s="597" t="s">
        <v>1406</v>
      </c>
    </row>
    <row r="42" spans="2:13" s="81" customFormat="1" ht="15" thickBot="1">
      <c r="B42" s="1958"/>
      <c r="C42" s="912" t="s">
        <v>348</v>
      </c>
      <c r="D42" s="519" t="s">
        <v>978</v>
      </c>
      <c r="E42" s="519"/>
      <c r="F42" s="1040">
        <f>1*'PROGRAMA ARQ.'!$E$36</f>
        <v>1</v>
      </c>
      <c r="G42" s="1040">
        <f>+F42*'PROGRAMA ARQ.'!$E$36</f>
        <v>1</v>
      </c>
      <c r="H42" s="519"/>
      <c r="I42" s="520"/>
      <c r="J42" s="362"/>
      <c r="K42" s="597" t="s">
        <v>1406</v>
      </c>
    </row>
    <row r="43" spans="2:13" s="81" customFormat="1">
      <c r="B43" s="1960" t="s">
        <v>123</v>
      </c>
      <c r="C43" s="911" t="s">
        <v>77</v>
      </c>
      <c r="D43" s="528" t="s">
        <v>962</v>
      </c>
      <c r="E43" s="528"/>
      <c r="F43" s="1041">
        <f>IF(INICIO!$D$5&gt;0,2,0)</f>
        <v>2</v>
      </c>
      <c r="G43" s="1039">
        <f>+F43*'PROGRAMA ARQ.'!$E$36</f>
        <v>2</v>
      </c>
      <c r="H43" s="528"/>
      <c r="I43" s="529"/>
      <c r="J43" s="362"/>
      <c r="K43" s="597" t="s">
        <v>1406</v>
      </c>
    </row>
    <row r="44" spans="2:13" s="81" customFormat="1">
      <c r="B44" s="1961"/>
      <c r="C44" s="894" t="s">
        <v>990</v>
      </c>
      <c r="D44" s="512" t="s">
        <v>979</v>
      </c>
      <c r="E44" s="512"/>
      <c r="F44" s="1036">
        <f>IF(INICIO!$D$5=1,1,IF(INICIO!$D$5=2,1,0))</f>
        <v>0</v>
      </c>
      <c r="G44" s="1035">
        <f>+F44*'PROGRAMA ARQ.'!$E$36</f>
        <v>0</v>
      </c>
      <c r="H44" s="512"/>
      <c r="I44" s="518"/>
      <c r="J44" s="362"/>
      <c r="K44" s="597" t="s">
        <v>1406</v>
      </c>
    </row>
    <row r="45" spans="2:13" s="81" customFormat="1">
      <c r="B45" s="1961"/>
      <c r="C45" s="894" t="s">
        <v>991</v>
      </c>
      <c r="D45" s="512" t="s">
        <v>979</v>
      </c>
      <c r="E45" s="512"/>
      <c r="F45" s="1036">
        <f>IF(INICIO!$D$5=1,2,IF(INICIO!$D$5=2,3,IF(INICIO!$D$5=3,5,0)))</f>
        <v>0</v>
      </c>
      <c r="G45" s="1035">
        <f>+F45*'PROGRAMA ARQ.'!$E$36</f>
        <v>0</v>
      </c>
      <c r="H45" s="512"/>
      <c r="I45" s="518"/>
      <c r="J45" s="362"/>
      <c r="K45" s="597" t="s">
        <v>1406</v>
      </c>
    </row>
    <row r="46" spans="2:13" s="484" customFormat="1">
      <c r="B46" s="1961"/>
      <c r="C46" s="1415" t="s">
        <v>81</v>
      </c>
      <c r="D46" s="1407"/>
      <c r="E46" s="658"/>
      <c r="F46" s="1416">
        <f>IF(INICIO!$D$5=1,1,IF(INICIO!$D$5=2,1,IF(INICIO!$D$5=3,1,0)))</f>
        <v>0</v>
      </c>
      <c r="G46" s="1417">
        <f>+F46*'PROGRAMA ARQ.'!$E$36</f>
        <v>0</v>
      </c>
      <c r="H46" s="658"/>
      <c r="I46" s="1411"/>
      <c r="J46" s="1418"/>
      <c r="K46" s="1419" t="s">
        <v>1406</v>
      </c>
      <c r="L46" s="484" t="s">
        <v>1497</v>
      </c>
    </row>
    <row r="47" spans="2:13" s="81" customFormat="1">
      <c r="B47" s="1961"/>
      <c r="C47" s="894" t="s">
        <v>82</v>
      </c>
      <c r="D47" s="512"/>
      <c r="E47" s="512"/>
      <c r="F47" s="1036">
        <f>IF(INICIO!$D$5&gt;0,1,0)</f>
        <v>1</v>
      </c>
      <c r="G47" s="1035">
        <f>+F47*'PROGRAMA ARQ.'!$E$36</f>
        <v>1</v>
      </c>
      <c r="H47" s="512"/>
      <c r="I47" s="518"/>
      <c r="J47" s="362"/>
      <c r="K47" s="597" t="s">
        <v>1406</v>
      </c>
    </row>
    <row r="48" spans="2:13" s="81" customFormat="1" ht="42">
      <c r="B48" s="1961"/>
      <c r="C48" s="894" t="s">
        <v>79</v>
      </c>
      <c r="D48" s="880" t="s">
        <v>995</v>
      </c>
      <c r="E48" s="512"/>
      <c r="F48" s="1036">
        <f>IF(INICIO!$D$5&gt;0,1,0)</f>
        <v>1</v>
      </c>
      <c r="G48" s="1035">
        <f>+F48*'PROGRAMA ARQ.'!$E$36</f>
        <v>1</v>
      </c>
      <c r="H48" s="512"/>
      <c r="I48" s="518"/>
      <c r="J48" s="362"/>
      <c r="K48" s="597" t="s">
        <v>1406</v>
      </c>
    </row>
    <row r="49" spans="2:11" s="81" customFormat="1" ht="28">
      <c r="B49" s="1961"/>
      <c r="C49" s="894" t="s">
        <v>594</v>
      </c>
      <c r="D49" s="628" t="s">
        <v>980</v>
      </c>
      <c r="E49" s="512"/>
      <c r="F49" s="1036">
        <f>IF(INICIO!$D$5&gt;0,1,0)</f>
        <v>1</v>
      </c>
      <c r="G49" s="1035">
        <f>+F49*'PROGRAMA ARQ.'!$E$36</f>
        <v>1</v>
      </c>
      <c r="H49" s="512"/>
      <c r="I49" s="518"/>
      <c r="J49" s="362"/>
      <c r="K49" s="597" t="s">
        <v>1406</v>
      </c>
    </row>
    <row r="50" spans="2:11" s="81" customFormat="1" ht="15" thickBot="1">
      <c r="B50" s="1980"/>
      <c r="C50" s="912" t="s">
        <v>992</v>
      </c>
      <c r="D50" s="519" t="s">
        <v>993</v>
      </c>
      <c r="E50" s="519"/>
      <c r="F50" s="1042">
        <f>+F43</f>
        <v>2</v>
      </c>
      <c r="G50" s="1040">
        <f>+F50*'PROGRAMA ARQ.'!$E$36</f>
        <v>2</v>
      </c>
      <c r="H50" s="519"/>
      <c r="I50" s="520"/>
      <c r="J50" s="362"/>
      <c r="K50" s="597" t="s">
        <v>1406</v>
      </c>
    </row>
    <row r="51" spans="2:11" s="81" customFormat="1" ht="42">
      <c r="B51" s="2048" t="s">
        <v>124</v>
      </c>
      <c r="C51" s="911" t="s">
        <v>999</v>
      </c>
      <c r="D51" s="786" t="s">
        <v>1000</v>
      </c>
      <c r="E51" s="528"/>
      <c r="F51" s="1041">
        <f>IF(INICIO!$D$5=1,0,IF(INICIO!$D$5=2,1,IF(INICIO!$D$5=3,0,0)))</f>
        <v>0</v>
      </c>
      <c r="G51" s="1039">
        <f>+F51*'PROGRAMA ARQ.'!$E$36</f>
        <v>0</v>
      </c>
      <c r="H51" s="528"/>
      <c r="I51" s="529"/>
      <c r="J51" s="362"/>
      <c r="K51" s="597" t="s">
        <v>1421</v>
      </c>
    </row>
    <row r="52" spans="2:11" s="81" customFormat="1" ht="43" thickBot="1">
      <c r="B52" s="2049"/>
      <c r="C52" s="912" t="s">
        <v>998</v>
      </c>
      <c r="D52" s="778" t="s">
        <v>1001</v>
      </c>
      <c r="E52" s="519"/>
      <c r="F52" s="1042">
        <f>IF(INICIO!$D$5=1,1,IF(INICIO!$D$5=2,1,IF(INICIO!$D$5=3,2,0)))</f>
        <v>0</v>
      </c>
      <c r="G52" s="1040">
        <f>+F52*'PROGRAMA ARQ.'!$E$36</f>
        <v>0</v>
      </c>
      <c r="H52" s="519"/>
      <c r="I52" s="520"/>
      <c r="J52" s="362"/>
      <c r="K52" s="597" t="s">
        <v>1421</v>
      </c>
    </row>
    <row r="53" spans="2:11" s="81" customFormat="1" ht="15" thickBot="1">
      <c r="B53" s="2050" t="s">
        <v>132</v>
      </c>
      <c r="C53" s="2051"/>
      <c r="D53" s="555" t="s">
        <v>997</v>
      </c>
      <c r="E53" s="555"/>
      <c r="F53" s="555"/>
      <c r="G53" s="765"/>
      <c r="H53" s="555"/>
      <c r="I53" s="562"/>
      <c r="J53" s="362"/>
      <c r="K53" s="597" t="s">
        <v>1406</v>
      </c>
    </row>
    <row r="54" spans="2:11" s="81" customFormat="1">
      <c r="B54" s="1960" t="s">
        <v>133</v>
      </c>
      <c r="C54" s="1906" t="s">
        <v>983</v>
      </c>
      <c r="D54" s="764" t="s">
        <v>379</v>
      </c>
      <c r="E54" s="528"/>
      <c r="F54" s="528"/>
      <c r="G54" s="528"/>
      <c r="H54" s="528"/>
      <c r="I54" s="529"/>
      <c r="J54" s="362"/>
      <c r="K54" s="597" t="s">
        <v>1406</v>
      </c>
    </row>
    <row r="55" spans="2:11" s="81" customFormat="1">
      <c r="B55" s="1961"/>
      <c r="C55" s="1905"/>
      <c r="D55" s="652" t="s">
        <v>1003</v>
      </c>
      <c r="E55" s="512"/>
      <c r="F55" s="512"/>
      <c r="G55" s="512"/>
      <c r="H55" s="512"/>
      <c r="I55" s="518"/>
      <c r="J55" s="362"/>
      <c r="K55" s="597" t="s">
        <v>1406</v>
      </c>
    </row>
    <row r="56" spans="2:11" s="81" customFormat="1">
      <c r="B56" s="1961"/>
      <c r="C56" s="1905"/>
      <c r="D56" s="652" t="s">
        <v>767</v>
      </c>
      <c r="E56" s="512"/>
      <c r="F56" s="512"/>
      <c r="G56" s="512"/>
      <c r="H56" s="512"/>
      <c r="I56" s="518"/>
      <c r="J56" s="362"/>
      <c r="K56" s="597" t="s">
        <v>1406</v>
      </c>
    </row>
    <row r="57" spans="2:11" s="81" customFormat="1">
      <c r="B57" s="1961"/>
      <c r="C57" s="1905"/>
      <c r="D57" s="652" t="s">
        <v>317</v>
      </c>
      <c r="E57" s="512"/>
      <c r="F57" s="512"/>
      <c r="G57" s="512"/>
      <c r="H57" s="512"/>
      <c r="I57" s="518"/>
      <c r="J57" s="362"/>
      <c r="K57" s="597" t="s">
        <v>1406</v>
      </c>
    </row>
    <row r="58" spans="2:11" s="81" customFormat="1">
      <c r="B58" s="1961"/>
      <c r="C58" s="1905"/>
      <c r="D58" s="652" t="s">
        <v>382</v>
      </c>
      <c r="E58" s="512"/>
      <c r="F58" s="512"/>
      <c r="G58" s="512"/>
      <c r="H58" s="512"/>
      <c r="I58" s="518"/>
      <c r="J58" s="362"/>
      <c r="K58" s="597" t="s">
        <v>1406</v>
      </c>
    </row>
    <row r="59" spans="2:11" s="81" customFormat="1">
      <c r="B59" s="1961"/>
      <c r="C59" s="1905"/>
      <c r="D59" s="652" t="s">
        <v>1004</v>
      </c>
      <c r="E59" s="512"/>
      <c r="F59" s="512"/>
      <c r="G59" s="512"/>
      <c r="H59" s="512"/>
      <c r="I59" s="518"/>
      <c r="J59" s="362"/>
      <c r="K59" s="597" t="s">
        <v>1406</v>
      </c>
    </row>
    <row r="60" spans="2:11" s="81" customFormat="1">
      <c r="B60" s="1961"/>
      <c r="C60" s="1905"/>
      <c r="D60" s="652" t="s">
        <v>318</v>
      </c>
      <c r="E60" s="512"/>
      <c r="F60" s="512"/>
      <c r="G60" s="512"/>
      <c r="H60" s="512"/>
      <c r="I60" s="518"/>
      <c r="J60" s="362"/>
      <c r="K60" s="597" t="s">
        <v>1406</v>
      </c>
    </row>
    <row r="61" spans="2:11" s="81" customFormat="1">
      <c r="B61" s="1961"/>
      <c r="C61" s="1905" t="s">
        <v>1005</v>
      </c>
      <c r="D61" s="652" t="s">
        <v>1006</v>
      </c>
      <c r="E61" s="512"/>
      <c r="F61" s="512"/>
      <c r="G61" s="512"/>
      <c r="H61" s="512"/>
      <c r="I61" s="518"/>
      <c r="J61" s="362"/>
      <c r="K61" s="597" t="s">
        <v>1406</v>
      </c>
    </row>
    <row r="62" spans="2:11" s="81" customFormat="1">
      <c r="B62" s="1961"/>
      <c r="C62" s="1905"/>
      <c r="D62" s="652" t="s">
        <v>1007</v>
      </c>
      <c r="E62" s="512"/>
      <c r="F62" s="512"/>
      <c r="G62" s="512"/>
      <c r="H62" s="512"/>
      <c r="I62" s="518"/>
      <c r="J62" s="362"/>
      <c r="K62" s="597" t="s">
        <v>1406</v>
      </c>
    </row>
    <row r="63" spans="2:11" s="81" customFormat="1">
      <c r="B63" s="1961"/>
      <c r="C63" s="1905"/>
      <c r="D63" s="652" t="s">
        <v>1008</v>
      </c>
      <c r="E63" s="512"/>
      <c r="F63" s="512"/>
      <c r="G63" s="512"/>
      <c r="H63" s="512"/>
      <c r="I63" s="518"/>
      <c r="J63" s="362"/>
      <c r="K63" s="597" t="s">
        <v>1406</v>
      </c>
    </row>
    <row r="64" spans="2:11" s="81" customFormat="1">
      <c r="B64" s="1961"/>
      <c r="C64" s="1905"/>
      <c r="D64" s="652" t="s">
        <v>1009</v>
      </c>
      <c r="E64" s="512"/>
      <c r="F64" s="512"/>
      <c r="G64" s="512"/>
      <c r="H64" s="512"/>
      <c r="I64" s="518"/>
      <c r="J64" s="362"/>
      <c r="K64" s="597" t="s">
        <v>1406</v>
      </c>
    </row>
    <row r="65" spans="2:11" s="1165" customFormat="1" ht="15" thickBot="1">
      <c r="B65" s="1961"/>
      <c r="C65" s="1882" t="s">
        <v>1010</v>
      </c>
      <c r="D65" s="1261" t="s">
        <v>1012</v>
      </c>
      <c r="E65" s="1167"/>
      <c r="F65" s="1167"/>
      <c r="G65" s="1167"/>
      <c r="H65" s="1167"/>
      <c r="I65" s="1168"/>
      <c r="J65" s="1164"/>
      <c r="K65" s="1232" t="s">
        <v>1420</v>
      </c>
    </row>
    <row r="66" spans="2:11" s="81" customFormat="1">
      <c r="B66" s="1961"/>
      <c r="C66" s="1882"/>
      <c r="D66" s="628" t="s">
        <v>1044</v>
      </c>
      <c r="E66" s="512"/>
      <c r="F66" s="512"/>
      <c r="G66" s="512"/>
      <c r="H66" s="512"/>
      <c r="I66" s="518"/>
      <c r="J66" s="362"/>
      <c r="K66" s="597" t="s">
        <v>1406</v>
      </c>
    </row>
    <row r="67" spans="2:11" s="81" customFormat="1" ht="15" thickBot="1">
      <c r="B67" s="1980"/>
      <c r="C67" s="1883"/>
      <c r="D67" s="778" t="s">
        <v>1011</v>
      </c>
      <c r="E67" s="519"/>
      <c r="F67" s="519"/>
      <c r="G67" s="519"/>
      <c r="H67" s="519"/>
      <c r="I67" s="520"/>
      <c r="J67" s="362"/>
      <c r="K67" s="597" t="s">
        <v>1406</v>
      </c>
    </row>
    <row r="68" spans="2:11" s="81" customFormat="1" ht="28">
      <c r="B68" s="1960" t="s">
        <v>134</v>
      </c>
      <c r="C68" s="911" t="s">
        <v>404</v>
      </c>
      <c r="D68" s="786" t="s">
        <v>1013</v>
      </c>
      <c r="E68" s="528"/>
      <c r="F68" s="528"/>
      <c r="G68" s="528"/>
      <c r="H68" s="528"/>
      <c r="I68" s="529"/>
      <c r="J68" s="362"/>
      <c r="K68" s="597" t="s">
        <v>303</v>
      </c>
    </row>
    <row r="69" spans="2:11" s="1165" customFormat="1" ht="15" thickBot="1">
      <c r="B69" s="1980"/>
      <c r="C69" s="1230" t="s">
        <v>602</v>
      </c>
      <c r="D69" s="1231" t="s">
        <v>473</v>
      </c>
      <c r="E69" s="1210"/>
      <c r="F69" s="1210"/>
      <c r="G69" s="1210"/>
      <c r="H69" s="1210"/>
      <c r="I69" s="1211"/>
      <c r="J69" s="1164"/>
      <c r="K69" s="1232" t="s">
        <v>1420</v>
      </c>
    </row>
    <row r="70" spans="2:11" s="81" customFormat="1">
      <c r="B70" s="1960" t="s">
        <v>135</v>
      </c>
      <c r="C70" s="2046"/>
      <c r="D70" s="786" t="s">
        <v>1015</v>
      </c>
      <c r="E70" s="528"/>
      <c r="F70" s="528"/>
      <c r="G70" s="528"/>
      <c r="H70" s="528"/>
      <c r="I70" s="529"/>
      <c r="J70" s="362"/>
      <c r="K70" s="597" t="s">
        <v>1406</v>
      </c>
    </row>
    <row r="71" spans="2:11" s="81" customFormat="1">
      <c r="B71" s="1961"/>
      <c r="C71" s="2047"/>
      <c r="D71" s="628" t="s">
        <v>1016</v>
      </c>
      <c r="E71" s="512"/>
      <c r="F71" s="512"/>
      <c r="G71" s="512"/>
      <c r="H71" s="512"/>
      <c r="I71" s="518"/>
      <c r="J71" s="362"/>
      <c r="K71" s="597" t="s">
        <v>1406</v>
      </c>
    </row>
    <row r="72" spans="2:11" s="81" customFormat="1">
      <c r="B72" s="1961"/>
      <c r="C72" s="2047"/>
      <c r="D72" s="628" t="s">
        <v>1017</v>
      </c>
      <c r="E72" s="512"/>
      <c r="F72" s="512"/>
      <c r="G72" s="512"/>
      <c r="H72" s="512"/>
      <c r="I72" s="518"/>
      <c r="J72" s="362"/>
      <c r="K72" s="597" t="s">
        <v>1406</v>
      </c>
    </row>
    <row r="73" spans="2:11" s="1165" customFormat="1">
      <c r="B73" s="1961"/>
      <c r="C73" s="2047"/>
      <c r="D73" s="1261" t="s">
        <v>322</v>
      </c>
      <c r="E73" s="1167"/>
      <c r="F73" s="1167"/>
      <c r="G73" s="1167"/>
      <c r="H73" s="1167"/>
      <c r="I73" s="1168"/>
      <c r="J73" s="1164"/>
      <c r="K73" s="1325" t="s">
        <v>1457</v>
      </c>
    </row>
    <row r="74" spans="2:11" s="1165" customFormat="1">
      <c r="B74" s="1961"/>
      <c r="C74" s="2047"/>
      <c r="D74" s="1261" t="s">
        <v>323</v>
      </c>
      <c r="E74" s="1167"/>
      <c r="F74" s="1167"/>
      <c r="G74" s="1167"/>
      <c r="H74" s="1167"/>
      <c r="I74" s="1168"/>
      <c r="J74" s="1164"/>
      <c r="K74" s="1325" t="s">
        <v>1457</v>
      </c>
    </row>
    <row r="75" spans="2:11" s="1165" customFormat="1">
      <c r="B75" s="1961"/>
      <c r="C75" s="2047"/>
      <c r="D75" s="1261" t="s">
        <v>1045</v>
      </c>
      <c r="E75" s="1167"/>
      <c r="F75" s="1167"/>
      <c r="G75" s="1167"/>
      <c r="H75" s="1167"/>
      <c r="I75" s="1168"/>
      <c r="J75" s="1164"/>
      <c r="K75" s="1325" t="s">
        <v>1457</v>
      </c>
    </row>
    <row r="76" spans="2:11" s="81" customFormat="1">
      <c r="B76" s="1961"/>
      <c r="C76" s="2047"/>
      <c r="D76" s="628" t="s">
        <v>624</v>
      </c>
      <c r="E76" s="512"/>
      <c r="F76" s="512"/>
      <c r="G76" s="512"/>
      <c r="H76" s="512"/>
      <c r="I76" s="518"/>
      <c r="J76" s="362"/>
      <c r="K76" s="597" t="s">
        <v>1406</v>
      </c>
    </row>
    <row r="77" spans="2:11" s="81" customFormat="1">
      <c r="B77" s="1961"/>
      <c r="C77" s="1905" t="s">
        <v>249</v>
      </c>
      <c r="D77" s="628" t="s">
        <v>1018</v>
      </c>
      <c r="E77" s="512"/>
      <c r="F77" s="512"/>
      <c r="G77" s="512"/>
      <c r="H77" s="512"/>
      <c r="I77" s="518"/>
      <c r="J77" s="362"/>
      <c r="K77" s="597" t="s">
        <v>302</v>
      </c>
    </row>
    <row r="78" spans="2:11" s="81" customFormat="1">
      <c r="B78" s="1961"/>
      <c r="C78" s="1905"/>
      <c r="D78" s="628" t="s">
        <v>325</v>
      </c>
      <c r="E78" s="512"/>
      <c r="F78" s="512"/>
      <c r="G78" s="512"/>
      <c r="H78" s="512"/>
      <c r="I78" s="518"/>
      <c r="J78" s="362"/>
      <c r="K78" s="597" t="s">
        <v>1431</v>
      </c>
    </row>
    <row r="79" spans="2:11" s="1165" customFormat="1">
      <c r="B79" s="1961"/>
      <c r="C79" s="1905"/>
      <c r="D79" s="1261" t="s">
        <v>326</v>
      </c>
      <c r="E79" s="1167"/>
      <c r="F79" s="1167"/>
      <c r="G79" s="1167"/>
      <c r="H79" s="1167"/>
      <c r="I79" s="1168"/>
      <c r="J79" s="1164"/>
      <c r="K79" s="1325" t="s">
        <v>1457</v>
      </c>
    </row>
    <row r="80" spans="2:11" s="1165" customFormat="1">
      <c r="B80" s="1961"/>
      <c r="C80" s="1905"/>
      <c r="D80" s="1261" t="s">
        <v>1019</v>
      </c>
      <c r="E80" s="1167"/>
      <c r="F80" s="1167"/>
      <c r="G80" s="1167"/>
      <c r="H80" s="1167"/>
      <c r="I80" s="1168"/>
      <c r="J80" s="1164"/>
      <c r="K80" s="1325" t="s">
        <v>1457</v>
      </c>
    </row>
    <row r="81" spans="1:11" s="1165" customFormat="1">
      <c r="B81" s="1961"/>
      <c r="C81" s="1905" t="s">
        <v>250</v>
      </c>
      <c r="D81" s="1167" t="s">
        <v>326</v>
      </c>
      <c r="E81" s="1167"/>
      <c r="F81" s="1167"/>
      <c r="G81" s="1167"/>
      <c r="H81" s="1167"/>
      <c r="I81" s="1168"/>
      <c r="J81" s="1164"/>
      <c r="K81" s="1325" t="s">
        <v>1457</v>
      </c>
    </row>
    <row r="82" spans="1:11" s="81" customFormat="1">
      <c r="B82" s="1961"/>
      <c r="C82" s="1905"/>
      <c r="D82" s="512" t="s">
        <v>325</v>
      </c>
      <c r="E82" s="512"/>
      <c r="F82" s="512"/>
      <c r="G82" s="512"/>
      <c r="H82" s="512"/>
      <c r="I82" s="518"/>
      <c r="J82" s="362"/>
      <c r="K82" s="597" t="s">
        <v>1406</v>
      </c>
    </row>
    <row r="83" spans="1:11" s="81" customFormat="1" ht="15" thickBot="1">
      <c r="B83" s="1980"/>
      <c r="C83" s="1981"/>
      <c r="D83" s="519" t="s">
        <v>1020</v>
      </c>
      <c r="E83" s="519"/>
      <c r="F83" s="519"/>
      <c r="G83" s="519"/>
      <c r="H83" s="519"/>
      <c r="I83" s="520"/>
      <c r="J83" s="362"/>
      <c r="K83" s="597" t="s">
        <v>1406</v>
      </c>
    </row>
    <row r="84" spans="1:11" s="1165" customFormat="1">
      <c r="A84" s="1902" t="s">
        <v>137</v>
      </c>
      <c r="B84" s="1960" t="s">
        <v>138</v>
      </c>
      <c r="C84" s="1906" t="s">
        <v>438</v>
      </c>
      <c r="D84" s="1162" t="s">
        <v>1022</v>
      </c>
      <c r="E84" s="1236"/>
      <c r="F84" s="1236"/>
      <c r="G84" s="1236"/>
      <c r="H84" s="1236"/>
      <c r="I84" s="1254"/>
      <c r="K84" s="1325" t="s">
        <v>730</v>
      </c>
    </row>
    <row r="85" spans="1:11" s="81" customFormat="1">
      <c r="A85" s="1903"/>
      <c r="B85" s="1961"/>
      <c r="C85" s="1905"/>
      <c r="D85" s="512" t="s">
        <v>1021</v>
      </c>
      <c r="E85" s="632"/>
      <c r="F85" s="632"/>
      <c r="G85" s="632"/>
      <c r="H85" s="632"/>
      <c r="I85" s="989"/>
      <c r="K85" s="597" t="s">
        <v>1406</v>
      </c>
    </row>
    <row r="86" spans="1:11" s="1165" customFormat="1">
      <c r="A86" s="1903"/>
      <c r="B86" s="1961"/>
      <c r="C86" s="1905"/>
      <c r="D86" s="1261" t="s">
        <v>1023</v>
      </c>
      <c r="E86" s="1167"/>
      <c r="F86" s="1167"/>
      <c r="G86" s="1167"/>
      <c r="H86" s="1167"/>
      <c r="I86" s="1168"/>
      <c r="J86" s="1164"/>
      <c r="K86" s="1325" t="s">
        <v>1457</v>
      </c>
    </row>
    <row r="87" spans="1:11" s="1165" customFormat="1">
      <c r="A87" s="1903"/>
      <c r="B87" s="1961"/>
      <c r="C87" s="1905"/>
      <c r="D87" s="1261" t="s">
        <v>1045</v>
      </c>
      <c r="E87" s="1167"/>
      <c r="F87" s="1167"/>
      <c r="G87" s="1167"/>
      <c r="H87" s="1167"/>
      <c r="I87" s="1168"/>
      <c r="J87" s="1164"/>
      <c r="K87" s="1325" t="s">
        <v>1457</v>
      </c>
    </row>
    <row r="88" spans="1:11" s="81" customFormat="1">
      <c r="A88" s="1903"/>
      <c r="B88" s="1961"/>
      <c r="C88" s="1905"/>
      <c r="D88" s="628" t="s">
        <v>1024</v>
      </c>
      <c r="E88" s="512"/>
      <c r="F88" s="512"/>
      <c r="G88" s="512"/>
      <c r="H88" s="512"/>
      <c r="I88" s="518"/>
      <c r="J88" s="362"/>
      <c r="K88" s="597" t="s">
        <v>1406</v>
      </c>
    </row>
    <row r="89" spans="1:11" s="81" customFormat="1">
      <c r="A89" s="1903"/>
      <c r="B89" s="1961"/>
      <c r="C89" s="1905"/>
      <c r="D89" s="628" t="s">
        <v>1026</v>
      </c>
      <c r="E89" s="512"/>
      <c r="F89" s="512"/>
      <c r="G89" s="512"/>
      <c r="H89" s="512"/>
      <c r="I89" s="518"/>
      <c r="J89" s="362"/>
      <c r="K89" s="597" t="s">
        <v>1406</v>
      </c>
    </row>
    <row r="90" spans="1:11" s="81" customFormat="1">
      <c r="A90" s="1903"/>
      <c r="B90" s="1961"/>
      <c r="C90" s="1905" t="s">
        <v>251</v>
      </c>
      <c r="D90" s="628" t="s">
        <v>1027</v>
      </c>
      <c r="E90" s="512"/>
      <c r="F90" s="512">
        <f>+F44+F45</f>
        <v>0</v>
      </c>
      <c r="G90" s="861">
        <f>+F90*'PROGRAMA ARQ.'!$E$36</f>
        <v>0</v>
      </c>
      <c r="H90" s="512"/>
      <c r="I90" s="518"/>
      <c r="J90" s="362"/>
      <c r="K90" s="597" t="s">
        <v>1406</v>
      </c>
    </row>
    <row r="91" spans="1:11" s="81" customFormat="1">
      <c r="A91" s="1903"/>
      <c r="B91" s="1961"/>
      <c r="C91" s="1905"/>
      <c r="D91" s="628" t="s">
        <v>1028</v>
      </c>
      <c r="E91" s="512"/>
      <c r="F91" s="512">
        <v>1</v>
      </c>
      <c r="G91" s="861">
        <f>+F91*'PROGRAMA ARQ.'!$E$36</f>
        <v>1</v>
      </c>
      <c r="H91" s="512"/>
      <c r="I91" s="518"/>
      <c r="J91" s="362"/>
      <c r="K91" s="597" t="s">
        <v>1406</v>
      </c>
    </row>
    <row r="92" spans="1:11" s="81" customFormat="1">
      <c r="A92" s="1903"/>
      <c r="B92" s="1961"/>
      <c r="C92" s="1905"/>
      <c r="D92" s="628" t="s">
        <v>1029</v>
      </c>
      <c r="E92" s="512"/>
      <c r="F92" s="512">
        <f>+F48</f>
        <v>1</v>
      </c>
      <c r="G92" s="861">
        <f>+F92*'PROGRAMA ARQ.'!$E$36</f>
        <v>1</v>
      </c>
      <c r="H92" s="512"/>
      <c r="I92" s="518"/>
      <c r="J92" s="362"/>
      <c r="K92" s="597" t="s">
        <v>1406</v>
      </c>
    </row>
    <row r="93" spans="1:11" s="81" customFormat="1">
      <c r="A93" s="1903"/>
      <c r="B93" s="1961"/>
      <c r="C93" s="1905" t="s">
        <v>252</v>
      </c>
      <c r="D93" s="628" t="s">
        <v>1030</v>
      </c>
      <c r="E93" s="512"/>
      <c r="F93" s="512"/>
      <c r="G93" s="512"/>
      <c r="H93" s="512"/>
      <c r="I93" s="518"/>
      <c r="J93" s="362"/>
      <c r="K93" s="597" t="s">
        <v>1406</v>
      </c>
    </row>
    <row r="94" spans="1:11" s="81" customFormat="1">
      <c r="A94" s="1903"/>
      <c r="B94" s="1961"/>
      <c r="C94" s="1905"/>
      <c r="D94" s="628" t="s">
        <v>573</v>
      </c>
      <c r="E94" s="512"/>
      <c r="F94" s="512"/>
      <c r="G94" s="512"/>
      <c r="H94" s="512"/>
      <c r="I94" s="518"/>
      <c r="J94" s="362"/>
      <c r="K94" s="597" t="s">
        <v>1406</v>
      </c>
    </row>
    <row r="95" spans="1:11" s="81" customFormat="1">
      <c r="A95" s="1903"/>
      <c r="B95" s="1961"/>
      <c r="C95" s="881" t="s">
        <v>253</v>
      </c>
      <c r="D95" s="512" t="s">
        <v>298</v>
      </c>
      <c r="E95" s="512"/>
      <c r="F95" s="512"/>
      <c r="G95" s="512"/>
      <c r="H95" s="512"/>
      <c r="I95" s="518"/>
      <c r="J95" s="362"/>
      <c r="K95" s="597" t="s">
        <v>935</v>
      </c>
    </row>
    <row r="96" spans="1:11" s="81" customFormat="1">
      <c r="A96" s="1903"/>
      <c r="B96" s="1961"/>
      <c r="C96" s="881" t="s">
        <v>254</v>
      </c>
      <c r="D96" s="512" t="s">
        <v>687</v>
      </c>
      <c r="E96" s="512"/>
      <c r="F96" s="512"/>
      <c r="G96" s="512"/>
      <c r="H96" s="512"/>
      <c r="I96" s="518"/>
      <c r="J96" s="362"/>
      <c r="K96" s="597" t="s">
        <v>1406</v>
      </c>
    </row>
    <row r="97" spans="1:14" s="81" customFormat="1" ht="15" thickBot="1">
      <c r="A97" s="1903"/>
      <c r="B97" s="1980"/>
      <c r="C97" s="783" t="s">
        <v>255</v>
      </c>
      <c r="D97" s="778" t="s">
        <v>298</v>
      </c>
      <c r="E97" s="519"/>
      <c r="F97" s="519"/>
      <c r="G97" s="519"/>
      <c r="H97" s="519"/>
      <c r="I97" s="520"/>
      <c r="J97" s="362"/>
      <c r="K97" s="597" t="s">
        <v>935</v>
      </c>
    </row>
    <row r="98" spans="1:14" s="81" customFormat="1">
      <c r="A98" s="1903"/>
      <c r="B98" s="1960" t="s">
        <v>139</v>
      </c>
      <c r="C98" s="882" t="s">
        <v>256</v>
      </c>
      <c r="D98" s="528" t="s">
        <v>298</v>
      </c>
      <c r="E98" s="528"/>
      <c r="F98" s="528"/>
      <c r="G98" s="528"/>
      <c r="H98" s="528"/>
      <c r="I98" s="529"/>
      <c r="J98" s="362"/>
      <c r="K98" s="597" t="s">
        <v>935</v>
      </c>
    </row>
    <row r="99" spans="1:14" s="81" customFormat="1" ht="15" thickBot="1">
      <c r="A99" s="1903"/>
      <c r="B99" s="1980"/>
      <c r="C99" s="783" t="s">
        <v>257</v>
      </c>
      <c r="D99" s="519" t="s">
        <v>963</v>
      </c>
      <c r="E99" s="519"/>
      <c r="F99" s="519"/>
      <c r="G99" s="519"/>
      <c r="H99" s="519"/>
      <c r="I99" s="520"/>
      <c r="J99" s="362"/>
      <c r="K99" s="597" t="s">
        <v>1432</v>
      </c>
    </row>
    <row r="100" spans="1:14" s="1165" customFormat="1">
      <c r="A100" s="1903"/>
      <c r="B100" s="1960" t="s">
        <v>142</v>
      </c>
      <c r="C100" s="1340" t="s">
        <v>1034</v>
      </c>
      <c r="D100" s="1162" t="s">
        <v>964</v>
      </c>
      <c r="E100" s="1162"/>
      <c r="F100" s="1162"/>
      <c r="G100" s="1162"/>
      <c r="H100" s="1162"/>
      <c r="I100" s="1163"/>
      <c r="J100" s="1164"/>
      <c r="K100" s="1324" t="s">
        <v>1456</v>
      </c>
    </row>
    <row r="101" spans="1:14" s="81" customFormat="1" ht="28">
      <c r="A101" s="1903"/>
      <c r="B101" s="1961"/>
      <c r="C101" s="1905" t="s">
        <v>1035</v>
      </c>
      <c r="D101" s="1037" t="s">
        <v>1031</v>
      </c>
      <c r="E101" s="512"/>
      <c r="F101" s="512"/>
      <c r="G101" s="512"/>
      <c r="H101" s="512"/>
      <c r="I101" s="518"/>
      <c r="J101" s="362"/>
      <c r="K101" s="597" t="s">
        <v>1432</v>
      </c>
    </row>
    <row r="102" spans="1:14" s="81" customFormat="1">
      <c r="A102" s="1903"/>
      <c r="B102" s="1961"/>
      <c r="C102" s="1905"/>
      <c r="D102" s="1037" t="s">
        <v>1036</v>
      </c>
      <c r="E102" s="512"/>
      <c r="F102" s="512"/>
      <c r="G102" s="512"/>
      <c r="H102" s="512"/>
      <c r="I102" s="518"/>
      <c r="J102" s="362"/>
      <c r="K102" s="597" t="s">
        <v>1406</v>
      </c>
    </row>
    <row r="103" spans="1:14" s="1165" customFormat="1">
      <c r="A103" s="1903"/>
      <c r="B103" s="1961"/>
      <c r="C103" s="1905" t="s">
        <v>467</v>
      </c>
      <c r="D103" s="1341" t="s">
        <v>1032</v>
      </c>
      <c r="E103" s="1167"/>
      <c r="F103" s="1167"/>
      <c r="G103" s="1167"/>
      <c r="H103" s="1167"/>
      <c r="I103" s="1168"/>
      <c r="J103" s="1164"/>
      <c r="K103" s="1324" t="s">
        <v>436</v>
      </c>
    </row>
    <row r="104" spans="1:14" s="81" customFormat="1" ht="29" thickBot="1">
      <c r="A104" s="1903"/>
      <c r="B104" s="1980"/>
      <c r="C104" s="1981"/>
      <c r="D104" s="1043" t="s">
        <v>1033</v>
      </c>
      <c r="E104" s="519"/>
      <c r="F104" s="519"/>
      <c r="G104" s="519"/>
      <c r="H104" s="519"/>
      <c r="I104" s="520"/>
      <c r="J104" s="362"/>
      <c r="K104" s="597" t="s">
        <v>1432</v>
      </c>
    </row>
    <row r="105" spans="1:14" s="362" customFormat="1">
      <c r="A105" s="1903"/>
      <c r="B105" s="1960" t="s">
        <v>264</v>
      </c>
      <c r="C105" s="2007"/>
      <c r="D105" s="528" t="s">
        <v>771</v>
      </c>
      <c r="E105" s="528"/>
      <c r="F105" s="528"/>
      <c r="G105" s="528"/>
      <c r="H105" s="528"/>
      <c r="I105" s="529"/>
      <c r="K105" s="597"/>
    </row>
    <row r="106" spans="1:14" s="487" customFormat="1" ht="15" thickBot="1">
      <c r="A106" s="1904"/>
      <c r="B106" s="1980"/>
      <c r="C106" s="2009"/>
      <c r="D106" s="817" t="s">
        <v>160</v>
      </c>
      <c r="E106" s="552"/>
      <c r="F106" s="552"/>
      <c r="G106" s="552"/>
      <c r="H106" s="552"/>
      <c r="I106" s="725"/>
      <c r="J106" s="362"/>
      <c r="K106" s="597" t="s">
        <v>1406</v>
      </c>
      <c r="L106" s="310"/>
      <c r="M106" s="310"/>
      <c r="N106" s="310"/>
    </row>
    <row r="107" spans="1:14" s="487" customFormat="1">
      <c r="B107" s="310"/>
      <c r="C107" s="494"/>
      <c r="J107" s="362"/>
      <c r="K107" s="496"/>
      <c r="L107" s="310"/>
      <c r="M107" s="310"/>
      <c r="N107" s="310"/>
    </row>
    <row r="108" spans="1:14" s="487" customFormat="1">
      <c r="B108" s="310"/>
      <c r="C108" s="494"/>
      <c r="J108" s="362"/>
      <c r="K108" s="496"/>
      <c r="L108" s="310"/>
      <c r="M108" s="310"/>
      <c r="N108" s="310"/>
    </row>
    <row r="109" spans="1:14" s="487" customFormat="1">
      <c r="B109" s="310"/>
      <c r="C109" s="494"/>
      <c r="J109" s="362"/>
      <c r="K109" s="496"/>
      <c r="L109" s="310"/>
      <c r="M109" s="310"/>
      <c r="N109" s="310"/>
    </row>
  </sheetData>
  <autoFilter ref="K1:K109"/>
  <mergeCells count="36">
    <mergeCell ref="A84:A106"/>
    <mergeCell ref="E3:I3"/>
    <mergeCell ref="B2:I2"/>
    <mergeCell ref="E4:I4"/>
    <mergeCell ref="E5:I5"/>
    <mergeCell ref="B8:C9"/>
    <mergeCell ref="B10:C18"/>
    <mergeCell ref="B19:B24"/>
    <mergeCell ref="C19:C21"/>
    <mergeCell ref="B25:B26"/>
    <mergeCell ref="B27:C29"/>
    <mergeCell ref="B30:B35"/>
    <mergeCell ref="C30:C32"/>
    <mergeCell ref="C33:C34"/>
    <mergeCell ref="B36:B42"/>
    <mergeCell ref="B43:B50"/>
    <mergeCell ref="B51:B52"/>
    <mergeCell ref="B53:C53"/>
    <mergeCell ref="B54:B67"/>
    <mergeCell ref="C54:C60"/>
    <mergeCell ref="C61:C64"/>
    <mergeCell ref="C65:C67"/>
    <mergeCell ref="B68:B69"/>
    <mergeCell ref="B70:B83"/>
    <mergeCell ref="C70:C76"/>
    <mergeCell ref="C77:C80"/>
    <mergeCell ref="C81:C83"/>
    <mergeCell ref="B100:B104"/>
    <mergeCell ref="C101:C102"/>
    <mergeCell ref="C103:C104"/>
    <mergeCell ref="B105:C106"/>
    <mergeCell ref="B84:B97"/>
    <mergeCell ref="C84:C89"/>
    <mergeCell ref="C90:C92"/>
    <mergeCell ref="C93:C94"/>
    <mergeCell ref="B98:B99"/>
  </mergeCells>
  <conditionalFormatting sqref="D6">
    <cfRule type="cellIs" dxfId="32" priority="3" operator="equal">
      <formula>0</formula>
    </cfRule>
  </conditionalFormatting>
  <conditionalFormatting sqref="B6:C6">
    <cfRule type="cellIs" dxfId="31" priority="2" operator="equal">
      <formula>0</formula>
    </cfRule>
  </conditionalFormatting>
  <pageMargins left="0.70866141732283472" right="0.70866141732283472" top="0.74803149606299213" bottom="0.74803149606299213" header="0.31496062992125984" footer="0.31496062992125984"/>
  <pageSetup scale="66" fitToHeight="0" orientation="portrait"/>
  <rowBreaks count="2" manualBreakCount="2">
    <brk id="35" max="16383" man="1"/>
    <brk id="69"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C4161415-45F1-43F1-813F-BA240B1C4936}">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33" operator="containsText" text="0" id="{C4161415-45F1-43F1-813F-BA240B1C4936}">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rgb="FFFFC000"/>
    <pageSetUpPr fitToPage="1"/>
  </sheetPr>
  <dimension ref="A1:N111"/>
  <sheetViews>
    <sheetView topLeftCell="A34" zoomScale="90" zoomScaleNormal="90" zoomScaleSheetLayoutView="90" zoomScalePageLayoutView="90" workbookViewId="0">
      <selection activeCell="D50" sqref="D50"/>
    </sheetView>
  </sheetViews>
  <sheetFormatPr baseColWidth="10" defaultColWidth="11.5" defaultRowHeight="14" x14ac:dyDescent="0"/>
  <cols>
    <col min="1" max="1" width="2.83203125" style="310" customWidth="1"/>
    <col min="2" max="2" width="30.6640625" style="310" customWidth="1"/>
    <col min="3" max="3" width="30.6640625" style="487" customWidth="1"/>
    <col min="4" max="4" width="50.6640625" style="487" customWidth="1"/>
    <col min="5" max="9" width="3.6640625" style="487" customWidth="1"/>
    <col min="10" max="10" width="7.5" style="362" customWidth="1"/>
    <col min="11" max="11" width="50.6640625" style="464" customWidth="1"/>
    <col min="12" max="12" width="30.6640625" style="310" customWidth="1"/>
    <col min="13" max="13" width="3.5" style="310" customWidth="1"/>
    <col min="14" max="16384" width="11.5" style="310"/>
  </cols>
  <sheetData>
    <row r="1" spans="2:14" ht="15" thickBot="1"/>
    <row r="2" spans="2:14" s="81" customFormat="1" ht="69" customHeight="1" thickBot="1">
      <c r="B2" s="1743"/>
      <c r="C2" s="1744"/>
      <c r="D2" s="1744"/>
      <c r="E2" s="1744"/>
      <c r="F2" s="1744"/>
      <c r="G2" s="1744"/>
      <c r="H2" s="1744"/>
      <c r="I2" s="1745"/>
      <c r="J2" s="382"/>
      <c r="K2" s="507"/>
      <c r="L2" s="507"/>
      <c r="M2" s="362"/>
    </row>
    <row r="3" spans="2:14" s="81" customFormat="1" ht="25.25" customHeight="1" thickBot="1">
      <c r="B3" s="820" t="s">
        <v>1385</v>
      </c>
      <c r="C3" s="821"/>
      <c r="D3" s="822"/>
      <c r="E3" s="1746" t="str">
        <f>+'PROGRAMA ARQ.'!E4</f>
        <v>2 SALAS CUNAS</v>
      </c>
      <c r="F3" s="1747"/>
      <c r="G3" s="1747"/>
      <c r="H3" s="1747"/>
      <c r="I3" s="1748"/>
      <c r="J3" s="382"/>
      <c r="K3" s="507"/>
      <c r="L3" s="507"/>
      <c r="M3" s="362"/>
    </row>
    <row r="4" spans="2:14" s="81" customFormat="1" ht="25.25" customHeight="1" thickBot="1">
      <c r="B4" s="823">
        <f>+'PROGRAMA ARQ.'!I4:I5</f>
        <v>152</v>
      </c>
      <c r="C4" s="505"/>
      <c r="D4" s="661"/>
      <c r="E4" s="1737" t="str">
        <f>+'PROGRAMA ARQ.'!E5</f>
        <v>4 NIVELES MEDIOS</v>
      </c>
      <c r="F4" s="1738"/>
      <c r="G4" s="1738"/>
      <c r="H4" s="1738"/>
      <c r="I4" s="1739"/>
      <c r="J4" s="382"/>
      <c r="K4" s="507"/>
      <c r="L4" s="507"/>
      <c r="M4" s="362"/>
    </row>
    <row r="5" spans="2:14" s="81" customFormat="1" ht="15" thickBot="1">
      <c r="B5" s="695" t="s">
        <v>1374</v>
      </c>
      <c r="C5" s="235" t="s">
        <v>1375</v>
      </c>
      <c r="D5" s="235" t="s">
        <v>1376</v>
      </c>
      <c r="E5" s="1818" t="s">
        <v>1377</v>
      </c>
      <c r="F5" s="1819"/>
      <c r="G5" s="1819"/>
      <c r="H5" s="1819"/>
      <c r="I5" s="1820"/>
      <c r="J5" s="675"/>
      <c r="K5" s="507"/>
      <c r="L5" s="507"/>
      <c r="M5" s="362"/>
    </row>
    <row r="6" spans="2:14" s="616" customFormat="1" ht="71" thickBot="1">
      <c r="B6" s="712" t="str">
        <f>IF(D6=0,0,+'PROGRAMA ARQ.'!C37)</f>
        <v>3.2</v>
      </c>
      <c r="C6" s="712" t="str">
        <f>IF(D6=0,0,+'PROGRAMA ARQ.'!D37)</f>
        <v>COCINA SALA CUNA</v>
      </c>
      <c r="D6" s="832">
        <f>+'PROGRAMA ARQ.'!F37</f>
        <v>10</v>
      </c>
      <c r="E6" s="689" t="s">
        <v>366</v>
      </c>
      <c r="F6" s="690" t="s">
        <v>544</v>
      </c>
      <c r="G6" s="690" t="s">
        <v>2</v>
      </c>
      <c r="H6" s="690" t="s">
        <v>171</v>
      </c>
      <c r="I6" s="691" t="s">
        <v>172</v>
      </c>
      <c r="J6" s="608"/>
      <c r="K6" s="1337" t="s">
        <v>293</v>
      </c>
      <c r="L6" s="703" t="s">
        <v>120</v>
      </c>
      <c r="M6" s="846" t="s">
        <v>178</v>
      </c>
    </row>
    <row r="7" spans="2:14" s="367" customFormat="1" ht="16" thickBot="1">
      <c r="B7" s="719" t="s">
        <v>1378</v>
      </c>
      <c r="C7" s="719" t="s">
        <v>1379</v>
      </c>
      <c r="D7" s="666" t="s">
        <v>1380</v>
      </c>
      <c r="E7" s="663"/>
      <c r="F7" s="664"/>
      <c r="G7" s="664"/>
      <c r="H7" s="663"/>
      <c r="I7" s="665"/>
      <c r="J7" s="595"/>
      <c r="K7" s="235"/>
      <c r="L7" s="696"/>
      <c r="M7" s="697"/>
    </row>
    <row r="8" spans="2:14" s="81" customFormat="1" ht="182">
      <c r="B8" s="1810" t="s">
        <v>122</v>
      </c>
      <c r="C8" s="2052"/>
      <c r="D8" s="964" t="s">
        <v>1381</v>
      </c>
      <c r="E8" s="1033"/>
      <c r="F8" s="1033"/>
      <c r="G8" s="964"/>
      <c r="H8" s="1033"/>
      <c r="I8" s="413"/>
      <c r="J8" s="362"/>
      <c r="K8" s="1250"/>
      <c r="N8" s="81">
        <f>G8</f>
        <v>0</v>
      </c>
    </row>
    <row r="9" spans="2:14" s="81" customFormat="1" ht="71" thickBot="1">
      <c r="B9" s="1812"/>
      <c r="C9" s="2059"/>
      <c r="D9" s="913" t="s">
        <v>1037</v>
      </c>
      <c r="E9" s="1034"/>
      <c r="F9" s="1034"/>
      <c r="G9" s="913"/>
      <c r="H9" s="1034"/>
      <c r="I9" s="414"/>
      <c r="J9" s="362"/>
      <c r="K9" s="597" t="s">
        <v>1432</v>
      </c>
    </row>
    <row r="10" spans="2:14" s="81" customFormat="1" ht="42">
      <c r="B10" s="1960" t="s">
        <v>125</v>
      </c>
      <c r="C10" s="2007"/>
      <c r="D10" s="786" t="s">
        <v>1367</v>
      </c>
      <c r="E10" s="528"/>
      <c r="F10" s="528"/>
      <c r="G10" s="528"/>
      <c r="H10" s="528"/>
      <c r="I10" s="529"/>
      <c r="J10" s="362"/>
      <c r="K10" s="597" t="s">
        <v>1406</v>
      </c>
    </row>
    <row r="11" spans="2:14" s="81" customFormat="1">
      <c r="B11" s="1961"/>
      <c r="C11" s="2008"/>
      <c r="D11" s="628" t="s">
        <v>972</v>
      </c>
      <c r="E11" s="512"/>
      <c r="F11" s="512"/>
      <c r="G11" s="512"/>
      <c r="H11" s="512"/>
      <c r="I11" s="518"/>
      <c r="J11" s="362"/>
      <c r="K11" s="597" t="s">
        <v>1406</v>
      </c>
    </row>
    <row r="12" spans="2:14" s="81" customFormat="1">
      <c r="B12" s="1961"/>
      <c r="C12" s="2008"/>
      <c r="D12" s="628" t="s">
        <v>973</v>
      </c>
      <c r="E12" s="512"/>
      <c r="F12" s="512"/>
      <c r="G12" s="512"/>
      <c r="H12" s="512"/>
      <c r="I12" s="518"/>
      <c r="J12" s="362"/>
      <c r="K12" s="597" t="s">
        <v>1406</v>
      </c>
    </row>
    <row r="13" spans="2:14" s="81" customFormat="1" ht="28">
      <c r="B13" s="1961"/>
      <c r="C13" s="2008"/>
      <c r="D13" s="628" t="s">
        <v>1040</v>
      </c>
      <c r="E13" s="512"/>
      <c r="F13" s="512"/>
      <c r="G13" s="512"/>
      <c r="H13" s="512"/>
      <c r="I13" s="518"/>
      <c r="J13" s="362"/>
      <c r="K13" s="597" t="s">
        <v>1406</v>
      </c>
      <c r="L13" s="81" t="s">
        <v>1039</v>
      </c>
    </row>
    <row r="14" spans="2:14" s="81" customFormat="1" ht="28">
      <c r="B14" s="1961"/>
      <c r="C14" s="2008"/>
      <c r="D14" s="628" t="s">
        <v>1042</v>
      </c>
      <c r="E14" s="512"/>
      <c r="F14" s="512"/>
      <c r="G14" s="512"/>
      <c r="H14" s="512"/>
      <c r="I14" s="518"/>
      <c r="J14" s="362"/>
      <c r="K14" s="597" t="s">
        <v>1406</v>
      </c>
    </row>
    <row r="15" spans="2:14" s="81" customFormat="1">
      <c r="B15" s="1961"/>
      <c r="C15" s="2008"/>
      <c r="D15" s="628" t="s">
        <v>974</v>
      </c>
      <c r="E15" s="512"/>
      <c r="F15" s="512"/>
      <c r="G15" s="512"/>
      <c r="H15" s="512"/>
      <c r="I15" s="518"/>
      <c r="J15" s="362"/>
      <c r="K15" s="597" t="s">
        <v>1406</v>
      </c>
    </row>
    <row r="16" spans="2:14" s="1165" customFormat="1" ht="42">
      <c r="B16" s="1961"/>
      <c r="C16" s="2008"/>
      <c r="D16" s="1261" t="s">
        <v>996</v>
      </c>
      <c r="E16" s="1167"/>
      <c r="F16" s="1167"/>
      <c r="G16" s="1167"/>
      <c r="H16" s="1167"/>
      <c r="I16" s="1168"/>
      <c r="J16" s="1164"/>
      <c r="K16" s="1327" t="s">
        <v>1454</v>
      </c>
    </row>
    <row r="17" spans="2:13" s="1165" customFormat="1" ht="15" thickBot="1">
      <c r="B17" s="1980"/>
      <c r="C17" s="2009"/>
      <c r="D17" s="1210" t="s">
        <v>726</v>
      </c>
      <c r="E17" s="1210"/>
      <c r="F17" s="1210"/>
      <c r="G17" s="1210"/>
      <c r="H17" s="1210"/>
      <c r="I17" s="1211"/>
      <c r="J17" s="1164"/>
      <c r="K17" s="1327" t="s">
        <v>668</v>
      </c>
    </row>
    <row r="18" spans="2:13" s="1165" customFormat="1">
      <c r="B18" s="1960" t="s">
        <v>143</v>
      </c>
      <c r="C18" s="1906" t="s">
        <v>241</v>
      </c>
      <c r="D18" s="1338" t="s">
        <v>975</v>
      </c>
      <c r="E18" s="1162"/>
      <c r="F18" s="1162"/>
      <c r="G18" s="1162"/>
      <c r="H18" s="1162"/>
      <c r="I18" s="1163"/>
      <c r="J18" s="1164"/>
      <c r="K18" s="1327" t="s">
        <v>1460</v>
      </c>
    </row>
    <row r="19" spans="2:13" s="81" customFormat="1">
      <c r="B19" s="1961"/>
      <c r="C19" s="1905"/>
      <c r="D19" s="631" t="s">
        <v>260</v>
      </c>
      <c r="E19" s="512"/>
      <c r="F19" s="512"/>
      <c r="G19" s="512"/>
      <c r="H19" s="512"/>
      <c r="I19" s="518"/>
      <c r="J19" s="362"/>
      <c r="K19" s="597" t="s">
        <v>1406</v>
      </c>
      <c r="L19" s="358"/>
    </row>
    <row r="20" spans="2:13" s="81" customFormat="1">
      <c r="B20" s="1961"/>
      <c r="C20" s="1905"/>
      <c r="D20" s="633" t="s">
        <v>390</v>
      </c>
      <c r="E20" s="512"/>
      <c r="F20" s="512"/>
      <c r="G20" s="512"/>
      <c r="H20" s="512"/>
      <c r="I20" s="518"/>
      <c r="J20" s="362"/>
      <c r="K20" s="597" t="s">
        <v>1406</v>
      </c>
      <c r="L20" s="358"/>
    </row>
    <row r="21" spans="2:13" s="1165" customFormat="1" ht="28">
      <c r="B21" s="1961"/>
      <c r="C21" s="1310" t="s">
        <v>242</v>
      </c>
      <c r="D21" s="1261" t="s">
        <v>976</v>
      </c>
      <c r="E21" s="1167"/>
      <c r="F21" s="1167"/>
      <c r="G21" s="1167"/>
      <c r="H21" s="1167"/>
      <c r="I21" s="1168"/>
      <c r="J21" s="1164"/>
      <c r="K21" s="1327" t="s">
        <v>1456</v>
      </c>
      <c r="L21" s="1287"/>
    </row>
    <row r="22" spans="2:13" s="81" customFormat="1">
      <c r="B22" s="1961"/>
      <c r="C22" s="881" t="s">
        <v>243</v>
      </c>
      <c r="D22" s="633" t="s">
        <v>552</v>
      </c>
      <c r="E22" s="512"/>
      <c r="F22" s="512"/>
      <c r="G22" s="631"/>
      <c r="H22" s="512"/>
      <c r="I22" s="518"/>
      <c r="J22" s="362"/>
      <c r="K22" s="1250"/>
    </row>
    <row r="23" spans="2:13" s="1165" customFormat="1" ht="15" thickBot="1">
      <c r="B23" s="1980"/>
      <c r="C23" s="1342" t="s">
        <v>244</v>
      </c>
      <c r="D23" s="1343" t="s">
        <v>552</v>
      </c>
      <c r="E23" s="1210"/>
      <c r="F23" s="1210"/>
      <c r="G23" s="1344"/>
      <c r="H23" s="1210"/>
      <c r="I23" s="1211"/>
      <c r="J23" s="1164"/>
      <c r="K23" s="1327" t="s">
        <v>718</v>
      </c>
    </row>
    <row r="24" spans="2:13" s="81" customFormat="1">
      <c r="B24" s="1960" t="s">
        <v>144</v>
      </c>
      <c r="C24" s="882" t="s">
        <v>245</v>
      </c>
      <c r="D24" s="776" t="s">
        <v>389</v>
      </c>
      <c r="E24" s="528"/>
      <c r="F24" s="528"/>
      <c r="G24" s="528"/>
      <c r="H24" s="528"/>
      <c r="I24" s="529"/>
      <c r="J24" s="362"/>
      <c r="K24" s="597" t="s">
        <v>1406</v>
      </c>
    </row>
    <row r="25" spans="2:13" s="81" customFormat="1" ht="15" thickBot="1">
      <c r="B25" s="1980"/>
      <c r="C25" s="783" t="s">
        <v>246</v>
      </c>
      <c r="D25" s="724" t="s">
        <v>388</v>
      </c>
      <c r="E25" s="519"/>
      <c r="F25" s="519"/>
      <c r="G25" s="519"/>
      <c r="H25" s="519"/>
      <c r="I25" s="520"/>
      <c r="J25" s="362"/>
      <c r="K25" s="597" t="s">
        <v>1406</v>
      </c>
    </row>
    <row r="26" spans="2:13" s="81" customFormat="1">
      <c r="B26" s="1960" t="s">
        <v>141</v>
      </c>
      <c r="C26" s="2007"/>
      <c r="D26" s="528" t="s">
        <v>982</v>
      </c>
      <c r="E26" s="528"/>
      <c r="F26" s="528"/>
      <c r="G26" s="528"/>
      <c r="H26" s="528"/>
      <c r="I26" s="529"/>
      <c r="J26" s="362"/>
      <c r="K26" s="597" t="s">
        <v>1406</v>
      </c>
    </row>
    <row r="27" spans="2:13" s="81" customFormat="1">
      <c r="B27" s="1961"/>
      <c r="C27" s="2008"/>
      <c r="D27" s="877" t="s">
        <v>736</v>
      </c>
      <c r="E27" s="512"/>
      <c r="F27" s="512"/>
      <c r="G27" s="512"/>
      <c r="H27" s="512"/>
      <c r="I27" s="518"/>
      <c r="J27" s="362"/>
      <c r="K27" s="597" t="s">
        <v>1406</v>
      </c>
    </row>
    <row r="28" spans="2:13" s="81" customFormat="1" ht="15" thickBot="1">
      <c r="B28" s="1980"/>
      <c r="C28" s="2009"/>
      <c r="D28" s="878" t="s">
        <v>989</v>
      </c>
      <c r="E28" s="519"/>
      <c r="F28" s="519"/>
      <c r="G28" s="519"/>
      <c r="H28" s="519"/>
      <c r="I28" s="520"/>
      <c r="J28" s="362"/>
      <c r="K28" s="597" t="s">
        <v>1406</v>
      </c>
    </row>
    <row r="29" spans="2:13" s="1165" customFormat="1" ht="28">
      <c r="B29" s="1960" t="s">
        <v>140</v>
      </c>
      <c r="C29" s="1906" t="s">
        <v>1014</v>
      </c>
      <c r="D29" s="1345" t="s">
        <v>727</v>
      </c>
      <c r="E29" s="1162"/>
      <c r="F29" s="1162"/>
      <c r="G29" s="1162"/>
      <c r="H29" s="1162"/>
      <c r="I29" s="1163"/>
      <c r="J29" s="1164"/>
      <c r="K29" s="1327" t="s">
        <v>1458</v>
      </c>
    </row>
    <row r="30" spans="2:13" s="81" customFormat="1" ht="28">
      <c r="B30" s="1961"/>
      <c r="C30" s="1905"/>
      <c r="D30" s="628" t="s">
        <v>981</v>
      </c>
      <c r="E30" s="512"/>
      <c r="F30" s="512"/>
      <c r="G30" s="512"/>
      <c r="H30" s="512"/>
      <c r="I30" s="518"/>
      <c r="J30" s="362"/>
      <c r="K30" s="597" t="s">
        <v>1406</v>
      </c>
    </row>
    <row r="31" spans="2:13" s="362" customFormat="1" ht="28">
      <c r="B31" s="1961"/>
      <c r="C31" s="1905"/>
      <c r="D31" s="633" t="s">
        <v>961</v>
      </c>
      <c r="E31" s="512"/>
      <c r="F31" s="512"/>
      <c r="G31" s="512"/>
      <c r="H31" s="512"/>
      <c r="I31" s="518"/>
      <c r="K31" s="597" t="s">
        <v>1406</v>
      </c>
    </row>
    <row r="32" spans="2:13" s="81" customFormat="1" ht="28">
      <c r="B32" s="1961"/>
      <c r="C32" s="1905" t="s">
        <v>414</v>
      </c>
      <c r="D32" s="628" t="s">
        <v>515</v>
      </c>
      <c r="E32" s="512"/>
      <c r="F32" s="512"/>
      <c r="G32" s="512"/>
      <c r="H32" s="512"/>
      <c r="I32" s="518"/>
      <c r="J32" s="362"/>
      <c r="K32" s="597" t="s">
        <v>1406</v>
      </c>
      <c r="L32" s="594"/>
      <c r="M32" s="362"/>
    </row>
    <row r="33" spans="2:13" s="81" customFormat="1" ht="42">
      <c r="B33" s="1961"/>
      <c r="C33" s="1905"/>
      <c r="D33" s="628" t="s">
        <v>444</v>
      </c>
      <c r="E33" s="512"/>
      <c r="F33" s="512"/>
      <c r="G33" s="512"/>
      <c r="H33" s="512"/>
      <c r="I33" s="518"/>
      <c r="J33" s="362"/>
      <c r="K33" s="597" t="s">
        <v>1406</v>
      </c>
      <c r="L33" s="568"/>
      <c r="M33" s="362"/>
    </row>
    <row r="34" spans="2:13" s="1165" customFormat="1" ht="15" thickBot="1">
      <c r="B34" s="1980"/>
      <c r="C34" s="1339" t="s">
        <v>411</v>
      </c>
      <c r="D34" s="1268" t="s">
        <v>1025</v>
      </c>
      <c r="E34" s="1210"/>
      <c r="F34" s="1210"/>
      <c r="G34" s="1210"/>
      <c r="H34" s="1210"/>
      <c r="I34" s="1211"/>
      <c r="J34" s="1164"/>
      <c r="K34" s="1324" t="s">
        <v>718</v>
      </c>
      <c r="L34" s="1324"/>
      <c r="M34" s="1164"/>
    </row>
    <row r="35" spans="2:13" s="362" customFormat="1" ht="43.25" customHeight="1">
      <c r="B35" s="1935" t="s">
        <v>1391</v>
      </c>
      <c r="C35" s="911" t="s">
        <v>987</v>
      </c>
      <c r="D35" s="528" t="s">
        <v>985</v>
      </c>
      <c r="E35" s="528"/>
      <c r="F35" s="1039">
        <f>1*'PROGRAMA ARQ.'!$E$37</f>
        <v>1</v>
      </c>
      <c r="G35" s="1039">
        <f>+F35*'PROGRAMA ARQ.'!$E$37</f>
        <v>1</v>
      </c>
      <c r="H35" s="528"/>
      <c r="I35" s="529"/>
      <c r="K35" s="597" t="s">
        <v>1406</v>
      </c>
      <c r="L35" s="363" t="s">
        <v>988</v>
      </c>
    </row>
    <row r="36" spans="2:13" s="362" customFormat="1" ht="28">
      <c r="B36" s="1936"/>
      <c r="C36" s="894" t="s">
        <v>984</v>
      </c>
      <c r="D36" s="512" t="s">
        <v>986</v>
      </c>
      <c r="E36" s="512"/>
      <c r="F36" s="1035">
        <f>1*'PROGRAMA ARQ.'!$E$37</f>
        <v>1</v>
      </c>
      <c r="G36" s="1035">
        <f>+F36*'PROGRAMA ARQ.'!$E$37</f>
        <v>1</v>
      </c>
      <c r="H36" s="512"/>
      <c r="I36" s="518"/>
      <c r="K36" s="597" t="s">
        <v>1406</v>
      </c>
      <c r="L36" s="363" t="s">
        <v>988</v>
      </c>
    </row>
    <row r="37" spans="2:13" s="81" customFormat="1" ht="28">
      <c r="B37" s="1936"/>
      <c r="C37" s="894" t="s">
        <v>728</v>
      </c>
      <c r="D37" s="512" t="s">
        <v>729</v>
      </c>
      <c r="E37" s="512"/>
      <c r="F37" s="1035">
        <f>1*'PROGRAMA ARQ.'!$E$37</f>
        <v>1</v>
      </c>
      <c r="G37" s="1035">
        <f>+F37*'PROGRAMA ARQ.'!$E$37</f>
        <v>1</v>
      </c>
      <c r="H37" s="512"/>
      <c r="I37" s="518"/>
      <c r="J37" s="362"/>
      <c r="K37" s="597" t="s">
        <v>1406</v>
      </c>
      <c r="L37" s="363" t="s">
        <v>988</v>
      </c>
    </row>
    <row r="38" spans="2:13" s="81" customFormat="1">
      <c r="B38" s="1936"/>
      <c r="C38" s="894" t="s">
        <v>349</v>
      </c>
      <c r="D38" s="653" t="s">
        <v>581</v>
      </c>
      <c r="E38" s="512"/>
      <c r="F38" s="1035">
        <f>1*'PROGRAMA ARQ.'!$E$37</f>
        <v>1</v>
      </c>
      <c r="G38" s="1035">
        <f>+F38*'PROGRAMA ARQ.'!$E$37</f>
        <v>1</v>
      </c>
      <c r="H38" s="512"/>
      <c r="I38" s="518"/>
      <c r="J38" s="362"/>
      <c r="K38" s="597" t="s">
        <v>1406</v>
      </c>
      <c r="L38" s="363"/>
    </row>
    <row r="39" spans="2:13" s="81" customFormat="1" ht="28">
      <c r="B39" s="1936"/>
      <c r="C39" s="894" t="s">
        <v>994</v>
      </c>
      <c r="D39" s="628" t="s">
        <v>1002</v>
      </c>
      <c r="E39" s="512"/>
      <c r="F39" s="1035">
        <f>1*'PROGRAMA ARQ.'!$E$37</f>
        <v>1</v>
      </c>
      <c r="G39" s="1035">
        <f>+F39*'PROGRAMA ARQ.'!$E$37</f>
        <v>1</v>
      </c>
      <c r="H39" s="512"/>
      <c r="I39" s="518"/>
      <c r="J39" s="362"/>
      <c r="K39" s="597" t="s">
        <v>1406</v>
      </c>
      <c r="L39" s="363"/>
    </row>
    <row r="40" spans="2:13" s="81" customFormat="1">
      <c r="B40" s="1936"/>
      <c r="C40" s="894" t="s">
        <v>970</v>
      </c>
      <c r="D40" s="512" t="s">
        <v>977</v>
      </c>
      <c r="E40" s="512"/>
      <c r="F40" s="1035">
        <f>1*'PROGRAMA ARQ.'!$E$37</f>
        <v>1</v>
      </c>
      <c r="G40" s="1035">
        <f>+F40*'PROGRAMA ARQ.'!$E$37</f>
        <v>1</v>
      </c>
      <c r="H40" s="512"/>
      <c r="I40" s="518"/>
      <c r="J40" s="362"/>
      <c r="K40" s="597" t="s">
        <v>1406</v>
      </c>
    </row>
    <row r="41" spans="2:13" s="81" customFormat="1" ht="15" thickBot="1">
      <c r="B41" s="1958"/>
      <c r="C41" s="912" t="s">
        <v>348</v>
      </c>
      <c r="D41" s="519" t="s">
        <v>978</v>
      </c>
      <c r="E41" s="519"/>
      <c r="F41" s="1040">
        <f>1*'PROGRAMA ARQ.'!$E$37</f>
        <v>1</v>
      </c>
      <c r="G41" s="1040">
        <f>+F41*'PROGRAMA ARQ.'!$E$37</f>
        <v>1</v>
      </c>
      <c r="H41" s="519"/>
      <c r="I41" s="520"/>
      <c r="J41" s="362"/>
      <c r="K41" s="597" t="s">
        <v>1406</v>
      </c>
    </row>
    <row r="42" spans="2:13" s="81" customFormat="1">
      <c r="B42" s="1960" t="s">
        <v>123</v>
      </c>
      <c r="C42" s="911" t="s">
        <v>77</v>
      </c>
      <c r="D42" s="528" t="s">
        <v>962</v>
      </c>
      <c r="E42" s="528"/>
      <c r="F42" s="1041">
        <f>IF(INICIO!$D$4&gt;0,1,0)</f>
        <v>1</v>
      </c>
      <c r="G42" s="1039">
        <f>+F42*'PROGRAMA ARQ.'!$E$37</f>
        <v>1</v>
      </c>
      <c r="H42" s="528"/>
      <c r="I42" s="529"/>
      <c r="J42" s="362"/>
      <c r="K42" s="597" t="s">
        <v>1432</v>
      </c>
    </row>
    <row r="43" spans="2:13" s="81" customFormat="1">
      <c r="B43" s="1961"/>
      <c r="C43" s="894" t="s">
        <v>76</v>
      </c>
      <c r="D43" s="512" t="s">
        <v>1043</v>
      </c>
      <c r="E43" s="512"/>
      <c r="F43" s="1036">
        <f>IF(INICIO!$D$4&gt;0,1,0)</f>
        <v>1</v>
      </c>
      <c r="G43" s="1035">
        <f>+F43*'PROGRAMA ARQ.'!$E$37</f>
        <v>1</v>
      </c>
      <c r="H43" s="512"/>
      <c r="I43" s="518"/>
      <c r="J43" s="362"/>
      <c r="K43" s="597" t="s">
        <v>1432</v>
      </c>
    </row>
    <row r="44" spans="2:13" s="81" customFormat="1">
      <c r="B44" s="1961"/>
      <c r="C44" s="894" t="s">
        <v>990</v>
      </c>
      <c r="D44" s="512" t="s">
        <v>979</v>
      </c>
      <c r="E44" s="512"/>
      <c r="F44" s="1036">
        <f>IF(INICIO!$D$4=1,3,IF(INICIO!$D$4=2,1,IF(INICIO!$D$4=3,1,0)))</f>
        <v>1</v>
      </c>
      <c r="G44" s="1035">
        <f>+F44*'PROGRAMA ARQ.'!$E$37</f>
        <v>1</v>
      </c>
      <c r="H44" s="512"/>
      <c r="I44" s="518"/>
      <c r="J44" s="362"/>
      <c r="K44" s="597" t="s">
        <v>1432</v>
      </c>
    </row>
    <row r="45" spans="2:13" s="81" customFormat="1">
      <c r="B45" s="1961"/>
      <c r="C45" s="894" t="s">
        <v>991</v>
      </c>
      <c r="D45" s="512" t="s">
        <v>979</v>
      </c>
      <c r="E45" s="512"/>
      <c r="F45" s="1036">
        <f>IF(INICIO!$D$4=1,0,IF(INICIO!$D$4=2,2,IF(INICIO!$D$4=3,3,0)))</f>
        <v>2</v>
      </c>
      <c r="G45" s="1035">
        <f>+F45*'PROGRAMA ARQ.'!$E$37</f>
        <v>2</v>
      </c>
      <c r="H45" s="512"/>
      <c r="I45" s="518"/>
      <c r="J45" s="362"/>
      <c r="K45" s="597" t="s">
        <v>1432</v>
      </c>
    </row>
    <row r="46" spans="2:13" s="81" customFormat="1">
      <c r="B46" s="1961"/>
      <c r="C46" s="894" t="s">
        <v>81</v>
      </c>
      <c r="D46" s="632"/>
      <c r="E46" s="512"/>
      <c r="F46" s="1036">
        <f>IF(INICIO!$D$4=1,0,IF(INICIO!$D$4=2,1,IF(INICIO!$D$4=3,1,0)))</f>
        <v>1</v>
      </c>
      <c r="G46" s="1035">
        <f>+F46*'PROGRAMA ARQ.'!$E$37</f>
        <v>1</v>
      </c>
      <c r="H46" s="512"/>
      <c r="I46" s="518"/>
      <c r="J46" s="362"/>
      <c r="K46" s="597" t="s">
        <v>1432</v>
      </c>
    </row>
    <row r="47" spans="2:13" s="81" customFormat="1">
      <c r="B47" s="1961"/>
      <c r="C47" s="894" t="s">
        <v>82</v>
      </c>
      <c r="D47" s="512"/>
      <c r="E47" s="512"/>
      <c r="F47" s="1036">
        <f>IF(INICIO!$D$4=3,1,0)</f>
        <v>0</v>
      </c>
      <c r="G47" s="1035">
        <f>+F47*'PROGRAMA ARQ.'!$E$37</f>
        <v>0</v>
      </c>
      <c r="H47" s="512"/>
      <c r="I47" s="518"/>
      <c r="J47" s="362"/>
      <c r="K47" s="597" t="s">
        <v>1432</v>
      </c>
    </row>
    <row r="48" spans="2:13" s="81" customFormat="1">
      <c r="B48" s="1961"/>
      <c r="C48" s="894" t="s">
        <v>80</v>
      </c>
      <c r="D48" s="512" t="s">
        <v>467</v>
      </c>
      <c r="E48" s="512"/>
      <c r="F48" s="1036">
        <f>IF(INICIO!$D$4&gt;0,1,0)</f>
        <v>1</v>
      </c>
      <c r="G48" s="1035">
        <f>+F48*'PROGRAMA ARQ.'!$E$37</f>
        <v>1</v>
      </c>
      <c r="H48" s="512"/>
      <c r="I48" s="518"/>
      <c r="J48" s="362"/>
      <c r="K48" s="597" t="s">
        <v>1432</v>
      </c>
    </row>
    <row r="49" spans="2:12" s="81" customFormat="1" ht="42">
      <c r="B49" s="1961"/>
      <c r="C49" s="894" t="s">
        <v>79</v>
      </c>
      <c r="D49" s="880" t="s">
        <v>995</v>
      </c>
      <c r="E49" s="512"/>
      <c r="F49" s="1036">
        <f>IF(INICIO!$D$4&gt;0,1,0)</f>
        <v>1</v>
      </c>
      <c r="G49" s="1035">
        <f>+F49*'PROGRAMA ARQ.'!$E$37</f>
        <v>1</v>
      </c>
      <c r="H49" s="512"/>
      <c r="I49" s="518"/>
      <c r="J49" s="362"/>
      <c r="K49" s="597" t="s">
        <v>1432</v>
      </c>
    </row>
    <row r="50" spans="2:12" s="81" customFormat="1" ht="28">
      <c r="B50" s="1961"/>
      <c r="C50" s="894" t="s">
        <v>594</v>
      </c>
      <c r="D50" s="628" t="s">
        <v>980</v>
      </c>
      <c r="E50" s="512"/>
      <c r="F50" s="1036">
        <f>IF(INICIO!$D$4&gt;0,1,0)</f>
        <v>1</v>
      </c>
      <c r="G50" s="1035">
        <f>+F50*'PROGRAMA ARQ.'!$E$37</f>
        <v>1</v>
      </c>
      <c r="H50" s="512"/>
      <c r="I50" s="518"/>
      <c r="J50" s="362"/>
      <c r="K50" s="597" t="s">
        <v>1432</v>
      </c>
    </row>
    <row r="51" spans="2:12" s="81" customFormat="1" ht="15" thickBot="1">
      <c r="B51" s="1980"/>
      <c r="C51" s="912" t="s">
        <v>992</v>
      </c>
      <c r="D51" s="519" t="s">
        <v>993</v>
      </c>
      <c r="E51" s="519"/>
      <c r="F51" s="1042">
        <f>+F42</f>
        <v>1</v>
      </c>
      <c r="G51" s="1040">
        <f>+F51*'PROGRAMA ARQ.'!$E$37</f>
        <v>1</v>
      </c>
      <c r="H51" s="519"/>
      <c r="I51" s="520"/>
      <c r="J51" s="362"/>
      <c r="K51" s="597" t="s">
        <v>1432</v>
      </c>
    </row>
    <row r="52" spans="2:12" s="81" customFormat="1" ht="42">
      <c r="B52" s="2055" t="s">
        <v>124</v>
      </c>
      <c r="C52" s="911" t="s">
        <v>999</v>
      </c>
      <c r="D52" s="786" t="s">
        <v>1000</v>
      </c>
      <c r="E52" s="528"/>
      <c r="F52" s="1041">
        <f>IF(INICIO!$D$4=1,1,IF(INICIO!$D$4=2,1,IF(INICIO!$D$4=3,0,0)))</f>
        <v>1</v>
      </c>
      <c r="G52" s="1039">
        <f>+F52*'PROGRAMA ARQ.'!$E$37</f>
        <v>1</v>
      </c>
      <c r="H52" s="528"/>
      <c r="I52" s="529"/>
      <c r="J52" s="362"/>
      <c r="K52" s="597" t="s">
        <v>1432</v>
      </c>
    </row>
    <row r="53" spans="2:12" s="81" customFormat="1" ht="43" thickBot="1">
      <c r="B53" s="2056"/>
      <c r="C53" s="912" t="s">
        <v>998</v>
      </c>
      <c r="D53" s="778" t="s">
        <v>1001</v>
      </c>
      <c r="E53" s="519"/>
      <c r="F53" s="1042">
        <f>IF(INICIO!$D$4=1,0,IF(INICIO!$D$4=2,1,IF(INICIO!$D$4=3,2,0)))</f>
        <v>1</v>
      </c>
      <c r="G53" s="1040">
        <f>+F53*'PROGRAMA ARQ.'!$E$37</f>
        <v>1</v>
      </c>
      <c r="H53" s="519"/>
      <c r="I53" s="520"/>
      <c r="J53" s="362"/>
      <c r="K53" s="597" t="s">
        <v>1432</v>
      </c>
      <c r="L53" s="484" t="s">
        <v>1503</v>
      </c>
    </row>
    <row r="54" spans="2:12" s="81" customFormat="1" ht="15" thickBot="1">
      <c r="B54" s="2050" t="s">
        <v>132</v>
      </c>
      <c r="C54" s="2051"/>
      <c r="D54" s="555" t="s">
        <v>997</v>
      </c>
      <c r="E54" s="555"/>
      <c r="F54" s="555"/>
      <c r="G54" s="765"/>
      <c r="H54" s="555"/>
      <c r="I54" s="562"/>
      <c r="J54" s="362"/>
      <c r="K54" s="597" t="s">
        <v>1406</v>
      </c>
    </row>
    <row r="55" spans="2:12" s="81" customFormat="1">
      <c r="B55" s="1960" t="s">
        <v>133</v>
      </c>
      <c r="C55" s="1906" t="s">
        <v>983</v>
      </c>
      <c r="D55" s="764" t="s">
        <v>379</v>
      </c>
      <c r="E55" s="528"/>
      <c r="F55" s="528"/>
      <c r="G55" s="528"/>
      <c r="H55" s="528"/>
      <c r="I55" s="529"/>
      <c r="J55" s="362"/>
      <c r="K55" s="597" t="s">
        <v>1406</v>
      </c>
    </row>
    <row r="56" spans="2:12" s="81" customFormat="1">
      <c r="B56" s="1961"/>
      <c r="C56" s="1905"/>
      <c r="D56" s="652" t="s">
        <v>1003</v>
      </c>
      <c r="E56" s="512"/>
      <c r="F56" s="512"/>
      <c r="G56" s="512"/>
      <c r="H56" s="512"/>
      <c r="I56" s="518"/>
      <c r="J56" s="362"/>
      <c r="K56" s="597" t="s">
        <v>1406</v>
      </c>
    </row>
    <row r="57" spans="2:12" s="81" customFormat="1">
      <c r="B57" s="1961"/>
      <c r="C57" s="1905"/>
      <c r="D57" s="652" t="s">
        <v>767</v>
      </c>
      <c r="E57" s="512"/>
      <c r="F57" s="512"/>
      <c r="G57" s="512"/>
      <c r="H57" s="512"/>
      <c r="I57" s="518"/>
      <c r="J57" s="362"/>
      <c r="K57" s="597" t="s">
        <v>1406</v>
      </c>
    </row>
    <row r="58" spans="2:12" s="81" customFormat="1">
      <c r="B58" s="1961"/>
      <c r="C58" s="1905"/>
      <c r="D58" s="652" t="s">
        <v>317</v>
      </c>
      <c r="E58" s="512"/>
      <c r="F58" s="512"/>
      <c r="G58" s="512"/>
      <c r="H58" s="512"/>
      <c r="I58" s="518"/>
      <c r="J58" s="362"/>
      <c r="K58" s="597" t="s">
        <v>1406</v>
      </c>
    </row>
    <row r="59" spans="2:12" s="81" customFormat="1">
      <c r="B59" s="1961"/>
      <c r="C59" s="1905"/>
      <c r="D59" s="652" t="s">
        <v>382</v>
      </c>
      <c r="E59" s="512"/>
      <c r="F59" s="512"/>
      <c r="G59" s="512"/>
      <c r="H59" s="512"/>
      <c r="I59" s="518"/>
      <c r="J59" s="362"/>
      <c r="K59" s="597" t="s">
        <v>1406</v>
      </c>
    </row>
    <row r="60" spans="2:12" s="81" customFormat="1">
      <c r="B60" s="1961"/>
      <c r="C60" s="1905"/>
      <c r="D60" s="652" t="s">
        <v>1004</v>
      </c>
      <c r="E60" s="512"/>
      <c r="F60" s="512"/>
      <c r="G60" s="512"/>
      <c r="H60" s="512"/>
      <c r="I60" s="518"/>
      <c r="J60" s="362"/>
      <c r="K60" s="597" t="s">
        <v>1406</v>
      </c>
    </row>
    <row r="61" spans="2:12" s="81" customFormat="1">
      <c r="B61" s="1961"/>
      <c r="C61" s="1905"/>
      <c r="D61" s="652" t="s">
        <v>318</v>
      </c>
      <c r="E61" s="512"/>
      <c r="F61" s="512"/>
      <c r="G61" s="512"/>
      <c r="H61" s="512"/>
      <c r="I61" s="518"/>
      <c r="J61" s="362"/>
      <c r="K61" s="597" t="s">
        <v>1406</v>
      </c>
    </row>
    <row r="62" spans="2:12" s="81" customFormat="1">
      <c r="B62" s="1961"/>
      <c r="C62" s="1905" t="s">
        <v>1005</v>
      </c>
      <c r="D62" s="652" t="s">
        <v>1006</v>
      </c>
      <c r="E62" s="512"/>
      <c r="F62" s="512"/>
      <c r="G62" s="512"/>
      <c r="H62" s="512"/>
      <c r="I62" s="518"/>
      <c r="J62" s="362"/>
      <c r="K62" s="597" t="s">
        <v>1406</v>
      </c>
    </row>
    <row r="63" spans="2:12" s="81" customFormat="1">
      <c r="B63" s="1961"/>
      <c r="C63" s="1905"/>
      <c r="D63" s="652" t="s">
        <v>1007</v>
      </c>
      <c r="E63" s="512"/>
      <c r="F63" s="512"/>
      <c r="G63" s="512"/>
      <c r="H63" s="512"/>
      <c r="I63" s="518"/>
      <c r="J63" s="362"/>
      <c r="K63" s="597" t="s">
        <v>1406</v>
      </c>
    </row>
    <row r="64" spans="2:12" s="81" customFormat="1">
      <c r="B64" s="1961"/>
      <c r="C64" s="1905"/>
      <c r="D64" s="652" t="s">
        <v>1008</v>
      </c>
      <c r="E64" s="512"/>
      <c r="F64" s="512"/>
      <c r="G64" s="512"/>
      <c r="H64" s="512"/>
      <c r="I64" s="518"/>
      <c r="J64" s="362"/>
      <c r="K64" s="597" t="s">
        <v>1406</v>
      </c>
    </row>
    <row r="65" spans="2:11" s="81" customFormat="1">
      <c r="B65" s="1961"/>
      <c r="C65" s="1905"/>
      <c r="D65" s="652" t="s">
        <v>1009</v>
      </c>
      <c r="E65" s="512"/>
      <c r="F65" s="512"/>
      <c r="G65" s="512"/>
      <c r="H65" s="512"/>
      <c r="I65" s="518"/>
      <c r="J65" s="362"/>
      <c r="K65" s="597" t="s">
        <v>1406</v>
      </c>
    </row>
    <row r="66" spans="2:11" s="1165" customFormat="1" ht="15" thickBot="1">
      <c r="B66" s="1961"/>
      <c r="C66" s="1882" t="s">
        <v>1010</v>
      </c>
      <c r="D66" s="1261" t="s">
        <v>1012</v>
      </c>
      <c r="E66" s="1167"/>
      <c r="F66" s="1167"/>
      <c r="G66" s="1167"/>
      <c r="H66" s="1167"/>
      <c r="I66" s="1168"/>
      <c r="J66" s="1164"/>
      <c r="K66" s="1232" t="s">
        <v>1420</v>
      </c>
    </row>
    <row r="67" spans="2:11" s="81" customFormat="1">
      <c r="B67" s="1961"/>
      <c r="C67" s="1882"/>
      <c r="D67" s="628" t="s">
        <v>1044</v>
      </c>
      <c r="E67" s="512"/>
      <c r="F67" s="512"/>
      <c r="G67" s="512"/>
      <c r="H67" s="512"/>
      <c r="I67" s="518"/>
      <c r="J67" s="362"/>
      <c r="K67" s="597" t="s">
        <v>1406</v>
      </c>
    </row>
    <row r="68" spans="2:11" s="81" customFormat="1" ht="15" thickBot="1">
      <c r="B68" s="1980"/>
      <c r="C68" s="1883"/>
      <c r="D68" s="778" t="s">
        <v>1011</v>
      </c>
      <c r="E68" s="519"/>
      <c r="F68" s="519"/>
      <c r="G68" s="519"/>
      <c r="H68" s="519"/>
      <c r="I68" s="520"/>
      <c r="J68" s="362"/>
      <c r="K68" s="597" t="s">
        <v>1406</v>
      </c>
    </row>
    <row r="69" spans="2:11" s="81" customFormat="1" ht="28">
      <c r="B69" s="1960" t="s">
        <v>134</v>
      </c>
      <c r="C69" s="911" t="s">
        <v>404</v>
      </c>
      <c r="D69" s="786" t="s">
        <v>1013</v>
      </c>
      <c r="E69" s="528"/>
      <c r="F69" s="528"/>
      <c r="G69" s="528"/>
      <c r="H69" s="528"/>
      <c r="I69" s="529"/>
      <c r="J69" s="362"/>
      <c r="K69" s="1250" t="s">
        <v>1421</v>
      </c>
    </row>
    <row r="70" spans="2:11" s="1165" customFormat="1" ht="15" thickBot="1">
      <c r="B70" s="1980"/>
      <c r="C70" s="1268" t="s">
        <v>602</v>
      </c>
      <c r="D70" s="1231" t="s">
        <v>473</v>
      </c>
      <c r="E70" s="1210"/>
      <c r="F70" s="1210"/>
      <c r="G70" s="1210"/>
      <c r="H70" s="1210"/>
      <c r="I70" s="1211"/>
      <c r="J70" s="1164"/>
      <c r="K70" s="1232" t="s">
        <v>1420</v>
      </c>
    </row>
    <row r="71" spans="2:11" s="81" customFormat="1">
      <c r="B71" s="1960" t="s">
        <v>135</v>
      </c>
      <c r="C71" s="2057"/>
      <c r="D71" s="786" t="s">
        <v>1015</v>
      </c>
      <c r="E71" s="528"/>
      <c r="F71" s="528"/>
      <c r="G71" s="528"/>
      <c r="H71" s="528"/>
      <c r="I71" s="529"/>
      <c r="J71" s="362"/>
      <c r="K71" s="597" t="s">
        <v>1406</v>
      </c>
    </row>
    <row r="72" spans="2:11" s="81" customFormat="1">
      <c r="B72" s="1961"/>
      <c r="C72" s="2058"/>
      <c r="D72" s="628" t="s">
        <v>1016</v>
      </c>
      <c r="E72" s="512"/>
      <c r="F72" s="512"/>
      <c r="G72" s="512"/>
      <c r="H72" s="512"/>
      <c r="I72" s="518"/>
      <c r="J72" s="362"/>
      <c r="K72" s="597" t="s">
        <v>1406</v>
      </c>
    </row>
    <row r="73" spans="2:11" s="81" customFormat="1">
      <c r="B73" s="1961"/>
      <c r="C73" s="2058"/>
      <c r="D73" s="628" t="s">
        <v>1017</v>
      </c>
      <c r="E73" s="512"/>
      <c r="F73" s="512"/>
      <c r="G73" s="512"/>
      <c r="H73" s="512"/>
      <c r="I73" s="518"/>
      <c r="J73" s="362"/>
      <c r="K73" s="597" t="s">
        <v>1406</v>
      </c>
    </row>
    <row r="74" spans="2:11" s="1165" customFormat="1">
      <c r="B74" s="1961"/>
      <c r="C74" s="2058"/>
      <c r="D74" s="1261" t="s">
        <v>322</v>
      </c>
      <c r="E74" s="1167"/>
      <c r="F74" s="1167"/>
      <c r="G74" s="1167"/>
      <c r="H74" s="1167"/>
      <c r="I74" s="1168"/>
      <c r="J74" s="1164"/>
      <c r="K74" s="1325" t="s">
        <v>1457</v>
      </c>
    </row>
    <row r="75" spans="2:11" s="1165" customFormat="1">
      <c r="B75" s="1961"/>
      <c r="C75" s="2058"/>
      <c r="D75" s="1261" t="s">
        <v>323</v>
      </c>
      <c r="E75" s="1167"/>
      <c r="F75" s="1167"/>
      <c r="G75" s="1167"/>
      <c r="H75" s="1167"/>
      <c r="I75" s="1168"/>
      <c r="J75" s="1164"/>
      <c r="K75" s="1325" t="s">
        <v>1457</v>
      </c>
    </row>
    <row r="76" spans="2:11" s="1165" customFormat="1">
      <c r="B76" s="1961"/>
      <c r="C76" s="2058"/>
      <c r="D76" s="1261" t="s">
        <v>1045</v>
      </c>
      <c r="E76" s="1167"/>
      <c r="F76" s="1167"/>
      <c r="G76" s="1167"/>
      <c r="H76" s="1167"/>
      <c r="I76" s="1168"/>
      <c r="J76" s="1164"/>
      <c r="K76" s="1325" t="s">
        <v>1457</v>
      </c>
    </row>
    <row r="77" spans="2:11" s="81" customFormat="1">
      <c r="B77" s="1961"/>
      <c r="C77" s="2058"/>
      <c r="D77" s="628" t="s">
        <v>624</v>
      </c>
      <c r="E77" s="512"/>
      <c r="F77" s="512"/>
      <c r="G77" s="512"/>
      <c r="H77" s="512"/>
      <c r="I77" s="518"/>
      <c r="J77" s="362"/>
      <c r="K77" s="597" t="s">
        <v>1406</v>
      </c>
    </row>
    <row r="78" spans="2:11" s="81" customFormat="1">
      <c r="B78" s="1961"/>
      <c r="C78" s="1905" t="s">
        <v>249</v>
      </c>
      <c r="D78" s="628" t="s">
        <v>1018</v>
      </c>
      <c r="E78" s="512"/>
      <c r="F78" s="512"/>
      <c r="G78" s="512"/>
      <c r="H78" s="512"/>
      <c r="I78" s="518"/>
      <c r="J78" s="362"/>
      <c r="K78" s="597" t="s">
        <v>1406</v>
      </c>
    </row>
    <row r="79" spans="2:11" s="81" customFormat="1">
      <c r="B79" s="1961"/>
      <c r="C79" s="1905"/>
      <c r="D79" s="628" t="s">
        <v>325</v>
      </c>
      <c r="E79" s="512"/>
      <c r="F79" s="512"/>
      <c r="G79" s="512"/>
      <c r="H79" s="512"/>
      <c r="I79" s="518"/>
      <c r="J79" s="362"/>
      <c r="K79" s="597" t="s">
        <v>1406</v>
      </c>
    </row>
    <row r="80" spans="2:11" s="81" customFormat="1">
      <c r="B80" s="1961"/>
      <c r="C80" s="1905"/>
      <c r="D80" s="628" t="s">
        <v>326</v>
      </c>
      <c r="E80" s="512"/>
      <c r="F80" s="512"/>
      <c r="G80" s="512"/>
      <c r="H80" s="512"/>
      <c r="I80" s="518"/>
      <c r="J80" s="362"/>
      <c r="K80" s="597" t="s">
        <v>1406</v>
      </c>
    </row>
    <row r="81" spans="1:11" s="1165" customFormat="1">
      <c r="B81" s="1961"/>
      <c r="C81" s="1905"/>
      <c r="D81" s="1261" t="s">
        <v>1019</v>
      </c>
      <c r="E81" s="1167"/>
      <c r="F81" s="1167"/>
      <c r="G81" s="1167"/>
      <c r="H81" s="1167"/>
      <c r="I81" s="1168"/>
      <c r="J81" s="1164"/>
      <c r="K81" s="1325" t="s">
        <v>1457</v>
      </c>
    </row>
    <row r="82" spans="1:11" s="81" customFormat="1">
      <c r="B82" s="1961"/>
      <c r="C82" s="1905" t="s">
        <v>250</v>
      </c>
      <c r="D82" s="512" t="s">
        <v>326</v>
      </c>
      <c r="E82" s="512"/>
      <c r="F82" s="512"/>
      <c r="G82" s="512"/>
      <c r="H82" s="512"/>
      <c r="I82" s="518"/>
      <c r="J82" s="362"/>
      <c r="K82" s="597" t="s">
        <v>1406</v>
      </c>
    </row>
    <row r="83" spans="1:11" s="81" customFormat="1">
      <c r="B83" s="1961"/>
      <c r="C83" s="1905"/>
      <c r="D83" s="512" t="s">
        <v>325</v>
      </c>
      <c r="E83" s="512"/>
      <c r="F83" s="512"/>
      <c r="G83" s="512"/>
      <c r="H83" s="512"/>
      <c r="I83" s="518"/>
      <c r="J83" s="362"/>
      <c r="K83" s="597" t="s">
        <v>1406</v>
      </c>
    </row>
    <row r="84" spans="1:11" s="81" customFormat="1" ht="15" thickBot="1">
      <c r="B84" s="1980"/>
      <c r="C84" s="1981"/>
      <c r="D84" s="519" t="s">
        <v>1020</v>
      </c>
      <c r="E84" s="519"/>
      <c r="F84" s="519"/>
      <c r="G84" s="519"/>
      <c r="H84" s="519"/>
      <c r="I84" s="520"/>
      <c r="J84" s="362"/>
      <c r="K84" s="597" t="s">
        <v>1406</v>
      </c>
    </row>
    <row r="85" spans="1:11" s="1165" customFormat="1">
      <c r="A85" s="1902" t="s">
        <v>137</v>
      </c>
      <c r="B85" s="1960" t="s">
        <v>138</v>
      </c>
      <c r="C85" s="1906" t="s">
        <v>438</v>
      </c>
      <c r="D85" s="1162" t="s">
        <v>1022</v>
      </c>
      <c r="E85" s="1236"/>
      <c r="F85" s="1236"/>
      <c r="G85" s="1236"/>
      <c r="H85" s="1236"/>
      <c r="I85" s="1163"/>
      <c r="K85" s="1325" t="s">
        <v>1459</v>
      </c>
    </row>
    <row r="86" spans="1:11" s="81" customFormat="1">
      <c r="A86" s="1903"/>
      <c r="B86" s="1961"/>
      <c r="C86" s="1905"/>
      <c r="D86" s="512" t="s">
        <v>1021</v>
      </c>
      <c r="E86" s="632"/>
      <c r="F86" s="632"/>
      <c r="G86" s="632"/>
      <c r="H86" s="632"/>
      <c r="I86" s="518"/>
      <c r="K86" s="597" t="s">
        <v>1406</v>
      </c>
    </row>
    <row r="87" spans="1:11" s="1165" customFormat="1">
      <c r="A87" s="1903"/>
      <c r="B87" s="1961"/>
      <c r="C87" s="1905"/>
      <c r="D87" s="1261" t="s">
        <v>1023</v>
      </c>
      <c r="E87" s="1167"/>
      <c r="F87" s="1167"/>
      <c r="G87" s="1167"/>
      <c r="H87" s="1167"/>
      <c r="I87" s="1168"/>
      <c r="J87" s="1164"/>
      <c r="K87" s="1325" t="s">
        <v>1459</v>
      </c>
    </row>
    <row r="88" spans="1:11" s="81" customFormat="1">
      <c r="A88" s="1903"/>
      <c r="B88" s="1961"/>
      <c r="C88" s="1905"/>
      <c r="D88" s="628" t="s">
        <v>1045</v>
      </c>
      <c r="E88" s="512"/>
      <c r="F88" s="512"/>
      <c r="G88" s="512"/>
      <c r="H88" s="512"/>
      <c r="I88" s="518"/>
      <c r="J88" s="362"/>
      <c r="K88" s="597" t="s">
        <v>1406</v>
      </c>
    </row>
    <row r="89" spans="1:11" s="81" customFormat="1">
      <c r="A89" s="1903"/>
      <c r="B89" s="1961"/>
      <c r="C89" s="1905"/>
      <c r="D89" s="628" t="s">
        <v>1024</v>
      </c>
      <c r="E89" s="512"/>
      <c r="F89" s="512"/>
      <c r="G89" s="512"/>
      <c r="H89" s="512"/>
      <c r="I89" s="518"/>
      <c r="J89" s="362"/>
      <c r="K89" s="597" t="s">
        <v>1406</v>
      </c>
    </row>
    <row r="90" spans="1:11" s="81" customFormat="1">
      <c r="A90" s="1903"/>
      <c r="B90" s="1961"/>
      <c r="C90" s="1905"/>
      <c r="D90" s="628" t="s">
        <v>1026</v>
      </c>
      <c r="E90" s="512"/>
      <c r="F90" s="512"/>
      <c r="G90" s="512"/>
      <c r="H90" s="512"/>
      <c r="I90" s="518"/>
      <c r="J90" s="362"/>
      <c r="K90" s="597" t="s">
        <v>1406</v>
      </c>
    </row>
    <row r="91" spans="1:11" s="81" customFormat="1">
      <c r="A91" s="1903"/>
      <c r="B91" s="1961"/>
      <c r="C91" s="1905" t="s">
        <v>251</v>
      </c>
      <c r="D91" s="628" t="s">
        <v>1027</v>
      </c>
      <c r="E91" s="512"/>
      <c r="F91" s="512">
        <f>+F44+F45</f>
        <v>3</v>
      </c>
      <c r="G91" s="861">
        <f>+F91*'PROGRAMA ARQ.'!$E$37</f>
        <v>3</v>
      </c>
      <c r="H91" s="512"/>
      <c r="I91" s="518"/>
      <c r="J91" s="362"/>
      <c r="K91" s="597" t="s">
        <v>1406</v>
      </c>
    </row>
    <row r="92" spans="1:11" s="81" customFormat="1">
      <c r="A92" s="1903"/>
      <c r="B92" s="1961"/>
      <c r="C92" s="1905"/>
      <c r="D92" s="628" t="s">
        <v>1028</v>
      </c>
      <c r="E92" s="512"/>
      <c r="F92" s="512">
        <v>1</v>
      </c>
      <c r="G92" s="861">
        <f>+F92*'PROGRAMA ARQ.'!$E$37</f>
        <v>1</v>
      </c>
      <c r="H92" s="512"/>
      <c r="I92" s="518"/>
      <c r="J92" s="362"/>
      <c r="K92" s="597" t="s">
        <v>1406</v>
      </c>
    </row>
    <row r="93" spans="1:11" s="81" customFormat="1">
      <c r="A93" s="1903"/>
      <c r="B93" s="1961"/>
      <c r="C93" s="1905"/>
      <c r="D93" s="628" t="s">
        <v>1029</v>
      </c>
      <c r="E93" s="512"/>
      <c r="F93" s="512">
        <f>+F49</f>
        <v>1</v>
      </c>
      <c r="G93" s="861">
        <f>+F93*'PROGRAMA ARQ.'!$E$37</f>
        <v>1</v>
      </c>
      <c r="H93" s="512"/>
      <c r="I93" s="518"/>
      <c r="J93" s="362"/>
      <c r="K93" s="597" t="s">
        <v>1406</v>
      </c>
    </row>
    <row r="94" spans="1:11" s="81" customFormat="1">
      <c r="A94" s="1903"/>
      <c r="B94" s="1961"/>
      <c r="C94" s="1905" t="s">
        <v>252</v>
      </c>
      <c r="D94" s="628" t="s">
        <v>1030</v>
      </c>
      <c r="E94" s="512"/>
      <c r="F94" s="512"/>
      <c r="G94" s="512"/>
      <c r="H94" s="512"/>
      <c r="I94" s="518"/>
      <c r="J94" s="362"/>
      <c r="K94" s="597" t="s">
        <v>1406</v>
      </c>
    </row>
    <row r="95" spans="1:11" s="81" customFormat="1">
      <c r="A95" s="1903"/>
      <c r="B95" s="1961"/>
      <c r="C95" s="1905"/>
      <c r="D95" s="628" t="s">
        <v>573</v>
      </c>
      <c r="E95" s="512"/>
      <c r="F95" s="512"/>
      <c r="G95" s="512"/>
      <c r="H95" s="512"/>
      <c r="I95" s="518"/>
      <c r="J95" s="362"/>
      <c r="K95" s="597" t="s">
        <v>1406</v>
      </c>
    </row>
    <row r="96" spans="1:11" s="81" customFormat="1">
      <c r="A96" s="1903"/>
      <c r="B96" s="1961"/>
      <c r="C96" s="881" t="s">
        <v>253</v>
      </c>
      <c r="D96" s="512" t="s">
        <v>298</v>
      </c>
      <c r="E96" s="512"/>
      <c r="F96" s="512"/>
      <c r="G96" s="512"/>
      <c r="H96" s="512"/>
      <c r="I96" s="518"/>
      <c r="J96" s="362"/>
      <c r="K96" s="1250" t="s">
        <v>935</v>
      </c>
    </row>
    <row r="97" spans="1:14" s="81" customFormat="1">
      <c r="A97" s="1903"/>
      <c r="B97" s="1961"/>
      <c r="C97" s="881" t="s">
        <v>254</v>
      </c>
      <c r="D97" s="512" t="s">
        <v>687</v>
      </c>
      <c r="E97" s="512"/>
      <c r="F97" s="512"/>
      <c r="G97" s="512"/>
      <c r="H97" s="512"/>
      <c r="I97" s="518"/>
      <c r="J97" s="362"/>
      <c r="K97" s="597" t="s">
        <v>1406</v>
      </c>
    </row>
    <row r="98" spans="1:14" s="81" customFormat="1" ht="15" thickBot="1">
      <c r="A98" s="1903"/>
      <c r="B98" s="1980"/>
      <c r="C98" s="783" t="s">
        <v>255</v>
      </c>
      <c r="D98" s="778" t="s">
        <v>298</v>
      </c>
      <c r="E98" s="519"/>
      <c r="F98" s="519"/>
      <c r="G98" s="519"/>
      <c r="H98" s="519"/>
      <c r="I98" s="520"/>
      <c r="J98" s="362"/>
      <c r="K98" s="1250" t="s">
        <v>935</v>
      </c>
    </row>
    <row r="99" spans="1:14" s="81" customFormat="1">
      <c r="A99" s="1903"/>
      <c r="B99" s="1960" t="s">
        <v>139</v>
      </c>
      <c r="C99" s="882" t="s">
        <v>256</v>
      </c>
      <c r="D99" s="528" t="s">
        <v>298</v>
      </c>
      <c r="E99" s="528"/>
      <c r="F99" s="528"/>
      <c r="G99" s="528"/>
      <c r="H99" s="528"/>
      <c r="I99" s="529"/>
      <c r="J99" s="362"/>
      <c r="K99" s="1250" t="s">
        <v>935</v>
      </c>
    </row>
    <row r="100" spans="1:14" s="81" customFormat="1" ht="15" thickBot="1">
      <c r="A100" s="1903"/>
      <c r="B100" s="1980"/>
      <c r="C100" s="783" t="s">
        <v>257</v>
      </c>
      <c r="D100" s="519" t="s">
        <v>963</v>
      </c>
      <c r="E100" s="519"/>
      <c r="F100" s="519"/>
      <c r="G100" s="519"/>
      <c r="H100" s="519"/>
      <c r="I100" s="520"/>
      <c r="J100" s="362"/>
      <c r="K100" s="597" t="s">
        <v>1406</v>
      </c>
    </row>
    <row r="101" spans="1:14" s="1165" customFormat="1">
      <c r="A101" s="1903"/>
      <c r="B101" s="1960" t="s">
        <v>142</v>
      </c>
      <c r="C101" s="1340" t="s">
        <v>1034</v>
      </c>
      <c r="D101" s="1162" t="s">
        <v>964</v>
      </c>
      <c r="E101" s="1162"/>
      <c r="F101" s="1162"/>
      <c r="G101" s="1162"/>
      <c r="H101" s="1162"/>
      <c r="I101" s="1163"/>
      <c r="J101" s="1164"/>
      <c r="K101" s="1327" t="s">
        <v>1456</v>
      </c>
    </row>
    <row r="102" spans="1:14" s="81" customFormat="1" ht="28">
      <c r="A102" s="1903"/>
      <c r="B102" s="1961"/>
      <c r="C102" s="1905" t="s">
        <v>1035</v>
      </c>
      <c r="D102" s="1037" t="s">
        <v>1031</v>
      </c>
      <c r="E102" s="512"/>
      <c r="F102" s="512"/>
      <c r="G102" s="512"/>
      <c r="H102" s="512"/>
      <c r="I102" s="518"/>
      <c r="J102" s="362"/>
      <c r="K102" s="597" t="s">
        <v>1406</v>
      </c>
    </row>
    <row r="103" spans="1:14" s="81" customFormat="1">
      <c r="A103" s="1903"/>
      <c r="B103" s="1961"/>
      <c r="C103" s="1905"/>
      <c r="D103" s="1037" t="s">
        <v>1053</v>
      </c>
      <c r="E103" s="512"/>
      <c r="F103" s="512"/>
      <c r="G103" s="512"/>
      <c r="H103" s="512"/>
      <c r="I103" s="518"/>
      <c r="J103" s="362"/>
      <c r="K103" s="597" t="s">
        <v>1406</v>
      </c>
    </row>
    <row r="104" spans="1:14" s="81" customFormat="1">
      <c r="A104" s="1903"/>
      <c r="B104" s="1961"/>
      <c r="C104" s="1905" t="s">
        <v>467</v>
      </c>
      <c r="D104" s="1037" t="s">
        <v>1032</v>
      </c>
      <c r="E104" s="512"/>
      <c r="F104" s="512"/>
      <c r="G104" s="512"/>
      <c r="H104" s="512"/>
      <c r="I104" s="518"/>
      <c r="J104" s="362"/>
      <c r="K104" s="597" t="s">
        <v>1406</v>
      </c>
    </row>
    <row r="105" spans="1:14" s="81" customFormat="1" ht="29" thickBot="1">
      <c r="A105" s="1903"/>
      <c r="B105" s="1980"/>
      <c r="C105" s="1981"/>
      <c r="D105" s="1043" t="s">
        <v>1033</v>
      </c>
      <c r="E105" s="519"/>
      <c r="F105" s="519"/>
      <c r="G105" s="519"/>
      <c r="H105" s="519"/>
      <c r="I105" s="520"/>
      <c r="J105" s="362"/>
      <c r="K105" s="597" t="s">
        <v>1406</v>
      </c>
    </row>
    <row r="106" spans="1:14" s="362" customFormat="1">
      <c r="A106" s="1903"/>
      <c r="B106" s="1960" t="s">
        <v>264</v>
      </c>
      <c r="C106" s="2007"/>
      <c r="D106" s="528" t="s">
        <v>771</v>
      </c>
      <c r="E106" s="528"/>
      <c r="F106" s="528"/>
      <c r="G106" s="528"/>
      <c r="H106" s="528"/>
      <c r="I106" s="529"/>
      <c r="K106" s="597"/>
    </row>
    <row r="107" spans="1:14" s="487" customFormat="1" ht="15" thickBot="1">
      <c r="A107" s="1904"/>
      <c r="B107" s="1980"/>
      <c r="C107" s="2009"/>
      <c r="D107" s="817" t="s">
        <v>510</v>
      </c>
      <c r="E107" s="552"/>
      <c r="F107" s="552"/>
      <c r="G107" s="552"/>
      <c r="H107" s="552"/>
      <c r="I107" s="725"/>
      <c r="J107" s="362"/>
      <c r="K107" s="597" t="s">
        <v>1406</v>
      </c>
      <c r="L107" s="310"/>
      <c r="M107" s="310"/>
      <c r="N107" s="310"/>
    </row>
    <row r="108" spans="1:14">
      <c r="C108" s="494"/>
    </row>
    <row r="109" spans="1:14">
      <c r="C109" s="494"/>
    </row>
    <row r="110" spans="1:14">
      <c r="C110" s="494"/>
    </row>
    <row r="111" spans="1:14">
      <c r="C111" s="494"/>
    </row>
  </sheetData>
  <autoFilter ref="K1:K111"/>
  <mergeCells count="36">
    <mergeCell ref="E3:I3"/>
    <mergeCell ref="B2:I2"/>
    <mergeCell ref="E4:I4"/>
    <mergeCell ref="E5:I5"/>
    <mergeCell ref="B8:C9"/>
    <mergeCell ref="B10:C17"/>
    <mergeCell ref="B18:B23"/>
    <mergeCell ref="B24:B25"/>
    <mergeCell ref="C18:C20"/>
    <mergeCell ref="B26:C28"/>
    <mergeCell ref="B29:B34"/>
    <mergeCell ref="C29:C31"/>
    <mergeCell ref="C32:C33"/>
    <mergeCell ref="B35:B41"/>
    <mergeCell ref="A85:A107"/>
    <mergeCell ref="B42:B51"/>
    <mergeCell ref="B52:B53"/>
    <mergeCell ref="B54:C54"/>
    <mergeCell ref="B55:B68"/>
    <mergeCell ref="C55:C61"/>
    <mergeCell ref="C62:C65"/>
    <mergeCell ref="C66:C68"/>
    <mergeCell ref="B69:B70"/>
    <mergeCell ref="B71:B84"/>
    <mergeCell ref="C71:C77"/>
    <mergeCell ref="C78:C81"/>
    <mergeCell ref="C82:C84"/>
    <mergeCell ref="B101:B105"/>
    <mergeCell ref="C102:C103"/>
    <mergeCell ref="C104:C105"/>
    <mergeCell ref="B106:C107"/>
    <mergeCell ref="B85:B98"/>
    <mergeCell ref="C85:C90"/>
    <mergeCell ref="C91:C93"/>
    <mergeCell ref="C94:C95"/>
    <mergeCell ref="B99:B100"/>
  </mergeCells>
  <conditionalFormatting sqref="D6">
    <cfRule type="cellIs" dxfId="28" priority="4" operator="equal">
      <formula>0</formula>
    </cfRule>
  </conditionalFormatting>
  <conditionalFormatting sqref="C6">
    <cfRule type="cellIs" dxfId="27" priority="3" operator="equal">
      <formula>0</formula>
    </cfRule>
  </conditionalFormatting>
  <conditionalFormatting sqref="B6">
    <cfRule type="cellIs" dxfId="26" priority="2" operator="equal">
      <formula>0</formula>
    </cfRule>
  </conditionalFormatting>
  <pageMargins left="0.70866141732283472" right="0.70866141732283472" top="0.74803149606299213" bottom="0.74803149606299213" header="0.31496062992125984" footer="0.31496062992125984"/>
  <pageSetup scale="67" fitToHeight="0" orientation="portrait"/>
  <rowBreaks count="2" manualBreakCount="2">
    <brk id="34" max="8" man="1"/>
    <brk id="70"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D4AEA654-CE4F-48CD-9E29-9E0B57E649D5}">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35" operator="containsText" text="0" id="{D4AEA654-CE4F-48CD-9E29-9E0B57E649D5}">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rgb="FFFFC000"/>
    <pageSetUpPr fitToPage="1"/>
  </sheetPr>
  <dimension ref="A1:N97"/>
  <sheetViews>
    <sheetView workbookViewId="0">
      <selection activeCell="K8" sqref="K8:K14"/>
    </sheetView>
  </sheetViews>
  <sheetFormatPr baseColWidth="10" defaultColWidth="11.5" defaultRowHeight="14" x14ac:dyDescent="0"/>
  <cols>
    <col min="1" max="1" width="2.83203125" style="310" customWidth="1"/>
    <col min="2" max="2" width="30.6640625" style="310" customWidth="1"/>
    <col min="3" max="3" width="30.6640625" style="487" customWidth="1"/>
    <col min="4" max="4" width="50.6640625" style="487" customWidth="1"/>
    <col min="5" max="9" width="3.6640625" style="487" customWidth="1"/>
    <col min="10" max="10" width="7.5" style="362" customWidth="1"/>
    <col min="11" max="11" width="50.6640625" style="1123" customWidth="1"/>
    <col min="12" max="12" width="30.6640625" style="310" customWidth="1"/>
    <col min="13" max="13" width="3.5" style="310" customWidth="1"/>
    <col min="14" max="16384" width="11.5" style="310"/>
  </cols>
  <sheetData>
    <row r="1" spans="2:14" ht="15" thickBot="1"/>
    <row r="2" spans="2:14" s="81" customFormat="1" ht="69" customHeight="1" thickBot="1">
      <c r="B2" s="1743"/>
      <c r="C2" s="1744"/>
      <c r="D2" s="1744"/>
      <c r="E2" s="1744"/>
      <c r="F2" s="1744"/>
      <c r="G2" s="1744"/>
      <c r="H2" s="1744"/>
      <c r="I2" s="1745"/>
      <c r="J2" s="382"/>
      <c r="K2" s="507"/>
      <c r="L2" s="507"/>
      <c r="M2" s="362"/>
    </row>
    <row r="3" spans="2:14" s="81" customFormat="1" ht="25.25" customHeight="1" thickBot="1">
      <c r="B3" s="820" t="s">
        <v>1385</v>
      </c>
      <c r="C3" s="821"/>
      <c r="D3" s="822"/>
      <c r="E3" s="1746" t="str">
        <f>+'PROGRAMA ARQ.'!E4</f>
        <v>2 SALAS CUNAS</v>
      </c>
      <c r="F3" s="1747"/>
      <c r="G3" s="1747"/>
      <c r="H3" s="1747"/>
      <c r="I3" s="1748"/>
      <c r="J3" s="382"/>
      <c r="K3" s="507"/>
      <c r="L3" s="507"/>
      <c r="M3" s="362"/>
    </row>
    <row r="4" spans="2:14" s="81" customFormat="1" ht="25.25" customHeight="1" thickBot="1">
      <c r="B4" s="823">
        <f>+'PROGRAMA ARQ.'!I4:I5</f>
        <v>152</v>
      </c>
      <c r="C4" s="505"/>
      <c r="D4" s="661"/>
      <c r="E4" s="1737" t="str">
        <f>+'PROGRAMA ARQ.'!E5</f>
        <v>4 NIVELES MEDIOS</v>
      </c>
      <c r="F4" s="1738"/>
      <c r="G4" s="1738"/>
      <c r="H4" s="1738"/>
      <c r="I4" s="1739"/>
      <c r="J4" s="382"/>
      <c r="K4" s="507"/>
      <c r="L4" s="507"/>
      <c r="M4" s="362"/>
    </row>
    <row r="5" spans="2:14" s="81" customFormat="1" ht="15" thickBot="1">
      <c r="B5" s="695" t="s">
        <v>1374</v>
      </c>
      <c r="C5" s="235" t="s">
        <v>1375</v>
      </c>
      <c r="D5" s="235" t="s">
        <v>1376</v>
      </c>
      <c r="E5" s="1818" t="s">
        <v>1377</v>
      </c>
      <c r="F5" s="1819"/>
      <c r="G5" s="1819"/>
      <c r="H5" s="1819"/>
      <c r="I5" s="1820"/>
      <c r="J5" s="675"/>
      <c r="K5" s="507"/>
      <c r="L5" s="507"/>
      <c r="M5" s="362"/>
    </row>
    <row r="6" spans="2:14" s="616" customFormat="1" ht="71" thickBot="1">
      <c r="B6" s="712" t="str">
        <f>IF(D6=0,0,+'PROGRAMA ARQ.'!C38)</f>
        <v>3.3</v>
      </c>
      <c r="C6" s="712" t="str">
        <f>IF(D6=0,0,+'PROGRAMA ARQ.'!D38)</f>
        <v>COCINA DE LECHE</v>
      </c>
      <c r="D6" s="832">
        <f>+'PROGRAMA ARQ.'!F38</f>
        <v>5.5</v>
      </c>
      <c r="E6" s="689" t="s">
        <v>366</v>
      </c>
      <c r="F6" s="690" t="s">
        <v>544</v>
      </c>
      <c r="G6" s="690" t="s">
        <v>2</v>
      </c>
      <c r="H6" s="690" t="s">
        <v>171</v>
      </c>
      <c r="I6" s="691" t="s">
        <v>172</v>
      </c>
      <c r="J6" s="608"/>
      <c r="K6" s="1346" t="s">
        <v>293</v>
      </c>
      <c r="L6" s="703" t="s">
        <v>120</v>
      </c>
      <c r="M6" s="846" t="s">
        <v>178</v>
      </c>
    </row>
    <row r="7" spans="2:14" s="367" customFormat="1" ht="16" thickBot="1">
      <c r="B7" s="667" t="s">
        <v>1378</v>
      </c>
      <c r="C7" s="667" t="s">
        <v>1379</v>
      </c>
      <c r="D7" s="670" t="s">
        <v>1380</v>
      </c>
      <c r="E7" s="671"/>
      <c r="F7" s="672"/>
      <c r="G7" s="672"/>
      <c r="H7" s="671"/>
      <c r="I7" s="673"/>
      <c r="J7" s="595"/>
      <c r="K7" s="235"/>
      <c r="L7" s="696"/>
      <c r="M7" s="697"/>
    </row>
    <row r="8" spans="2:14" s="81" customFormat="1" ht="182">
      <c r="B8" s="1810" t="s">
        <v>122</v>
      </c>
      <c r="C8" s="2052"/>
      <c r="D8" s="964" t="s">
        <v>1381</v>
      </c>
      <c r="E8" s="1033"/>
      <c r="F8" s="1033"/>
      <c r="G8" s="964"/>
      <c r="H8" s="1033"/>
      <c r="I8" s="413"/>
      <c r="J8" s="362"/>
      <c r="K8" s="507"/>
      <c r="N8" s="81">
        <f>G8</f>
        <v>0</v>
      </c>
    </row>
    <row r="9" spans="2:14" s="1165" customFormat="1" ht="57" thickBot="1">
      <c r="B9" s="1811"/>
      <c r="C9" s="2053"/>
      <c r="D9" s="1289" t="s">
        <v>1046</v>
      </c>
      <c r="E9" s="1164"/>
      <c r="F9" s="1164"/>
      <c r="G9" s="1289"/>
      <c r="H9" s="1164"/>
      <c r="I9" s="1197"/>
      <c r="J9" s="1164"/>
      <c r="K9" s="1176" t="s">
        <v>1461</v>
      </c>
    </row>
    <row r="10" spans="2:14" s="81" customFormat="1" ht="42">
      <c r="B10" s="1935" t="s">
        <v>1388</v>
      </c>
      <c r="C10" s="2007"/>
      <c r="D10" s="786" t="s">
        <v>1367</v>
      </c>
      <c r="E10" s="528"/>
      <c r="F10" s="528"/>
      <c r="G10" s="528"/>
      <c r="H10" s="528"/>
      <c r="I10" s="529"/>
      <c r="J10" s="362"/>
    </row>
    <row r="11" spans="2:14" s="81" customFormat="1">
      <c r="B11" s="1961"/>
      <c r="C11" s="2008"/>
      <c r="D11" s="628" t="s">
        <v>972</v>
      </c>
      <c r="E11" s="512"/>
      <c r="F11" s="512"/>
      <c r="G11" s="512"/>
      <c r="H11" s="512"/>
      <c r="I11" s="518"/>
      <c r="J11" s="362"/>
      <c r="K11" s="507" t="s">
        <v>1406</v>
      </c>
    </row>
    <row r="12" spans="2:14" s="81" customFormat="1">
      <c r="B12" s="1961"/>
      <c r="C12" s="2008"/>
      <c r="D12" s="628" t="s">
        <v>1048</v>
      </c>
      <c r="E12" s="512"/>
      <c r="F12" s="512"/>
      <c r="G12" s="512"/>
      <c r="H12" s="512"/>
      <c r="I12" s="518"/>
      <c r="J12" s="362"/>
      <c r="K12" s="507" t="s">
        <v>1406</v>
      </c>
    </row>
    <row r="13" spans="2:14" s="81" customFormat="1" ht="28">
      <c r="B13" s="1961"/>
      <c r="C13" s="2008"/>
      <c r="D13" s="628" t="s">
        <v>1047</v>
      </c>
      <c r="E13" s="512"/>
      <c r="F13" s="512"/>
      <c r="G13" s="512"/>
      <c r="H13" s="512"/>
      <c r="I13" s="518"/>
      <c r="J13" s="362"/>
      <c r="K13" s="507" t="s">
        <v>1406</v>
      </c>
      <c r="L13" s="81" t="s">
        <v>1039</v>
      </c>
    </row>
    <row r="14" spans="2:14" s="81" customFormat="1" ht="42">
      <c r="B14" s="1961"/>
      <c r="C14" s="2008"/>
      <c r="D14" s="628" t="s">
        <v>996</v>
      </c>
      <c r="E14" s="512"/>
      <c r="F14" s="512"/>
      <c r="G14" s="512"/>
      <c r="H14" s="512"/>
      <c r="I14" s="518"/>
      <c r="J14" s="362"/>
      <c r="K14" s="507" t="s">
        <v>1406</v>
      </c>
    </row>
    <row r="15" spans="2:14" s="81" customFormat="1" ht="15" thickBot="1">
      <c r="B15" s="1980"/>
      <c r="C15" s="2009"/>
      <c r="D15" s="519" t="s">
        <v>726</v>
      </c>
      <c r="E15" s="519"/>
      <c r="F15" s="519"/>
      <c r="G15" s="519"/>
      <c r="H15" s="519"/>
      <c r="I15" s="520"/>
      <c r="J15" s="362"/>
      <c r="K15" s="507" t="s">
        <v>1406</v>
      </c>
    </row>
    <row r="16" spans="2:14" s="1165" customFormat="1">
      <c r="B16" s="1960" t="s">
        <v>143</v>
      </c>
      <c r="C16" s="1906" t="s">
        <v>241</v>
      </c>
      <c r="D16" s="1338" t="s">
        <v>975</v>
      </c>
      <c r="E16" s="1162"/>
      <c r="F16" s="1162"/>
      <c r="G16" s="1162"/>
      <c r="H16" s="1162"/>
      <c r="I16" s="1163"/>
      <c r="J16" s="1164"/>
      <c r="K16" s="1176" t="s">
        <v>1456</v>
      </c>
    </row>
    <row r="17" spans="2:13" s="81" customFormat="1">
      <c r="B17" s="1961"/>
      <c r="C17" s="1905"/>
      <c r="D17" s="631" t="s">
        <v>260</v>
      </c>
      <c r="E17" s="512"/>
      <c r="F17" s="512"/>
      <c r="G17" s="512"/>
      <c r="H17" s="512"/>
      <c r="I17" s="518"/>
      <c r="J17" s="362"/>
      <c r="K17" s="507" t="s">
        <v>1406</v>
      </c>
      <c r="L17" s="358"/>
    </row>
    <row r="18" spans="2:13" s="81" customFormat="1">
      <c r="B18" s="1961"/>
      <c r="C18" s="1905"/>
      <c r="D18" s="633" t="s">
        <v>390</v>
      </c>
      <c r="E18" s="512"/>
      <c r="F18" s="512"/>
      <c r="G18" s="512"/>
      <c r="H18" s="512"/>
      <c r="I18" s="518"/>
      <c r="J18" s="362"/>
      <c r="K18" s="507" t="s">
        <v>1406</v>
      </c>
      <c r="L18" s="358"/>
    </row>
    <row r="19" spans="2:13" s="1165" customFormat="1" ht="28">
      <c r="B19" s="1961"/>
      <c r="C19" s="1310" t="s">
        <v>242</v>
      </c>
      <c r="D19" s="1261" t="s">
        <v>1049</v>
      </c>
      <c r="E19" s="1167"/>
      <c r="F19" s="1167"/>
      <c r="G19" s="1167"/>
      <c r="H19" s="1167"/>
      <c r="I19" s="1168"/>
      <c r="J19" s="1164"/>
      <c r="K19" s="1176" t="s">
        <v>1456</v>
      </c>
      <c r="L19" s="1287"/>
    </row>
    <row r="20" spans="2:13" s="81" customFormat="1">
      <c r="B20" s="1961"/>
      <c r="C20" s="881" t="s">
        <v>243</v>
      </c>
      <c r="D20" s="633" t="s">
        <v>552</v>
      </c>
      <c r="E20" s="512"/>
      <c r="F20" s="512"/>
      <c r="G20" s="631"/>
      <c r="H20" s="512"/>
      <c r="I20" s="518"/>
      <c r="J20" s="362"/>
      <c r="K20" s="507" t="s">
        <v>935</v>
      </c>
    </row>
    <row r="21" spans="2:13" s="81" customFormat="1" ht="15" thickBot="1">
      <c r="B21" s="1980"/>
      <c r="C21" s="783" t="s">
        <v>244</v>
      </c>
      <c r="D21" s="724" t="s">
        <v>552</v>
      </c>
      <c r="E21" s="519"/>
      <c r="F21" s="519"/>
      <c r="G21" s="1038"/>
      <c r="H21" s="519"/>
      <c r="I21" s="520"/>
      <c r="J21" s="362"/>
      <c r="K21" s="507" t="s">
        <v>935</v>
      </c>
    </row>
    <row r="22" spans="2:13" s="81" customFormat="1">
      <c r="B22" s="1960" t="s">
        <v>144</v>
      </c>
      <c r="C22" s="882" t="s">
        <v>245</v>
      </c>
      <c r="D22" s="776" t="s">
        <v>389</v>
      </c>
      <c r="E22" s="528"/>
      <c r="F22" s="528"/>
      <c r="G22" s="528"/>
      <c r="H22" s="528"/>
      <c r="I22" s="529"/>
      <c r="J22" s="362"/>
      <c r="K22" s="507" t="s">
        <v>1406</v>
      </c>
    </row>
    <row r="23" spans="2:13" s="81" customFormat="1" ht="15" thickBot="1">
      <c r="B23" s="1980"/>
      <c r="C23" s="783" t="s">
        <v>246</v>
      </c>
      <c r="D23" s="724" t="s">
        <v>388</v>
      </c>
      <c r="E23" s="519"/>
      <c r="F23" s="519"/>
      <c r="G23" s="519"/>
      <c r="H23" s="519"/>
      <c r="I23" s="520"/>
      <c r="J23" s="362"/>
      <c r="K23" s="507" t="s">
        <v>1406</v>
      </c>
    </row>
    <row r="24" spans="2:13" s="81" customFormat="1">
      <c r="B24" s="1960" t="s">
        <v>141</v>
      </c>
      <c r="C24" s="2007"/>
      <c r="D24" s="528" t="s">
        <v>982</v>
      </c>
      <c r="E24" s="528"/>
      <c r="F24" s="528"/>
      <c r="G24" s="528"/>
      <c r="H24" s="528"/>
      <c r="I24" s="529"/>
      <c r="J24" s="362"/>
      <c r="K24" s="507" t="s">
        <v>1406</v>
      </c>
    </row>
    <row r="25" spans="2:13" s="81" customFormat="1">
      <c r="B25" s="1961"/>
      <c r="C25" s="2008"/>
      <c r="D25" s="877" t="s">
        <v>736</v>
      </c>
      <c r="E25" s="512"/>
      <c r="F25" s="512"/>
      <c r="G25" s="512"/>
      <c r="H25" s="512"/>
      <c r="I25" s="518"/>
      <c r="J25" s="362"/>
      <c r="K25" s="507" t="s">
        <v>1406</v>
      </c>
    </row>
    <row r="26" spans="2:13" s="81" customFormat="1" ht="15" thickBot="1">
      <c r="B26" s="1980"/>
      <c r="C26" s="2009"/>
      <c r="D26" s="878" t="s">
        <v>989</v>
      </c>
      <c r="E26" s="519"/>
      <c r="F26" s="519"/>
      <c r="G26" s="519"/>
      <c r="H26" s="519"/>
      <c r="I26" s="520"/>
      <c r="J26" s="362"/>
      <c r="K26" s="507" t="s">
        <v>1406</v>
      </c>
    </row>
    <row r="27" spans="2:13" s="1165" customFormat="1" ht="28">
      <c r="B27" s="1960" t="s">
        <v>140</v>
      </c>
      <c r="C27" s="1906" t="s">
        <v>1014</v>
      </c>
      <c r="D27" s="1345" t="s">
        <v>727</v>
      </c>
      <c r="E27" s="1162"/>
      <c r="F27" s="1162"/>
      <c r="G27" s="1162"/>
      <c r="H27" s="1162"/>
      <c r="I27" s="1163"/>
      <c r="J27" s="1164"/>
      <c r="K27" s="1176" t="s">
        <v>1458</v>
      </c>
    </row>
    <row r="28" spans="2:13" s="362" customFormat="1" ht="28">
      <c r="B28" s="1961"/>
      <c r="C28" s="1905"/>
      <c r="D28" s="633" t="s">
        <v>961</v>
      </c>
      <c r="E28" s="512"/>
      <c r="F28" s="512"/>
      <c r="G28" s="512"/>
      <c r="H28" s="512"/>
      <c r="I28" s="518"/>
      <c r="K28" s="507" t="s">
        <v>1406</v>
      </c>
    </row>
    <row r="29" spans="2:13" s="81" customFormat="1" ht="28">
      <c r="B29" s="1961"/>
      <c r="C29" s="1905" t="s">
        <v>414</v>
      </c>
      <c r="D29" s="628" t="s">
        <v>515</v>
      </c>
      <c r="E29" s="512"/>
      <c r="F29" s="512"/>
      <c r="G29" s="512"/>
      <c r="H29" s="512"/>
      <c r="I29" s="518"/>
      <c r="J29" s="362"/>
      <c r="K29" s="507" t="s">
        <v>1406</v>
      </c>
      <c r="L29" s="594"/>
      <c r="M29" s="362"/>
    </row>
    <row r="30" spans="2:13" s="81" customFormat="1" ht="42">
      <c r="B30" s="1961"/>
      <c r="C30" s="1905"/>
      <c r="D30" s="628" t="s">
        <v>444</v>
      </c>
      <c r="E30" s="512"/>
      <c r="F30" s="512"/>
      <c r="G30" s="512"/>
      <c r="H30" s="512"/>
      <c r="I30" s="518"/>
      <c r="J30" s="362"/>
      <c r="K30" s="507" t="s">
        <v>1406</v>
      </c>
      <c r="L30" s="568"/>
      <c r="M30" s="362"/>
    </row>
    <row r="31" spans="2:13" s="1165" customFormat="1" ht="15" thickBot="1">
      <c r="B31" s="1962"/>
      <c r="C31" s="1347" t="s">
        <v>411</v>
      </c>
      <c r="D31" s="1348" t="s">
        <v>1025</v>
      </c>
      <c r="E31" s="1349"/>
      <c r="F31" s="1349"/>
      <c r="G31" s="1349"/>
      <c r="H31" s="1349"/>
      <c r="I31" s="1350"/>
      <c r="J31" s="1164"/>
      <c r="K31" s="1324" t="s">
        <v>718</v>
      </c>
      <c r="L31" s="1324"/>
      <c r="M31" s="1164"/>
    </row>
    <row r="32" spans="2:13" s="81" customFormat="1" ht="28">
      <c r="B32" s="1982" t="s">
        <v>123</v>
      </c>
      <c r="C32" s="911" t="s">
        <v>728</v>
      </c>
      <c r="D32" s="528" t="s">
        <v>729</v>
      </c>
      <c r="E32" s="528"/>
      <c r="F32" s="1039">
        <f>1*'PROGRAMA ARQ.'!$E$38</f>
        <v>1</v>
      </c>
      <c r="G32" s="1039">
        <f>+F32*'PROGRAMA ARQ.'!$E$38</f>
        <v>1</v>
      </c>
      <c r="H32" s="528"/>
      <c r="I32" s="529"/>
      <c r="J32" s="362"/>
      <c r="K32" s="507" t="s">
        <v>1406</v>
      </c>
      <c r="L32" s="363" t="s">
        <v>988</v>
      </c>
    </row>
    <row r="33" spans="2:12" s="81" customFormat="1">
      <c r="B33" s="2012"/>
      <c r="C33" s="894" t="s">
        <v>77</v>
      </c>
      <c r="D33" s="512" t="s">
        <v>962</v>
      </c>
      <c r="E33" s="512"/>
      <c r="F33" s="1036">
        <f>IF(INICIO!$D$4=3,1,0)</f>
        <v>0</v>
      </c>
      <c r="G33" s="1035">
        <f>+F33*'PROGRAMA ARQ.'!$E$38</f>
        <v>0</v>
      </c>
      <c r="H33" s="512"/>
      <c r="I33" s="518"/>
      <c r="J33" s="362"/>
      <c r="K33" s="507" t="s">
        <v>1406</v>
      </c>
    </row>
    <row r="34" spans="2:12" s="81" customFormat="1">
      <c r="B34" s="2012"/>
      <c r="C34" s="894" t="s">
        <v>1469</v>
      </c>
      <c r="D34" s="512" t="s">
        <v>1470</v>
      </c>
      <c r="E34" s="512"/>
      <c r="F34" s="1036">
        <f>IF(INICIO!$D$4&lt;3,1,0)</f>
        <v>1</v>
      </c>
      <c r="G34" s="1035">
        <f>+F34*'PROGRAMA ARQ.'!$E$38</f>
        <v>1</v>
      </c>
      <c r="H34" s="512"/>
      <c r="I34" s="518"/>
      <c r="J34" s="362"/>
      <c r="K34" s="507" t="s">
        <v>1406</v>
      </c>
    </row>
    <row r="35" spans="2:12" s="81" customFormat="1">
      <c r="B35" s="2012"/>
      <c r="C35" s="894" t="s">
        <v>990</v>
      </c>
      <c r="D35" s="512" t="s">
        <v>979</v>
      </c>
      <c r="E35" s="512"/>
      <c r="F35" s="1036">
        <f>IF(INICIO!$D$4=1,1,IF(INICIO!$D$4=2,0,IF(INICIO!$D$4=3,2,0)))</f>
        <v>0</v>
      </c>
      <c r="G35" s="1035">
        <f>+F35*'PROGRAMA ARQ.'!$E$38</f>
        <v>0</v>
      </c>
      <c r="H35" s="512"/>
      <c r="I35" s="518"/>
      <c r="J35" s="362"/>
      <c r="K35" s="507" t="s">
        <v>1406</v>
      </c>
    </row>
    <row r="36" spans="2:12" s="81" customFormat="1">
      <c r="B36" s="2012"/>
      <c r="C36" s="894" t="s">
        <v>991</v>
      </c>
      <c r="D36" s="512" t="s">
        <v>979</v>
      </c>
      <c r="E36" s="512"/>
      <c r="F36" s="1036">
        <f>IF(INICIO!$D$4=1,0,IF(INICIO!$D$4=2,1,IF(INICIO!$D$4=3,0,0)))</f>
        <v>1</v>
      </c>
      <c r="G36" s="1035">
        <f>+F36*'PROGRAMA ARQ.'!$E$38</f>
        <v>1</v>
      </c>
      <c r="H36" s="512"/>
      <c r="I36" s="518"/>
      <c r="J36" s="362"/>
      <c r="K36" s="507" t="s">
        <v>1406</v>
      </c>
    </row>
    <row r="37" spans="2:12" s="81" customFormat="1">
      <c r="B37" s="2012"/>
      <c r="C37" s="894" t="s">
        <v>1050</v>
      </c>
      <c r="D37" s="512" t="s">
        <v>1051</v>
      </c>
      <c r="E37" s="512"/>
      <c r="F37" s="1036">
        <f>IF(INICIO!$D$4=1,1,IF(INICIO!$D$4=2,1,IF(INICIO!$D$4=3,0,0)))</f>
        <v>1</v>
      </c>
      <c r="G37" s="1035">
        <f>+F37*'PROGRAMA ARQ.'!$E$38</f>
        <v>1</v>
      </c>
      <c r="H37" s="512"/>
      <c r="I37" s="518"/>
      <c r="J37" s="362"/>
      <c r="K37" s="507" t="s">
        <v>1406</v>
      </c>
    </row>
    <row r="38" spans="2:12" s="81" customFormat="1">
      <c r="B38" s="2012"/>
      <c r="C38" s="894" t="s">
        <v>80</v>
      </c>
      <c r="D38" s="512" t="s">
        <v>467</v>
      </c>
      <c r="E38" s="512"/>
      <c r="F38" s="1036">
        <f>IF(INICIO!$D$4=1,0,IF(INICIO!$D$4=2,0,IF(INICIO!$D$4=3,1,0)))</f>
        <v>0</v>
      </c>
      <c r="G38" s="1035">
        <f>+F38*'PROGRAMA ARQ.'!$E$38</f>
        <v>0</v>
      </c>
      <c r="H38" s="512"/>
      <c r="I38" s="518"/>
      <c r="J38" s="362"/>
      <c r="K38" s="507" t="s">
        <v>1406</v>
      </c>
    </row>
    <row r="39" spans="2:12" s="81" customFormat="1" ht="42">
      <c r="B39" s="2012"/>
      <c r="C39" s="894" t="s">
        <v>79</v>
      </c>
      <c r="D39" s="1120" t="s">
        <v>1052</v>
      </c>
      <c r="E39" s="512"/>
      <c r="F39" s="1036">
        <f>IF(INICIO!$D$4&gt;0,1,0)</f>
        <v>1</v>
      </c>
      <c r="G39" s="1035">
        <f>+F39*'PROGRAMA ARQ.'!$E$38</f>
        <v>1</v>
      </c>
      <c r="H39" s="512"/>
      <c r="I39" s="518"/>
      <c r="J39" s="362"/>
      <c r="K39" s="507" t="s">
        <v>1406</v>
      </c>
    </row>
    <row r="40" spans="2:12" s="81" customFormat="1" ht="28">
      <c r="B40" s="2012"/>
      <c r="C40" s="894" t="s">
        <v>594</v>
      </c>
      <c r="D40" s="628" t="s">
        <v>1041</v>
      </c>
      <c r="E40" s="512"/>
      <c r="F40" s="1036">
        <f>IF(INICIO!$D$4&gt;0,1,0)</f>
        <v>1</v>
      </c>
      <c r="G40" s="1035">
        <f>+F40*'PROGRAMA ARQ.'!$E$38</f>
        <v>1</v>
      </c>
      <c r="H40" s="512"/>
      <c r="I40" s="518"/>
      <c r="J40" s="362"/>
      <c r="K40" s="507" t="s">
        <v>1406</v>
      </c>
    </row>
    <row r="41" spans="2:12" s="81" customFormat="1">
      <c r="B41" s="2012"/>
      <c r="C41" s="894" t="s">
        <v>349</v>
      </c>
      <c r="D41" s="653" t="s">
        <v>581</v>
      </c>
      <c r="E41" s="512"/>
      <c r="F41" s="1035">
        <f>+F32</f>
        <v>1</v>
      </c>
      <c r="G41" s="1035">
        <f>+F41*'PROGRAMA ARQ.'!$E$38</f>
        <v>1</v>
      </c>
      <c r="H41" s="512"/>
      <c r="I41" s="518"/>
      <c r="J41" s="362"/>
      <c r="K41" s="507" t="s">
        <v>1406</v>
      </c>
      <c r="L41" s="363"/>
    </row>
    <row r="42" spans="2:12" s="81" customFormat="1">
      <c r="B42" s="2012"/>
      <c r="C42" s="894" t="s">
        <v>992</v>
      </c>
      <c r="D42" s="512" t="s">
        <v>993</v>
      </c>
      <c r="E42" s="512"/>
      <c r="F42" s="1036">
        <f>+F33+F32</f>
        <v>1</v>
      </c>
      <c r="G42" s="1035">
        <f>+F42*'PROGRAMA ARQ.'!$E$38</f>
        <v>1</v>
      </c>
      <c r="H42" s="512"/>
      <c r="I42" s="518"/>
      <c r="J42" s="362"/>
      <c r="K42" s="507" t="s">
        <v>1406</v>
      </c>
    </row>
    <row r="43" spans="2:12" s="81" customFormat="1">
      <c r="B43" s="2012"/>
      <c r="C43" s="894" t="s">
        <v>970</v>
      </c>
      <c r="D43" s="512" t="s">
        <v>977</v>
      </c>
      <c r="E43" s="512"/>
      <c r="F43" s="1035">
        <f>+F32</f>
        <v>1</v>
      </c>
      <c r="G43" s="1035">
        <f>+F43*'PROGRAMA ARQ.'!$E$38</f>
        <v>1</v>
      </c>
      <c r="H43" s="512"/>
      <c r="I43" s="518"/>
      <c r="J43" s="362"/>
      <c r="K43" s="507" t="s">
        <v>1406</v>
      </c>
    </row>
    <row r="44" spans="2:12" s="81" customFormat="1">
      <c r="B44" s="2012"/>
      <c r="C44" s="894" t="s">
        <v>348</v>
      </c>
      <c r="D44" s="512" t="s">
        <v>978</v>
      </c>
      <c r="E44" s="512"/>
      <c r="F44" s="1035">
        <f>+F32</f>
        <v>1</v>
      </c>
      <c r="G44" s="1035">
        <f>+F44*'PROGRAMA ARQ.'!$E$38</f>
        <v>1</v>
      </c>
      <c r="H44" s="512"/>
      <c r="I44" s="518"/>
      <c r="J44" s="362"/>
      <c r="K44" s="507" t="s">
        <v>1406</v>
      </c>
    </row>
    <row r="45" spans="2:12" s="81" customFormat="1">
      <c r="B45" s="2012"/>
      <c r="C45" s="1304" t="s">
        <v>1071</v>
      </c>
      <c r="D45" s="532" t="s">
        <v>1447</v>
      </c>
      <c r="E45" s="532"/>
      <c r="F45" s="1305"/>
      <c r="G45" s="1305"/>
      <c r="H45" s="532"/>
      <c r="I45" s="533"/>
      <c r="J45" s="362"/>
      <c r="K45" s="507" t="s">
        <v>1406</v>
      </c>
    </row>
    <row r="46" spans="2:12" s="81" customFormat="1" ht="15" thickBot="1">
      <c r="B46" s="1983"/>
      <c r="C46" s="912" t="s">
        <v>1445</v>
      </c>
      <c r="D46" s="519" t="s">
        <v>1446</v>
      </c>
      <c r="E46" s="519"/>
      <c r="F46" s="1040"/>
      <c r="G46" s="1040"/>
      <c r="H46" s="519"/>
      <c r="I46" s="520"/>
      <c r="J46" s="362"/>
      <c r="K46" s="507" t="s">
        <v>1406</v>
      </c>
    </row>
    <row r="47" spans="2:12" s="81" customFormat="1" ht="42">
      <c r="B47" s="2060" t="s">
        <v>124</v>
      </c>
      <c r="C47" s="1306" t="s">
        <v>999</v>
      </c>
      <c r="D47" s="736" t="s">
        <v>1000</v>
      </c>
      <c r="E47" s="517"/>
      <c r="F47" s="1307">
        <f>+F35</f>
        <v>0</v>
      </c>
      <c r="G47" s="1308">
        <f>+F47*'PROGRAMA ARQ.'!$E$38</f>
        <v>0</v>
      </c>
      <c r="H47" s="517"/>
      <c r="I47" s="534"/>
      <c r="J47" s="362"/>
      <c r="K47" s="507" t="s">
        <v>1421</v>
      </c>
    </row>
    <row r="48" spans="2:12" s="81" customFormat="1" ht="43" thickBot="1">
      <c r="B48" s="2056"/>
      <c r="C48" s="912" t="s">
        <v>998</v>
      </c>
      <c r="D48" s="778" t="s">
        <v>1001</v>
      </c>
      <c r="E48" s="519"/>
      <c r="F48" s="1042">
        <f>+F36</f>
        <v>1</v>
      </c>
      <c r="G48" s="1040">
        <f>+F48*'PROGRAMA ARQ.'!$E$38</f>
        <v>1</v>
      </c>
      <c r="H48" s="519"/>
      <c r="I48" s="520"/>
      <c r="J48" s="362"/>
      <c r="K48" s="507" t="s">
        <v>1421</v>
      </c>
    </row>
    <row r="49" spans="2:11" s="81" customFormat="1" ht="15" thickBot="1">
      <c r="B49" s="2050" t="s">
        <v>132</v>
      </c>
      <c r="C49" s="2051"/>
      <c r="D49" s="555" t="s">
        <v>997</v>
      </c>
      <c r="E49" s="555"/>
      <c r="F49" s="555"/>
      <c r="G49" s="765"/>
      <c r="H49" s="555"/>
      <c r="I49" s="562"/>
      <c r="J49" s="362"/>
      <c r="K49" s="507" t="s">
        <v>1406</v>
      </c>
    </row>
    <row r="50" spans="2:11" s="81" customFormat="1">
      <c r="B50" s="1960" t="s">
        <v>133</v>
      </c>
      <c r="C50" s="1906" t="s">
        <v>983</v>
      </c>
      <c r="D50" s="764" t="s">
        <v>379</v>
      </c>
      <c r="E50" s="528"/>
      <c r="F50" s="528"/>
      <c r="G50" s="528"/>
      <c r="H50" s="528"/>
      <c r="I50" s="529"/>
      <c r="J50" s="362"/>
      <c r="K50" s="507" t="s">
        <v>1406</v>
      </c>
    </row>
    <row r="51" spans="2:11" s="81" customFormat="1">
      <c r="B51" s="1961"/>
      <c r="C51" s="1905"/>
      <c r="D51" s="652" t="s">
        <v>1003</v>
      </c>
      <c r="E51" s="512"/>
      <c r="F51" s="512"/>
      <c r="G51" s="512"/>
      <c r="H51" s="512"/>
      <c r="I51" s="518"/>
      <c r="J51" s="362"/>
      <c r="K51" s="507" t="s">
        <v>1406</v>
      </c>
    </row>
    <row r="52" spans="2:11" s="81" customFormat="1">
      <c r="B52" s="1961"/>
      <c r="C52" s="1905"/>
      <c r="D52" s="652" t="s">
        <v>767</v>
      </c>
      <c r="E52" s="512"/>
      <c r="F52" s="512"/>
      <c r="G52" s="512"/>
      <c r="H52" s="512"/>
      <c r="I52" s="518"/>
      <c r="J52" s="362"/>
      <c r="K52" s="507" t="s">
        <v>1406</v>
      </c>
    </row>
    <row r="53" spans="2:11" s="81" customFormat="1">
      <c r="B53" s="1961"/>
      <c r="C53" s="1905"/>
      <c r="D53" s="652" t="s">
        <v>317</v>
      </c>
      <c r="E53" s="512"/>
      <c r="F53" s="512"/>
      <c r="G53" s="512"/>
      <c r="H53" s="512"/>
      <c r="I53" s="518"/>
      <c r="J53" s="362"/>
      <c r="K53" s="507" t="s">
        <v>1406</v>
      </c>
    </row>
    <row r="54" spans="2:11" s="81" customFormat="1">
      <c r="B54" s="1961"/>
      <c r="C54" s="1905"/>
      <c r="D54" s="652" t="s">
        <v>382</v>
      </c>
      <c r="E54" s="512"/>
      <c r="F54" s="512"/>
      <c r="G54" s="512"/>
      <c r="H54" s="512"/>
      <c r="I54" s="518"/>
      <c r="J54" s="362"/>
      <c r="K54" s="507" t="s">
        <v>1406</v>
      </c>
    </row>
    <row r="55" spans="2:11" s="81" customFormat="1">
      <c r="B55" s="1961"/>
      <c r="C55" s="1905"/>
      <c r="D55" s="652" t="s">
        <v>1004</v>
      </c>
      <c r="E55" s="512"/>
      <c r="F55" s="512"/>
      <c r="G55" s="512"/>
      <c r="H55" s="512"/>
      <c r="I55" s="518"/>
      <c r="J55" s="362"/>
      <c r="K55" s="507" t="s">
        <v>1406</v>
      </c>
    </row>
    <row r="56" spans="2:11" s="81" customFormat="1" ht="15" thickBot="1">
      <c r="B56" s="1980"/>
      <c r="C56" s="1981"/>
      <c r="D56" s="752" t="s">
        <v>318</v>
      </c>
      <c r="E56" s="519"/>
      <c r="F56" s="519"/>
      <c r="G56" s="519"/>
      <c r="H56" s="519"/>
      <c r="I56" s="520"/>
      <c r="J56" s="362"/>
      <c r="K56" s="507" t="s">
        <v>1406</v>
      </c>
    </row>
    <row r="57" spans="2:11" s="81" customFormat="1" ht="28">
      <c r="B57" s="1960" t="s">
        <v>134</v>
      </c>
      <c r="C57" s="911" t="s">
        <v>404</v>
      </c>
      <c r="D57" s="786" t="s">
        <v>1013</v>
      </c>
      <c r="E57" s="528"/>
      <c r="F57" s="528"/>
      <c r="G57" s="528"/>
      <c r="H57" s="528"/>
      <c r="I57" s="529"/>
      <c r="J57" s="362"/>
      <c r="K57" s="507" t="s">
        <v>1421</v>
      </c>
    </row>
    <row r="58" spans="2:11" s="1165" customFormat="1" ht="15" thickBot="1">
      <c r="B58" s="1980"/>
      <c r="C58" s="1230" t="s">
        <v>602</v>
      </c>
      <c r="D58" s="1231" t="s">
        <v>473</v>
      </c>
      <c r="E58" s="1210"/>
      <c r="F58" s="1210"/>
      <c r="G58" s="1210"/>
      <c r="H58" s="1210"/>
      <c r="I58" s="1211"/>
      <c r="J58" s="1164"/>
      <c r="K58" s="1255" t="s">
        <v>1420</v>
      </c>
    </row>
    <row r="59" spans="2:11" s="81" customFormat="1">
      <c r="B59" s="1960" t="s">
        <v>135</v>
      </c>
      <c r="C59" s="2046"/>
      <c r="D59" s="786" t="s">
        <v>1015</v>
      </c>
      <c r="E59" s="528"/>
      <c r="F59" s="528"/>
      <c r="G59" s="528"/>
      <c r="H59" s="528"/>
      <c r="I59" s="529"/>
      <c r="J59" s="362"/>
      <c r="K59" s="507" t="s">
        <v>1406</v>
      </c>
    </row>
    <row r="60" spans="2:11" s="81" customFormat="1">
      <c r="B60" s="1961"/>
      <c r="C60" s="2047"/>
      <c r="D60" s="628" t="s">
        <v>1016</v>
      </c>
      <c r="E60" s="512"/>
      <c r="F60" s="512"/>
      <c r="G60" s="512"/>
      <c r="H60" s="512"/>
      <c r="I60" s="518"/>
      <c r="J60" s="362"/>
      <c r="K60" s="507" t="s">
        <v>1406</v>
      </c>
    </row>
    <row r="61" spans="2:11" s="81" customFormat="1">
      <c r="B61" s="1961"/>
      <c r="C61" s="2047"/>
      <c r="D61" s="628" t="s">
        <v>1017</v>
      </c>
      <c r="E61" s="512"/>
      <c r="F61" s="512"/>
      <c r="G61" s="512"/>
      <c r="H61" s="512"/>
      <c r="I61" s="518"/>
      <c r="J61" s="362"/>
      <c r="K61" s="507" t="s">
        <v>1406</v>
      </c>
    </row>
    <row r="62" spans="2:11" s="1165" customFormat="1">
      <c r="B62" s="1961"/>
      <c r="C62" s="2047"/>
      <c r="D62" s="1261" t="s">
        <v>322</v>
      </c>
      <c r="E62" s="1167"/>
      <c r="F62" s="1167"/>
      <c r="G62" s="1167"/>
      <c r="H62" s="1167"/>
      <c r="I62" s="1168"/>
      <c r="J62" s="1164"/>
      <c r="K62" s="1325" t="s">
        <v>1457</v>
      </c>
    </row>
    <row r="63" spans="2:11" s="1165" customFormat="1">
      <c r="B63" s="1961"/>
      <c r="C63" s="2047"/>
      <c r="D63" s="1261" t="s">
        <v>323</v>
      </c>
      <c r="E63" s="1167"/>
      <c r="F63" s="1167"/>
      <c r="G63" s="1167"/>
      <c r="H63" s="1167"/>
      <c r="I63" s="1168"/>
      <c r="J63" s="1164"/>
      <c r="K63" s="1325" t="s">
        <v>1457</v>
      </c>
    </row>
    <row r="64" spans="2:11" s="1165" customFormat="1">
      <c r="B64" s="1961"/>
      <c r="C64" s="2047"/>
      <c r="D64" s="1261" t="s">
        <v>1045</v>
      </c>
      <c r="E64" s="1167"/>
      <c r="F64" s="1167"/>
      <c r="G64" s="1167"/>
      <c r="H64" s="1167"/>
      <c r="I64" s="1168"/>
      <c r="J64" s="1164"/>
      <c r="K64" s="1325" t="s">
        <v>1457</v>
      </c>
    </row>
    <row r="65" spans="1:11" s="81" customFormat="1">
      <c r="B65" s="1961"/>
      <c r="C65" s="2047"/>
      <c r="D65" s="628" t="s">
        <v>624</v>
      </c>
      <c r="E65" s="512"/>
      <c r="F65" s="512"/>
      <c r="G65" s="512"/>
      <c r="H65" s="512"/>
      <c r="I65" s="518"/>
      <c r="J65" s="362"/>
      <c r="K65" s="507" t="s">
        <v>1406</v>
      </c>
    </row>
    <row r="66" spans="1:11" s="81" customFormat="1">
      <c r="B66" s="1961"/>
      <c r="C66" s="1905" t="s">
        <v>249</v>
      </c>
      <c r="D66" s="628" t="s">
        <v>1018</v>
      </c>
      <c r="E66" s="512"/>
      <c r="F66" s="512"/>
      <c r="G66" s="512"/>
      <c r="H66" s="512"/>
      <c r="I66" s="518"/>
      <c r="J66" s="362"/>
      <c r="K66" s="507" t="s">
        <v>1406</v>
      </c>
    </row>
    <row r="67" spans="1:11" s="81" customFormat="1">
      <c r="B67" s="1961"/>
      <c r="C67" s="1905"/>
      <c r="D67" s="628" t="s">
        <v>325</v>
      </c>
      <c r="E67" s="512"/>
      <c r="F67" s="512"/>
      <c r="G67" s="512"/>
      <c r="H67" s="512"/>
      <c r="I67" s="518"/>
      <c r="J67" s="362"/>
      <c r="K67" s="507" t="s">
        <v>1406</v>
      </c>
    </row>
    <row r="68" spans="1:11" s="81" customFormat="1">
      <c r="B68" s="1961"/>
      <c r="C68" s="1905"/>
      <c r="D68" s="628" t="s">
        <v>326</v>
      </c>
      <c r="E68" s="512"/>
      <c r="F68" s="512"/>
      <c r="G68" s="512"/>
      <c r="H68" s="512"/>
      <c r="I68" s="518"/>
      <c r="J68" s="362"/>
      <c r="K68" s="507" t="s">
        <v>1406</v>
      </c>
    </row>
    <row r="69" spans="1:11" s="1165" customFormat="1">
      <c r="B69" s="1961"/>
      <c r="C69" s="1905"/>
      <c r="D69" s="1261" t="s">
        <v>1019</v>
      </c>
      <c r="E69" s="1167"/>
      <c r="F69" s="1167"/>
      <c r="G69" s="1167"/>
      <c r="H69" s="1167"/>
      <c r="I69" s="1168"/>
      <c r="J69" s="1164"/>
      <c r="K69" s="1255" t="s">
        <v>1460</v>
      </c>
    </row>
    <row r="70" spans="1:11" s="81" customFormat="1">
      <c r="B70" s="1961"/>
      <c r="C70" s="1905" t="s">
        <v>250</v>
      </c>
      <c r="D70" s="512" t="s">
        <v>326</v>
      </c>
      <c r="E70" s="512"/>
      <c r="F70" s="512"/>
      <c r="G70" s="512"/>
      <c r="H70" s="512"/>
      <c r="I70" s="518"/>
      <c r="J70" s="362"/>
      <c r="K70" s="507" t="s">
        <v>1406</v>
      </c>
    </row>
    <row r="71" spans="1:11" s="81" customFormat="1">
      <c r="B71" s="1961"/>
      <c r="C71" s="1905"/>
      <c r="D71" s="512" t="s">
        <v>325</v>
      </c>
      <c r="E71" s="512"/>
      <c r="F71" s="512"/>
      <c r="G71" s="512"/>
      <c r="H71" s="512"/>
      <c r="I71" s="518"/>
      <c r="J71" s="362"/>
      <c r="K71" s="507" t="s">
        <v>1406</v>
      </c>
    </row>
    <row r="72" spans="1:11" s="81" customFormat="1" ht="15" thickBot="1">
      <c r="B72" s="1980"/>
      <c r="C72" s="1981"/>
      <c r="D72" s="519" t="s">
        <v>1020</v>
      </c>
      <c r="E72" s="519"/>
      <c r="F72" s="519"/>
      <c r="G72" s="519"/>
      <c r="H72" s="519"/>
      <c r="I72" s="520"/>
      <c r="J72" s="362"/>
      <c r="K72" s="507" t="s">
        <v>1406</v>
      </c>
    </row>
    <row r="73" spans="1:11" s="1165" customFormat="1">
      <c r="A73" s="1902" t="s">
        <v>137</v>
      </c>
      <c r="B73" s="1960" t="s">
        <v>138</v>
      </c>
      <c r="C73" s="1906" t="s">
        <v>438</v>
      </c>
      <c r="D73" s="1162" t="s">
        <v>1022</v>
      </c>
      <c r="E73" s="1236"/>
      <c r="F73" s="1236"/>
      <c r="G73" s="1236"/>
      <c r="H73" s="1236"/>
      <c r="I73" s="1254"/>
      <c r="K73" s="1255" t="s">
        <v>1462</v>
      </c>
    </row>
    <row r="74" spans="1:11" s="81" customFormat="1">
      <c r="A74" s="1903"/>
      <c r="B74" s="1961"/>
      <c r="C74" s="1905"/>
      <c r="D74" s="512" t="s">
        <v>1021</v>
      </c>
      <c r="E74" s="632"/>
      <c r="F74" s="632"/>
      <c r="G74" s="632"/>
      <c r="H74" s="632"/>
      <c r="I74" s="989"/>
      <c r="K74" s="507" t="s">
        <v>1406</v>
      </c>
    </row>
    <row r="75" spans="1:11" s="81" customFormat="1">
      <c r="A75" s="1903"/>
      <c r="B75" s="1961"/>
      <c r="C75" s="1905"/>
      <c r="D75" s="628" t="s">
        <v>1023</v>
      </c>
      <c r="E75" s="512"/>
      <c r="F75" s="512"/>
      <c r="G75" s="512"/>
      <c r="H75" s="512"/>
      <c r="I75" s="518"/>
      <c r="J75" s="362"/>
      <c r="K75" s="507" t="s">
        <v>1406</v>
      </c>
    </row>
    <row r="76" spans="1:11" s="81" customFormat="1">
      <c r="A76" s="1903"/>
      <c r="B76" s="1961"/>
      <c r="C76" s="1905"/>
      <c r="D76" s="628" t="s">
        <v>1045</v>
      </c>
      <c r="E76" s="512"/>
      <c r="F76" s="512"/>
      <c r="G76" s="512"/>
      <c r="H76" s="512"/>
      <c r="I76" s="518"/>
      <c r="J76" s="362"/>
      <c r="K76" s="507" t="s">
        <v>1406</v>
      </c>
    </row>
    <row r="77" spans="1:11" s="81" customFormat="1">
      <c r="A77" s="1903"/>
      <c r="B77" s="1961"/>
      <c r="C77" s="1905"/>
      <c r="D77" s="628" t="s">
        <v>1024</v>
      </c>
      <c r="E77" s="512"/>
      <c r="F77" s="512"/>
      <c r="G77" s="512"/>
      <c r="H77" s="512"/>
      <c r="I77" s="518"/>
      <c r="J77" s="362"/>
      <c r="K77" s="507" t="s">
        <v>1406</v>
      </c>
    </row>
    <row r="78" spans="1:11" s="81" customFormat="1">
      <c r="A78" s="1903"/>
      <c r="B78" s="1961"/>
      <c r="C78" s="1905"/>
      <c r="D78" s="628" t="s">
        <v>1026</v>
      </c>
      <c r="E78" s="512"/>
      <c r="F78" s="512"/>
      <c r="G78" s="512"/>
      <c r="H78" s="512"/>
      <c r="I78" s="518"/>
      <c r="J78" s="362"/>
      <c r="K78" s="507" t="s">
        <v>1406</v>
      </c>
    </row>
    <row r="79" spans="1:11" s="81" customFormat="1">
      <c r="A79" s="1903"/>
      <c r="B79" s="1961"/>
      <c r="C79" s="1905" t="s">
        <v>251</v>
      </c>
      <c r="D79" s="628" t="s">
        <v>1027</v>
      </c>
      <c r="E79" s="512"/>
      <c r="F79" s="512">
        <f>+F35+F36</f>
        <v>1</v>
      </c>
      <c r="G79" s="861">
        <f>+F79*'PROGRAMA ARQ.'!$E$38</f>
        <v>1</v>
      </c>
      <c r="H79" s="512"/>
      <c r="I79" s="518"/>
      <c r="J79" s="362"/>
      <c r="K79" s="507" t="s">
        <v>1406</v>
      </c>
    </row>
    <row r="80" spans="1:11" s="81" customFormat="1">
      <c r="A80" s="1903"/>
      <c r="B80" s="1961"/>
      <c r="C80" s="1905"/>
      <c r="D80" s="628" t="s">
        <v>1028</v>
      </c>
      <c r="E80" s="512"/>
      <c r="F80" s="512">
        <v>1</v>
      </c>
      <c r="G80" s="861">
        <f>+F80*'PROGRAMA ARQ.'!$E$38</f>
        <v>1</v>
      </c>
      <c r="H80" s="512"/>
      <c r="I80" s="518"/>
      <c r="J80" s="362"/>
      <c r="K80" s="507" t="s">
        <v>1406</v>
      </c>
    </row>
    <row r="81" spans="1:14" s="81" customFormat="1">
      <c r="A81" s="1903"/>
      <c r="B81" s="1961"/>
      <c r="C81" s="1905"/>
      <c r="D81" s="628" t="s">
        <v>1029</v>
      </c>
      <c r="E81" s="512"/>
      <c r="F81" s="512">
        <f>+F39</f>
        <v>1</v>
      </c>
      <c r="G81" s="861">
        <f>+F81*'PROGRAMA ARQ.'!$E$38</f>
        <v>1</v>
      </c>
      <c r="H81" s="512"/>
      <c r="I81" s="518"/>
      <c r="J81" s="362"/>
      <c r="K81" s="507" t="s">
        <v>1406</v>
      </c>
    </row>
    <row r="82" spans="1:14" s="81" customFormat="1">
      <c r="A82" s="1903"/>
      <c r="B82" s="1961"/>
      <c r="C82" s="1905" t="s">
        <v>252</v>
      </c>
      <c r="D82" s="628" t="s">
        <v>1030</v>
      </c>
      <c r="E82" s="512"/>
      <c r="F82" s="512"/>
      <c r="G82" s="512"/>
      <c r="H82" s="512"/>
      <c r="I82" s="518"/>
      <c r="J82" s="362"/>
      <c r="K82" s="507" t="s">
        <v>1406</v>
      </c>
    </row>
    <row r="83" spans="1:14" s="81" customFormat="1">
      <c r="A83" s="1903"/>
      <c r="B83" s="1961"/>
      <c r="C83" s="1905"/>
      <c r="D83" s="628" t="s">
        <v>573</v>
      </c>
      <c r="E83" s="512"/>
      <c r="F83" s="512"/>
      <c r="G83" s="512"/>
      <c r="H83" s="512"/>
      <c r="I83" s="518"/>
      <c r="J83" s="362"/>
      <c r="K83" s="507" t="s">
        <v>1406</v>
      </c>
    </row>
    <row r="84" spans="1:14" s="81" customFormat="1">
      <c r="A84" s="1903"/>
      <c r="B84" s="1961"/>
      <c r="C84" s="881" t="s">
        <v>253</v>
      </c>
      <c r="D84" s="512" t="s">
        <v>298</v>
      </c>
      <c r="E84" s="512"/>
      <c r="F84" s="512"/>
      <c r="G84" s="512"/>
      <c r="H84" s="512"/>
      <c r="I84" s="518"/>
      <c r="J84" s="362"/>
      <c r="K84" s="507" t="s">
        <v>935</v>
      </c>
    </row>
    <row r="85" spans="1:14" s="81" customFormat="1">
      <c r="A85" s="1903"/>
      <c r="B85" s="1961"/>
      <c r="C85" s="881" t="s">
        <v>254</v>
      </c>
      <c r="D85" s="512" t="s">
        <v>687</v>
      </c>
      <c r="E85" s="512"/>
      <c r="F85" s="512"/>
      <c r="G85" s="512"/>
      <c r="H85" s="512"/>
      <c r="I85" s="518"/>
      <c r="J85" s="362"/>
      <c r="K85" s="507" t="s">
        <v>1406</v>
      </c>
    </row>
    <row r="86" spans="1:14" s="81" customFormat="1" ht="15" thickBot="1">
      <c r="A86" s="1903"/>
      <c r="B86" s="1980"/>
      <c r="C86" s="783" t="s">
        <v>255</v>
      </c>
      <c r="D86" s="778" t="s">
        <v>298</v>
      </c>
      <c r="E86" s="519"/>
      <c r="F86" s="519"/>
      <c r="G86" s="519"/>
      <c r="H86" s="519"/>
      <c r="I86" s="520"/>
      <c r="J86" s="362"/>
      <c r="K86" s="507" t="s">
        <v>935</v>
      </c>
    </row>
    <row r="87" spans="1:14" s="81" customFormat="1">
      <c r="A87" s="1903"/>
      <c r="B87" s="1960" t="s">
        <v>139</v>
      </c>
      <c r="C87" s="882" t="s">
        <v>256</v>
      </c>
      <c r="D87" s="528" t="s">
        <v>298</v>
      </c>
      <c r="E87" s="528"/>
      <c r="F87" s="528"/>
      <c r="G87" s="528"/>
      <c r="H87" s="528"/>
      <c r="I87" s="529"/>
      <c r="J87" s="362"/>
      <c r="K87" s="507" t="s">
        <v>935</v>
      </c>
    </row>
    <row r="88" spans="1:14" s="81" customFormat="1" ht="15" thickBot="1">
      <c r="A88" s="1903"/>
      <c r="B88" s="1980"/>
      <c r="C88" s="783" t="s">
        <v>257</v>
      </c>
      <c r="D88" s="519" t="s">
        <v>963</v>
      </c>
      <c r="E88" s="519"/>
      <c r="F88" s="519"/>
      <c r="G88" s="519"/>
      <c r="H88" s="519"/>
      <c r="I88" s="520"/>
      <c r="J88" s="362"/>
      <c r="K88" s="507" t="s">
        <v>1406</v>
      </c>
    </row>
    <row r="89" spans="1:14" s="1165" customFormat="1">
      <c r="A89" s="1903"/>
      <c r="B89" s="1960" t="s">
        <v>142</v>
      </c>
      <c r="C89" s="1340" t="s">
        <v>1034</v>
      </c>
      <c r="D89" s="1162" t="s">
        <v>964</v>
      </c>
      <c r="E89" s="1162"/>
      <c r="F89" s="1162"/>
      <c r="G89" s="1162"/>
      <c r="H89" s="1162"/>
      <c r="I89" s="1163"/>
      <c r="J89" s="1164"/>
      <c r="K89" s="1176" t="s">
        <v>1456</v>
      </c>
    </row>
    <row r="90" spans="1:14" s="81" customFormat="1" ht="28">
      <c r="A90" s="1903"/>
      <c r="B90" s="1961"/>
      <c r="C90" s="1905" t="s">
        <v>1035</v>
      </c>
      <c r="D90" s="1037" t="s">
        <v>1031</v>
      </c>
      <c r="E90" s="512"/>
      <c r="F90" s="512"/>
      <c r="G90" s="512"/>
      <c r="H90" s="512"/>
      <c r="I90" s="518"/>
      <c r="J90" s="362"/>
      <c r="K90" s="507" t="s">
        <v>1406</v>
      </c>
    </row>
    <row r="91" spans="1:14" s="81" customFormat="1">
      <c r="A91" s="1903"/>
      <c r="B91" s="1961"/>
      <c r="C91" s="1905"/>
      <c r="D91" s="1037" t="s">
        <v>1054</v>
      </c>
      <c r="E91" s="512"/>
      <c r="F91" s="512"/>
      <c r="G91" s="512"/>
      <c r="H91" s="512"/>
      <c r="I91" s="518"/>
      <c r="J91" s="362"/>
      <c r="K91" s="507" t="s">
        <v>1406</v>
      </c>
    </row>
    <row r="92" spans="1:14" s="81" customFormat="1">
      <c r="A92" s="1903"/>
      <c r="B92" s="1961"/>
      <c r="C92" s="1905" t="s">
        <v>467</v>
      </c>
      <c r="D92" s="1037" t="s">
        <v>1032</v>
      </c>
      <c r="E92" s="512"/>
      <c r="F92" s="512"/>
      <c r="G92" s="512"/>
      <c r="H92" s="512"/>
      <c r="I92" s="518"/>
      <c r="J92" s="362"/>
      <c r="K92" s="507" t="s">
        <v>1406</v>
      </c>
    </row>
    <row r="93" spans="1:14" s="81" customFormat="1" ht="29" thickBot="1">
      <c r="A93" s="1903"/>
      <c r="B93" s="1980"/>
      <c r="C93" s="1981"/>
      <c r="D93" s="1043" t="s">
        <v>1033</v>
      </c>
      <c r="E93" s="519"/>
      <c r="F93" s="519"/>
      <c r="G93" s="519"/>
      <c r="H93" s="519"/>
      <c r="I93" s="520"/>
      <c r="J93" s="362"/>
      <c r="K93" s="507" t="s">
        <v>1406</v>
      </c>
    </row>
    <row r="94" spans="1:14" s="362" customFormat="1">
      <c r="A94" s="1903"/>
      <c r="B94" s="1960" t="s">
        <v>264</v>
      </c>
      <c r="C94" s="2007"/>
      <c r="D94" s="528" t="s">
        <v>771</v>
      </c>
      <c r="E94" s="528"/>
      <c r="F94" s="528"/>
      <c r="G94" s="528"/>
      <c r="H94" s="528"/>
      <c r="I94" s="529"/>
      <c r="K94" s="507"/>
    </row>
    <row r="95" spans="1:14" s="487" customFormat="1" ht="15" thickBot="1">
      <c r="A95" s="1904"/>
      <c r="B95" s="1980"/>
      <c r="C95" s="2009"/>
      <c r="D95" s="817" t="s">
        <v>161</v>
      </c>
      <c r="E95" s="552"/>
      <c r="F95" s="552"/>
      <c r="G95" s="552"/>
      <c r="H95" s="552"/>
      <c r="I95" s="725"/>
      <c r="J95" s="362"/>
      <c r="K95" s="507" t="s">
        <v>1406</v>
      </c>
      <c r="L95" s="310"/>
      <c r="M95" s="310"/>
      <c r="N95" s="310"/>
    </row>
    <row r="96" spans="1:14" s="487" customFormat="1">
      <c r="B96" s="310"/>
      <c r="C96" s="494"/>
      <c r="D96" s="502"/>
      <c r="J96" s="362"/>
      <c r="K96" s="1123"/>
      <c r="L96" s="310"/>
      <c r="M96" s="310"/>
      <c r="N96" s="310"/>
    </row>
    <row r="97" spans="2:14" s="487" customFormat="1">
      <c r="B97" s="310"/>
      <c r="C97" s="494"/>
      <c r="D97" s="502"/>
      <c r="J97" s="362"/>
      <c r="K97" s="1123"/>
      <c r="L97" s="310"/>
      <c r="M97" s="310"/>
      <c r="N97" s="310"/>
    </row>
  </sheetData>
  <autoFilter ref="K1:K99"/>
  <mergeCells count="33">
    <mergeCell ref="B47:B48"/>
    <mergeCell ref="C66:C69"/>
    <mergeCell ref="C70:C72"/>
    <mergeCell ref="A73:A95"/>
    <mergeCell ref="E3:I3"/>
    <mergeCell ref="B16:B21"/>
    <mergeCell ref="C16:C18"/>
    <mergeCell ref="B22:B23"/>
    <mergeCell ref="B24:C26"/>
    <mergeCell ref="B27:B31"/>
    <mergeCell ref="C27:C28"/>
    <mergeCell ref="C29:C30"/>
    <mergeCell ref="B32:B46"/>
    <mergeCell ref="B89:B93"/>
    <mergeCell ref="C90:C91"/>
    <mergeCell ref="C92:C93"/>
    <mergeCell ref="B2:I2"/>
    <mergeCell ref="E4:I4"/>
    <mergeCell ref="E5:I5"/>
    <mergeCell ref="B8:C9"/>
    <mergeCell ref="B10:C15"/>
    <mergeCell ref="B94:C95"/>
    <mergeCell ref="B73:B86"/>
    <mergeCell ref="C73:C78"/>
    <mergeCell ref="C79:C81"/>
    <mergeCell ref="C82:C83"/>
    <mergeCell ref="B87:B88"/>
    <mergeCell ref="B49:C49"/>
    <mergeCell ref="B50:B56"/>
    <mergeCell ref="C50:C56"/>
    <mergeCell ref="B57:B58"/>
    <mergeCell ref="B59:B72"/>
    <mergeCell ref="C59:C65"/>
  </mergeCells>
  <conditionalFormatting sqref="B6:D6">
    <cfRule type="cellIs" dxfId="23" priority="2" operator="equal">
      <formula>0</formula>
    </cfRule>
  </conditionalFormatting>
  <pageMargins left="0.70866141732283472" right="0.70866141732283472" top="0.74803149606299213" bottom="0.74803149606299213" header="0.31496062992125984" footer="0.31496062992125984"/>
  <pageSetup scale="67" fitToHeight="0" orientation="portrait"/>
  <rowBreaks count="2" manualBreakCount="2">
    <brk id="31" max="8" man="1"/>
    <brk id="58"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A5E95579-1ECE-4756-BCC0-500AE9D2D20C}">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37" operator="containsText" text="0" id="{A5E95579-1ECE-4756-BCC0-500AE9D2D20C}">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enableFormatConditionsCalculation="0">
    <tabColor rgb="FFFFC000"/>
    <pageSetUpPr fitToPage="1"/>
  </sheetPr>
  <dimension ref="A1:DC103"/>
  <sheetViews>
    <sheetView workbookViewId="0">
      <selection activeCell="K8" sqref="K8:K14"/>
    </sheetView>
  </sheetViews>
  <sheetFormatPr baseColWidth="10" defaultColWidth="11.5" defaultRowHeight="14" x14ac:dyDescent="0"/>
  <cols>
    <col min="1" max="1" width="2.83203125" style="81" customWidth="1"/>
    <col min="2" max="3" width="30.6640625" style="310" customWidth="1"/>
    <col min="4" max="4" width="50.6640625" style="310" customWidth="1"/>
    <col min="5" max="9" width="3.6640625" style="310" customWidth="1"/>
    <col min="10" max="10" width="7.5" style="81" customWidth="1"/>
    <col min="11" max="11" width="50.6640625" style="464" customWidth="1"/>
    <col min="12" max="12" width="30.6640625" style="81" customWidth="1"/>
    <col min="13" max="13" width="3.5" style="81" customWidth="1"/>
    <col min="14" max="107" width="11.5" style="81"/>
    <col min="108" max="16384" width="11.5" style="310"/>
  </cols>
  <sheetData>
    <row r="1" spans="1:107" ht="15" thickBot="1"/>
    <row r="2" spans="1:107" s="81" customFormat="1" ht="69" customHeight="1" thickBot="1">
      <c r="B2" s="1743"/>
      <c r="C2" s="1744"/>
      <c r="D2" s="1744"/>
      <c r="E2" s="1744"/>
      <c r="F2" s="1744"/>
      <c r="G2" s="1744"/>
      <c r="H2" s="1744"/>
      <c r="I2" s="1745"/>
      <c r="J2" s="382"/>
      <c r="K2" s="507"/>
      <c r="L2" s="507"/>
      <c r="M2" s="362"/>
    </row>
    <row r="3" spans="1:107" s="81" customFormat="1" ht="25.25" customHeight="1" thickBot="1">
      <c r="B3" s="820" t="s">
        <v>1385</v>
      </c>
      <c r="C3" s="821"/>
      <c r="D3" s="822"/>
      <c r="E3" s="1746" t="str">
        <f>+'PROGRAMA ARQ.'!E4</f>
        <v>2 SALAS CUNAS</v>
      </c>
      <c r="F3" s="1747"/>
      <c r="G3" s="1747"/>
      <c r="H3" s="1747"/>
      <c r="I3" s="1748"/>
      <c r="J3" s="382"/>
      <c r="K3" s="507"/>
      <c r="L3" s="507"/>
      <c r="M3" s="362"/>
    </row>
    <row r="4" spans="1:107" s="81" customFormat="1" ht="25.25" customHeight="1" thickBot="1">
      <c r="B4" s="823">
        <f>+'PROGRAMA ARQ.'!I4:I5</f>
        <v>152</v>
      </c>
      <c r="C4" s="505"/>
      <c r="D4" s="661"/>
      <c r="E4" s="1737" t="str">
        <f>+'PROGRAMA ARQ.'!E5</f>
        <v>4 NIVELES MEDIOS</v>
      </c>
      <c r="F4" s="1738"/>
      <c r="G4" s="1738"/>
      <c r="H4" s="1738"/>
      <c r="I4" s="1739"/>
      <c r="J4" s="382"/>
      <c r="K4" s="507"/>
      <c r="L4" s="507"/>
      <c r="M4" s="362"/>
    </row>
    <row r="5" spans="1:107" s="81" customFormat="1" ht="15" thickBot="1">
      <c r="B5" s="695" t="s">
        <v>1374</v>
      </c>
      <c r="C5" s="235" t="s">
        <v>1375</v>
      </c>
      <c r="D5" s="235" t="s">
        <v>1376</v>
      </c>
      <c r="E5" s="1818" t="s">
        <v>1377</v>
      </c>
      <c r="F5" s="1819"/>
      <c r="G5" s="1819"/>
      <c r="H5" s="1819"/>
      <c r="I5" s="1820"/>
      <c r="J5" s="675"/>
      <c r="K5" s="507"/>
      <c r="L5" s="507"/>
      <c r="M5" s="362"/>
    </row>
    <row r="6" spans="1:107" s="616" customFormat="1" ht="82.25" customHeight="1" thickBot="1">
      <c r="A6" s="890"/>
      <c r="B6" s="711" t="str">
        <f>+'PROGRAMA ARQ.'!C39</f>
        <v>3.4</v>
      </c>
      <c r="C6" s="711" t="str">
        <f>+'PROGRAMA ARQ.'!D39</f>
        <v>BODEGA DE ALIMENTOS 1 (No Perecibles y Refrigerados)</v>
      </c>
      <c r="D6" s="831">
        <f>+'PROGRAMA ARQ.'!F39</f>
        <v>9</v>
      </c>
      <c r="E6" s="689" t="s">
        <v>366</v>
      </c>
      <c r="F6" s="690" t="s">
        <v>544</v>
      </c>
      <c r="G6" s="690" t="s">
        <v>2</v>
      </c>
      <c r="H6" s="690" t="s">
        <v>171</v>
      </c>
      <c r="I6" s="691" t="s">
        <v>172</v>
      </c>
      <c r="J6" s="608"/>
      <c r="K6" s="1337" t="s">
        <v>293</v>
      </c>
      <c r="L6" s="1376" t="s">
        <v>120</v>
      </c>
      <c r="M6" s="1063" t="s">
        <v>178</v>
      </c>
      <c r="N6" s="890"/>
      <c r="O6" s="890"/>
      <c r="P6" s="890"/>
      <c r="Q6" s="890"/>
      <c r="R6" s="890"/>
      <c r="S6" s="890"/>
      <c r="T6" s="890"/>
      <c r="U6" s="890"/>
      <c r="V6" s="890"/>
      <c r="W6" s="890"/>
      <c r="X6" s="890"/>
      <c r="Y6" s="890"/>
      <c r="Z6" s="890"/>
      <c r="AA6" s="890"/>
      <c r="AB6" s="890"/>
      <c r="AC6" s="890"/>
      <c r="AD6" s="890"/>
      <c r="AE6" s="890"/>
      <c r="AF6" s="890"/>
      <c r="AG6" s="890"/>
      <c r="AH6" s="890"/>
      <c r="AI6" s="890"/>
      <c r="AJ6" s="890"/>
      <c r="AK6" s="890"/>
      <c r="AL6" s="890"/>
      <c r="AM6" s="890"/>
      <c r="AN6" s="890"/>
      <c r="AO6" s="890"/>
      <c r="AP6" s="890"/>
      <c r="AQ6" s="890"/>
      <c r="AR6" s="890"/>
      <c r="AS6" s="890"/>
      <c r="AT6" s="890"/>
      <c r="AU6" s="890"/>
      <c r="AV6" s="890"/>
      <c r="AW6" s="890"/>
      <c r="AX6" s="890"/>
      <c r="AY6" s="890"/>
      <c r="AZ6" s="890"/>
      <c r="BA6" s="890"/>
      <c r="BB6" s="890"/>
      <c r="BC6" s="890"/>
      <c r="BD6" s="890"/>
      <c r="BE6" s="890"/>
      <c r="BF6" s="890"/>
      <c r="BG6" s="890"/>
      <c r="BH6" s="890"/>
      <c r="BI6" s="890"/>
      <c r="BJ6" s="890"/>
      <c r="BK6" s="890"/>
      <c r="BL6" s="890"/>
      <c r="BM6" s="890"/>
      <c r="BN6" s="890"/>
      <c r="BO6" s="890"/>
      <c r="BP6" s="890"/>
      <c r="BQ6" s="890"/>
      <c r="BR6" s="890"/>
      <c r="BS6" s="890"/>
      <c r="BT6" s="890"/>
      <c r="BU6" s="890"/>
      <c r="BV6" s="890"/>
      <c r="BW6" s="890"/>
      <c r="BX6" s="890"/>
      <c r="BY6" s="890"/>
      <c r="BZ6" s="890"/>
      <c r="CA6" s="890"/>
      <c r="CB6" s="890"/>
      <c r="CC6" s="890"/>
      <c r="CD6" s="890"/>
      <c r="CE6" s="890"/>
      <c r="CF6" s="890"/>
      <c r="CG6" s="890"/>
      <c r="CH6" s="890"/>
      <c r="CI6" s="890"/>
      <c r="CJ6" s="890"/>
      <c r="CK6" s="890"/>
      <c r="CL6" s="890"/>
      <c r="CM6" s="890"/>
      <c r="CN6" s="890"/>
      <c r="CO6" s="890"/>
      <c r="CP6" s="890"/>
      <c r="CQ6" s="890"/>
      <c r="CR6" s="890"/>
      <c r="CS6" s="890"/>
      <c r="CT6" s="890"/>
      <c r="CU6" s="890"/>
      <c r="CV6" s="890"/>
      <c r="CW6" s="890"/>
      <c r="CX6" s="890"/>
      <c r="CY6" s="890"/>
      <c r="CZ6" s="890"/>
      <c r="DA6" s="890"/>
      <c r="DB6" s="890"/>
      <c r="DC6" s="890"/>
    </row>
    <row r="7" spans="1:107" s="367" customFormat="1" ht="16" thickBot="1">
      <c r="B7" s="667" t="s">
        <v>1378</v>
      </c>
      <c r="C7" s="667" t="s">
        <v>1379</v>
      </c>
      <c r="D7" s="670" t="s">
        <v>1380</v>
      </c>
      <c r="E7" s="671"/>
      <c r="F7" s="672"/>
      <c r="G7" s="672"/>
      <c r="H7" s="671"/>
      <c r="I7" s="673"/>
      <c r="J7" s="595"/>
      <c r="K7" s="235"/>
      <c r="L7" s="696"/>
      <c r="M7" s="697"/>
    </row>
    <row r="8" spans="1:107" s="81" customFormat="1" ht="183" thickBot="1">
      <c r="B8" s="814" t="s">
        <v>122</v>
      </c>
      <c r="C8" s="1044"/>
      <c r="D8" s="1045" t="s">
        <v>1381</v>
      </c>
      <c r="E8" s="978"/>
      <c r="F8" s="978"/>
      <c r="G8" s="1045"/>
      <c r="H8" s="978"/>
      <c r="I8" s="979"/>
      <c r="K8" s="597" t="s">
        <v>1406</v>
      </c>
    </row>
    <row r="9" spans="1:107" s="81" customFormat="1">
      <c r="B9" s="1960" t="s">
        <v>125</v>
      </c>
      <c r="C9" s="2007"/>
      <c r="D9" s="987" t="s">
        <v>1073</v>
      </c>
      <c r="E9" s="784"/>
      <c r="F9" s="784"/>
      <c r="G9" s="784"/>
      <c r="H9" s="784"/>
      <c r="I9" s="988"/>
      <c r="K9" s="597" t="s">
        <v>1421</v>
      </c>
    </row>
    <row r="10" spans="1:107" s="81" customFormat="1" ht="42">
      <c r="B10" s="1961"/>
      <c r="C10" s="2008"/>
      <c r="D10" s="899" t="s">
        <v>1367</v>
      </c>
      <c r="E10" s="632"/>
      <c r="F10" s="632"/>
      <c r="G10" s="632"/>
      <c r="H10" s="632"/>
      <c r="I10" s="989"/>
      <c r="K10" s="597" t="s">
        <v>1406</v>
      </c>
    </row>
    <row r="11" spans="1:107" s="81" customFormat="1">
      <c r="B11" s="1961"/>
      <c r="C11" s="2008"/>
      <c r="D11" s="899" t="s">
        <v>395</v>
      </c>
      <c r="E11" s="632"/>
      <c r="F11" s="632"/>
      <c r="G11" s="632"/>
      <c r="H11" s="632"/>
      <c r="I11" s="989"/>
      <c r="K11" s="597" t="s">
        <v>1421</v>
      </c>
    </row>
    <row r="12" spans="1:107" s="362" customFormat="1" ht="15" thickBot="1">
      <c r="B12" s="1980"/>
      <c r="C12" s="2009"/>
      <c r="D12" s="724" t="s">
        <v>908</v>
      </c>
      <c r="E12" s="724"/>
      <c r="F12" s="519"/>
      <c r="G12" s="519"/>
      <c r="H12" s="519"/>
      <c r="I12" s="520"/>
      <c r="K12" s="597" t="s">
        <v>1406</v>
      </c>
    </row>
    <row r="13" spans="1:107" s="81" customFormat="1" ht="28">
      <c r="B13" s="1960" t="s">
        <v>143</v>
      </c>
      <c r="C13" s="1050" t="s">
        <v>241</v>
      </c>
      <c r="D13" s="764" t="s">
        <v>907</v>
      </c>
      <c r="E13" s="784"/>
      <c r="F13" s="784"/>
      <c r="G13" s="784"/>
      <c r="H13" s="784"/>
      <c r="I13" s="988"/>
      <c r="K13" s="597" t="s">
        <v>1406</v>
      </c>
      <c r="L13" s="358"/>
    </row>
    <row r="14" spans="1:107" s="81" customFormat="1">
      <c r="B14" s="1961"/>
      <c r="C14" s="1048" t="s">
        <v>242</v>
      </c>
      <c r="D14" s="899" t="s">
        <v>1067</v>
      </c>
      <c r="E14" s="632"/>
      <c r="F14" s="632"/>
      <c r="G14" s="632"/>
      <c r="H14" s="632"/>
      <c r="I14" s="989"/>
      <c r="K14" s="597" t="s">
        <v>1406</v>
      </c>
    </row>
    <row r="15" spans="1:107" s="81" customFormat="1">
      <c r="B15" s="1961"/>
      <c r="C15" s="1048" t="s">
        <v>243</v>
      </c>
      <c r="D15" s="652" t="s">
        <v>965</v>
      </c>
      <c r="E15" s="632"/>
      <c r="F15" s="632"/>
      <c r="G15" s="1049"/>
      <c r="H15" s="632"/>
      <c r="I15" s="989"/>
      <c r="K15" s="597" t="s">
        <v>1406</v>
      </c>
    </row>
    <row r="16" spans="1:107" s="81" customFormat="1" ht="15" thickBot="1">
      <c r="B16" s="1980"/>
      <c r="C16" s="1051" t="s">
        <v>244</v>
      </c>
      <c r="D16" s="752" t="s">
        <v>1068</v>
      </c>
      <c r="E16" s="554"/>
      <c r="F16" s="554"/>
      <c r="G16" s="1052"/>
      <c r="H16" s="554"/>
      <c r="I16" s="560"/>
      <c r="K16" s="597" t="s">
        <v>935</v>
      </c>
    </row>
    <row r="17" spans="1:107" s="81" customFormat="1">
      <c r="B17" s="2063" t="s">
        <v>144</v>
      </c>
      <c r="C17" s="1053" t="s">
        <v>245</v>
      </c>
      <c r="D17" s="764" t="s">
        <v>328</v>
      </c>
      <c r="E17" s="784"/>
      <c r="F17" s="784"/>
      <c r="G17" s="784"/>
      <c r="H17" s="784"/>
      <c r="I17" s="988"/>
      <c r="K17" s="597" t="s">
        <v>1406</v>
      </c>
    </row>
    <row r="18" spans="1:107" s="81" customFormat="1" ht="15" thickBot="1">
      <c r="B18" s="2065"/>
      <c r="C18" s="1024" t="s">
        <v>246</v>
      </c>
      <c r="D18" s="752" t="s">
        <v>393</v>
      </c>
      <c r="E18" s="554"/>
      <c r="F18" s="554"/>
      <c r="G18" s="554"/>
      <c r="H18" s="554"/>
      <c r="I18" s="560"/>
      <c r="K18" s="597" t="s">
        <v>1406</v>
      </c>
    </row>
    <row r="19" spans="1:107" s="81" customFormat="1">
      <c r="B19" s="1960" t="s">
        <v>141</v>
      </c>
      <c r="C19" s="2007"/>
      <c r="D19" s="764" t="s">
        <v>732</v>
      </c>
      <c r="E19" s="784"/>
      <c r="F19" s="784"/>
      <c r="G19" s="784"/>
      <c r="H19" s="784"/>
      <c r="I19" s="988"/>
      <c r="K19" s="597" t="s">
        <v>1406</v>
      </c>
    </row>
    <row r="20" spans="1:107" s="81" customFormat="1">
      <c r="B20" s="1961"/>
      <c r="C20" s="2008"/>
      <c r="D20" s="628" t="s">
        <v>1074</v>
      </c>
      <c r="E20" s="632"/>
      <c r="F20" s="632"/>
      <c r="G20" s="632"/>
      <c r="H20" s="632"/>
      <c r="I20" s="989"/>
      <c r="K20" s="597" t="s">
        <v>1406</v>
      </c>
    </row>
    <row r="21" spans="1:107" s="81" customFormat="1">
      <c r="B21" s="1961"/>
      <c r="C21" s="2008"/>
      <c r="D21" s="628" t="s">
        <v>263</v>
      </c>
      <c r="E21" s="632"/>
      <c r="F21" s="632"/>
      <c r="G21" s="632"/>
      <c r="H21" s="632"/>
      <c r="I21" s="989"/>
      <c r="K21" s="597" t="s">
        <v>1406</v>
      </c>
    </row>
    <row r="22" spans="1:107" s="81" customFormat="1" ht="29" thickBot="1">
      <c r="B22" s="1980"/>
      <c r="C22" s="2009"/>
      <c r="D22" s="752" t="s">
        <v>262</v>
      </c>
      <c r="E22" s="554"/>
      <c r="F22" s="554"/>
      <c r="G22" s="554"/>
      <c r="H22" s="554"/>
      <c r="I22" s="560"/>
      <c r="K22" s="597" t="s">
        <v>1406</v>
      </c>
    </row>
    <row r="23" spans="1:107" s="81" customFormat="1">
      <c r="B23" s="1960" t="s">
        <v>140</v>
      </c>
      <c r="C23" s="2007"/>
      <c r="D23" s="776" t="s">
        <v>713</v>
      </c>
      <c r="E23" s="784"/>
      <c r="F23" s="784"/>
      <c r="G23" s="784"/>
      <c r="H23" s="784"/>
      <c r="I23" s="988"/>
      <c r="K23" s="597" t="s">
        <v>1406</v>
      </c>
    </row>
    <row r="24" spans="1:107" s="81" customFormat="1" ht="15" thickBot="1">
      <c r="B24" s="1980"/>
      <c r="C24" s="2009"/>
      <c r="D24" s="752" t="s">
        <v>1070</v>
      </c>
      <c r="E24" s="554"/>
      <c r="F24" s="554"/>
      <c r="G24" s="554"/>
      <c r="H24" s="554"/>
      <c r="I24" s="560"/>
      <c r="K24" s="597" t="s">
        <v>1406</v>
      </c>
    </row>
    <row r="25" spans="1:107" s="1165" customFormat="1">
      <c r="A25" s="81"/>
      <c r="B25" s="1960" t="s">
        <v>123</v>
      </c>
      <c r="C25" s="1352" t="s">
        <v>1472</v>
      </c>
      <c r="D25" s="1236" t="s">
        <v>1477</v>
      </c>
      <c r="E25" s="1236"/>
      <c r="F25" s="1384">
        <f>IF(INICIO!C10&gt;87,0,IF(AND(INICIO!D4&gt;0,INICIO!D5&gt;0),2,1))</f>
        <v>0</v>
      </c>
      <c r="G25" s="1384">
        <f>+F25*'PROGRAMA ARQ.'!$E$39</f>
        <v>0</v>
      </c>
      <c r="H25" s="1236"/>
      <c r="I25" s="1254"/>
      <c r="K25" s="1324" t="s">
        <v>1464</v>
      </c>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row>
    <row r="26" spans="1:107" s="1165" customFormat="1">
      <c r="A26" s="81"/>
      <c r="B26" s="2069"/>
      <c r="C26" s="1383" t="s">
        <v>1473</v>
      </c>
      <c r="D26" s="1257" t="s">
        <v>1478</v>
      </c>
      <c r="E26" s="1257"/>
      <c r="F26" s="1262">
        <f>IF(INICIO!C10&gt;87,2,0)</f>
        <v>2</v>
      </c>
      <c r="G26" s="1262">
        <f>+F26*'PROGRAMA ARQ.'!$E$39</f>
        <v>2</v>
      </c>
      <c r="H26" s="1257"/>
      <c r="I26" s="1258"/>
      <c r="K26" s="1324" t="s">
        <v>1464</v>
      </c>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row>
    <row r="27" spans="1:107" s="81" customFormat="1">
      <c r="B27" s="1961"/>
      <c r="C27" s="1383" t="s">
        <v>1474</v>
      </c>
      <c r="D27" s="1257" t="s">
        <v>1475</v>
      </c>
      <c r="E27" s="1257"/>
      <c r="F27" s="1257">
        <f>IF(INICIO!C10&gt;87,0,1)</f>
        <v>0</v>
      </c>
      <c r="G27" s="1257">
        <f>+F27*'PROGRAMA ARQ.'!$E$39</f>
        <v>0</v>
      </c>
      <c r="H27" s="1257"/>
      <c r="I27" s="1258"/>
      <c r="J27" s="1165"/>
      <c r="K27" s="1324" t="s">
        <v>1421</v>
      </c>
    </row>
    <row r="28" spans="1:107" s="81" customFormat="1" ht="15" thickBot="1">
      <c r="B28" s="1980"/>
      <c r="C28" s="1383" t="s">
        <v>1479</v>
      </c>
      <c r="D28" s="1257" t="s">
        <v>1476</v>
      </c>
      <c r="E28" s="1257"/>
      <c r="F28" s="1257">
        <f>IF(AND(INICIO!C10&gt;87,INICIO!C10&lt;132),1,IF(INICIO!C10&gt;131,2,0))</f>
        <v>2</v>
      </c>
      <c r="G28" s="1257">
        <f>+F28*'PROGRAMA ARQ.'!$E$39</f>
        <v>2</v>
      </c>
      <c r="H28" s="1257"/>
      <c r="I28" s="1258"/>
      <c r="J28" s="1165"/>
      <c r="K28" s="1324" t="s">
        <v>1421</v>
      </c>
    </row>
    <row r="29" spans="1:107" s="81" customFormat="1">
      <c r="B29" s="1960" t="s">
        <v>124</v>
      </c>
      <c r="C29" s="1906" t="s">
        <v>1072</v>
      </c>
      <c r="D29" s="764" t="s">
        <v>725</v>
      </c>
      <c r="E29" s="784"/>
      <c r="F29" s="784"/>
      <c r="G29" s="784"/>
      <c r="H29" s="784"/>
      <c r="I29" s="988"/>
      <c r="K29" s="597" t="s">
        <v>1406</v>
      </c>
    </row>
    <row r="30" spans="1:107" s="81" customFormat="1" ht="28">
      <c r="B30" s="1961"/>
      <c r="C30" s="1905"/>
      <c r="D30" s="652" t="s">
        <v>381</v>
      </c>
      <c r="E30" s="632"/>
      <c r="F30" s="632"/>
      <c r="G30" s="632"/>
      <c r="H30" s="632"/>
      <c r="I30" s="989"/>
      <c r="K30" s="597" t="s">
        <v>1406</v>
      </c>
    </row>
    <row r="31" spans="1:107" s="81" customFormat="1" ht="15" thickBot="1">
      <c r="B31" s="1980"/>
      <c r="C31" s="1981"/>
      <c r="D31" s="752" t="s">
        <v>384</v>
      </c>
      <c r="E31" s="554"/>
      <c r="F31" s="554"/>
      <c r="G31" s="554"/>
      <c r="H31" s="554"/>
      <c r="I31" s="560"/>
      <c r="K31" s="597" t="s">
        <v>1421</v>
      </c>
    </row>
    <row r="32" spans="1:107" s="81" customFormat="1" ht="15" thickBot="1">
      <c r="B32" s="2050" t="s">
        <v>132</v>
      </c>
      <c r="C32" s="2051"/>
      <c r="D32" s="816" t="s">
        <v>608</v>
      </c>
      <c r="E32" s="983"/>
      <c r="F32" s="983"/>
      <c r="G32" s="1055"/>
      <c r="H32" s="983"/>
      <c r="I32" s="984"/>
      <c r="K32" s="597" t="s">
        <v>935</v>
      </c>
    </row>
    <row r="33" spans="1:107" s="81" customFormat="1">
      <c r="B33" s="1960" t="s">
        <v>133</v>
      </c>
      <c r="C33" s="2007"/>
      <c r="D33" s="764" t="s">
        <v>1006</v>
      </c>
      <c r="E33" s="784"/>
      <c r="F33" s="784"/>
      <c r="G33" s="987"/>
      <c r="H33" s="784"/>
      <c r="I33" s="988"/>
      <c r="K33" s="597" t="s">
        <v>1406</v>
      </c>
    </row>
    <row r="34" spans="1:107" s="81" customFormat="1">
      <c r="B34" s="1961"/>
      <c r="C34" s="2008"/>
      <c r="D34" s="652" t="s">
        <v>379</v>
      </c>
      <c r="E34" s="512"/>
      <c r="F34" s="512"/>
      <c r="G34" s="512"/>
      <c r="H34" s="512"/>
      <c r="I34" s="518"/>
      <c r="J34" s="362"/>
      <c r="K34" s="597" t="s">
        <v>1432</v>
      </c>
    </row>
    <row r="35" spans="1:107" s="81" customFormat="1">
      <c r="B35" s="1961"/>
      <c r="C35" s="2008"/>
      <c r="D35" s="652" t="s">
        <v>767</v>
      </c>
      <c r="E35" s="512"/>
      <c r="F35" s="512"/>
      <c r="G35" s="512"/>
      <c r="H35" s="512"/>
      <c r="I35" s="518"/>
      <c r="J35" s="362"/>
      <c r="K35" s="597" t="s">
        <v>1406</v>
      </c>
    </row>
    <row r="36" spans="1:107" s="81" customFormat="1">
      <c r="B36" s="1961"/>
      <c r="C36" s="2008"/>
      <c r="D36" s="652" t="s">
        <v>382</v>
      </c>
      <c r="E36" s="512"/>
      <c r="F36" s="512"/>
      <c r="G36" s="512"/>
      <c r="H36" s="512"/>
      <c r="I36" s="518"/>
      <c r="J36" s="362"/>
      <c r="K36" s="597" t="s">
        <v>1406</v>
      </c>
    </row>
    <row r="37" spans="1:107" s="81" customFormat="1">
      <c r="B37" s="1961"/>
      <c r="C37" s="2008"/>
      <c r="D37" s="652" t="s">
        <v>1004</v>
      </c>
      <c r="E37" s="512"/>
      <c r="F37" s="512"/>
      <c r="G37" s="512"/>
      <c r="H37" s="512"/>
      <c r="I37" s="518"/>
      <c r="J37" s="362"/>
      <c r="K37" s="597" t="s">
        <v>1406</v>
      </c>
    </row>
    <row r="38" spans="1:107" s="81" customFormat="1">
      <c r="B38" s="1961"/>
      <c r="C38" s="2008"/>
      <c r="D38" s="652" t="s">
        <v>318</v>
      </c>
      <c r="E38" s="512"/>
      <c r="F38" s="512"/>
      <c r="G38" s="512"/>
      <c r="H38" s="512"/>
      <c r="I38" s="518"/>
      <c r="J38" s="362"/>
      <c r="K38" s="597" t="s">
        <v>1406</v>
      </c>
    </row>
    <row r="39" spans="1:107" s="81" customFormat="1" ht="28">
      <c r="B39" s="1961"/>
      <c r="C39" s="2008"/>
      <c r="D39" s="652" t="s">
        <v>733</v>
      </c>
      <c r="E39" s="632"/>
      <c r="F39" s="632"/>
      <c r="G39" s="632"/>
      <c r="H39" s="632"/>
      <c r="I39" s="989"/>
      <c r="K39" s="597" t="s">
        <v>1406</v>
      </c>
    </row>
    <row r="40" spans="1:107" s="1165" customFormat="1" ht="15" thickBot="1">
      <c r="A40" s="81"/>
      <c r="B40" s="1980"/>
      <c r="C40" s="2009"/>
      <c r="D40" s="1353" t="s">
        <v>1075</v>
      </c>
      <c r="E40" s="1269"/>
      <c r="F40" s="1269"/>
      <c r="G40" s="1353"/>
      <c r="H40" s="1269"/>
      <c r="I40" s="1270"/>
      <c r="K40" s="1324" t="s">
        <v>1464</v>
      </c>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row>
    <row r="41" spans="1:107" s="81" customFormat="1" ht="15" thickBot="1">
      <c r="B41" s="2050" t="s">
        <v>134</v>
      </c>
      <c r="C41" s="2051"/>
      <c r="D41" s="983" t="s">
        <v>391</v>
      </c>
      <c r="E41" s="983"/>
      <c r="F41" s="983"/>
      <c r="G41" s="983"/>
      <c r="H41" s="983"/>
      <c r="I41" s="984"/>
      <c r="K41" s="597" t="s">
        <v>935</v>
      </c>
    </row>
    <row r="42" spans="1:107" s="81" customFormat="1">
      <c r="B42" s="1960" t="s">
        <v>135</v>
      </c>
      <c r="C42" s="2061" t="s">
        <v>248</v>
      </c>
      <c r="D42" s="784" t="s">
        <v>1078</v>
      </c>
      <c r="E42" s="784"/>
      <c r="F42" s="784"/>
      <c r="G42" s="784"/>
      <c r="H42" s="784"/>
      <c r="I42" s="988"/>
      <c r="K42" s="597" t="s">
        <v>1406</v>
      </c>
    </row>
    <row r="43" spans="1:107" s="81" customFormat="1">
      <c r="B43" s="1961"/>
      <c r="C43" s="2062"/>
      <c r="D43" s="632" t="s">
        <v>326</v>
      </c>
      <c r="E43" s="632"/>
      <c r="F43" s="632"/>
      <c r="G43" s="632"/>
      <c r="H43" s="632"/>
      <c r="I43" s="989"/>
      <c r="K43" s="597" t="s">
        <v>1406</v>
      </c>
    </row>
    <row r="44" spans="1:107" s="81" customFormat="1">
      <c r="B44" s="1961"/>
      <c r="C44" s="2062"/>
      <c r="D44" s="632" t="s">
        <v>750</v>
      </c>
      <c r="E44" s="632"/>
      <c r="F44" s="632"/>
      <c r="G44" s="632"/>
      <c r="H44" s="632"/>
      <c r="I44" s="989"/>
      <c r="K44" s="597" t="s">
        <v>1406</v>
      </c>
    </row>
    <row r="45" spans="1:107" s="81" customFormat="1">
      <c r="B45" s="1961"/>
      <c r="C45" s="2062"/>
      <c r="D45" s="632" t="s">
        <v>536</v>
      </c>
      <c r="E45" s="632"/>
      <c r="F45" s="632"/>
      <c r="G45" s="632"/>
      <c r="H45" s="632"/>
      <c r="I45" s="989"/>
      <c r="K45" s="597" t="s">
        <v>1406</v>
      </c>
    </row>
    <row r="46" spans="1:107" s="81" customFormat="1">
      <c r="B46" s="1961"/>
      <c r="C46" s="2062"/>
      <c r="D46" s="632" t="s">
        <v>1077</v>
      </c>
      <c r="E46" s="632"/>
      <c r="F46" s="632"/>
      <c r="G46" s="632"/>
      <c r="H46" s="632"/>
      <c r="I46" s="989"/>
      <c r="K46" s="597" t="s">
        <v>1406</v>
      </c>
    </row>
    <row r="47" spans="1:107" s="81" customFormat="1">
      <c r="B47" s="1961"/>
      <c r="C47" s="2062" t="s">
        <v>249</v>
      </c>
      <c r="D47" s="632" t="s">
        <v>1076</v>
      </c>
      <c r="E47" s="632"/>
      <c r="F47" s="632"/>
      <c r="G47" s="632"/>
      <c r="H47" s="632"/>
      <c r="I47" s="989"/>
      <c r="K47" s="597" t="s">
        <v>1406</v>
      </c>
    </row>
    <row r="48" spans="1:107" s="81" customFormat="1">
      <c r="B48" s="1961"/>
      <c r="C48" s="2062"/>
      <c r="D48" s="632" t="s">
        <v>536</v>
      </c>
      <c r="E48" s="632"/>
      <c r="F48" s="632"/>
      <c r="G48" s="632"/>
      <c r="H48" s="632"/>
      <c r="I48" s="989"/>
      <c r="K48" s="597" t="s">
        <v>1406</v>
      </c>
    </row>
    <row r="49" spans="1:107" s="81" customFormat="1" ht="15" thickBot="1">
      <c r="B49" s="1980"/>
      <c r="C49" s="1024" t="s">
        <v>250</v>
      </c>
      <c r="D49" s="554" t="s">
        <v>1076</v>
      </c>
      <c r="E49" s="554"/>
      <c r="F49" s="554"/>
      <c r="G49" s="554"/>
      <c r="H49" s="554"/>
      <c r="I49" s="560"/>
      <c r="K49" s="597" t="s">
        <v>1406</v>
      </c>
    </row>
    <row r="50" spans="1:107" s="1165" customFormat="1" ht="14.5" customHeight="1">
      <c r="A50" s="1902" t="s">
        <v>137</v>
      </c>
      <c r="B50" s="2063" t="s">
        <v>138</v>
      </c>
      <c r="C50" s="2066" t="s">
        <v>910</v>
      </c>
      <c r="D50" s="1236" t="s">
        <v>852</v>
      </c>
      <c r="E50" s="1236"/>
      <c r="F50" s="1236"/>
      <c r="G50" s="1236"/>
      <c r="H50" s="1236"/>
      <c r="I50" s="1254"/>
      <c r="K50" s="1324" t="s">
        <v>436</v>
      </c>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row>
    <row r="51" spans="1:107" s="81" customFormat="1">
      <c r="A51" s="1903"/>
      <c r="B51" s="2064"/>
      <c r="C51" s="2067"/>
      <c r="D51" s="632" t="s">
        <v>1083</v>
      </c>
      <c r="E51" s="632"/>
      <c r="F51" s="632"/>
      <c r="G51" s="632"/>
      <c r="H51" s="632"/>
      <c r="I51" s="989"/>
      <c r="K51" s="597" t="s">
        <v>1406</v>
      </c>
    </row>
    <row r="52" spans="1:107" s="81" customFormat="1">
      <c r="A52" s="1903"/>
      <c r="B52" s="2064"/>
      <c r="C52" s="2068" t="s">
        <v>251</v>
      </c>
      <c r="D52" s="632" t="s">
        <v>1084</v>
      </c>
      <c r="E52" s="632"/>
      <c r="F52" s="632">
        <f>+F25+F27+F28</f>
        <v>2</v>
      </c>
      <c r="G52" s="632">
        <f>+F52*'PROGRAMA ARQ.'!$E$39</f>
        <v>2</v>
      </c>
      <c r="H52" s="632"/>
      <c r="I52" s="989"/>
      <c r="K52" s="597" t="s">
        <v>1406</v>
      </c>
    </row>
    <row r="53" spans="1:107" s="81" customFormat="1">
      <c r="A53" s="1903"/>
      <c r="B53" s="2064"/>
      <c r="C53" s="2068"/>
      <c r="D53" s="632" t="s">
        <v>1085</v>
      </c>
      <c r="E53" s="632"/>
      <c r="F53" s="632">
        <v>1</v>
      </c>
      <c r="G53" s="632">
        <f>+F53*'PROGRAMA ARQ.'!$E$39</f>
        <v>1</v>
      </c>
      <c r="H53" s="632"/>
      <c r="I53" s="989"/>
      <c r="K53" s="597" t="s">
        <v>1406</v>
      </c>
    </row>
    <row r="54" spans="1:107" s="81" customFormat="1">
      <c r="A54" s="1903"/>
      <c r="B54" s="2064"/>
      <c r="C54" s="2068" t="s">
        <v>252</v>
      </c>
      <c r="D54" s="632" t="s">
        <v>1086</v>
      </c>
      <c r="E54" s="632"/>
      <c r="F54" s="632">
        <v>1</v>
      </c>
      <c r="G54" s="632">
        <f>+F54*'PROGRAMA ARQ.'!$E$39</f>
        <v>1</v>
      </c>
      <c r="H54" s="632"/>
      <c r="I54" s="989"/>
      <c r="K54" s="597" t="s">
        <v>1406</v>
      </c>
    </row>
    <row r="55" spans="1:107" s="81" customFormat="1">
      <c r="A55" s="1903"/>
      <c r="B55" s="2064"/>
      <c r="C55" s="2068"/>
      <c r="D55" s="632" t="s">
        <v>1087</v>
      </c>
      <c r="E55" s="632"/>
      <c r="F55" s="632">
        <v>1</v>
      </c>
      <c r="G55" s="632">
        <f>+F55*'PROGRAMA ARQ.'!$E$39</f>
        <v>1</v>
      </c>
      <c r="H55" s="632"/>
      <c r="I55" s="989"/>
      <c r="K55" s="597" t="s">
        <v>1406</v>
      </c>
    </row>
    <row r="56" spans="1:107" s="81" customFormat="1">
      <c r="A56" s="1903"/>
      <c r="B56" s="2064"/>
      <c r="C56" s="1023" t="s">
        <v>253</v>
      </c>
      <c r="D56" s="632" t="s">
        <v>391</v>
      </c>
      <c r="E56" s="632"/>
      <c r="F56" s="632"/>
      <c r="G56" s="632"/>
      <c r="H56" s="632"/>
      <c r="I56" s="989"/>
      <c r="K56" s="597" t="s">
        <v>935</v>
      </c>
    </row>
    <row r="57" spans="1:107" s="81" customFormat="1">
      <c r="A57" s="1903"/>
      <c r="B57" s="2064"/>
      <c r="C57" s="1023" t="s">
        <v>254</v>
      </c>
      <c r="D57" s="632" t="s">
        <v>391</v>
      </c>
      <c r="E57" s="632"/>
      <c r="F57" s="632"/>
      <c r="G57" s="632"/>
      <c r="H57" s="632"/>
      <c r="I57" s="989"/>
      <c r="K57" s="597" t="s">
        <v>935</v>
      </c>
    </row>
    <row r="58" spans="1:107" s="81" customFormat="1" ht="15" thickBot="1">
      <c r="A58" s="1903"/>
      <c r="B58" s="2065"/>
      <c r="C58" s="1024" t="s">
        <v>255</v>
      </c>
      <c r="D58" s="554" t="s">
        <v>391</v>
      </c>
      <c r="E58" s="554"/>
      <c r="F58" s="554"/>
      <c r="G58" s="554"/>
      <c r="H58" s="554"/>
      <c r="I58" s="560"/>
      <c r="K58" s="597" t="s">
        <v>935</v>
      </c>
    </row>
    <row r="59" spans="1:107" s="81" customFormat="1">
      <c r="A59" s="1903"/>
      <c r="B59" s="1960" t="s">
        <v>139</v>
      </c>
      <c r="C59" s="1053" t="s">
        <v>256</v>
      </c>
      <c r="D59" s="784" t="s">
        <v>391</v>
      </c>
      <c r="E59" s="784"/>
      <c r="F59" s="784"/>
      <c r="G59" s="784"/>
      <c r="H59" s="784"/>
      <c r="I59" s="988"/>
      <c r="K59" s="597" t="s">
        <v>935</v>
      </c>
    </row>
    <row r="60" spans="1:107" s="81" customFormat="1" ht="29" thickBot="1">
      <c r="A60" s="1903"/>
      <c r="B60" s="1980"/>
      <c r="C60" s="1051" t="s">
        <v>257</v>
      </c>
      <c r="D60" s="781" t="s">
        <v>1088</v>
      </c>
      <c r="E60" s="554"/>
      <c r="F60" s="554"/>
      <c r="G60" s="554"/>
      <c r="H60" s="554"/>
      <c r="I60" s="560"/>
      <c r="K60" s="597" t="s">
        <v>1406</v>
      </c>
    </row>
    <row r="61" spans="1:107" s="81" customFormat="1" ht="15" thickBot="1">
      <c r="A61" s="1903"/>
      <c r="B61" s="2050" t="s">
        <v>142</v>
      </c>
      <c r="C61" s="2051"/>
      <c r="D61" s="983" t="s">
        <v>391</v>
      </c>
      <c r="E61" s="983"/>
      <c r="F61" s="983"/>
      <c r="G61" s="983"/>
      <c r="H61" s="983"/>
      <c r="I61" s="984"/>
      <c r="K61" s="597" t="s">
        <v>935</v>
      </c>
    </row>
    <row r="62" spans="1:107" s="81" customFormat="1">
      <c r="A62" s="1903"/>
      <c r="B62" s="1960" t="s">
        <v>264</v>
      </c>
      <c r="C62" s="2007"/>
      <c r="D62" s="784" t="s">
        <v>771</v>
      </c>
      <c r="E62" s="784"/>
      <c r="F62" s="784"/>
      <c r="G62" s="784"/>
      <c r="H62" s="784"/>
      <c r="I62" s="988"/>
      <c r="K62" s="597"/>
    </row>
    <row r="63" spans="1:107" s="81" customFormat="1" ht="15" thickBot="1">
      <c r="A63" s="1904"/>
      <c r="B63" s="1980"/>
      <c r="C63" s="2009"/>
      <c r="D63" s="1056" t="str">
        <f>+C6</f>
        <v>BODEGA DE ALIMENTOS 1 (No Perecibles y Refrigerados)</v>
      </c>
      <c r="E63" s="554"/>
      <c r="F63" s="554"/>
      <c r="G63" s="554"/>
      <c r="H63" s="554"/>
      <c r="I63" s="560"/>
      <c r="K63" s="597" t="s">
        <v>1406</v>
      </c>
    </row>
    <row r="64" spans="1:107" s="81" customFormat="1">
      <c r="K64" s="1250"/>
    </row>
    <row r="65" spans="11:11" s="81" customFormat="1">
      <c r="K65" s="1250"/>
    </row>
    <row r="66" spans="11:11" s="81" customFormat="1">
      <c r="K66" s="1250"/>
    </row>
    <row r="67" spans="11:11" s="81" customFormat="1">
      <c r="K67" s="1250"/>
    </row>
    <row r="68" spans="11:11" s="81" customFormat="1">
      <c r="K68" s="1250"/>
    </row>
    <row r="69" spans="11:11" s="81" customFormat="1">
      <c r="K69" s="1250"/>
    </row>
    <row r="70" spans="11:11" s="81" customFormat="1">
      <c r="K70" s="1250"/>
    </row>
    <row r="71" spans="11:11" s="81" customFormat="1">
      <c r="K71" s="1250"/>
    </row>
    <row r="72" spans="11:11" s="81" customFormat="1">
      <c r="K72" s="1250"/>
    </row>
    <row r="73" spans="11:11" s="81" customFormat="1">
      <c r="K73" s="1250"/>
    </row>
    <row r="74" spans="11:11" s="81" customFormat="1">
      <c r="K74" s="1250"/>
    </row>
    <row r="75" spans="11:11" s="81" customFormat="1">
      <c r="K75" s="1250"/>
    </row>
    <row r="76" spans="11:11" s="81" customFormat="1">
      <c r="K76" s="1250"/>
    </row>
    <row r="77" spans="11:11" s="81" customFormat="1">
      <c r="K77" s="1250"/>
    </row>
    <row r="78" spans="11:11" s="81" customFormat="1">
      <c r="K78" s="1250"/>
    </row>
    <row r="79" spans="11:11" s="81" customFormat="1">
      <c r="K79" s="1250"/>
    </row>
    <row r="80" spans="11:11" s="81" customFormat="1">
      <c r="K80" s="1250"/>
    </row>
    <row r="81" spans="11:11" s="81" customFormat="1">
      <c r="K81" s="1250"/>
    </row>
    <row r="82" spans="11:11" s="81" customFormat="1">
      <c r="K82" s="1250"/>
    </row>
    <row r="83" spans="11:11" s="81" customFormat="1">
      <c r="K83" s="1250"/>
    </row>
    <row r="84" spans="11:11" s="81" customFormat="1">
      <c r="K84" s="1250"/>
    </row>
    <row r="85" spans="11:11" s="81" customFormat="1">
      <c r="K85" s="1250"/>
    </row>
    <row r="86" spans="11:11" s="81" customFormat="1">
      <c r="K86" s="1250"/>
    </row>
    <row r="87" spans="11:11" s="81" customFormat="1">
      <c r="K87" s="1250"/>
    </row>
    <row r="88" spans="11:11" s="81" customFormat="1">
      <c r="K88" s="1250"/>
    </row>
    <row r="89" spans="11:11" s="81" customFormat="1">
      <c r="K89" s="1250"/>
    </row>
    <row r="90" spans="11:11" s="81" customFormat="1">
      <c r="K90" s="1250"/>
    </row>
    <row r="91" spans="11:11" s="81" customFormat="1">
      <c r="K91" s="1250"/>
    </row>
    <row r="92" spans="11:11" s="81" customFormat="1">
      <c r="K92" s="1250"/>
    </row>
    <row r="93" spans="11:11" s="81" customFormat="1">
      <c r="K93" s="1250"/>
    </row>
    <row r="94" spans="11:11" s="81" customFormat="1">
      <c r="K94" s="1250"/>
    </row>
    <row r="95" spans="11:11" s="81" customFormat="1">
      <c r="K95" s="1250"/>
    </row>
    <row r="96" spans="11:11" s="81" customFormat="1">
      <c r="K96" s="1250"/>
    </row>
    <row r="97" spans="11:11" s="81" customFormat="1">
      <c r="K97" s="1250"/>
    </row>
    <row r="98" spans="11:11" s="81" customFormat="1">
      <c r="K98" s="1250"/>
    </row>
    <row r="99" spans="11:11" s="81" customFormat="1">
      <c r="K99" s="1250"/>
    </row>
    <row r="100" spans="11:11" s="81" customFormat="1">
      <c r="K100" s="1250"/>
    </row>
    <row r="101" spans="11:11" s="81" customFormat="1">
      <c r="K101" s="1250"/>
    </row>
    <row r="102" spans="11:11" s="81" customFormat="1">
      <c r="K102" s="1250"/>
    </row>
    <row r="103" spans="11:11" s="81" customFormat="1">
      <c r="K103" s="1250"/>
    </row>
  </sheetData>
  <autoFilter ref="K1:K103"/>
  <mergeCells count="26">
    <mergeCell ref="A50:A63"/>
    <mergeCell ref="E3:I3"/>
    <mergeCell ref="B2:I2"/>
    <mergeCell ref="E4:I4"/>
    <mergeCell ref="E5:I5"/>
    <mergeCell ref="B9:C12"/>
    <mergeCell ref="B13:B16"/>
    <mergeCell ref="B17:B18"/>
    <mergeCell ref="B19:C22"/>
    <mergeCell ref="B23:C24"/>
    <mergeCell ref="B25:B28"/>
    <mergeCell ref="B29:B31"/>
    <mergeCell ref="C29:C31"/>
    <mergeCell ref="B32:C32"/>
    <mergeCell ref="B33:C40"/>
    <mergeCell ref="B41:C41"/>
    <mergeCell ref="B59:B60"/>
    <mergeCell ref="B61:C61"/>
    <mergeCell ref="B62:C63"/>
    <mergeCell ref="B42:B49"/>
    <mergeCell ref="C42:C46"/>
    <mergeCell ref="C47:C48"/>
    <mergeCell ref="B50:B58"/>
    <mergeCell ref="C50:C51"/>
    <mergeCell ref="C52:C53"/>
    <mergeCell ref="C54:C55"/>
  </mergeCells>
  <pageMargins left="0.70866141732283472" right="0.70866141732283472" top="0.74803149606299213" bottom="0.74803149606299213" header="0.31496062992125984" footer="0.31496062992125984"/>
  <pageSetup scale="39" fitToHeight="0" orientation="portrait"/>
  <rowBreaks count="1" manualBreakCount="1">
    <brk id="41"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ADC44BEB-1BD2-44E8-986F-CEE29231DE97}">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41" operator="containsText" text="0" id="{ADC44BEB-1BD2-44E8-986F-CEE29231DE97}">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rgb="FFFFC000"/>
    <pageSetUpPr fitToPage="1"/>
  </sheetPr>
  <dimension ref="A1:M118"/>
  <sheetViews>
    <sheetView workbookViewId="0">
      <selection activeCell="K8" sqref="K8:K14"/>
    </sheetView>
  </sheetViews>
  <sheetFormatPr baseColWidth="10" defaultColWidth="11.5" defaultRowHeight="14" x14ac:dyDescent="0"/>
  <cols>
    <col min="1" max="1" width="2.83203125" style="310" customWidth="1"/>
    <col min="2" max="3" width="30.6640625" style="310" customWidth="1"/>
    <col min="4" max="4" width="50.6640625" style="310" customWidth="1"/>
    <col min="5" max="9" width="3.6640625" style="310" customWidth="1"/>
    <col min="10" max="10" width="7.5" style="81" customWidth="1"/>
    <col min="11" max="11" width="50.6640625" style="310" customWidth="1"/>
    <col min="12" max="12" width="30.6640625" style="310" customWidth="1"/>
    <col min="13" max="13" width="3.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80" customHeight="1" thickBot="1">
      <c r="B6" s="711" t="str">
        <f>+'PROGRAMA ARQ.'!C40</f>
        <v>3.5</v>
      </c>
      <c r="C6" s="711" t="str">
        <f>+'PROGRAMA ARQ.'!D40</f>
        <v>BODEGA DE ALIMENTOS 2 (Perecibles)</v>
      </c>
      <c r="D6" s="831">
        <f>+'PROGRAMA ARQ.'!F40</f>
        <v>6</v>
      </c>
      <c r="E6" s="689" t="s">
        <v>366</v>
      </c>
      <c r="F6" s="690" t="s">
        <v>544</v>
      </c>
      <c r="G6" s="690" t="s">
        <v>2</v>
      </c>
      <c r="H6" s="690" t="s">
        <v>171</v>
      </c>
      <c r="I6" s="691" t="s">
        <v>172</v>
      </c>
      <c r="J6" s="608"/>
      <c r="K6" s="702" t="s">
        <v>293</v>
      </c>
      <c r="L6" s="703" t="s">
        <v>120</v>
      </c>
      <c r="M6" s="846" t="s">
        <v>178</v>
      </c>
    </row>
    <row r="7" spans="2:13" s="367" customFormat="1" ht="16" thickBot="1">
      <c r="B7" s="667" t="s">
        <v>1378</v>
      </c>
      <c r="C7" s="667" t="s">
        <v>1379</v>
      </c>
      <c r="D7" s="670" t="s">
        <v>1380</v>
      </c>
      <c r="E7" s="671"/>
      <c r="F7" s="672"/>
      <c r="G7" s="672"/>
      <c r="H7" s="671"/>
      <c r="I7" s="673"/>
      <c r="J7" s="595"/>
      <c r="K7" s="235"/>
      <c r="L7" s="696"/>
      <c r="M7" s="697"/>
    </row>
    <row r="8" spans="2:13" s="81" customFormat="1" ht="183" thickBot="1">
      <c r="B8" s="811" t="s">
        <v>122</v>
      </c>
      <c r="C8" s="1046"/>
      <c r="D8" s="1047" t="s">
        <v>1381</v>
      </c>
      <c r="E8" s="821"/>
      <c r="F8" s="821"/>
      <c r="G8" s="1047"/>
      <c r="H8" s="821"/>
      <c r="I8" s="980"/>
      <c r="K8" s="597" t="s">
        <v>1406</v>
      </c>
    </row>
    <row r="9" spans="2:13" s="81" customFormat="1">
      <c r="B9" s="1960" t="s">
        <v>125</v>
      </c>
      <c r="C9" s="2007"/>
      <c r="D9" s="987" t="s">
        <v>1073</v>
      </c>
      <c r="E9" s="784"/>
      <c r="F9" s="784"/>
      <c r="G9" s="784"/>
      <c r="H9" s="784"/>
      <c r="I9" s="988"/>
      <c r="K9" s="597" t="s">
        <v>1421</v>
      </c>
    </row>
    <row r="10" spans="2:13" s="81" customFormat="1" ht="42">
      <c r="B10" s="1961"/>
      <c r="C10" s="2008"/>
      <c r="D10" s="899" t="s">
        <v>1367</v>
      </c>
      <c r="E10" s="632"/>
      <c r="F10" s="632"/>
      <c r="G10" s="632"/>
      <c r="H10" s="632"/>
      <c r="I10" s="989"/>
      <c r="K10" s="597" t="s">
        <v>1406</v>
      </c>
    </row>
    <row r="11" spans="2:13" s="81" customFormat="1">
      <c r="B11" s="1961"/>
      <c r="C11" s="2008"/>
      <c r="D11" s="899" t="s">
        <v>395</v>
      </c>
      <c r="E11" s="632"/>
      <c r="F11" s="632"/>
      <c r="G11" s="632"/>
      <c r="H11" s="632"/>
      <c r="I11" s="989"/>
      <c r="K11" s="597" t="s">
        <v>1421</v>
      </c>
    </row>
    <row r="12" spans="2:13" s="362" customFormat="1" ht="15" thickBot="1">
      <c r="B12" s="1980"/>
      <c r="C12" s="2009"/>
      <c r="D12" s="724" t="s">
        <v>908</v>
      </c>
      <c r="E12" s="724"/>
      <c r="F12" s="519"/>
      <c r="G12" s="519"/>
      <c r="H12" s="519"/>
      <c r="I12" s="520"/>
      <c r="K12" s="597" t="s">
        <v>1406</v>
      </c>
    </row>
    <row r="13" spans="2:13" s="81" customFormat="1" ht="28">
      <c r="B13" s="1960" t="s">
        <v>143</v>
      </c>
      <c r="C13" s="1050" t="s">
        <v>241</v>
      </c>
      <c r="D13" s="764" t="s">
        <v>907</v>
      </c>
      <c r="E13" s="784"/>
      <c r="F13" s="784"/>
      <c r="G13" s="784"/>
      <c r="H13" s="784"/>
      <c r="I13" s="988"/>
      <c r="K13" s="597" t="s">
        <v>1406</v>
      </c>
      <c r="L13" s="358"/>
    </row>
    <row r="14" spans="2:13" s="81" customFormat="1">
      <c r="B14" s="1961"/>
      <c r="C14" s="1048" t="s">
        <v>242</v>
      </c>
      <c r="D14" s="899" t="s">
        <v>1067</v>
      </c>
      <c r="E14" s="632"/>
      <c r="F14" s="632"/>
      <c r="G14" s="632"/>
      <c r="H14" s="632"/>
      <c r="I14" s="989"/>
      <c r="K14" s="597" t="s">
        <v>1406</v>
      </c>
    </row>
    <row r="15" spans="2:13" s="81" customFormat="1">
      <c r="B15" s="1961"/>
      <c r="C15" s="1048" t="s">
        <v>243</v>
      </c>
      <c r="D15" s="652" t="s">
        <v>965</v>
      </c>
      <c r="E15" s="632"/>
      <c r="F15" s="632"/>
      <c r="G15" s="1049"/>
      <c r="H15" s="632"/>
      <c r="I15" s="989"/>
      <c r="K15" s="597" t="s">
        <v>935</v>
      </c>
    </row>
    <row r="16" spans="2:13" s="81" customFormat="1" ht="15" thickBot="1">
      <c r="B16" s="1980"/>
      <c r="C16" s="1051" t="s">
        <v>244</v>
      </c>
      <c r="D16" s="752" t="s">
        <v>1068</v>
      </c>
      <c r="E16" s="554"/>
      <c r="F16" s="554"/>
      <c r="G16" s="1052"/>
      <c r="H16" s="554"/>
      <c r="I16" s="560"/>
      <c r="K16" s="597" t="s">
        <v>1406</v>
      </c>
    </row>
    <row r="17" spans="2:11" s="81" customFormat="1">
      <c r="B17" s="2063" t="s">
        <v>144</v>
      </c>
      <c r="C17" s="1053" t="s">
        <v>245</v>
      </c>
      <c r="D17" s="764" t="s">
        <v>328</v>
      </c>
      <c r="E17" s="784"/>
      <c r="F17" s="784"/>
      <c r="G17" s="784"/>
      <c r="H17" s="784"/>
      <c r="I17" s="988"/>
      <c r="K17" s="597" t="s">
        <v>1406</v>
      </c>
    </row>
    <row r="18" spans="2:11" s="81" customFormat="1" ht="15" thickBot="1">
      <c r="B18" s="2065"/>
      <c r="C18" s="1024" t="s">
        <v>246</v>
      </c>
      <c r="D18" s="752" t="s">
        <v>393</v>
      </c>
      <c r="E18" s="554"/>
      <c r="F18" s="554"/>
      <c r="G18" s="554"/>
      <c r="H18" s="554"/>
      <c r="I18" s="560"/>
      <c r="K18" s="597" t="s">
        <v>1406</v>
      </c>
    </row>
    <row r="19" spans="2:11" s="81" customFormat="1">
      <c r="B19" s="1960" t="s">
        <v>141</v>
      </c>
      <c r="C19" s="2007"/>
      <c r="D19" s="764" t="s">
        <v>732</v>
      </c>
      <c r="E19" s="784"/>
      <c r="F19" s="784"/>
      <c r="G19" s="784"/>
      <c r="H19" s="784"/>
      <c r="I19" s="988"/>
      <c r="K19" s="597" t="s">
        <v>1406</v>
      </c>
    </row>
    <row r="20" spans="2:11" s="81" customFormat="1">
      <c r="B20" s="1961"/>
      <c r="C20" s="2008"/>
      <c r="D20" s="628" t="s">
        <v>1074</v>
      </c>
      <c r="E20" s="632"/>
      <c r="F20" s="632"/>
      <c r="G20" s="632"/>
      <c r="H20" s="632"/>
      <c r="I20" s="989"/>
      <c r="K20" s="597" t="s">
        <v>1406</v>
      </c>
    </row>
    <row r="21" spans="2:11" s="81" customFormat="1">
      <c r="B21" s="1961"/>
      <c r="C21" s="2008"/>
      <c r="D21" s="628" t="s">
        <v>263</v>
      </c>
      <c r="E21" s="632"/>
      <c r="F21" s="632"/>
      <c r="G21" s="632"/>
      <c r="H21" s="632"/>
      <c r="I21" s="989"/>
      <c r="K21" s="597" t="s">
        <v>1406</v>
      </c>
    </row>
    <row r="22" spans="2:11" s="81" customFormat="1" ht="29" thickBot="1">
      <c r="B22" s="1980"/>
      <c r="C22" s="2009"/>
      <c r="D22" s="752" t="s">
        <v>262</v>
      </c>
      <c r="E22" s="554"/>
      <c r="F22" s="554"/>
      <c r="G22" s="554"/>
      <c r="H22" s="554"/>
      <c r="I22" s="560"/>
      <c r="K22" s="597" t="s">
        <v>1406</v>
      </c>
    </row>
    <row r="23" spans="2:11" s="81" customFormat="1">
      <c r="B23" s="1960" t="s">
        <v>140</v>
      </c>
      <c r="C23" s="2007"/>
      <c r="D23" s="776" t="s">
        <v>713</v>
      </c>
      <c r="E23" s="784"/>
      <c r="F23" s="784"/>
      <c r="G23" s="784"/>
      <c r="H23" s="784"/>
      <c r="I23" s="988"/>
      <c r="K23" s="597" t="s">
        <v>1406</v>
      </c>
    </row>
    <row r="24" spans="2:11" s="81" customFormat="1" ht="15" thickBot="1">
      <c r="B24" s="1980"/>
      <c r="C24" s="2009"/>
      <c r="D24" s="752" t="s">
        <v>1070</v>
      </c>
      <c r="E24" s="554"/>
      <c r="F24" s="554"/>
      <c r="G24" s="554"/>
      <c r="H24" s="554"/>
      <c r="I24" s="560"/>
      <c r="K24" s="597" t="s">
        <v>1406</v>
      </c>
    </row>
    <row r="25" spans="2:11" s="81" customFormat="1">
      <c r="B25" s="1960" t="s">
        <v>123</v>
      </c>
      <c r="C25" s="204" t="s">
        <v>1089</v>
      </c>
      <c r="D25" s="528" t="s">
        <v>986</v>
      </c>
      <c r="E25" s="784"/>
      <c r="F25" s="784">
        <v>1</v>
      </c>
      <c r="G25" s="784">
        <f>+F25*'PROGRAMA ARQ.'!$E$40</f>
        <v>1</v>
      </c>
      <c r="H25" s="784"/>
      <c r="I25" s="988"/>
      <c r="K25" s="1324" t="s">
        <v>1464</v>
      </c>
    </row>
    <row r="26" spans="2:11" s="81" customFormat="1" ht="29" thickBot="1">
      <c r="B26" s="1980"/>
      <c r="C26" s="1054" t="s">
        <v>1090</v>
      </c>
      <c r="D26" s="781" t="s">
        <v>1091</v>
      </c>
      <c r="E26" s="554"/>
      <c r="F26" s="554">
        <f>IF(INICIO!C10&lt;51,0,1)</f>
        <v>1</v>
      </c>
      <c r="G26" s="554">
        <f>+F26*'PROGRAMA ARQ.'!$E$40</f>
        <v>1</v>
      </c>
      <c r="H26" s="554"/>
      <c r="I26" s="560"/>
      <c r="K26" s="597" t="s">
        <v>1421</v>
      </c>
    </row>
    <row r="27" spans="2:11" s="81" customFormat="1">
      <c r="B27" s="1960" t="s">
        <v>124</v>
      </c>
      <c r="C27" s="1906" t="s">
        <v>1072</v>
      </c>
      <c r="D27" s="764" t="s">
        <v>1105</v>
      </c>
      <c r="E27" s="784"/>
      <c r="F27" s="784"/>
      <c r="G27" s="784"/>
      <c r="H27" s="784"/>
      <c r="I27" s="988"/>
      <c r="K27" s="597" t="s">
        <v>1421</v>
      </c>
    </row>
    <row r="28" spans="2:11" s="81" customFormat="1" ht="28">
      <c r="B28" s="1961"/>
      <c r="C28" s="1905"/>
      <c r="D28" s="652" t="s">
        <v>381</v>
      </c>
      <c r="E28" s="632"/>
      <c r="F28" s="632"/>
      <c r="G28" s="632"/>
      <c r="H28" s="632"/>
      <c r="I28" s="989"/>
      <c r="K28" s="597" t="s">
        <v>1406</v>
      </c>
    </row>
    <row r="29" spans="2:11" s="81" customFormat="1" ht="15" thickBot="1">
      <c r="B29" s="1980"/>
      <c r="C29" s="1981"/>
      <c r="D29" s="752" t="s">
        <v>384</v>
      </c>
      <c r="E29" s="554"/>
      <c r="F29" s="554"/>
      <c r="G29" s="554"/>
      <c r="H29" s="554"/>
      <c r="I29" s="560"/>
      <c r="K29" s="597" t="s">
        <v>1406</v>
      </c>
    </row>
    <row r="30" spans="2:11" s="81" customFormat="1" ht="15" thickBot="1">
      <c r="B30" s="2050" t="s">
        <v>132</v>
      </c>
      <c r="C30" s="2051"/>
      <c r="D30" s="816" t="s">
        <v>608</v>
      </c>
      <c r="E30" s="983"/>
      <c r="F30" s="983"/>
      <c r="G30" s="1055"/>
      <c r="H30" s="983"/>
      <c r="I30" s="984"/>
      <c r="K30" s="597" t="s">
        <v>1421</v>
      </c>
    </row>
    <row r="31" spans="2:11" s="81" customFormat="1">
      <c r="B31" s="1960" t="s">
        <v>133</v>
      </c>
      <c r="C31" s="2007"/>
      <c r="D31" s="764" t="s">
        <v>1006</v>
      </c>
      <c r="E31" s="784"/>
      <c r="F31" s="784"/>
      <c r="G31" s="987"/>
      <c r="H31" s="784"/>
      <c r="I31" s="988"/>
      <c r="K31" s="597" t="s">
        <v>935</v>
      </c>
    </row>
    <row r="32" spans="2:11" s="81" customFormat="1">
      <c r="B32" s="1961"/>
      <c r="C32" s="2008"/>
      <c r="D32" s="652" t="s">
        <v>379</v>
      </c>
      <c r="E32" s="512"/>
      <c r="F32" s="512"/>
      <c r="G32" s="512"/>
      <c r="H32" s="512"/>
      <c r="I32" s="518"/>
      <c r="J32" s="362"/>
      <c r="K32" s="597" t="s">
        <v>1406</v>
      </c>
    </row>
    <row r="33" spans="1:11" s="81" customFormat="1">
      <c r="B33" s="1961"/>
      <c r="C33" s="2008"/>
      <c r="D33" s="652" t="s">
        <v>767</v>
      </c>
      <c r="E33" s="512"/>
      <c r="F33" s="512"/>
      <c r="G33" s="512"/>
      <c r="H33" s="512"/>
      <c r="I33" s="518"/>
      <c r="J33" s="362"/>
      <c r="K33" s="597" t="s">
        <v>1432</v>
      </c>
    </row>
    <row r="34" spans="1:11" s="81" customFormat="1">
      <c r="B34" s="1961"/>
      <c r="C34" s="2008"/>
      <c r="D34" s="652" t="s">
        <v>382</v>
      </c>
      <c r="E34" s="512"/>
      <c r="F34" s="512"/>
      <c r="G34" s="512"/>
      <c r="H34" s="512"/>
      <c r="I34" s="518"/>
      <c r="J34" s="362"/>
      <c r="K34" s="597" t="s">
        <v>1406</v>
      </c>
    </row>
    <row r="35" spans="1:11" s="81" customFormat="1">
      <c r="B35" s="1961"/>
      <c r="C35" s="2008"/>
      <c r="D35" s="652" t="s">
        <v>1004</v>
      </c>
      <c r="E35" s="512"/>
      <c r="F35" s="512"/>
      <c r="G35" s="512"/>
      <c r="H35" s="512"/>
      <c r="I35" s="518"/>
      <c r="J35" s="362"/>
      <c r="K35" s="597" t="s">
        <v>1406</v>
      </c>
    </row>
    <row r="36" spans="1:11" s="81" customFormat="1">
      <c r="B36" s="1961"/>
      <c r="C36" s="2008"/>
      <c r="D36" s="652" t="s">
        <v>318</v>
      </c>
      <c r="E36" s="512"/>
      <c r="F36" s="512"/>
      <c r="G36" s="512"/>
      <c r="H36" s="512"/>
      <c r="I36" s="518"/>
      <c r="J36" s="362"/>
      <c r="K36" s="597" t="s">
        <v>1406</v>
      </c>
    </row>
    <row r="37" spans="1:11" s="81" customFormat="1" ht="28">
      <c r="B37" s="1961"/>
      <c r="C37" s="2008"/>
      <c r="D37" s="652" t="s">
        <v>733</v>
      </c>
      <c r="E37" s="632"/>
      <c r="F37" s="632"/>
      <c r="G37" s="632"/>
      <c r="H37" s="632"/>
      <c r="I37" s="989"/>
      <c r="K37" s="597" t="s">
        <v>1406</v>
      </c>
    </row>
    <row r="38" spans="1:11" s="81" customFormat="1" ht="15" thickBot="1">
      <c r="B38" s="1980"/>
      <c r="C38" s="2009"/>
      <c r="D38" s="781" t="s">
        <v>1075</v>
      </c>
      <c r="E38" s="554"/>
      <c r="F38" s="554"/>
      <c r="G38" s="781"/>
      <c r="H38" s="554"/>
      <c r="I38" s="560"/>
      <c r="K38" s="597" t="s">
        <v>1406</v>
      </c>
    </row>
    <row r="39" spans="1:11" s="81" customFormat="1" ht="15" thickBot="1">
      <c r="B39" s="2050" t="s">
        <v>134</v>
      </c>
      <c r="C39" s="2051"/>
      <c r="D39" s="983" t="s">
        <v>391</v>
      </c>
      <c r="E39" s="983"/>
      <c r="F39" s="983"/>
      <c r="G39" s="983"/>
      <c r="H39" s="983"/>
      <c r="I39" s="984"/>
      <c r="K39" s="1324" t="s">
        <v>1464</v>
      </c>
    </row>
    <row r="40" spans="1:11" s="81" customFormat="1">
      <c r="B40" s="1960" t="s">
        <v>135</v>
      </c>
      <c r="C40" s="2061" t="s">
        <v>248</v>
      </c>
      <c r="D40" s="784" t="s">
        <v>1078</v>
      </c>
      <c r="E40" s="784"/>
      <c r="F40" s="784"/>
      <c r="G40" s="784"/>
      <c r="H40" s="784"/>
      <c r="I40" s="988"/>
      <c r="K40" s="597" t="s">
        <v>935</v>
      </c>
    </row>
    <row r="41" spans="1:11" s="81" customFormat="1">
      <c r="B41" s="1961"/>
      <c r="C41" s="2062"/>
      <c r="D41" s="632" t="s">
        <v>326</v>
      </c>
      <c r="E41" s="632"/>
      <c r="F41" s="632"/>
      <c r="G41" s="632"/>
      <c r="H41" s="632"/>
      <c r="I41" s="989"/>
      <c r="K41" s="597" t="s">
        <v>1406</v>
      </c>
    </row>
    <row r="42" spans="1:11" s="81" customFormat="1">
      <c r="B42" s="1961"/>
      <c r="C42" s="2062"/>
      <c r="D42" s="632" t="s">
        <v>750</v>
      </c>
      <c r="E42" s="632"/>
      <c r="F42" s="632"/>
      <c r="G42" s="632"/>
      <c r="H42" s="632"/>
      <c r="I42" s="989"/>
      <c r="K42" s="597" t="s">
        <v>1406</v>
      </c>
    </row>
    <row r="43" spans="1:11" s="81" customFormat="1">
      <c r="B43" s="1961"/>
      <c r="C43" s="2062"/>
      <c r="D43" s="632" t="s">
        <v>536</v>
      </c>
      <c r="E43" s="632"/>
      <c r="F43" s="632"/>
      <c r="G43" s="632"/>
      <c r="H43" s="632"/>
      <c r="I43" s="989"/>
      <c r="K43" s="597" t="s">
        <v>1406</v>
      </c>
    </row>
    <row r="44" spans="1:11" s="81" customFormat="1">
      <c r="B44" s="1961"/>
      <c r="C44" s="2062"/>
      <c r="D44" s="632" t="s">
        <v>1077</v>
      </c>
      <c r="E44" s="632"/>
      <c r="F44" s="632"/>
      <c r="G44" s="632"/>
      <c r="H44" s="632"/>
      <c r="I44" s="989"/>
      <c r="K44" s="597" t="s">
        <v>1406</v>
      </c>
    </row>
    <row r="45" spans="1:11" s="81" customFormat="1">
      <c r="B45" s="1961"/>
      <c r="C45" s="2062" t="s">
        <v>249</v>
      </c>
      <c r="D45" s="632" t="s">
        <v>1076</v>
      </c>
      <c r="E45" s="632"/>
      <c r="F45" s="632"/>
      <c r="G45" s="632"/>
      <c r="H45" s="632"/>
      <c r="I45" s="989"/>
      <c r="K45" s="597" t="s">
        <v>1406</v>
      </c>
    </row>
    <row r="46" spans="1:11" s="81" customFormat="1">
      <c r="B46" s="1961"/>
      <c r="C46" s="2062"/>
      <c r="D46" s="632" t="s">
        <v>536</v>
      </c>
      <c r="E46" s="632"/>
      <c r="F46" s="632"/>
      <c r="G46" s="632"/>
      <c r="H46" s="632"/>
      <c r="I46" s="989"/>
      <c r="K46" s="597" t="s">
        <v>1406</v>
      </c>
    </row>
    <row r="47" spans="1:11" s="81" customFormat="1" ht="15" thickBot="1">
      <c r="B47" s="1980"/>
      <c r="C47" s="1024" t="s">
        <v>250</v>
      </c>
      <c r="D47" s="554" t="s">
        <v>1076</v>
      </c>
      <c r="E47" s="554"/>
      <c r="F47" s="554"/>
      <c r="G47" s="554"/>
      <c r="H47" s="554"/>
      <c r="I47" s="560"/>
      <c r="K47" s="597" t="s">
        <v>1406</v>
      </c>
    </row>
    <row r="48" spans="1:11" s="81" customFormat="1" ht="14.5" customHeight="1">
      <c r="A48" s="1902" t="s">
        <v>137</v>
      </c>
      <c r="B48" s="1960" t="s">
        <v>138</v>
      </c>
      <c r="C48" s="2070" t="s">
        <v>910</v>
      </c>
      <c r="D48" s="784" t="s">
        <v>852</v>
      </c>
      <c r="E48" s="784"/>
      <c r="F48" s="784"/>
      <c r="G48" s="784"/>
      <c r="H48" s="784"/>
      <c r="I48" s="988"/>
      <c r="K48" s="597" t="s">
        <v>1406</v>
      </c>
    </row>
    <row r="49" spans="1:11" s="81" customFormat="1">
      <c r="A49" s="1903"/>
      <c r="B49" s="1961"/>
      <c r="C49" s="2071"/>
      <c r="D49" s="632" t="s">
        <v>1083</v>
      </c>
      <c r="E49" s="632"/>
      <c r="F49" s="632"/>
      <c r="G49" s="632"/>
      <c r="H49" s="632"/>
      <c r="I49" s="989"/>
      <c r="K49" s="1324" t="s">
        <v>436</v>
      </c>
    </row>
    <row r="50" spans="1:11" s="81" customFormat="1">
      <c r="A50" s="1903"/>
      <c r="B50" s="1961"/>
      <c r="C50" s="1023" t="s">
        <v>251</v>
      </c>
      <c r="D50" s="632" t="s">
        <v>1092</v>
      </c>
      <c r="E50" s="632"/>
      <c r="F50" s="632">
        <v>2</v>
      </c>
      <c r="G50" s="632">
        <f>+F50*'PROGRAMA ARQ.'!$E$39</f>
        <v>2</v>
      </c>
      <c r="H50" s="632"/>
      <c r="I50" s="989"/>
      <c r="K50" s="597" t="s">
        <v>1406</v>
      </c>
    </row>
    <row r="51" spans="1:11" s="81" customFormat="1">
      <c r="A51" s="1903"/>
      <c r="B51" s="1961"/>
      <c r="C51" s="2062" t="s">
        <v>252</v>
      </c>
      <c r="D51" s="632" t="s">
        <v>1086</v>
      </c>
      <c r="E51" s="632"/>
      <c r="F51" s="632">
        <v>1</v>
      </c>
      <c r="G51" s="632">
        <f>+F51*'PROGRAMA ARQ.'!$E$39</f>
        <v>1</v>
      </c>
      <c r="H51" s="632"/>
      <c r="I51" s="989"/>
      <c r="K51" s="597" t="s">
        <v>1406</v>
      </c>
    </row>
    <row r="52" spans="1:11" s="81" customFormat="1">
      <c r="A52" s="1903"/>
      <c r="B52" s="1961"/>
      <c r="C52" s="2062"/>
      <c r="D52" s="632" t="s">
        <v>1087</v>
      </c>
      <c r="E52" s="632"/>
      <c r="F52" s="632">
        <v>1</v>
      </c>
      <c r="G52" s="632">
        <f>+F52*'PROGRAMA ARQ.'!$E$39</f>
        <v>1</v>
      </c>
      <c r="H52" s="632"/>
      <c r="I52" s="989"/>
      <c r="K52" s="597" t="s">
        <v>1406</v>
      </c>
    </row>
    <row r="53" spans="1:11" s="81" customFormat="1">
      <c r="A53" s="1903"/>
      <c r="B53" s="1961"/>
      <c r="C53" s="1023" t="s">
        <v>253</v>
      </c>
      <c r="D53" s="632" t="s">
        <v>391</v>
      </c>
      <c r="E53" s="632"/>
      <c r="F53" s="632"/>
      <c r="G53" s="632"/>
      <c r="H53" s="632"/>
      <c r="I53" s="989"/>
      <c r="K53" s="597" t="s">
        <v>1406</v>
      </c>
    </row>
    <row r="54" spans="1:11" s="81" customFormat="1">
      <c r="A54" s="1903"/>
      <c r="B54" s="1961"/>
      <c r="C54" s="1023" t="s">
        <v>254</v>
      </c>
      <c r="D54" s="632" t="s">
        <v>391</v>
      </c>
      <c r="E54" s="632"/>
      <c r="F54" s="632"/>
      <c r="G54" s="632"/>
      <c r="H54" s="632"/>
      <c r="I54" s="989"/>
      <c r="K54" s="597" t="s">
        <v>1406</v>
      </c>
    </row>
    <row r="55" spans="1:11" s="81" customFormat="1" ht="15" thickBot="1">
      <c r="A55" s="1903"/>
      <c r="B55" s="1980"/>
      <c r="C55" s="1024" t="s">
        <v>255</v>
      </c>
      <c r="D55" s="554" t="s">
        <v>391</v>
      </c>
      <c r="E55" s="554"/>
      <c r="F55" s="554"/>
      <c r="G55" s="554"/>
      <c r="H55" s="554"/>
      <c r="I55" s="560"/>
      <c r="K55" s="597" t="s">
        <v>935</v>
      </c>
    </row>
    <row r="56" spans="1:11" s="81" customFormat="1">
      <c r="A56" s="1903"/>
      <c r="B56" s="1960" t="s">
        <v>139</v>
      </c>
      <c r="C56" s="1053" t="s">
        <v>256</v>
      </c>
      <c r="D56" s="784" t="s">
        <v>391</v>
      </c>
      <c r="E56" s="784"/>
      <c r="F56" s="784"/>
      <c r="G56" s="784"/>
      <c r="H56" s="784"/>
      <c r="I56" s="988"/>
      <c r="K56" s="597" t="s">
        <v>935</v>
      </c>
    </row>
    <row r="57" spans="1:11" s="81" customFormat="1" ht="29" thickBot="1">
      <c r="A57" s="1903"/>
      <c r="B57" s="1980"/>
      <c r="C57" s="1051" t="s">
        <v>257</v>
      </c>
      <c r="D57" s="781" t="s">
        <v>1088</v>
      </c>
      <c r="E57" s="554"/>
      <c r="F57" s="554"/>
      <c r="G57" s="554"/>
      <c r="H57" s="554"/>
      <c r="I57" s="560"/>
      <c r="K57" s="597" t="s">
        <v>935</v>
      </c>
    </row>
    <row r="58" spans="1:11" s="81" customFormat="1" ht="15" thickBot="1">
      <c r="A58" s="1903"/>
      <c r="B58" s="2050" t="s">
        <v>142</v>
      </c>
      <c r="C58" s="2051"/>
      <c r="D58" s="983" t="s">
        <v>391</v>
      </c>
      <c r="E58" s="983"/>
      <c r="F58" s="983"/>
      <c r="G58" s="983"/>
      <c r="H58" s="983"/>
      <c r="I58" s="984"/>
      <c r="K58" s="597" t="s">
        <v>935</v>
      </c>
    </row>
    <row r="59" spans="1:11" s="81" customFormat="1">
      <c r="A59" s="1903"/>
      <c r="B59" s="1960" t="s">
        <v>264</v>
      </c>
      <c r="C59" s="2007"/>
      <c r="D59" s="784" t="s">
        <v>771</v>
      </c>
      <c r="E59" s="784"/>
      <c r="F59" s="784"/>
      <c r="G59" s="784"/>
      <c r="H59" s="784"/>
      <c r="I59" s="988"/>
      <c r="K59" s="597" t="s">
        <v>1406</v>
      </c>
    </row>
    <row r="60" spans="1:11" s="81" customFormat="1" ht="15" thickBot="1">
      <c r="A60" s="1904"/>
      <c r="B60" s="1980"/>
      <c r="C60" s="2009"/>
      <c r="D60" s="1056" t="str">
        <f>+C6</f>
        <v>BODEGA DE ALIMENTOS 2 (Perecibles)</v>
      </c>
      <c r="E60" s="554"/>
      <c r="F60" s="554"/>
      <c r="G60" s="554"/>
      <c r="H60" s="554"/>
      <c r="I60" s="560"/>
      <c r="K60" s="597" t="s">
        <v>935</v>
      </c>
    </row>
    <row r="61" spans="1:11">
      <c r="B61" s="369"/>
      <c r="C61" s="369"/>
      <c r="D61" s="370"/>
      <c r="G61" s="370"/>
      <c r="K61" s="597"/>
    </row>
    <row r="62" spans="1:11">
      <c r="B62" s="369"/>
      <c r="C62" s="369"/>
      <c r="D62" s="370"/>
      <c r="K62" s="597" t="s">
        <v>1406</v>
      </c>
    </row>
    <row r="63" spans="1:11">
      <c r="B63" s="487"/>
      <c r="C63" s="487"/>
      <c r="D63" s="370"/>
    </row>
    <row r="64" spans="1:11">
      <c r="B64" s="487"/>
      <c r="C64" s="487"/>
      <c r="D64" s="370"/>
    </row>
    <row r="65" spans="2:12">
      <c r="B65" s="487"/>
      <c r="C65" s="487"/>
      <c r="D65" s="370"/>
    </row>
    <row r="66" spans="2:12">
      <c r="B66" s="481"/>
      <c r="C66" s="481"/>
      <c r="D66" s="489"/>
    </row>
    <row r="67" spans="2:12">
      <c r="C67" s="374"/>
      <c r="D67" s="373"/>
      <c r="L67" s="358"/>
    </row>
    <row r="68" spans="2:12">
      <c r="C68" s="372"/>
      <c r="D68" s="370"/>
    </row>
    <row r="69" spans="2:12">
      <c r="C69" s="372"/>
      <c r="D69" s="370"/>
      <c r="G69" s="370"/>
    </row>
    <row r="70" spans="2:12">
      <c r="C70" s="374"/>
    </row>
    <row r="71" spans="2:12">
      <c r="C71" s="372"/>
      <c r="D71" s="373"/>
      <c r="G71" s="371"/>
    </row>
    <row r="72" spans="2:12">
      <c r="C72" s="372"/>
      <c r="D72" s="373"/>
      <c r="G72" s="371"/>
    </row>
    <row r="73" spans="2:12">
      <c r="B73" s="311"/>
      <c r="C73" s="311"/>
    </row>
    <row r="74" spans="2:12">
      <c r="C74" s="374"/>
      <c r="D74" s="373"/>
    </row>
    <row r="75" spans="2:12">
      <c r="C75" s="374"/>
      <c r="D75" s="373"/>
    </row>
    <row r="76" spans="2:12">
      <c r="B76" s="311"/>
      <c r="C76" s="311"/>
      <c r="D76" s="373"/>
    </row>
    <row r="77" spans="2:12">
      <c r="B77" s="311"/>
      <c r="C77" s="311"/>
      <c r="D77" s="378"/>
    </row>
    <row r="78" spans="2:12">
      <c r="D78" s="378"/>
    </row>
    <row r="79" spans="2:12">
      <c r="D79" s="373"/>
    </row>
    <row r="80" spans="2:12">
      <c r="B80" s="311"/>
      <c r="D80" s="375"/>
    </row>
    <row r="81" spans="2:11">
      <c r="B81" s="311"/>
      <c r="D81" s="365"/>
    </row>
    <row r="82" spans="2:11">
      <c r="C82" s="311"/>
      <c r="D82" s="375"/>
    </row>
    <row r="83" spans="2:11">
      <c r="C83" s="311"/>
      <c r="D83" s="497"/>
    </row>
    <row r="84" spans="2:11">
      <c r="B84" s="311"/>
      <c r="C84" s="311"/>
    </row>
    <row r="85" spans="2:11">
      <c r="B85" s="311"/>
      <c r="C85" s="311"/>
    </row>
    <row r="86" spans="2:11">
      <c r="B86" s="311"/>
      <c r="C86" s="311"/>
    </row>
    <row r="87" spans="2:11">
      <c r="B87" s="311"/>
      <c r="C87" s="311"/>
      <c r="D87" s="375"/>
    </row>
    <row r="88" spans="2:11">
      <c r="B88" s="311"/>
      <c r="C88" s="311"/>
      <c r="D88" s="375"/>
    </row>
    <row r="89" spans="2:11">
      <c r="B89" s="311"/>
      <c r="C89" s="311"/>
      <c r="D89" s="375"/>
    </row>
    <row r="90" spans="2:11">
      <c r="B90" s="311"/>
      <c r="C90" s="311"/>
      <c r="D90" s="375"/>
      <c r="G90" s="370"/>
    </row>
    <row r="91" spans="2:11">
      <c r="B91" s="311"/>
      <c r="C91" s="311"/>
      <c r="D91" s="498"/>
      <c r="K91" s="485"/>
    </row>
    <row r="92" spans="2:11">
      <c r="B92" s="311"/>
      <c r="C92" s="311"/>
      <c r="D92" s="375"/>
      <c r="K92" s="485"/>
    </row>
    <row r="93" spans="2:11">
      <c r="B93" s="311"/>
      <c r="C93" s="311"/>
      <c r="D93" s="375"/>
      <c r="K93" s="485"/>
    </row>
    <row r="94" spans="2:11">
      <c r="B94" s="311"/>
      <c r="C94" s="311"/>
      <c r="D94" s="375"/>
      <c r="K94" s="485"/>
    </row>
    <row r="95" spans="2:11">
      <c r="C95" s="311"/>
      <c r="D95" s="375"/>
    </row>
    <row r="96" spans="2:11">
      <c r="B96" s="311"/>
      <c r="C96" s="311"/>
      <c r="D96" s="375"/>
    </row>
    <row r="97" spans="2:4">
      <c r="B97" s="311"/>
      <c r="C97" s="311"/>
    </row>
    <row r="98" spans="2:4">
      <c r="C98" s="374"/>
    </row>
    <row r="99" spans="2:4">
      <c r="B99" s="311"/>
      <c r="C99" s="311"/>
    </row>
    <row r="100" spans="2:4">
      <c r="C100" s="374"/>
    </row>
    <row r="101" spans="2:4">
      <c r="C101" s="374"/>
      <c r="D101" s="81"/>
    </row>
    <row r="102" spans="2:4">
      <c r="C102" s="374"/>
      <c r="D102" s="81"/>
    </row>
    <row r="103" spans="2:4">
      <c r="B103" s="311"/>
      <c r="C103" s="311"/>
      <c r="D103" s="370"/>
    </row>
    <row r="104" spans="2:4">
      <c r="B104" s="311"/>
      <c r="C104" s="311"/>
    </row>
    <row r="105" spans="2:4">
      <c r="B105" s="311"/>
      <c r="C105" s="311"/>
    </row>
    <row r="106" spans="2:4">
      <c r="C106" s="374"/>
    </row>
    <row r="107" spans="2:4">
      <c r="C107" s="374"/>
      <c r="D107" s="81"/>
    </row>
    <row r="108" spans="2:4">
      <c r="C108" s="374"/>
      <c r="D108" s="81"/>
    </row>
    <row r="109" spans="2:4">
      <c r="C109" s="374"/>
    </row>
    <row r="110" spans="2:4">
      <c r="C110" s="374"/>
    </row>
    <row r="111" spans="2:4">
      <c r="C111" s="374"/>
    </row>
    <row r="112" spans="2:4">
      <c r="C112" s="374"/>
    </row>
    <row r="113" spans="2:4">
      <c r="C113" s="493"/>
      <c r="D113" s="499"/>
    </row>
    <row r="114" spans="2:4">
      <c r="B114" s="311"/>
      <c r="C114" s="311"/>
    </row>
    <row r="115" spans="2:4">
      <c r="C115" s="374"/>
    </row>
    <row r="116" spans="2:4">
      <c r="C116" s="374"/>
    </row>
    <row r="117" spans="2:4">
      <c r="B117" s="311"/>
      <c r="C117" s="311"/>
    </row>
    <row r="118" spans="2:4">
      <c r="B118" s="486"/>
      <c r="C118" s="486"/>
      <c r="D118" s="500"/>
    </row>
  </sheetData>
  <mergeCells count="25">
    <mergeCell ref="B27:B29"/>
    <mergeCell ref="C27:C29"/>
    <mergeCell ref="B30:C30"/>
    <mergeCell ref="B31:C38"/>
    <mergeCell ref="B39:C39"/>
    <mergeCell ref="B13:B16"/>
    <mergeCell ref="B17:B18"/>
    <mergeCell ref="B19:C22"/>
    <mergeCell ref="B23:C24"/>
    <mergeCell ref="B25:B26"/>
    <mergeCell ref="E3:I3"/>
    <mergeCell ref="B2:I2"/>
    <mergeCell ref="E4:I4"/>
    <mergeCell ref="E5:I5"/>
    <mergeCell ref="B9:C12"/>
    <mergeCell ref="B56:B57"/>
    <mergeCell ref="B58:C58"/>
    <mergeCell ref="B59:C60"/>
    <mergeCell ref="A48:A60"/>
    <mergeCell ref="B40:B47"/>
    <mergeCell ref="C40:C44"/>
    <mergeCell ref="C45:C46"/>
    <mergeCell ref="B48:B55"/>
    <mergeCell ref="C48:C49"/>
    <mergeCell ref="C51:C52"/>
  </mergeCells>
  <pageMargins left="0.70866141732283472" right="0.70866141732283472" top="0.74803149606299213" bottom="0.74803149606299213" header="0.31496062992125984" footer="0.31496062992125984"/>
  <pageSetup scale="67" fitToHeight="0" orientation="portrait"/>
  <rowBreaks count="1" manualBreakCount="1">
    <brk id="39"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25C40BCC-016C-4DFD-A911-B7E6D268E020}">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rgb="FFFFC000"/>
    <pageSetUpPr fitToPage="1"/>
  </sheetPr>
  <dimension ref="A1:N57"/>
  <sheetViews>
    <sheetView topLeftCell="D1" workbookViewId="0">
      <selection activeCell="K8" sqref="K8:K14"/>
    </sheetView>
  </sheetViews>
  <sheetFormatPr baseColWidth="10" defaultColWidth="11.5" defaultRowHeight="14" x14ac:dyDescent="0"/>
  <cols>
    <col min="1" max="1" width="2.83203125" style="310" customWidth="1"/>
    <col min="2" max="2" width="30.6640625" style="487" customWidth="1"/>
    <col min="3" max="3" width="30.6640625" style="462" customWidth="1"/>
    <col min="4" max="4" width="50.6640625" style="487" customWidth="1"/>
    <col min="5" max="9" width="3.6640625" style="310" customWidth="1"/>
    <col min="10" max="10" width="16.83203125" style="81" bestFit="1" customWidth="1"/>
    <col min="11" max="11" width="50.6640625" style="310" customWidth="1"/>
    <col min="12" max="12" width="30.6640625" style="310" customWidth="1"/>
    <col min="13" max="13" width="3.5" style="310" customWidth="1"/>
    <col min="14" max="16384" width="11.5" style="310"/>
  </cols>
  <sheetData>
    <row r="1" spans="2:14" ht="15" thickBot="1"/>
    <row r="2" spans="2:14" s="81" customFormat="1" ht="69" customHeight="1" thickBot="1">
      <c r="B2" s="1743"/>
      <c r="C2" s="1744"/>
      <c r="D2" s="1744"/>
      <c r="E2" s="1744"/>
      <c r="F2" s="1744"/>
      <c r="G2" s="1744"/>
      <c r="H2" s="1744"/>
      <c r="I2" s="1745"/>
      <c r="J2" s="382"/>
      <c r="K2" s="507"/>
      <c r="L2" s="507"/>
      <c r="M2" s="362"/>
    </row>
    <row r="3" spans="2:14" s="81" customFormat="1" ht="25.25" customHeight="1" thickBot="1">
      <c r="B3" s="820" t="s">
        <v>1385</v>
      </c>
      <c r="C3" s="821"/>
      <c r="D3" s="822"/>
      <c r="E3" s="1746" t="str">
        <f>+'PROGRAMA ARQ.'!E4</f>
        <v>2 SALAS CUNAS</v>
      </c>
      <c r="F3" s="1747"/>
      <c r="G3" s="1747"/>
      <c r="H3" s="1747"/>
      <c r="I3" s="1748"/>
      <c r="J3" s="382"/>
      <c r="K3" s="507"/>
      <c r="L3" s="507"/>
      <c r="M3" s="362"/>
    </row>
    <row r="4" spans="2:14" s="81" customFormat="1" ht="25.25" customHeight="1" thickBot="1">
      <c r="B4" s="823">
        <f>+'PROGRAMA ARQ.'!I4:I5</f>
        <v>152</v>
      </c>
      <c r="C4" s="505"/>
      <c r="D4" s="661"/>
      <c r="E4" s="1737" t="str">
        <f>+'PROGRAMA ARQ.'!E5</f>
        <v>4 NIVELES MEDIOS</v>
      </c>
      <c r="F4" s="1738"/>
      <c r="G4" s="1738"/>
      <c r="H4" s="1738"/>
      <c r="I4" s="1739"/>
      <c r="J4" s="382"/>
      <c r="K4" s="507"/>
      <c r="L4" s="507"/>
      <c r="M4" s="362"/>
    </row>
    <row r="5" spans="2:14" s="81" customFormat="1" ht="15" thickBot="1">
      <c r="B5" s="695" t="s">
        <v>1374</v>
      </c>
      <c r="C5" s="235" t="s">
        <v>1375</v>
      </c>
      <c r="D5" s="235" t="s">
        <v>1376</v>
      </c>
      <c r="E5" s="1818" t="s">
        <v>1377</v>
      </c>
      <c r="F5" s="1819"/>
      <c r="G5" s="1819"/>
      <c r="H5" s="1819"/>
      <c r="I5" s="1820"/>
      <c r="J5" s="675"/>
      <c r="K5" s="507"/>
      <c r="L5" s="507"/>
      <c r="M5" s="362"/>
    </row>
    <row r="6" spans="2:14" s="616" customFormat="1" ht="71" thickBot="1">
      <c r="B6" s="711" t="str">
        <f>+'PROGRAMA ARQ.'!C41</f>
        <v>3.6</v>
      </c>
      <c r="C6" s="711" t="str">
        <f>+'PROGRAMA ARQ.'!D41</f>
        <v>BODEGA ASEO 1 (Unidad de Alimentación)</v>
      </c>
      <c r="D6" s="831">
        <f>+'PROGRAMA ARQ.'!F41</f>
        <v>1</v>
      </c>
      <c r="E6" s="689" t="s">
        <v>366</v>
      </c>
      <c r="F6" s="690" t="s">
        <v>544</v>
      </c>
      <c r="G6" s="690" t="s">
        <v>2</v>
      </c>
      <c r="H6" s="690" t="s">
        <v>171</v>
      </c>
      <c r="I6" s="691" t="s">
        <v>172</v>
      </c>
      <c r="J6" s="608"/>
      <c r="K6" s="702" t="s">
        <v>293</v>
      </c>
      <c r="L6" s="703" t="s">
        <v>120</v>
      </c>
      <c r="M6" s="846" t="s">
        <v>178</v>
      </c>
    </row>
    <row r="7" spans="2:14" s="367" customFormat="1" ht="16" thickBot="1">
      <c r="B7" s="719" t="s">
        <v>1378</v>
      </c>
      <c r="C7" s="719" t="s">
        <v>1379</v>
      </c>
      <c r="D7" s="666" t="s">
        <v>1380</v>
      </c>
      <c r="E7" s="663"/>
      <c r="F7" s="664"/>
      <c r="G7" s="664"/>
      <c r="H7" s="663"/>
      <c r="I7" s="665"/>
      <c r="J7" s="595"/>
      <c r="K7" s="235"/>
      <c r="L7" s="696"/>
      <c r="M7" s="697"/>
    </row>
    <row r="8" spans="2:14" ht="183" thickBot="1">
      <c r="B8" s="2032" t="s">
        <v>122</v>
      </c>
      <c r="C8" s="2033"/>
      <c r="D8" s="720" t="s">
        <v>1381</v>
      </c>
      <c r="E8" s="750"/>
      <c r="F8" s="750"/>
      <c r="G8" s="1019"/>
      <c r="H8" s="750"/>
      <c r="I8" s="810"/>
      <c r="K8" s="597" t="s">
        <v>1406</v>
      </c>
      <c r="N8" s="310">
        <f>G8</f>
        <v>0</v>
      </c>
    </row>
    <row r="9" spans="2:14">
      <c r="B9" s="1755" t="s">
        <v>1388</v>
      </c>
      <c r="C9" s="2020"/>
      <c r="D9" s="588" t="s">
        <v>914</v>
      </c>
      <c r="E9" s="762"/>
      <c r="F9" s="762"/>
      <c r="G9" s="762"/>
      <c r="H9" s="762"/>
      <c r="I9" s="805"/>
      <c r="K9" s="597" t="s">
        <v>1421</v>
      </c>
    </row>
    <row r="10" spans="2:14" s="362" customFormat="1" ht="43" thickBot="1">
      <c r="B10" s="1968"/>
      <c r="C10" s="2022"/>
      <c r="D10" s="724" t="s">
        <v>1367</v>
      </c>
      <c r="E10" s="724"/>
      <c r="F10" s="519"/>
      <c r="G10" s="519"/>
      <c r="H10" s="519"/>
      <c r="I10" s="520"/>
      <c r="K10" s="597" t="s">
        <v>1406</v>
      </c>
    </row>
    <row r="11" spans="2:14" ht="28">
      <c r="B11" s="1966" t="s">
        <v>143</v>
      </c>
      <c r="C11" s="873" t="s">
        <v>241</v>
      </c>
      <c r="D11" s="764" t="s">
        <v>907</v>
      </c>
      <c r="E11" s="762"/>
      <c r="F11" s="762"/>
      <c r="G11" s="762"/>
      <c r="H11" s="762"/>
      <c r="I11" s="805"/>
      <c r="K11" s="597" t="s">
        <v>1406</v>
      </c>
      <c r="L11" s="358"/>
    </row>
    <row r="12" spans="2:14" ht="28">
      <c r="B12" s="1967"/>
      <c r="C12" s="874" t="s">
        <v>242</v>
      </c>
      <c r="D12" s="590" t="s">
        <v>1093</v>
      </c>
      <c r="E12" s="642"/>
      <c r="F12" s="642"/>
      <c r="G12" s="642"/>
      <c r="H12" s="642"/>
      <c r="I12" s="791"/>
      <c r="K12" s="597" t="s">
        <v>1406</v>
      </c>
    </row>
    <row r="13" spans="2:14">
      <c r="B13" s="1967"/>
      <c r="C13" s="874" t="s">
        <v>243</v>
      </c>
      <c r="D13" s="633" t="s">
        <v>300</v>
      </c>
      <c r="E13" s="642"/>
      <c r="F13" s="642"/>
      <c r="G13" s="645"/>
      <c r="H13" s="642"/>
      <c r="I13" s="791"/>
      <c r="K13" s="597" t="s">
        <v>935</v>
      </c>
    </row>
    <row r="14" spans="2:14" ht="15" thickBot="1">
      <c r="B14" s="1968"/>
      <c r="C14" s="770" t="s">
        <v>244</v>
      </c>
      <c r="D14" s="724" t="s">
        <v>300</v>
      </c>
      <c r="E14" s="759"/>
      <c r="F14" s="759"/>
      <c r="G14" s="813"/>
      <c r="H14" s="759"/>
      <c r="I14" s="592"/>
      <c r="K14" s="597" t="s">
        <v>935</v>
      </c>
    </row>
    <row r="15" spans="2:14">
      <c r="B15" s="2072" t="s">
        <v>144</v>
      </c>
      <c r="C15" s="873" t="s">
        <v>245</v>
      </c>
      <c r="D15" s="726" t="s">
        <v>915</v>
      </c>
      <c r="E15" s="762"/>
      <c r="F15" s="762"/>
      <c r="G15" s="762"/>
      <c r="H15" s="762"/>
      <c r="I15" s="805"/>
      <c r="K15" s="597" t="s">
        <v>1406</v>
      </c>
    </row>
    <row r="16" spans="2:14" ht="15" thickBot="1">
      <c r="B16" s="2073"/>
      <c r="C16" s="770" t="s">
        <v>246</v>
      </c>
      <c r="D16" s="724" t="s">
        <v>300</v>
      </c>
      <c r="E16" s="759"/>
      <c r="F16" s="759"/>
      <c r="G16" s="759"/>
      <c r="H16" s="759"/>
      <c r="I16" s="592"/>
      <c r="K16" s="597" t="s">
        <v>935</v>
      </c>
    </row>
    <row r="17" spans="2:11" s="81" customFormat="1">
      <c r="B17" s="1960" t="s">
        <v>141</v>
      </c>
      <c r="C17" s="2007"/>
      <c r="D17" s="764" t="s">
        <v>732</v>
      </c>
      <c r="E17" s="784"/>
      <c r="F17" s="784"/>
      <c r="G17" s="784"/>
      <c r="H17" s="784"/>
      <c r="I17" s="988"/>
      <c r="K17" s="597" t="s">
        <v>1406</v>
      </c>
    </row>
    <row r="18" spans="2:11" s="81" customFormat="1">
      <c r="B18" s="1961"/>
      <c r="C18" s="2008"/>
      <c r="D18" s="628" t="s">
        <v>1074</v>
      </c>
      <c r="E18" s="632"/>
      <c r="F18" s="632"/>
      <c r="G18" s="632"/>
      <c r="H18" s="632"/>
      <c r="I18" s="989"/>
      <c r="K18" s="597" t="s">
        <v>1406</v>
      </c>
    </row>
    <row r="19" spans="2:11" s="81" customFormat="1">
      <c r="B19" s="1961"/>
      <c r="C19" s="2008"/>
      <c r="D19" s="628" t="s">
        <v>263</v>
      </c>
      <c r="E19" s="632"/>
      <c r="F19" s="632"/>
      <c r="G19" s="632"/>
      <c r="H19" s="632"/>
      <c r="I19" s="989"/>
      <c r="K19" s="597" t="s">
        <v>1406</v>
      </c>
    </row>
    <row r="20" spans="2:11" s="81" customFormat="1" ht="29" thickBot="1">
      <c r="B20" s="1980"/>
      <c r="C20" s="2009"/>
      <c r="D20" s="752" t="s">
        <v>262</v>
      </c>
      <c r="E20" s="554"/>
      <c r="F20" s="554"/>
      <c r="G20" s="554"/>
      <c r="H20" s="554"/>
      <c r="I20" s="560"/>
      <c r="K20" s="597" t="s">
        <v>1406</v>
      </c>
    </row>
    <row r="21" spans="2:11" ht="15" thickBot="1">
      <c r="B21" s="2032" t="s">
        <v>140</v>
      </c>
      <c r="C21" s="2033"/>
      <c r="D21" s="815" t="s">
        <v>300</v>
      </c>
      <c r="E21" s="750"/>
      <c r="F21" s="750"/>
      <c r="G21" s="750"/>
      <c r="H21" s="750"/>
      <c r="I21" s="810"/>
      <c r="K21" s="597" t="s">
        <v>935</v>
      </c>
    </row>
    <row r="22" spans="2:11" ht="28">
      <c r="B22" s="1966" t="s">
        <v>123</v>
      </c>
      <c r="C22" s="873" t="s">
        <v>1099</v>
      </c>
      <c r="D22" s="588" t="s">
        <v>1101</v>
      </c>
      <c r="E22" s="762"/>
      <c r="F22" s="762">
        <v>1</v>
      </c>
      <c r="G22" s="784">
        <f>+F22*'PROGRAMA ARQ.'!$E$41</f>
        <v>1</v>
      </c>
      <c r="H22" s="762"/>
      <c r="I22" s="805"/>
      <c r="K22" s="597" t="s">
        <v>1406</v>
      </c>
    </row>
    <row r="23" spans="2:11" ht="15" thickBot="1">
      <c r="B23" s="1968"/>
      <c r="C23" s="770" t="s">
        <v>1100</v>
      </c>
      <c r="D23" s="552" t="s">
        <v>1502</v>
      </c>
      <c r="E23" s="759"/>
      <c r="F23" s="759">
        <v>2</v>
      </c>
      <c r="G23" s="554">
        <f>+F23*'PROGRAMA ARQ.'!$E$41</f>
        <v>2</v>
      </c>
      <c r="H23" s="759"/>
      <c r="I23" s="592"/>
      <c r="J23" s="1431" t="s">
        <v>1503</v>
      </c>
      <c r="K23" s="597" t="s">
        <v>1406</v>
      </c>
    </row>
    <row r="24" spans="2:11">
      <c r="B24" s="1966" t="s">
        <v>124</v>
      </c>
      <c r="C24" s="1948" t="s">
        <v>916</v>
      </c>
      <c r="D24" s="776" t="s">
        <v>1104</v>
      </c>
      <c r="E24" s="762"/>
      <c r="F24" s="762"/>
      <c r="G24" s="762"/>
      <c r="H24" s="762"/>
      <c r="I24" s="805"/>
      <c r="K24" s="597" t="s">
        <v>1406</v>
      </c>
    </row>
    <row r="25" spans="2:11" ht="28">
      <c r="B25" s="1967"/>
      <c r="C25" s="1949"/>
      <c r="D25" s="633" t="s">
        <v>381</v>
      </c>
      <c r="E25" s="642"/>
      <c r="F25" s="642"/>
      <c r="G25" s="644"/>
      <c r="H25" s="642"/>
      <c r="I25" s="791"/>
      <c r="K25" s="597" t="s">
        <v>1406</v>
      </c>
    </row>
    <row r="26" spans="2:11" ht="15" thickBot="1">
      <c r="B26" s="1968"/>
      <c r="C26" s="1979"/>
      <c r="D26" s="724" t="s">
        <v>384</v>
      </c>
      <c r="E26" s="759"/>
      <c r="F26" s="759"/>
      <c r="G26" s="1012"/>
      <c r="H26" s="759"/>
      <c r="I26" s="592"/>
      <c r="K26" s="597" t="s">
        <v>1421</v>
      </c>
    </row>
    <row r="27" spans="2:11" ht="15" thickBot="1">
      <c r="B27" s="2032" t="s">
        <v>132</v>
      </c>
      <c r="C27" s="2033"/>
      <c r="D27" s="815" t="s">
        <v>298</v>
      </c>
      <c r="E27" s="750"/>
      <c r="F27" s="750"/>
      <c r="G27" s="1019"/>
      <c r="H27" s="750"/>
      <c r="I27" s="810"/>
      <c r="K27" s="597" t="s">
        <v>935</v>
      </c>
    </row>
    <row r="28" spans="2:11" s="81" customFormat="1">
      <c r="B28" s="1960" t="s">
        <v>133</v>
      </c>
      <c r="C28" s="2007"/>
      <c r="D28" s="764" t="s">
        <v>1003</v>
      </c>
      <c r="E28" s="784"/>
      <c r="F28" s="784"/>
      <c r="G28" s="987"/>
      <c r="H28" s="784"/>
      <c r="I28" s="988"/>
      <c r="K28" s="597" t="s">
        <v>1406</v>
      </c>
    </row>
    <row r="29" spans="2:11" s="81" customFormat="1">
      <c r="B29" s="1961"/>
      <c r="C29" s="2008"/>
      <c r="D29" s="652" t="s">
        <v>379</v>
      </c>
      <c r="E29" s="512"/>
      <c r="F29" s="512"/>
      <c r="G29" s="512"/>
      <c r="H29" s="512"/>
      <c r="I29" s="518"/>
      <c r="J29" s="362"/>
      <c r="K29" s="597" t="s">
        <v>1406</v>
      </c>
    </row>
    <row r="30" spans="2:11" s="81" customFormat="1">
      <c r="B30" s="1961"/>
      <c r="C30" s="2008"/>
      <c r="D30" s="652" t="s">
        <v>767</v>
      </c>
      <c r="E30" s="512"/>
      <c r="F30" s="512"/>
      <c r="G30" s="512"/>
      <c r="H30" s="512"/>
      <c r="I30" s="518"/>
      <c r="J30" s="362"/>
      <c r="K30" s="597" t="s">
        <v>1421</v>
      </c>
    </row>
    <row r="31" spans="2:11" s="81" customFormat="1">
      <c r="B31" s="1961"/>
      <c r="C31" s="2008"/>
      <c r="D31" s="652" t="s">
        <v>382</v>
      </c>
      <c r="E31" s="512"/>
      <c r="F31" s="512"/>
      <c r="G31" s="512"/>
      <c r="H31" s="512"/>
      <c r="I31" s="518"/>
      <c r="J31" s="362"/>
      <c r="K31" s="597" t="s">
        <v>935</v>
      </c>
    </row>
    <row r="32" spans="2:11" s="81" customFormat="1">
      <c r="B32" s="1961"/>
      <c r="C32" s="2008"/>
      <c r="D32" s="652" t="s">
        <v>1004</v>
      </c>
      <c r="E32" s="512"/>
      <c r="F32" s="512"/>
      <c r="G32" s="512"/>
      <c r="H32" s="512"/>
      <c r="I32" s="518"/>
      <c r="J32" s="362"/>
      <c r="K32" s="597" t="s">
        <v>1406</v>
      </c>
    </row>
    <row r="33" spans="1:11" s="81" customFormat="1">
      <c r="B33" s="1961"/>
      <c r="C33" s="2008"/>
      <c r="D33" s="652" t="s">
        <v>318</v>
      </c>
      <c r="E33" s="512"/>
      <c r="F33" s="512"/>
      <c r="G33" s="512"/>
      <c r="H33" s="512"/>
      <c r="I33" s="518"/>
      <c r="J33" s="362"/>
      <c r="K33" s="597" t="s">
        <v>1432</v>
      </c>
    </row>
    <row r="34" spans="1:11" s="81" customFormat="1" ht="29" thickBot="1">
      <c r="B34" s="1980"/>
      <c r="C34" s="2009"/>
      <c r="D34" s="752" t="s">
        <v>733</v>
      </c>
      <c r="E34" s="554"/>
      <c r="F34" s="554"/>
      <c r="G34" s="554"/>
      <c r="H34" s="554"/>
      <c r="I34" s="560"/>
      <c r="K34" s="597" t="s">
        <v>1406</v>
      </c>
    </row>
    <row r="35" spans="1:11" ht="15" thickBot="1">
      <c r="B35" s="2032" t="s">
        <v>134</v>
      </c>
      <c r="C35" s="2033"/>
      <c r="D35" s="720" t="s">
        <v>298</v>
      </c>
      <c r="E35" s="750"/>
      <c r="F35" s="750"/>
      <c r="G35" s="750"/>
      <c r="H35" s="750"/>
      <c r="I35" s="810"/>
      <c r="K35" s="597" t="s">
        <v>935</v>
      </c>
    </row>
    <row r="36" spans="1:11" s="81" customFormat="1">
      <c r="B36" s="1960" t="s">
        <v>135</v>
      </c>
      <c r="C36" s="2061" t="s">
        <v>248</v>
      </c>
      <c r="D36" s="784" t="s">
        <v>1078</v>
      </c>
      <c r="E36" s="784"/>
      <c r="F36" s="784"/>
      <c r="G36" s="784"/>
      <c r="H36" s="784"/>
      <c r="I36" s="988"/>
      <c r="K36" s="597" t="s">
        <v>1406</v>
      </c>
    </row>
    <row r="37" spans="1:11" s="81" customFormat="1">
      <c r="B37" s="1961"/>
      <c r="C37" s="2062"/>
      <c r="D37" s="632" t="s">
        <v>326</v>
      </c>
      <c r="E37" s="632"/>
      <c r="F37" s="632"/>
      <c r="G37" s="632"/>
      <c r="H37" s="632"/>
      <c r="I37" s="989"/>
      <c r="K37" s="597" t="s">
        <v>1406</v>
      </c>
    </row>
    <row r="38" spans="1:11" s="81" customFormat="1">
      <c r="B38" s="1961"/>
      <c r="C38" s="2062"/>
      <c r="D38" s="632" t="s">
        <v>750</v>
      </c>
      <c r="E38" s="632"/>
      <c r="F38" s="632"/>
      <c r="G38" s="632"/>
      <c r="H38" s="632"/>
      <c r="I38" s="989"/>
      <c r="K38" s="597" t="s">
        <v>1406</v>
      </c>
    </row>
    <row r="39" spans="1:11" s="81" customFormat="1">
      <c r="B39" s="1961"/>
      <c r="C39" s="2062"/>
      <c r="D39" s="632" t="s">
        <v>536</v>
      </c>
      <c r="E39" s="632"/>
      <c r="F39" s="632"/>
      <c r="G39" s="632"/>
      <c r="H39" s="632"/>
      <c r="I39" s="989"/>
      <c r="K39" s="597" t="s">
        <v>1406</v>
      </c>
    </row>
    <row r="40" spans="1:11" s="81" customFormat="1">
      <c r="B40" s="1961"/>
      <c r="C40" s="2062"/>
      <c r="D40" s="632" t="s">
        <v>1077</v>
      </c>
      <c r="E40" s="632"/>
      <c r="F40" s="632"/>
      <c r="G40" s="632"/>
      <c r="H40" s="632"/>
      <c r="I40" s="989"/>
      <c r="K40" s="597" t="s">
        <v>1406</v>
      </c>
    </row>
    <row r="41" spans="1:11" s="81" customFormat="1">
      <c r="B41" s="1961"/>
      <c r="C41" s="2062" t="s">
        <v>249</v>
      </c>
      <c r="D41" s="632" t="s">
        <v>1076</v>
      </c>
      <c r="E41" s="632"/>
      <c r="F41" s="632"/>
      <c r="G41" s="632"/>
      <c r="H41" s="632"/>
      <c r="I41" s="989"/>
      <c r="K41" s="597" t="s">
        <v>1406</v>
      </c>
    </row>
    <row r="42" spans="1:11" s="81" customFormat="1">
      <c r="B42" s="1961"/>
      <c r="C42" s="2062"/>
      <c r="D42" s="632" t="s">
        <v>536</v>
      </c>
      <c r="E42" s="632"/>
      <c r="F42" s="632"/>
      <c r="G42" s="632"/>
      <c r="H42" s="632"/>
      <c r="I42" s="989"/>
      <c r="K42" s="597" t="s">
        <v>1406</v>
      </c>
    </row>
    <row r="43" spans="1:11" s="81" customFormat="1" ht="15" thickBot="1">
      <c r="B43" s="1980"/>
      <c r="C43" s="1024" t="s">
        <v>250</v>
      </c>
      <c r="D43" s="554" t="s">
        <v>1076</v>
      </c>
      <c r="E43" s="554"/>
      <c r="F43" s="554"/>
      <c r="G43" s="554"/>
      <c r="H43" s="554"/>
      <c r="I43" s="560"/>
      <c r="K43" s="597" t="s">
        <v>1406</v>
      </c>
    </row>
    <row r="44" spans="1:11" ht="14.5" customHeight="1">
      <c r="A44" s="1945" t="s">
        <v>137</v>
      </c>
      <c r="B44" s="1966" t="s">
        <v>138</v>
      </c>
      <c r="C44" s="2030" t="s">
        <v>910</v>
      </c>
      <c r="D44" s="784" t="s">
        <v>852</v>
      </c>
      <c r="E44" s="762"/>
      <c r="F44" s="762"/>
      <c r="G44" s="762"/>
      <c r="H44" s="762"/>
      <c r="I44" s="805"/>
      <c r="K44" s="597" t="s">
        <v>436</v>
      </c>
    </row>
    <row r="45" spans="1:11">
      <c r="A45" s="1946"/>
      <c r="B45" s="1967"/>
      <c r="C45" s="2031"/>
      <c r="D45" s="632" t="s">
        <v>1083</v>
      </c>
      <c r="E45" s="642"/>
      <c r="F45" s="642"/>
      <c r="G45" s="642"/>
      <c r="H45" s="642"/>
      <c r="I45" s="791"/>
      <c r="K45" s="597" t="s">
        <v>1406</v>
      </c>
    </row>
    <row r="46" spans="1:11">
      <c r="A46" s="1946"/>
      <c r="B46" s="1967"/>
      <c r="C46" s="1057" t="s">
        <v>251</v>
      </c>
      <c r="D46" s="513" t="s">
        <v>1094</v>
      </c>
      <c r="E46" s="642"/>
      <c r="F46" s="642">
        <v>1</v>
      </c>
      <c r="G46" s="632">
        <f>+F46*'PROGRAMA ARQ.'!$E$41</f>
        <v>1</v>
      </c>
      <c r="H46" s="642"/>
      <c r="I46" s="791"/>
      <c r="K46" s="597" t="s">
        <v>1406</v>
      </c>
    </row>
    <row r="47" spans="1:11">
      <c r="A47" s="1946"/>
      <c r="B47" s="1967"/>
      <c r="C47" s="1057" t="s">
        <v>252</v>
      </c>
      <c r="D47" s="513" t="s">
        <v>1095</v>
      </c>
      <c r="E47" s="642"/>
      <c r="F47" s="642">
        <v>1</v>
      </c>
      <c r="G47" s="632">
        <f>+F47*'PROGRAMA ARQ.'!$E$41</f>
        <v>1</v>
      </c>
      <c r="H47" s="642"/>
      <c r="I47" s="791"/>
      <c r="K47" s="597" t="s">
        <v>1406</v>
      </c>
    </row>
    <row r="48" spans="1:11">
      <c r="A48" s="1946"/>
      <c r="B48" s="1967"/>
      <c r="C48" s="1057" t="s">
        <v>253</v>
      </c>
      <c r="D48" s="513" t="s">
        <v>298</v>
      </c>
      <c r="E48" s="642"/>
      <c r="F48" s="642"/>
      <c r="G48" s="642"/>
      <c r="H48" s="642"/>
      <c r="I48" s="791"/>
      <c r="K48" s="597" t="s">
        <v>935</v>
      </c>
    </row>
    <row r="49" spans="1:11">
      <c r="A49" s="1946"/>
      <c r="B49" s="1967"/>
      <c r="C49" s="1057" t="s">
        <v>254</v>
      </c>
      <c r="D49" s="513" t="s">
        <v>298</v>
      </c>
      <c r="E49" s="642"/>
      <c r="F49" s="642"/>
      <c r="G49" s="642"/>
      <c r="H49" s="642"/>
      <c r="I49" s="791"/>
      <c r="K49" s="597" t="s">
        <v>935</v>
      </c>
    </row>
    <row r="50" spans="1:11" ht="15" thickBot="1">
      <c r="A50" s="1946"/>
      <c r="B50" s="1968"/>
      <c r="C50" s="1058" t="s">
        <v>255</v>
      </c>
      <c r="D50" s="552" t="s">
        <v>298</v>
      </c>
      <c r="E50" s="759"/>
      <c r="F50" s="759"/>
      <c r="G50" s="759"/>
      <c r="H50" s="759"/>
      <c r="I50" s="592"/>
      <c r="K50" s="597" t="s">
        <v>935</v>
      </c>
    </row>
    <row r="51" spans="1:11">
      <c r="A51" s="1946"/>
      <c r="B51" s="1966" t="s">
        <v>139</v>
      </c>
      <c r="C51" s="1059" t="s">
        <v>256</v>
      </c>
      <c r="D51" s="589" t="s">
        <v>298</v>
      </c>
      <c r="E51" s="762"/>
      <c r="F51" s="762"/>
      <c r="G51" s="762"/>
      <c r="H51" s="762"/>
      <c r="I51" s="805"/>
      <c r="K51" s="597" t="s">
        <v>935</v>
      </c>
    </row>
    <row r="52" spans="1:11" ht="29" thickBot="1">
      <c r="A52" s="1946"/>
      <c r="B52" s="1968"/>
      <c r="C52" s="1058" t="s">
        <v>257</v>
      </c>
      <c r="D52" s="781" t="s">
        <v>1096</v>
      </c>
      <c r="E52" s="759"/>
      <c r="F52" s="759"/>
      <c r="G52" s="759"/>
      <c r="H52" s="759"/>
      <c r="I52" s="592"/>
      <c r="K52" s="597" t="s">
        <v>1406</v>
      </c>
    </row>
    <row r="53" spans="1:11">
      <c r="A53" s="1946"/>
      <c r="B53" s="1966" t="s">
        <v>142</v>
      </c>
      <c r="C53" s="2020"/>
      <c r="D53" s="1396" t="s">
        <v>1492</v>
      </c>
      <c r="E53" s="762"/>
      <c r="F53" s="762"/>
      <c r="G53" s="762"/>
      <c r="H53" s="762"/>
      <c r="I53" s="805"/>
      <c r="K53" s="597" t="s">
        <v>1406</v>
      </c>
    </row>
    <row r="54" spans="1:11">
      <c r="A54" s="1946"/>
      <c r="B54" s="1967"/>
      <c r="C54" s="2021"/>
      <c r="D54" s="513" t="s">
        <v>1098</v>
      </c>
      <c r="E54" s="642"/>
      <c r="F54" s="642"/>
      <c r="G54" s="642"/>
      <c r="H54" s="642"/>
      <c r="I54" s="791"/>
      <c r="K54" s="597" t="s">
        <v>1406</v>
      </c>
    </row>
    <row r="55" spans="1:11" ht="15" thickBot="1">
      <c r="A55" s="1946"/>
      <c r="B55" s="1968"/>
      <c r="C55" s="2022"/>
      <c r="D55" s="552" t="s">
        <v>1097</v>
      </c>
      <c r="E55" s="759"/>
      <c r="F55" s="759"/>
      <c r="G55" s="759"/>
      <c r="H55" s="759"/>
      <c r="I55" s="592"/>
      <c r="K55" s="597" t="s">
        <v>1406</v>
      </c>
    </row>
    <row r="56" spans="1:11">
      <c r="A56" s="470"/>
      <c r="B56" s="1966" t="s">
        <v>264</v>
      </c>
      <c r="C56" s="2020"/>
      <c r="D56" s="528" t="s">
        <v>771</v>
      </c>
      <c r="E56" s="762"/>
      <c r="F56" s="762"/>
      <c r="G56" s="762"/>
      <c r="H56" s="762"/>
      <c r="I56" s="805"/>
    </row>
    <row r="57" spans="1:11" ht="15" thickBot="1">
      <c r="A57" s="804"/>
      <c r="B57" s="1968"/>
      <c r="C57" s="2022"/>
      <c r="D57" s="1060" t="s">
        <v>917</v>
      </c>
      <c r="E57" s="759"/>
      <c r="F57" s="759"/>
      <c r="G57" s="759"/>
      <c r="H57" s="759"/>
      <c r="I57" s="592"/>
      <c r="K57" s="597" t="s">
        <v>1406</v>
      </c>
    </row>
  </sheetData>
  <mergeCells count="25">
    <mergeCell ref="E3:I3"/>
    <mergeCell ref="B2:I2"/>
    <mergeCell ref="E4:I4"/>
    <mergeCell ref="A44:A55"/>
    <mergeCell ref="E5:I5"/>
    <mergeCell ref="B8:C8"/>
    <mergeCell ref="B9:C10"/>
    <mergeCell ref="B11:B14"/>
    <mergeCell ref="B15:B16"/>
    <mergeCell ref="B17:C20"/>
    <mergeCell ref="B21:C21"/>
    <mergeCell ref="B22:B23"/>
    <mergeCell ref="B24:B26"/>
    <mergeCell ref="C24:C26"/>
    <mergeCell ref="B27:C27"/>
    <mergeCell ref="B28:C34"/>
    <mergeCell ref="B51:B52"/>
    <mergeCell ref="B53:C55"/>
    <mergeCell ref="B56:C57"/>
    <mergeCell ref="B35:C35"/>
    <mergeCell ref="B36:B43"/>
    <mergeCell ref="C36:C40"/>
    <mergeCell ref="C41:C42"/>
    <mergeCell ref="B44:B50"/>
    <mergeCell ref="C44:C45"/>
  </mergeCells>
  <pageMargins left="0.70866141732283472" right="0.70866141732283472" top="0.74803149606299213" bottom="0.74803149606299213" header="0.31496062992125984" footer="0.31496062992125984"/>
  <pageSetup scale="67" fitToHeight="0" orientation="portrait"/>
  <rowBreaks count="1" manualBreakCount="1">
    <brk id="43"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6EC74915-575C-4347-BF7E-FC81A7063E01}">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rgb="FFFFC000"/>
    <pageSetUpPr fitToPage="1"/>
  </sheetPr>
  <dimension ref="A1:M52"/>
  <sheetViews>
    <sheetView topLeftCell="C1" workbookViewId="0">
      <selection activeCell="K8" sqref="K8:K14"/>
    </sheetView>
  </sheetViews>
  <sheetFormatPr baseColWidth="10" defaultColWidth="11.5" defaultRowHeight="14" x14ac:dyDescent="0"/>
  <cols>
    <col min="1" max="1" width="5.83203125" style="310" customWidth="1"/>
    <col min="2" max="3" width="30.6640625" style="310" customWidth="1"/>
    <col min="4" max="4" width="50.6640625" style="310" customWidth="1"/>
    <col min="5" max="9" width="3.6640625" style="310" customWidth="1"/>
    <col min="10" max="10" width="7.5" style="81" customWidth="1"/>
    <col min="11" max="11" width="50.6640625" style="310" customWidth="1"/>
    <col min="12" max="12" width="30.6640625" style="310" customWidth="1"/>
    <col min="13" max="13" width="3.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68.25" customHeight="1" thickBot="1">
      <c r="B6" s="711" t="str">
        <f>+'PROGRAMA ARQ.'!C42</f>
        <v>3.7</v>
      </c>
      <c r="C6" s="711" t="str">
        <f>+'PROGRAMA ARQ.'!D42</f>
        <v>BODEGA ASEO 2 (General)</v>
      </c>
      <c r="D6" s="831">
        <f>+'PROGRAMA ARQ.'!F42</f>
        <v>7</v>
      </c>
      <c r="E6" s="689" t="s">
        <v>366</v>
      </c>
      <c r="F6" s="690" t="s">
        <v>544</v>
      </c>
      <c r="G6" s="690" t="s">
        <v>2</v>
      </c>
      <c r="H6" s="690" t="s">
        <v>171</v>
      </c>
      <c r="I6" s="691" t="s">
        <v>172</v>
      </c>
      <c r="J6" s="608"/>
      <c r="K6" s="702" t="s">
        <v>293</v>
      </c>
      <c r="L6" s="703" t="s">
        <v>120</v>
      </c>
      <c r="M6" s="846" t="s">
        <v>178</v>
      </c>
    </row>
    <row r="7" spans="2:13" s="367" customFormat="1" ht="16" thickBot="1">
      <c r="B7" s="719" t="s">
        <v>1378</v>
      </c>
      <c r="C7" s="719" t="s">
        <v>1379</v>
      </c>
      <c r="D7" s="666" t="s">
        <v>1380</v>
      </c>
      <c r="E7" s="663"/>
      <c r="F7" s="664"/>
      <c r="G7" s="664"/>
      <c r="H7" s="663"/>
      <c r="I7" s="665"/>
      <c r="J7" s="595"/>
      <c r="K7" s="235"/>
      <c r="L7" s="696"/>
      <c r="M7" s="697"/>
    </row>
    <row r="8" spans="2:13" ht="183" thickBot="1">
      <c r="B8" s="1025" t="s">
        <v>122</v>
      </c>
      <c r="C8" s="1026"/>
      <c r="D8" s="1008" t="s">
        <v>1381</v>
      </c>
      <c r="E8" s="1008"/>
      <c r="F8" s="353"/>
      <c r="G8" s="353"/>
      <c r="H8" s="1008"/>
      <c r="I8" s="215"/>
    </row>
    <row r="9" spans="2:13">
      <c r="B9" s="1966" t="s">
        <v>125</v>
      </c>
      <c r="C9" s="2020"/>
      <c r="D9" s="809" t="s">
        <v>387</v>
      </c>
      <c r="E9" s="809"/>
      <c r="F9" s="762"/>
      <c r="G9" s="762"/>
      <c r="H9" s="762"/>
      <c r="I9" s="805"/>
      <c r="K9" s="496" t="s">
        <v>1406</v>
      </c>
    </row>
    <row r="10" spans="2:13" ht="43" thickBot="1">
      <c r="B10" s="1968"/>
      <c r="C10" s="2022"/>
      <c r="D10" s="1012" t="s">
        <v>1367</v>
      </c>
      <c r="E10" s="1012"/>
      <c r="F10" s="759"/>
      <c r="G10" s="759"/>
      <c r="H10" s="759"/>
      <c r="I10" s="592"/>
      <c r="K10" s="496" t="s">
        <v>1406</v>
      </c>
    </row>
    <row r="11" spans="2:13" ht="28">
      <c r="B11" s="1966" t="s">
        <v>143</v>
      </c>
      <c r="C11" s="1022" t="s">
        <v>241</v>
      </c>
      <c r="D11" s="761" t="s">
        <v>368</v>
      </c>
      <c r="E11" s="762"/>
      <c r="F11" s="762"/>
      <c r="G11" s="762"/>
      <c r="H11" s="762"/>
      <c r="I11" s="805"/>
      <c r="K11" s="496" t="s">
        <v>1406</v>
      </c>
      <c r="L11" s="358"/>
    </row>
    <row r="12" spans="2:13" ht="33" customHeight="1">
      <c r="B12" s="1967"/>
      <c r="C12" s="1009" t="s">
        <v>242</v>
      </c>
      <c r="D12" s="644" t="s">
        <v>375</v>
      </c>
      <c r="E12" s="644"/>
      <c r="F12" s="642"/>
      <c r="G12" s="642"/>
      <c r="H12" s="642"/>
      <c r="I12" s="791"/>
      <c r="K12" s="496" t="s">
        <v>1406</v>
      </c>
    </row>
    <row r="13" spans="2:13">
      <c r="B13" s="1967"/>
      <c r="C13" s="1009" t="s">
        <v>243</v>
      </c>
      <c r="D13" s="646" t="s">
        <v>300</v>
      </c>
      <c r="E13" s="646"/>
      <c r="F13" s="642"/>
      <c r="G13" s="642"/>
      <c r="H13" s="645"/>
      <c r="I13" s="791"/>
      <c r="K13" s="496" t="s">
        <v>935</v>
      </c>
    </row>
    <row r="14" spans="2:13" ht="29" thickBot="1">
      <c r="B14" s="1968"/>
      <c r="C14" s="1021" t="s">
        <v>244</v>
      </c>
      <c r="D14" s="1016" t="s">
        <v>469</v>
      </c>
      <c r="E14" s="1016"/>
      <c r="F14" s="759"/>
      <c r="G14" s="759"/>
      <c r="H14" s="813"/>
      <c r="I14" s="592"/>
      <c r="K14" s="496" t="s">
        <v>1406</v>
      </c>
    </row>
    <row r="15" spans="2:13" s="350" customFormat="1" ht="33.75" customHeight="1">
      <c r="B15" s="1966" t="s">
        <v>144</v>
      </c>
      <c r="C15" s="2036" t="s">
        <v>245</v>
      </c>
      <c r="D15" s="726" t="s">
        <v>370</v>
      </c>
      <c r="E15" s="726"/>
      <c r="F15" s="589"/>
      <c r="G15" s="589"/>
      <c r="H15" s="589"/>
      <c r="I15" s="723"/>
      <c r="J15" s="362"/>
      <c r="K15" s="496" t="s">
        <v>1406</v>
      </c>
    </row>
    <row r="16" spans="2:13" s="350" customFormat="1">
      <c r="B16" s="1967"/>
      <c r="C16" s="2037"/>
      <c r="D16" s="590" t="s">
        <v>908</v>
      </c>
      <c r="E16" s="590"/>
      <c r="F16" s="513"/>
      <c r="G16" s="513"/>
      <c r="H16" s="513"/>
      <c r="I16" s="545"/>
      <c r="J16" s="362"/>
      <c r="K16" s="496" t="s">
        <v>1406</v>
      </c>
    </row>
    <row r="17" spans="2:11" s="81" customFormat="1" ht="15" thickBot="1">
      <c r="B17" s="1968"/>
      <c r="C17" s="1024" t="s">
        <v>246</v>
      </c>
      <c r="D17" s="752" t="s">
        <v>300</v>
      </c>
      <c r="E17" s="752"/>
      <c r="F17" s="554"/>
      <c r="G17" s="554"/>
      <c r="H17" s="554"/>
      <c r="I17" s="560"/>
      <c r="K17" s="496" t="s">
        <v>935</v>
      </c>
    </row>
    <row r="18" spans="2:11">
      <c r="B18" s="1966" t="s">
        <v>141</v>
      </c>
      <c r="C18" s="2020"/>
      <c r="D18" s="761" t="s">
        <v>173</v>
      </c>
      <c r="E18" s="761"/>
      <c r="F18" s="762"/>
      <c r="G18" s="762"/>
      <c r="H18" s="762" t="s">
        <v>304</v>
      </c>
      <c r="I18" s="805"/>
      <c r="K18" s="496" t="s">
        <v>1406</v>
      </c>
    </row>
    <row r="19" spans="2:11">
      <c r="B19" s="1967"/>
      <c r="C19" s="2021"/>
      <c r="D19" s="642" t="s">
        <v>174</v>
      </c>
      <c r="E19" s="642"/>
      <c r="F19" s="642"/>
      <c r="G19" s="642"/>
      <c r="H19" s="642"/>
      <c r="I19" s="791"/>
      <c r="K19" s="496" t="s">
        <v>1406</v>
      </c>
    </row>
    <row r="20" spans="2:11" ht="31.5" customHeight="1" thickBot="1">
      <c r="B20" s="1968"/>
      <c r="C20" s="2022"/>
      <c r="D20" s="1016" t="s">
        <v>262</v>
      </c>
      <c r="E20" s="1016"/>
      <c r="F20" s="759"/>
      <c r="G20" s="759"/>
      <c r="H20" s="759"/>
      <c r="I20" s="592"/>
      <c r="K20" s="496" t="s">
        <v>1406</v>
      </c>
    </row>
    <row r="21" spans="2:11" ht="15" thickBot="1">
      <c r="B21" s="2023" t="s">
        <v>140</v>
      </c>
      <c r="C21" s="2024"/>
      <c r="D21" s="816" t="s">
        <v>316</v>
      </c>
      <c r="E21" s="816"/>
      <c r="F21" s="750"/>
      <c r="G21" s="750"/>
      <c r="H21" s="750"/>
      <c r="I21" s="810"/>
      <c r="K21" s="496" t="s">
        <v>1406</v>
      </c>
    </row>
    <row r="22" spans="2:11" ht="15" thickBot="1">
      <c r="B22" s="2032" t="s">
        <v>123</v>
      </c>
      <c r="C22" s="2033"/>
      <c r="D22" s="816" t="s">
        <v>298</v>
      </c>
      <c r="E22" s="816"/>
      <c r="F22" s="750"/>
      <c r="G22" s="750"/>
      <c r="H22" s="750"/>
      <c r="I22" s="810"/>
      <c r="K22" s="496" t="s">
        <v>935</v>
      </c>
    </row>
    <row r="23" spans="2:11">
      <c r="B23" s="1966" t="s">
        <v>124</v>
      </c>
      <c r="C23" s="1976" t="s">
        <v>912</v>
      </c>
      <c r="D23" s="764" t="s">
        <v>725</v>
      </c>
      <c r="E23" s="764"/>
      <c r="F23" s="762"/>
      <c r="G23" s="762"/>
      <c r="H23" s="762"/>
      <c r="I23" s="805"/>
      <c r="K23" s="496" t="s">
        <v>1406</v>
      </c>
    </row>
    <row r="24" spans="2:11" ht="28">
      <c r="B24" s="1967"/>
      <c r="C24" s="1977"/>
      <c r="D24" s="652" t="s">
        <v>381</v>
      </c>
      <c r="E24" s="652"/>
      <c r="F24" s="642"/>
      <c r="G24" s="642"/>
      <c r="H24" s="642"/>
      <c r="I24" s="791"/>
      <c r="K24" s="496" t="s">
        <v>1406</v>
      </c>
    </row>
    <row r="25" spans="2:11" ht="15" thickBot="1">
      <c r="B25" s="1968"/>
      <c r="C25" s="2075"/>
      <c r="D25" s="752" t="s">
        <v>384</v>
      </c>
      <c r="E25" s="752"/>
      <c r="F25" s="759"/>
      <c r="G25" s="759"/>
      <c r="H25" s="759"/>
      <c r="I25" s="592"/>
      <c r="K25" s="496" t="s">
        <v>1406</v>
      </c>
    </row>
    <row r="26" spans="2:11" ht="15" thickBot="1">
      <c r="B26" s="2023" t="s">
        <v>132</v>
      </c>
      <c r="C26" s="2024"/>
      <c r="D26" s="816" t="s">
        <v>298</v>
      </c>
      <c r="E26" s="816"/>
      <c r="F26" s="750"/>
      <c r="G26" s="750"/>
      <c r="H26" s="1019"/>
      <c r="I26" s="810"/>
      <c r="K26" s="496" t="s">
        <v>935</v>
      </c>
    </row>
    <row r="27" spans="2:11">
      <c r="B27" s="1966" t="s">
        <v>133</v>
      </c>
      <c r="C27" s="2020"/>
      <c r="D27" s="764" t="s">
        <v>173</v>
      </c>
      <c r="E27" s="764"/>
      <c r="F27" s="762"/>
      <c r="G27" s="762"/>
      <c r="H27" s="809"/>
      <c r="I27" s="805"/>
      <c r="K27" s="496" t="s">
        <v>1406</v>
      </c>
    </row>
    <row r="28" spans="2:11">
      <c r="B28" s="2034"/>
      <c r="C28" s="2035"/>
      <c r="D28" s="1388" t="s">
        <v>379</v>
      </c>
      <c r="E28" s="1388"/>
      <c r="F28" s="1389"/>
      <c r="G28" s="1389"/>
      <c r="H28" s="1390"/>
      <c r="I28" s="1391"/>
      <c r="K28" s="1387"/>
    </row>
    <row r="29" spans="2:11">
      <c r="B29" s="1967"/>
      <c r="C29" s="2021"/>
      <c r="D29" s="652" t="s">
        <v>382</v>
      </c>
      <c r="E29" s="652"/>
      <c r="F29" s="642"/>
      <c r="G29" s="642"/>
      <c r="H29" s="642"/>
      <c r="I29" s="791"/>
      <c r="K29" s="496" t="s">
        <v>1406</v>
      </c>
    </row>
    <row r="30" spans="2:11">
      <c r="B30" s="1967"/>
      <c r="C30" s="2021"/>
      <c r="D30" s="652" t="s">
        <v>378</v>
      </c>
      <c r="E30" s="652"/>
      <c r="F30" s="642"/>
      <c r="G30" s="642"/>
      <c r="H30" s="642"/>
      <c r="I30" s="791"/>
      <c r="K30" s="496" t="s">
        <v>1406</v>
      </c>
    </row>
    <row r="31" spans="2:11">
      <c r="B31" s="1967"/>
      <c r="C31" s="2021"/>
      <c r="D31" s="652" t="s">
        <v>317</v>
      </c>
      <c r="E31" s="652"/>
      <c r="F31" s="642"/>
      <c r="G31" s="642"/>
      <c r="H31" s="642"/>
      <c r="I31" s="791"/>
      <c r="K31" s="496" t="s">
        <v>1406</v>
      </c>
    </row>
    <row r="32" spans="2:11" ht="15" thickBot="1">
      <c r="B32" s="1968"/>
      <c r="C32" s="2022"/>
      <c r="D32" s="752" t="s">
        <v>318</v>
      </c>
      <c r="E32" s="752"/>
      <c r="F32" s="759"/>
      <c r="G32" s="759"/>
      <c r="H32" s="759"/>
      <c r="I32" s="592"/>
      <c r="K32" s="496" t="s">
        <v>1406</v>
      </c>
    </row>
    <row r="33" spans="1:11" ht="15" thickBot="1">
      <c r="B33" s="2074" t="s">
        <v>134</v>
      </c>
      <c r="C33" s="2074"/>
      <c r="D33" s="1031" t="s">
        <v>298</v>
      </c>
      <c r="E33" s="1031"/>
      <c r="F33" s="1032"/>
      <c r="G33" s="1032"/>
      <c r="H33" s="1032"/>
      <c r="I33" s="1032"/>
      <c r="K33" s="496" t="s">
        <v>935</v>
      </c>
    </row>
    <row r="34" spans="1:11">
      <c r="B34" s="1966" t="s">
        <v>135</v>
      </c>
      <c r="C34" s="2036" t="s">
        <v>248</v>
      </c>
      <c r="D34" s="764" t="s">
        <v>322</v>
      </c>
      <c r="E34" s="764"/>
      <c r="F34" s="762"/>
      <c r="G34" s="762"/>
      <c r="H34" s="762"/>
      <c r="I34" s="805"/>
      <c r="K34" s="496" t="s">
        <v>1406</v>
      </c>
    </row>
    <row r="35" spans="1:11">
      <c r="B35" s="1967"/>
      <c r="C35" s="2037"/>
      <c r="D35" s="652" t="s">
        <v>383</v>
      </c>
      <c r="E35" s="652"/>
      <c r="F35" s="642"/>
      <c r="G35" s="642"/>
      <c r="H35" s="642"/>
      <c r="I35" s="791"/>
      <c r="K35" s="496" t="s">
        <v>1406</v>
      </c>
    </row>
    <row r="36" spans="1:11">
      <c r="B36" s="1967"/>
      <c r="C36" s="2037" t="s">
        <v>249</v>
      </c>
      <c r="D36" s="652" t="s">
        <v>327</v>
      </c>
      <c r="E36" s="652"/>
      <c r="F36" s="642"/>
      <c r="G36" s="642"/>
      <c r="H36" s="642"/>
      <c r="I36" s="791"/>
      <c r="K36" s="496" t="s">
        <v>1406</v>
      </c>
    </row>
    <row r="37" spans="1:11">
      <c r="B37" s="1967"/>
      <c r="C37" s="2037"/>
      <c r="D37" s="652" t="s">
        <v>324</v>
      </c>
      <c r="E37" s="652"/>
      <c r="F37" s="642"/>
      <c r="G37" s="642"/>
      <c r="H37" s="642"/>
      <c r="I37" s="791"/>
      <c r="K37" s="496" t="s">
        <v>1406</v>
      </c>
    </row>
    <row r="38" spans="1:11">
      <c r="B38" s="1967"/>
      <c r="C38" s="2037" t="s">
        <v>250</v>
      </c>
      <c r="D38" s="652" t="s">
        <v>325</v>
      </c>
      <c r="E38" s="652"/>
      <c r="F38" s="642"/>
      <c r="G38" s="642"/>
      <c r="H38" s="642"/>
      <c r="I38" s="791"/>
      <c r="K38" s="496" t="s">
        <v>1406</v>
      </c>
    </row>
    <row r="39" spans="1:11">
      <c r="B39" s="1967"/>
      <c r="C39" s="2037"/>
      <c r="D39" s="652" t="s">
        <v>326</v>
      </c>
      <c r="E39" s="652"/>
      <c r="F39" s="642"/>
      <c r="G39" s="642"/>
      <c r="H39" s="642"/>
      <c r="I39" s="791"/>
      <c r="K39" s="496" t="s">
        <v>1406</v>
      </c>
    </row>
    <row r="40" spans="1:11" ht="15" thickBot="1">
      <c r="B40" s="1967"/>
      <c r="C40" s="2037"/>
      <c r="D40" s="652" t="s">
        <v>327</v>
      </c>
      <c r="E40" s="652"/>
      <c r="F40" s="642"/>
      <c r="G40" s="642"/>
      <c r="H40" s="642"/>
      <c r="I40" s="791"/>
      <c r="K40" s="496" t="s">
        <v>1406</v>
      </c>
    </row>
    <row r="41" spans="1:11" s="1165" customFormat="1" ht="14.5" customHeight="1">
      <c r="A41" s="1945" t="s">
        <v>137</v>
      </c>
      <c r="B41" s="1755" t="s">
        <v>138</v>
      </c>
      <c r="C41" s="1948" t="s">
        <v>438</v>
      </c>
      <c r="D41" s="1235" t="s">
        <v>794</v>
      </c>
      <c r="E41" s="1235"/>
      <c r="F41" s="1236"/>
      <c r="G41" s="1236"/>
      <c r="H41" s="1236"/>
      <c r="I41" s="1254"/>
      <c r="K41" s="1324" t="s">
        <v>436</v>
      </c>
    </row>
    <row r="42" spans="1:11">
      <c r="A42" s="1946"/>
      <c r="B42" s="1756"/>
      <c r="C42" s="1949"/>
      <c r="D42" s="652" t="s">
        <v>385</v>
      </c>
      <c r="E42" s="652"/>
      <c r="F42" s="642"/>
      <c r="G42" s="642"/>
      <c r="H42" s="642"/>
      <c r="I42" s="791"/>
      <c r="K42" s="496" t="s">
        <v>1406</v>
      </c>
    </row>
    <row r="43" spans="1:11">
      <c r="A43" s="1946"/>
      <c r="B43" s="1756"/>
      <c r="C43" s="1010" t="s">
        <v>251</v>
      </c>
      <c r="D43" s="652" t="s">
        <v>386</v>
      </c>
      <c r="E43" s="652"/>
      <c r="F43" s="642">
        <v>1</v>
      </c>
      <c r="G43" s="642">
        <f>+F43*'PROGRAMA ARQ.'!$E$42</f>
        <v>1</v>
      </c>
      <c r="H43" s="642"/>
      <c r="I43" s="791"/>
      <c r="K43" s="496" t="s">
        <v>1406</v>
      </c>
    </row>
    <row r="44" spans="1:11">
      <c r="A44" s="1946"/>
      <c r="B44" s="1756"/>
      <c r="C44" s="1010" t="s">
        <v>252</v>
      </c>
      <c r="D44" s="652" t="s">
        <v>359</v>
      </c>
      <c r="E44" s="652"/>
      <c r="F44" s="642">
        <v>1</v>
      </c>
      <c r="G44" s="642">
        <f>+F44*'PROGRAMA ARQ.'!$E$42</f>
        <v>1</v>
      </c>
      <c r="H44" s="642"/>
      <c r="I44" s="791"/>
      <c r="K44" s="496" t="s">
        <v>1406</v>
      </c>
    </row>
    <row r="45" spans="1:11">
      <c r="A45" s="1946"/>
      <c r="B45" s="1756"/>
      <c r="C45" s="1010" t="s">
        <v>253</v>
      </c>
      <c r="D45" s="652" t="s">
        <v>298</v>
      </c>
      <c r="E45" s="652"/>
      <c r="F45" s="642"/>
      <c r="G45" s="642"/>
      <c r="H45" s="642"/>
      <c r="I45" s="791"/>
      <c r="K45" s="496" t="s">
        <v>935</v>
      </c>
    </row>
    <row r="46" spans="1:11">
      <c r="A46" s="1946"/>
      <c r="B46" s="1756"/>
      <c r="C46" s="1010" t="s">
        <v>254</v>
      </c>
      <c r="D46" s="652" t="s">
        <v>298</v>
      </c>
      <c r="E46" s="652"/>
      <c r="F46" s="642"/>
      <c r="G46" s="642"/>
      <c r="H46" s="642"/>
      <c r="I46" s="791"/>
      <c r="K46" s="496" t="s">
        <v>935</v>
      </c>
    </row>
    <row r="47" spans="1:11" ht="15" thickBot="1">
      <c r="A47" s="1946"/>
      <c r="B47" s="1757"/>
      <c r="C47" s="1015" t="s">
        <v>255</v>
      </c>
      <c r="D47" s="752" t="s">
        <v>298</v>
      </c>
      <c r="E47" s="752"/>
      <c r="F47" s="759"/>
      <c r="G47" s="759"/>
      <c r="H47" s="759"/>
      <c r="I47" s="592"/>
      <c r="K47" s="496" t="s">
        <v>935</v>
      </c>
    </row>
    <row r="48" spans="1:11">
      <c r="A48" s="1946"/>
      <c r="B48" s="1966" t="s">
        <v>139</v>
      </c>
      <c r="C48" s="1014" t="s">
        <v>256</v>
      </c>
      <c r="D48" s="761" t="s">
        <v>298</v>
      </c>
      <c r="E48" s="761"/>
      <c r="F48" s="762"/>
      <c r="G48" s="762"/>
      <c r="H48" s="812"/>
      <c r="I48" s="805"/>
      <c r="K48" s="496" t="s">
        <v>935</v>
      </c>
    </row>
    <row r="49" spans="1:11" ht="15" thickBot="1">
      <c r="A49" s="1946"/>
      <c r="B49" s="1968"/>
      <c r="C49" s="1021" t="s">
        <v>257</v>
      </c>
      <c r="D49" s="752" t="s">
        <v>298</v>
      </c>
      <c r="E49" s="752"/>
      <c r="F49" s="759"/>
      <c r="G49" s="759"/>
      <c r="H49" s="759"/>
      <c r="I49" s="592"/>
      <c r="K49" s="496" t="s">
        <v>935</v>
      </c>
    </row>
    <row r="50" spans="1:11" ht="15" thickBot="1">
      <c r="A50" s="1946"/>
      <c r="B50" s="2032" t="s">
        <v>142</v>
      </c>
      <c r="C50" s="2033"/>
      <c r="D50" s="816" t="s">
        <v>298</v>
      </c>
      <c r="E50" s="816"/>
      <c r="F50" s="750"/>
      <c r="G50" s="750"/>
      <c r="H50" s="750"/>
      <c r="I50" s="810"/>
      <c r="K50" s="496" t="s">
        <v>935</v>
      </c>
    </row>
    <row r="51" spans="1:11">
      <c r="A51" s="1946"/>
      <c r="B51" s="1966" t="s">
        <v>264</v>
      </c>
      <c r="C51" s="2020"/>
      <c r="D51" s="764" t="s">
        <v>771</v>
      </c>
      <c r="E51" s="764"/>
      <c r="F51" s="762"/>
      <c r="G51" s="762"/>
      <c r="H51" s="762"/>
      <c r="I51" s="805"/>
      <c r="K51" s="81"/>
    </row>
    <row r="52" spans="1:11" ht="15" thickBot="1">
      <c r="A52" s="1947"/>
      <c r="B52" s="1968"/>
      <c r="C52" s="2022"/>
      <c r="D52" s="1020" t="s">
        <v>159</v>
      </c>
      <c r="E52" s="759"/>
      <c r="F52" s="759"/>
      <c r="G52" s="759"/>
      <c r="H52" s="759"/>
      <c r="I52" s="592"/>
      <c r="K52" s="496" t="s">
        <v>1406</v>
      </c>
    </row>
  </sheetData>
  <mergeCells count="26">
    <mergeCell ref="B22:C22"/>
    <mergeCell ref="B23:B25"/>
    <mergeCell ref="C23:C25"/>
    <mergeCell ref="B26:C26"/>
    <mergeCell ref="B27:C32"/>
    <mergeCell ref="B11:B14"/>
    <mergeCell ref="B15:B17"/>
    <mergeCell ref="C15:C16"/>
    <mergeCell ref="B18:C20"/>
    <mergeCell ref="B21:C21"/>
    <mergeCell ref="E3:I3"/>
    <mergeCell ref="B2:I2"/>
    <mergeCell ref="E4:I4"/>
    <mergeCell ref="E5:I5"/>
    <mergeCell ref="B9:C10"/>
    <mergeCell ref="B33:C33"/>
    <mergeCell ref="B34:B40"/>
    <mergeCell ref="C34:C35"/>
    <mergeCell ref="C36:C37"/>
    <mergeCell ref="C38:C40"/>
    <mergeCell ref="A41:A52"/>
    <mergeCell ref="B41:B47"/>
    <mergeCell ref="C41:C42"/>
    <mergeCell ref="B48:B49"/>
    <mergeCell ref="B50:C50"/>
    <mergeCell ref="B51:C52"/>
  </mergeCells>
  <pageMargins left="0.70866141732283472" right="0.70866141732283472" top="0.74803149606299213" bottom="0.74803149606299213" header="0.31496062992125984" footer="0.31496062992125984"/>
  <pageSetup scale="39" fitToHeight="0" orientation="portrait"/>
  <rowBreaks count="1" manualBreakCount="1">
    <brk id="40"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C32A6892-65F4-4796-9D0C-744AFA97F45E}">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31" operator="containsText" text="0" id="{C32A6892-65F4-4796-9D0C-744AFA97F45E}">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rgb="FFFFC000"/>
    <pageSetUpPr fitToPage="1"/>
  </sheetPr>
  <dimension ref="A1:N74"/>
  <sheetViews>
    <sheetView zoomScaleSheetLayoutView="80" workbookViewId="0">
      <selection activeCell="K8" sqref="K8:K14"/>
    </sheetView>
  </sheetViews>
  <sheetFormatPr baseColWidth="10" defaultColWidth="11.5" defaultRowHeight="14" x14ac:dyDescent="0"/>
  <cols>
    <col min="1" max="1" width="2.83203125" style="310" customWidth="1"/>
    <col min="2" max="3" width="30.6640625" style="461" customWidth="1"/>
    <col min="4" max="4" width="50.6640625" style="461" customWidth="1"/>
    <col min="5" max="9" width="3.6640625" style="461" customWidth="1"/>
    <col min="10" max="10" width="7.5" style="621" customWidth="1"/>
    <col min="11" max="11" width="50.6640625" style="496" customWidth="1"/>
    <col min="12" max="12" width="30.6640625" style="461" customWidth="1"/>
    <col min="13" max="13" width="3.5" style="310" customWidth="1"/>
    <col min="14" max="16384" width="11.5" style="310"/>
  </cols>
  <sheetData>
    <row r="1" spans="2:14" ht="15" thickBot="1"/>
    <row r="2" spans="2:14" s="81" customFormat="1" ht="69" customHeight="1" thickBot="1">
      <c r="B2" s="1743"/>
      <c r="C2" s="1744"/>
      <c r="D2" s="1744"/>
      <c r="E2" s="1744"/>
      <c r="F2" s="1744"/>
      <c r="G2" s="1744"/>
      <c r="H2" s="1744"/>
      <c r="I2" s="1745"/>
      <c r="J2" s="382"/>
      <c r="K2" s="597"/>
      <c r="L2" s="507"/>
      <c r="M2" s="362"/>
    </row>
    <row r="3" spans="2:14" s="81" customFormat="1" ht="25.25" customHeight="1" thickBot="1">
      <c r="B3" s="820" t="s">
        <v>1385</v>
      </c>
      <c r="C3" s="821"/>
      <c r="D3" s="822"/>
      <c r="E3" s="1746" t="str">
        <f>+'PROGRAMA ARQ.'!E4</f>
        <v>2 SALAS CUNAS</v>
      </c>
      <c r="F3" s="1747"/>
      <c r="G3" s="1747"/>
      <c r="H3" s="1747"/>
      <c r="I3" s="1748"/>
      <c r="J3" s="382"/>
      <c r="K3" s="597"/>
      <c r="L3" s="507"/>
      <c r="M3" s="362"/>
    </row>
    <row r="4" spans="2:14" s="81" customFormat="1" ht="25.25" customHeight="1" thickBot="1">
      <c r="B4" s="823">
        <f>+'PROGRAMA ARQ.'!I4:I5</f>
        <v>152</v>
      </c>
      <c r="C4" s="505"/>
      <c r="D4" s="661"/>
      <c r="E4" s="1737" t="str">
        <f>+'PROGRAMA ARQ.'!E5</f>
        <v>4 NIVELES MEDIOS</v>
      </c>
      <c r="F4" s="1738"/>
      <c r="G4" s="1738"/>
      <c r="H4" s="1738"/>
      <c r="I4" s="1739"/>
      <c r="J4" s="382"/>
      <c r="K4" s="597"/>
      <c r="L4" s="507"/>
      <c r="M4" s="362"/>
    </row>
    <row r="5" spans="2:14" s="81" customFormat="1" ht="15" thickBot="1">
      <c r="B5" s="695" t="s">
        <v>1374</v>
      </c>
      <c r="C5" s="235" t="s">
        <v>1375</v>
      </c>
      <c r="D5" s="235" t="s">
        <v>1376</v>
      </c>
      <c r="E5" s="1818" t="s">
        <v>1377</v>
      </c>
      <c r="F5" s="1819"/>
      <c r="G5" s="1819"/>
      <c r="H5" s="1819"/>
      <c r="I5" s="1820"/>
      <c r="J5" s="675"/>
      <c r="K5" s="597"/>
      <c r="L5" s="507"/>
      <c r="M5" s="362"/>
    </row>
    <row r="6" spans="2:14" s="616" customFormat="1" ht="71" thickBot="1">
      <c r="B6" s="711" t="str">
        <f>+'PROGRAMA ARQ.'!C43</f>
        <v>3.8</v>
      </c>
      <c r="C6" s="711" t="str">
        <f>+'PROGRAMA ARQ.'!D43</f>
        <v>BAÑO PERSONAL C/ DUCHA 1  (Unidad de Alimentación)</v>
      </c>
      <c r="D6" s="831">
        <f>+'PROGRAMA ARQ.'!F43</f>
        <v>4</v>
      </c>
      <c r="E6" s="689" t="s">
        <v>366</v>
      </c>
      <c r="F6" s="690" t="s">
        <v>544</v>
      </c>
      <c r="G6" s="690" t="s">
        <v>2</v>
      </c>
      <c r="H6" s="690" t="s">
        <v>171</v>
      </c>
      <c r="I6" s="691" t="s">
        <v>172</v>
      </c>
      <c r="J6" s="608"/>
      <c r="K6" s="1337" t="s">
        <v>293</v>
      </c>
      <c r="L6" s="703" t="s">
        <v>120</v>
      </c>
      <c r="M6" s="846" t="s">
        <v>178</v>
      </c>
    </row>
    <row r="7" spans="2:14" s="367" customFormat="1" ht="16" thickBot="1">
      <c r="B7" s="667" t="s">
        <v>1378</v>
      </c>
      <c r="C7" s="667" t="s">
        <v>1379</v>
      </c>
      <c r="D7" s="670" t="s">
        <v>1380</v>
      </c>
      <c r="E7" s="671"/>
      <c r="F7" s="672"/>
      <c r="G7" s="672"/>
      <c r="H7" s="671"/>
      <c r="I7" s="673"/>
      <c r="J7" s="595"/>
      <c r="K7" s="1145"/>
      <c r="L7" s="696"/>
      <c r="M7" s="697"/>
    </row>
    <row r="8" spans="2:14" ht="32.5" customHeight="1" thickBot="1">
      <c r="B8" s="1996" t="s">
        <v>122</v>
      </c>
      <c r="C8" s="2029"/>
      <c r="D8" s="1076" t="s">
        <v>1381</v>
      </c>
      <c r="E8" s="972"/>
      <c r="F8" s="972"/>
      <c r="G8" s="1076"/>
      <c r="H8" s="972"/>
      <c r="I8" s="970"/>
      <c r="K8" s="496" t="s">
        <v>1456</v>
      </c>
      <c r="N8" s="310">
        <f>G8</f>
        <v>0</v>
      </c>
    </row>
    <row r="9" spans="2:14">
      <c r="B9" s="2076" t="s">
        <v>1388</v>
      </c>
      <c r="C9" s="2077"/>
      <c r="D9" s="1099" t="s">
        <v>1102</v>
      </c>
      <c r="E9" s="886"/>
      <c r="F9" s="886"/>
      <c r="G9" s="886"/>
      <c r="H9" s="886"/>
      <c r="I9" s="952"/>
      <c r="K9" s="496" t="s">
        <v>1406</v>
      </c>
    </row>
    <row r="10" spans="2:14" ht="42">
      <c r="B10" s="2078"/>
      <c r="C10" s="2079"/>
      <c r="D10" s="1100" t="s">
        <v>1367</v>
      </c>
      <c r="E10" s="1106"/>
      <c r="F10" s="1106"/>
      <c r="G10" s="1106"/>
      <c r="H10" s="1106"/>
      <c r="I10" s="676"/>
      <c r="K10" s="496" t="s">
        <v>1406</v>
      </c>
    </row>
    <row r="11" spans="2:14" ht="28">
      <c r="B11" s="2078"/>
      <c r="C11" s="2079"/>
      <c r="D11" s="1100" t="s">
        <v>918</v>
      </c>
      <c r="E11" s="1106"/>
      <c r="F11" s="1106"/>
      <c r="G11" s="1106"/>
      <c r="H11" s="1106"/>
      <c r="I11" s="676"/>
      <c r="K11" s="597" t="s">
        <v>1456</v>
      </c>
    </row>
    <row r="12" spans="2:14" ht="29" thickBot="1">
      <c r="B12" s="2078"/>
      <c r="C12" s="2079"/>
      <c r="D12" s="1100" t="s">
        <v>1111</v>
      </c>
      <c r="E12" s="1106"/>
      <c r="F12" s="1106"/>
      <c r="G12" s="1106"/>
      <c r="H12" s="1106"/>
      <c r="I12" s="676"/>
      <c r="K12" s="496" t="s">
        <v>1406</v>
      </c>
    </row>
    <row r="13" spans="2:14">
      <c r="B13" s="1966" t="s">
        <v>143</v>
      </c>
      <c r="C13" s="2036" t="s">
        <v>241</v>
      </c>
      <c r="D13" s="722" t="s">
        <v>296</v>
      </c>
      <c r="E13" s="722"/>
      <c r="F13" s="762"/>
      <c r="G13" s="762"/>
      <c r="H13" s="762"/>
      <c r="I13" s="805"/>
      <c r="J13" s="81"/>
      <c r="K13" s="496" t="s">
        <v>1406</v>
      </c>
      <c r="L13" s="310"/>
    </row>
    <row r="14" spans="2:14">
      <c r="B14" s="1967"/>
      <c r="C14" s="2037"/>
      <c r="D14" s="645">
        <f>+D6*K14</f>
        <v>0.32</v>
      </c>
      <c r="E14" s="642" t="s">
        <v>258</v>
      </c>
      <c r="F14" s="642"/>
      <c r="G14" s="642"/>
      <c r="H14" s="642"/>
      <c r="I14" s="791"/>
      <c r="J14" s="81"/>
      <c r="K14" s="1319">
        <v>0.08</v>
      </c>
      <c r="L14" s="358" t="s">
        <v>888</v>
      </c>
    </row>
    <row r="15" spans="2:14">
      <c r="B15" s="1967"/>
      <c r="C15" s="2037"/>
      <c r="D15" s="645" t="s">
        <v>260</v>
      </c>
      <c r="E15" s="645"/>
      <c r="F15" s="642"/>
      <c r="G15" s="642"/>
      <c r="H15" s="642"/>
      <c r="I15" s="791"/>
      <c r="J15" s="81"/>
      <c r="K15" s="625" t="s">
        <v>718</v>
      </c>
      <c r="L15" s="358"/>
    </row>
    <row r="16" spans="2:14" ht="28">
      <c r="B16" s="1967"/>
      <c r="C16" s="2037" t="s">
        <v>242</v>
      </c>
      <c r="D16" s="644" t="s">
        <v>297</v>
      </c>
      <c r="E16" s="644"/>
      <c r="F16" s="642"/>
      <c r="G16" s="642"/>
      <c r="H16" s="642"/>
      <c r="I16" s="791"/>
      <c r="J16" s="81"/>
      <c r="K16" s="496" t="s">
        <v>1406</v>
      </c>
      <c r="L16" s="310"/>
    </row>
    <row r="17" spans="2:13">
      <c r="B17" s="1967"/>
      <c r="C17" s="2037"/>
      <c r="D17" s="645">
        <f>+K17*D6</f>
        <v>0.16</v>
      </c>
      <c r="E17" s="642" t="s">
        <v>258</v>
      </c>
      <c r="F17" s="642"/>
      <c r="G17" s="642"/>
      <c r="H17" s="644"/>
      <c r="I17" s="791"/>
      <c r="J17" s="81"/>
      <c r="K17" s="1319">
        <v>0.04</v>
      </c>
      <c r="L17" s="310" t="s">
        <v>888</v>
      </c>
    </row>
    <row r="18" spans="2:13">
      <c r="B18" s="1967"/>
      <c r="C18" s="1102" t="s">
        <v>243</v>
      </c>
      <c r="D18" s="646" t="s">
        <v>300</v>
      </c>
      <c r="E18" s="646"/>
      <c r="F18" s="642"/>
      <c r="G18" s="642"/>
      <c r="H18" s="645"/>
      <c r="I18" s="791"/>
      <c r="J18" s="81"/>
      <c r="K18" s="597" t="s">
        <v>935</v>
      </c>
      <c r="L18" s="310"/>
    </row>
    <row r="19" spans="2:13" ht="15" thickBot="1">
      <c r="B19" s="1968"/>
      <c r="C19" s="1103" t="s">
        <v>244</v>
      </c>
      <c r="D19" s="1016" t="s">
        <v>300</v>
      </c>
      <c r="E19" s="1016"/>
      <c r="F19" s="759"/>
      <c r="G19" s="759"/>
      <c r="H19" s="813"/>
      <c r="I19" s="592"/>
      <c r="J19" s="81"/>
      <c r="K19" s="597" t="s">
        <v>935</v>
      </c>
      <c r="L19" s="310"/>
    </row>
    <row r="20" spans="2:13" ht="28">
      <c r="B20" s="1966" t="s">
        <v>144</v>
      </c>
      <c r="C20" s="1101" t="s">
        <v>245</v>
      </c>
      <c r="D20" s="726" t="s">
        <v>370</v>
      </c>
      <c r="E20" s="726"/>
      <c r="F20" s="589"/>
      <c r="G20" s="589"/>
      <c r="H20" s="589"/>
      <c r="I20" s="723"/>
      <c r="J20" s="362"/>
      <c r="K20" s="496" t="s">
        <v>1406</v>
      </c>
      <c r="L20" s="487"/>
      <c r="M20" s="487"/>
    </row>
    <row r="21" spans="2:13" ht="15" thickBot="1">
      <c r="B21" s="1968"/>
      <c r="C21" s="1105" t="s">
        <v>246</v>
      </c>
      <c r="D21" s="1016" t="s">
        <v>300</v>
      </c>
      <c r="E21" s="1016"/>
      <c r="F21" s="759"/>
      <c r="G21" s="759"/>
      <c r="H21" s="759"/>
      <c r="I21" s="592"/>
      <c r="J21" s="81"/>
      <c r="K21" s="597" t="s">
        <v>935</v>
      </c>
      <c r="L21" s="310"/>
    </row>
    <row r="22" spans="2:13">
      <c r="B22" s="1966" t="s">
        <v>123</v>
      </c>
      <c r="C22" s="1017" t="s">
        <v>340</v>
      </c>
      <c r="D22" s="764" t="s">
        <v>371</v>
      </c>
      <c r="E22" s="764"/>
      <c r="F22" s="762">
        <v>1</v>
      </c>
      <c r="G22" s="762">
        <f>+F22*'PROGRAMA ARQ.'!$E$44</f>
        <v>1</v>
      </c>
      <c r="H22" s="762"/>
      <c r="I22" s="805"/>
      <c r="J22" s="81"/>
      <c r="K22" s="597" t="s">
        <v>1456</v>
      </c>
      <c r="L22" s="310"/>
    </row>
    <row r="23" spans="2:13">
      <c r="B23" s="1967"/>
      <c r="C23" s="1011" t="s">
        <v>341</v>
      </c>
      <c r="D23" s="652" t="s">
        <v>374</v>
      </c>
      <c r="E23" s="652"/>
      <c r="F23" s="642">
        <v>1</v>
      </c>
      <c r="G23" s="642">
        <f>+F23*'PROGRAMA ARQ.'!$E$44</f>
        <v>1</v>
      </c>
      <c r="H23" s="642"/>
      <c r="I23" s="791"/>
      <c r="J23" s="81"/>
      <c r="K23" s="597" t="s">
        <v>1456</v>
      </c>
      <c r="L23" s="310"/>
    </row>
    <row r="24" spans="2:13">
      <c r="B24" s="1967"/>
      <c r="C24" s="1011" t="s">
        <v>363</v>
      </c>
      <c r="D24" s="652" t="s">
        <v>364</v>
      </c>
      <c r="E24" s="652"/>
      <c r="F24" s="642">
        <v>1</v>
      </c>
      <c r="G24" s="642">
        <f>+F24*'PROGRAMA ARQ.'!$E$44</f>
        <v>1</v>
      </c>
      <c r="H24" s="642"/>
      <c r="I24" s="791"/>
      <c r="J24" s="81"/>
      <c r="K24" s="597" t="s">
        <v>1456</v>
      </c>
      <c r="L24" s="310"/>
    </row>
    <row r="25" spans="2:13">
      <c r="B25" s="1967"/>
      <c r="C25" s="1011" t="s">
        <v>175</v>
      </c>
      <c r="D25" s="652" t="s">
        <v>1117</v>
      </c>
      <c r="E25" s="652"/>
      <c r="F25" s="642">
        <v>4</v>
      </c>
      <c r="G25" s="642">
        <f>+F25*'PROGRAMA ARQ.'!$E$44</f>
        <v>4</v>
      </c>
      <c r="H25" s="642"/>
      <c r="I25" s="791"/>
      <c r="J25" s="81"/>
      <c r="K25" s="496" t="s">
        <v>1432</v>
      </c>
      <c r="L25" s="310"/>
    </row>
    <row r="26" spans="2:13">
      <c r="B26" s="1967"/>
      <c r="C26" s="1011" t="s">
        <v>347</v>
      </c>
      <c r="D26" s="652" t="s">
        <v>361</v>
      </c>
      <c r="E26" s="652"/>
      <c r="F26" s="642">
        <v>2</v>
      </c>
      <c r="G26" s="642">
        <f>+F26*'PROGRAMA ARQ.'!$E$44</f>
        <v>2</v>
      </c>
      <c r="H26" s="642"/>
      <c r="I26" s="791"/>
      <c r="J26" s="81"/>
      <c r="K26" s="496" t="s">
        <v>1432</v>
      </c>
      <c r="L26" s="310"/>
    </row>
    <row r="27" spans="2:13">
      <c r="B27" s="1967"/>
      <c r="C27" s="1011" t="s">
        <v>342</v>
      </c>
      <c r="D27" s="652" t="s">
        <v>351</v>
      </c>
      <c r="E27" s="652"/>
      <c r="F27" s="642">
        <v>1</v>
      </c>
      <c r="G27" s="642">
        <f>+F27*'PROGRAMA ARQ.'!$E$44</f>
        <v>1</v>
      </c>
      <c r="H27" s="642"/>
      <c r="I27" s="791"/>
      <c r="J27" s="81"/>
      <c r="K27" s="496" t="s">
        <v>1432</v>
      </c>
      <c r="L27" s="310"/>
    </row>
    <row r="28" spans="2:13">
      <c r="B28" s="1967"/>
      <c r="C28" s="1011" t="s">
        <v>348</v>
      </c>
      <c r="D28" s="652" t="s">
        <v>351</v>
      </c>
      <c r="E28" s="652"/>
      <c r="F28" s="642">
        <v>1</v>
      </c>
      <c r="G28" s="642">
        <f>+F28*'PROGRAMA ARQ.'!$E$44</f>
        <v>1</v>
      </c>
      <c r="H28" s="642"/>
      <c r="I28" s="791"/>
      <c r="J28" s="81"/>
      <c r="K28" s="496" t="s">
        <v>1406</v>
      </c>
      <c r="L28" s="310"/>
    </row>
    <row r="29" spans="2:13">
      <c r="B29" s="1967"/>
      <c r="C29" s="1011" t="s">
        <v>349</v>
      </c>
      <c r="D29" s="652" t="s">
        <v>1112</v>
      </c>
      <c r="E29" s="652"/>
      <c r="F29" s="642">
        <v>1</v>
      </c>
      <c r="G29" s="642">
        <f>+F29*'PROGRAMA ARQ.'!$E$44</f>
        <v>1</v>
      </c>
      <c r="H29" s="642"/>
      <c r="I29" s="791"/>
      <c r="J29" s="81"/>
      <c r="K29" s="496" t="s">
        <v>1406</v>
      </c>
      <c r="L29" s="310"/>
    </row>
    <row r="30" spans="2:13">
      <c r="B30" s="1967"/>
      <c r="C30" s="1011" t="s">
        <v>360</v>
      </c>
      <c r="D30" s="652" t="s">
        <v>362</v>
      </c>
      <c r="E30" s="652"/>
      <c r="F30" s="632">
        <v>1</v>
      </c>
      <c r="G30" s="642">
        <f>+F30*'PROGRAMA ARQ.'!$E$44</f>
        <v>1</v>
      </c>
      <c r="H30" s="642"/>
      <c r="I30" s="791"/>
      <c r="J30" s="81"/>
      <c r="K30" s="496" t="s">
        <v>1406</v>
      </c>
      <c r="L30" s="310"/>
    </row>
    <row r="31" spans="2:13">
      <c r="B31" s="1967"/>
      <c r="C31" s="1011" t="s">
        <v>343</v>
      </c>
      <c r="D31" s="652" t="s">
        <v>1106</v>
      </c>
      <c r="E31" s="652"/>
      <c r="F31" s="642">
        <v>1</v>
      </c>
      <c r="G31" s="642">
        <f>+F31*'PROGRAMA ARQ.'!$E$44</f>
        <v>1</v>
      </c>
      <c r="H31" s="642"/>
      <c r="I31" s="791"/>
      <c r="J31" s="81"/>
      <c r="K31" s="496" t="s">
        <v>1406</v>
      </c>
      <c r="L31" s="310"/>
    </row>
    <row r="32" spans="2:13" ht="15" thickBot="1">
      <c r="B32" s="1968"/>
      <c r="C32" s="1018" t="s">
        <v>1107</v>
      </c>
      <c r="D32" s="752" t="s">
        <v>1108</v>
      </c>
      <c r="E32" s="752"/>
      <c r="F32" s="554">
        <v>1</v>
      </c>
      <c r="G32" s="759">
        <f>+F32*'PROGRAMA ARQ.'!$E$44</f>
        <v>1</v>
      </c>
      <c r="H32" s="759"/>
      <c r="I32" s="592"/>
      <c r="J32" s="81"/>
      <c r="K32" s="496" t="s">
        <v>1432</v>
      </c>
      <c r="L32" s="310"/>
    </row>
    <row r="33" spans="2:12">
      <c r="B33" s="1966" t="s">
        <v>141</v>
      </c>
      <c r="C33" s="2020"/>
      <c r="D33" s="764" t="s">
        <v>693</v>
      </c>
      <c r="E33" s="761"/>
      <c r="F33" s="762"/>
      <c r="G33" s="762"/>
      <c r="H33" s="762"/>
      <c r="I33" s="805"/>
      <c r="J33" s="81"/>
      <c r="K33" s="496" t="s">
        <v>1406</v>
      </c>
      <c r="L33" s="310"/>
    </row>
    <row r="34" spans="2:12">
      <c r="B34" s="1967"/>
      <c r="C34" s="2021"/>
      <c r="D34" s="642" t="s">
        <v>736</v>
      </c>
      <c r="E34" s="642"/>
      <c r="F34" s="642"/>
      <c r="G34" s="642"/>
      <c r="H34" s="642"/>
      <c r="I34" s="791"/>
      <c r="J34" s="81"/>
      <c r="K34" s="496" t="s">
        <v>1406</v>
      </c>
      <c r="L34" s="310"/>
    </row>
    <row r="35" spans="2:12">
      <c r="B35" s="1967"/>
      <c r="C35" s="2021"/>
      <c r="D35" s="646" t="s">
        <v>339</v>
      </c>
      <c r="E35" s="646"/>
      <c r="F35" s="642"/>
      <c r="G35" s="642"/>
      <c r="H35" s="632"/>
      <c r="I35" s="791"/>
      <c r="J35" s="81"/>
      <c r="K35" s="496" t="s">
        <v>1406</v>
      </c>
      <c r="L35" s="310"/>
    </row>
    <row r="36" spans="2:12" ht="28">
      <c r="B36" s="1967"/>
      <c r="C36" s="2021"/>
      <c r="D36" s="646" t="s">
        <v>310</v>
      </c>
      <c r="E36" s="646"/>
      <c r="F36" s="642"/>
      <c r="G36" s="642"/>
      <c r="H36" s="642"/>
      <c r="I36" s="791"/>
      <c r="J36" s="81"/>
      <c r="K36" s="496" t="s">
        <v>1406</v>
      </c>
      <c r="L36" s="310"/>
    </row>
    <row r="37" spans="2:12">
      <c r="B37" s="1967"/>
      <c r="C37" s="2021"/>
      <c r="D37" s="646" t="s">
        <v>309</v>
      </c>
      <c r="E37" s="646"/>
      <c r="F37" s="642"/>
      <c r="G37" s="642"/>
      <c r="H37" s="642"/>
      <c r="I37" s="791"/>
      <c r="J37" s="81"/>
      <c r="K37" s="496" t="s">
        <v>1406</v>
      </c>
      <c r="L37" s="310"/>
    </row>
    <row r="38" spans="2:12" ht="28">
      <c r="B38" s="1967"/>
      <c r="C38" s="2021"/>
      <c r="D38" s="646" t="s">
        <v>312</v>
      </c>
      <c r="E38" s="646"/>
      <c r="F38" s="642"/>
      <c r="G38" s="642"/>
      <c r="H38" s="642"/>
      <c r="I38" s="791"/>
      <c r="J38" s="81"/>
      <c r="K38" s="496" t="s">
        <v>1406</v>
      </c>
      <c r="L38" s="310"/>
    </row>
    <row r="39" spans="2:12" ht="15" thickBot="1">
      <c r="B39" s="1968"/>
      <c r="C39" s="2022"/>
      <c r="D39" s="1016" t="s">
        <v>313</v>
      </c>
      <c r="E39" s="1016"/>
      <c r="F39" s="759"/>
      <c r="G39" s="759"/>
      <c r="H39" s="759"/>
      <c r="I39" s="592"/>
      <c r="J39" s="81"/>
      <c r="K39" s="496" t="s">
        <v>1406</v>
      </c>
      <c r="L39" s="310"/>
    </row>
    <row r="40" spans="2:12">
      <c r="B40" s="2072" t="s">
        <v>140</v>
      </c>
      <c r="C40" s="1109"/>
      <c r="D40" s="764" t="s">
        <v>919</v>
      </c>
      <c r="E40" s="764"/>
      <c r="F40" s="762"/>
      <c r="G40" s="762"/>
      <c r="H40" s="762"/>
      <c r="I40" s="805"/>
      <c r="J40" s="81"/>
      <c r="K40" s="496" t="s">
        <v>1406</v>
      </c>
      <c r="L40" s="310"/>
    </row>
    <row r="41" spans="2:12" ht="28">
      <c r="B41" s="2080"/>
      <c r="C41" s="1893" t="s">
        <v>247</v>
      </c>
      <c r="D41" s="652" t="s">
        <v>321</v>
      </c>
      <c r="E41" s="652"/>
      <c r="F41" s="642"/>
      <c r="G41" s="642"/>
      <c r="H41" s="642"/>
      <c r="I41" s="791"/>
      <c r="J41" s="81"/>
      <c r="K41" s="496" t="s">
        <v>1406</v>
      </c>
      <c r="L41" s="310"/>
    </row>
    <row r="42" spans="2:12" ht="43" thickBot="1">
      <c r="B42" s="2073"/>
      <c r="C42" s="2017"/>
      <c r="D42" s="752" t="s">
        <v>1103</v>
      </c>
      <c r="E42" s="752"/>
      <c r="F42" s="759"/>
      <c r="G42" s="759"/>
      <c r="H42" s="759"/>
      <c r="I42" s="592"/>
      <c r="J42" s="81"/>
      <c r="K42" s="496" t="s">
        <v>1406</v>
      </c>
      <c r="L42" s="310"/>
    </row>
    <row r="43" spans="2:12" ht="15" thickBot="1">
      <c r="B43" s="2023" t="s">
        <v>124</v>
      </c>
      <c r="C43" s="2024"/>
      <c r="D43" s="816" t="s">
        <v>298</v>
      </c>
      <c r="E43" s="816"/>
      <c r="F43" s="750"/>
      <c r="G43" s="750"/>
      <c r="H43" s="750"/>
      <c r="I43" s="810"/>
      <c r="J43" s="81"/>
      <c r="K43" s="496" t="s">
        <v>935</v>
      </c>
      <c r="L43" s="310"/>
    </row>
    <row r="44" spans="2:12" ht="15" thickBot="1">
      <c r="B44" s="1110" t="s">
        <v>132</v>
      </c>
      <c r="C44" s="1111" t="s">
        <v>920</v>
      </c>
      <c r="D44" s="816" t="s">
        <v>1109</v>
      </c>
      <c r="E44" s="816"/>
      <c r="F44" s="750">
        <v>1</v>
      </c>
      <c r="G44" s="750">
        <f>+F44*'PROGRAMA ARQ.'!$E$44</f>
        <v>1</v>
      </c>
      <c r="H44" s="1019"/>
      <c r="I44" s="810"/>
      <c r="J44" s="81"/>
      <c r="K44" s="496" t="s">
        <v>1406</v>
      </c>
      <c r="L44" s="310"/>
    </row>
    <row r="45" spans="2:12">
      <c r="B45" s="1966" t="s">
        <v>133</v>
      </c>
      <c r="C45" s="1948" t="s">
        <v>1113</v>
      </c>
      <c r="D45" s="764" t="s">
        <v>1110</v>
      </c>
      <c r="E45" s="762"/>
      <c r="F45" s="762"/>
      <c r="G45" s="762"/>
      <c r="H45" s="762"/>
      <c r="I45" s="805"/>
      <c r="J45" s="81"/>
      <c r="K45" s="496" t="s">
        <v>1432</v>
      </c>
      <c r="L45" s="310"/>
    </row>
    <row r="46" spans="2:12">
      <c r="B46" s="1967"/>
      <c r="C46" s="1949"/>
      <c r="D46" s="652" t="s">
        <v>379</v>
      </c>
      <c r="E46" s="652"/>
      <c r="F46" s="642"/>
      <c r="G46" s="642"/>
      <c r="H46" s="642"/>
      <c r="I46" s="791"/>
      <c r="J46" s="81"/>
      <c r="K46" s="496" t="s">
        <v>1406</v>
      </c>
      <c r="L46" s="310"/>
    </row>
    <row r="47" spans="2:12">
      <c r="B47" s="1967"/>
      <c r="C47" s="1949"/>
      <c r="D47" s="652" t="s">
        <v>382</v>
      </c>
      <c r="E47" s="652"/>
      <c r="F47" s="642"/>
      <c r="G47" s="642"/>
      <c r="H47" s="642"/>
      <c r="I47" s="791"/>
      <c r="J47" s="81"/>
      <c r="K47" s="496" t="s">
        <v>1406</v>
      </c>
      <c r="L47" s="310"/>
    </row>
    <row r="48" spans="2:12">
      <c r="B48" s="1967"/>
      <c r="C48" s="1949"/>
      <c r="D48" s="652" t="s">
        <v>317</v>
      </c>
      <c r="E48" s="652"/>
      <c r="F48" s="642"/>
      <c r="G48" s="642"/>
      <c r="H48" s="642"/>
      <c r="I48" s="791"/>
      <c r="J48" s="81"/>
      <c r="K48" s="496" t="s">
        <v>1406</v>
      </c>
      <c r="L48" s="310"/>
    </row>
    <row r="49" spans="1:12">
      <c r="B49" s="1967"/>
      <c r="C49" s="1949"/>
      <c r="D49" s="652" t="s">
        <v>318</v>
      </c>
      <c r="E49" s="652"/>
      <c r="F49" s="642"/>
      <c r="G49" s="642"/>
      <c r="H49" s="642"/>
      <c r="I49" s="791"/>
      <c r="J49" s="81"/>
      <c r="K49" s="496" t="s">
        <v>1406</v>
      </c>
      <c r="L49" s="310"/>
    </row>
    <row r="50" spans="1:12" ht="29" thickBot="1">
      <c r="B50" s="1968"/>
      <c r="C50" s="1979"/>
      <c r="D50" s="752" t="s">
        <v>376</v>
      </c>
      <c r="E50" s="752"/>
      <c r="F50" s="759"/>
      <c r="G50" s="759"/>
      <c r="H50" s="759"/>
      <c r="I50" s="592"/>
      <c r="J50" s="81"/>
      <c r="K50" s="496" t="s">
        <v>1406</v>
      </c>
      <c r="L50" s="310"/>
    </row>
    <row r="51" spans="1:12" ht="28">
      <c r="B51" s="1966" t="s">
        <v>134</v>
      </c>
      <c r="C51" s="2020"/>
      <c r="D51" s="764" t="s">
        <v>319</v>
      </c>
      <c r="E51" s="764"/>
      <c r="F51" s="762"/>
      <c r="G51" s="762"/>
      <c r="H51" s="762"/>
      <c r="I51" s="805"/>
      <c r="J51" s="81"/>
      <c r="K51" s="496" t="s">
        <v>1406</v>
      </c>
      <c r="L51" s="310"/>
    </row>
    <row r="52" spans="1:12" ht="15" thickBot="1">
      <c r="B52" s="1968"/>
      <c r="C52" s="2022"/>
      <c r="D52" s="752" t="s">
        <v>320</v>
      </c>
      <c r="E52" s="752"/>
      <c r="F52" s="759"/>
      <c r="G52" s="759"/>
      <c r="H52" s="759"/>
      <c r="I52" s="592"/>
      <c r="J52" s="81"/>
      <c r="K52" s="597" t="s">
        <v>1456</v>
      </c>
      <c r="L52" s="310"/>
    </row>
    <row r="53" spans="1:12">
      <c r="B53" s="1966" t="s">
        <v>135</v>
      </c>
      <c r="C53" s="2036" t="s">
        <v>248</v>
      </c>
      <c r="D53" s="764" t="s">
        <v>322</v>
      </c>
      <c r="E53" s="764"/>
      <c r="F53" s="762"/>
      <c r="G53" s="762"/>
      <c r="H53" s="762"/>
      <c r="I53" s="805"/>
      <c r="J53" s="81"/>
      <c r="K53" s="597" t="s">
        <v>1456</v>
      </c>
      <c r="L53" s="310"/>
    </row>
    <row r="54" spans="1:12">
      <c r="B54" s="1967"/>
      <c r="C54" s="2037"/>
      <c r="D54" s="652" t="s">
        <v>323</v>
      </c>
      <c r="E54" s="652"/>
      <c r="F54" s="642"/>
      <c r="G54" s="642"/>
      <c r="H54" s="642"/>
      <c r="I54" s="791"/>
      <c r="J54" s="81"/>
      <c r="K54" s="597" t="s">
        <v>718</v>
      </c>
      <c r="L54" s="310"/>
    </row>
    <row r="55" spans="1:12">
      <c r="B55" s="1967"/>
      <c r="C55" s="2044" t="s">
        <v>249</v>
      </c>
      <c r="D55" s="652" t="s">
        <v>240</v>
      </c>
      <c r="E55" s="652"/>
      <c r="F55" s="642"/>
      <c r="G55" s="642"/>
      <c r="H55" s="642"/>
      <c r="I55" s="791"/>
      <c r="J55" s="81"/>
      <c r="K55" s="597" t="s">
        <v>718</v>
      </c>
      <c r="L55" s="310"/>
    </row>
    <row r="56" spans="1:12">
      <c r="B56" s="1967"/>
      <c r="C56" s="2044"/>
      <c r="D56" s="652" t="s">
        <v>324</v>
      </c>
      <c r="E56" s="652"/>
      <c r="F56" s="642"/>
      <c r="G56" s="642"/>
      <c r="H56" s="642"/>
      <c r="I56" s="791"/>
      <c r="J56" s="81"/>
      <c r="K56" s="496" t="s">
        <v>1406</v>
      </c>
      <c r="L56" s="310"/>
    </row>
    <row r="57" spans="1:12">
      <c r="B57" s="1967"/>
      <c r="C57" s="2044" t="s">
        <v>250</v>
      </c>
      <c r="D57" s="652" t="s">
        <v>325</v>
      </c>
      <c r="E57" s="652"/>
      <c r="F57" s="642"/>
      <c r="G57" s="642"/>
      <c r="H57" s="642"/>
      <c r="I57" s="791"/>
      <c r="J57" s="81"/>
      <c r="K57" s="496" t="s">
        <v>1406</v>
      </c>
      <c r="L57" s="310"/>
    </row>
    <row r="58" spans="1:12">
      <c r="B58" s="1967"/>
      <c r="C58" s="2044"/>
      <c r="D58" s="652" t="s">
        <v>326</v>
      </c>
      <c r="E58" s="652"/>
      <c r="F58" s="642"/>
      <c r="G58" s="642"/>
      <c r="H58" s="642"/>
      <c r="I58" s="791"/>
      <c r="J58" s="81"/>
      <c r="K58" s="496" t="s">
        <v>1406</v>
      </c>
      <c r="L58" s="310"/>
    </row>
    <row r="59" spans="1:12" ht="15" thickBot="1">
      <c r="B59" s="1968"/>
      <c r="C59" s="2045"/>
      <c r="D59" s="752" t="s">
        <v>327</v>
      </c>
      <c r="E59" s="752"/>
      <c r="F59" s="759"/>
      <c r="G59" s="759"/>
      <c r="H59" s="759"/>
      <c r="I59" s="592"/>
      <c r="J59" s="81"/>
      <c r="K59" s="496" t="s">
        <v>1406</v>
      </c>
      <c r="L59" s="310"/>
    </row>
    <row r="60" spans="1:12">
      <c r="A60" s="1945" t="s">
        <v>137</v>
      </c>
      <c r="B60" s="1966" t="s">
        <v>138</v>
      </c>
      <c r="C60" s="2030" t="s">
        <v>438</v>
      </c>
      <c r="D60" s="764" t="s">
        <v>331</v>
      </c>
      <c r="E60" s="764"/>
      <c r="F60" s="762"/>
      <c r="G60" s="762"/>
      <c r="H60" s="762"/>
      <c r="I60" s="805"/>
      <c r="J60" s="81"/>
      <c r="K60" s="625" t="s">
        <v>436</v>
      </c>
      <c r="L60" s="310"/>
    </row>
    <row r="61" spans="1:12" ht="28">
      <c r="A61" s="1946"/>
      <c r="B61" s="1967"/>
      <c r="C61" s="2031"/>
      <c r="D61" s="652" t="s">
        <v>1115</v>
      </c>
      <c r="E61" s="652"/>
      <c r="F61" s="642">
        <v>2</v>
      </c>
      <c r="G61" s="642">
        <f>+F61*'PROGRAMA ARQ.'!$E$44</f>
        <v>2</v>
      </c>
      <c r="H61" s="642"/>
      <c r="I61" s="791"/>
      <c r="J61" s="81"/>
      <c r="K61" s="625" t="s">
        <v>1406</v>
      </c>
      <c r="L61" s="310"/>
    </row>
    <row r="62" spans="1:12" ht="28">
      <c r="A62" s="1946"/>
      <c r="B62" s="1967"/>
      <c r="C62" s="2031"/>
      <c r="D62" s="652" t="s">
        <v>1114</v>
      </c>
      <c r="E62" s="652"/>
      <c r="F62" s="642">
        <v>1</v>
      </c>
      <c r="G62" s="642">
        <f>+F62*'PROGRAMA ARQ.'!$E$44</f>
        <v>1</v>
      </c>
      <c r="H62" s="642"/>
      <c r="I62" s="791"/>
      <c r="J62" s="81"/>
      <c r="K62" s="496" t="s">
        <v>1406</v>
      </c>
      <c r="L62" s="310"/>
    </row>
    <row r="63" spans="1:12">
      <c r="A63" s="1946"/>
      <c r="B63" s="1967"/>
      <c r="C63" s="1104" t="s">
        <v>251</v>
      </c>
      <c r="D63" s="652" t="s">
        <v>358</v>
      </c>
      <c r="E63" s="652"/>
      <c r="F63" s="642">
        <v>1</v>
      </c>
      <c r="G63" s="642">
        <f>+F63*'PROGRAMA ARQ.'!$E$44</f>
        <v>1</v>
      </c>
      <c r="H63" s="642"/>
      <c r="I63" s="791"/>
      <c r="J63" s="81"/>
      <c r="K63" s="496" t="s">
        <v>1406</v>
      </c>
      <c r="L63" s="310"/>
    </row>
    <row r="64" spans="1:12">
      <c r="A64" s="1946"/>
      <c r="B64" s="1967"/>
      <c r="C64" s="1104" t="s">
        <v>252</v>
      </c>
      <c r="D64" s="652" t="s">
        <v>1116</v>
      </c>
      <c r="E64" s="652"/>
      <c r="F64" s="642">
        <v>1</v>
      </c>
      <c r="G64" s="642">
        <f>+F64*'PROGRAMA ARQ.'!$E$44</f>
        <v>1</v>
      </c>
      <c r="H64" s="642"/>
      <c r="I64" s="791"/>
      <c r="J64" s="81"/>
      <c r="K64" s="496" t="s">
        <v>1406</v>
      </c>
      <c r="L64" s="310"/>
    </row>
    <row r="65" spans="1:12">
      <c r="A65" s="1946"/>
      <c r="B65" s="1967"/>
      <c r="C65" s="1104" t="s">
        <v>253</v>
      </c>
      <c r="D65" s="652" t="s">
        <v>298</v>
      </c>
      <c r="E65" s="652"/>
      <c r="F65" s="642"/>
      <c r="G65" s="642"/>
      <c r="H65" s="642"/>
      <c r="I65" s="791"/>
      <c r="J65" s="81"/>
      <c r="K65" s="496" t="s">
        <v>935</v>
      </c>
      <c r="L65" s="310"/>
    </row>
    <row r="66" spans="1:12">
      <c r="A66" s="1946"/>
      <c r="B66" s="1967"/>
      <c r="C66" s="1104" t="s">
        <v>254</v>
      </c>
      <c r="D66" s="652" t="s">
        <v>298</v>
      </c>
      <c r="E66" s="652"/>
      <c r="F66" s="642"/>
      <c r="G66" s="642"/>
      <c r="H66" s="642"/>
      <c r="I66" s="791"/>
      <c r="J66" s="81"/>
      <c r="K66" s="496" t="s">
        <v>935</v>
      </c>
      <c r="L66" s="310"/>
    </row>
    <row r="67" spans="1:12" ht="15" thickBot="1">
      <c r="A67" s="1946"/>
      <c r="B67" s="1968"/>
      <c r="C67" s="1105" t="s">
        <v>255</v>
      </c>
      <c r="D67" s="752" t="s">
        <v>298</v>
      </c>
      <c r="E67" s="752"/>
      <c r="F67" s="759"/>
      <c r="G67" s="759"/>
      <c r="H67" s="759"/>
      <c r="I67" s="592"/>
      <c r="J67" s="81"/>
      <c r="K67" s="496" t="s">
        <v>935</v>
      </c>
      <c r="L67" s="310"/>
    </row>
    <row r="68" spans="1:12">
      <c r="A68" s="1946"/>
      <c r="B68" s="1966" t="s">
        <v>139</v>
      </c>
      <c r="C68" s="1108" t="s">
        <v>256</v>
      </c>
      <c r="D68" s="761" t="s">
        <v>298</v>
      </c>
      <c r="E68" s="761"/>
      <c r="F68" s="762"/>
      <c r="G68" s="762"/>
      <c r="H68" s="812"/>
      <c r="I68" s="805"/>
      <c r="J68" s="81"/>
      <c r="K68" s="496" t="s">
        <v>935</v>
      </c>
      <c r="L68" s="310"/>
    </row>
    <row r="69" spans="1:12" ht="29" thickBot="1">
      <c r="A69" s="1946"/>
      <c r="B69" s="1968"/>
      <c r="C69" s="1103" t="s">
        <v>257</v>
      </c>
      <c r="D69" s="752" t="s">
        <v>365</v>
      </c>
      <c r="E69" s="752"/>
      <c r="F69" s="759"/>
      <c r="G69" s="759"/>
      <c r="H69" s="759"/>
      <c r="I69" s="592"/>
      <c r="J69" s="81"/>
      <c r="K69" s="496" t="s">
        <v>1406</v>
      </c>
      <c r="L69" s="310"/>
    </row>
    <row r="70" spans="1:12">
      <c r="A70" s="1946"/>
      <c r="B70" s="1966" t="s">
        <v>142</v>
      </c>
      <c r="C70" s="2020"/>
      <c r="D70" s="764" t="s">
        <v>357</v>
      </c>
      <c r="E70" s="764"/>
      <c r="F70" s="762"/>
      <c r="G70" s="762"/>
      <c r="H70" s="762"/>
      <c r="I70" s="805"/>
      <c r="J70" s="81"/>
      <c r="K70" s="496" t="s">
        <v>1406</v>
      </c>
      <c r="L70" s="310"/>
    </row>
    <row r="71" spans="1:12">
      <c r="A71" s="1946"/>
      <c r="B71" s="1967"/>
      <c r="C71" s="2021"/>
      <c r="D71" s="652" t="s">
        <v>715</v>
      </c>
      <c r="E71" s="652"/>
      <c r="F71" s="642"/>
      <c r="G71" s="642"/>
      <c r="H71" s="642"/>
      <c r="I71" s="791"/>
      <c r="J71" s="81"/>
      <c r="K71" s="496" t="s">
        <v>1406</v>
      </c>
      <c r="L71" s="310"/>
    </row>
    <row r="72" spans="1:12" ht="15" thickBot="1">
      <c r="A72" s="1946"/>
      <c r="B72" s="1967"/>
      <c r="C72" s="2021"/>
      <c r="D72" s="1395" t="s">
        <v>1491</v>
      </c>
      <c r="E72" s="652"/>
      <c r="F72" s="642"/>
      <c r="G72" s="642"/>
      <c r="H72" s="642"/>
      <c r="I72" s="791"/>
      <c r="J72" s="81"/>
      <c r="K72" s="496" t="s">
        <v>1454</v>
      </c>
      <c r="L72" s="310"/>
    </row>
    <row r="73" spans="1:12">
      <c r="A73" s="470"/>
      <c r="B73" s="1966" t="s">
        <v>264</v>
      </c>
      <c r="C73" s="2020"/>
      <c r="D73" s="764" t="s">
        <v>771</v>
      </c>
      <c r="E73" s="764"/>
      <c r="F73" s="762"/>
      <c r="G73" s="762"/>
      <c r="H73" s="762"/>
      <c r="I73" s="805"/>
      <c r="J73" s="81"/>
      <c r="K73" s="496" t="s">
        <v>302</v>
      </c>
      <c r="L73" s="310"/>
    </row>
    <row r="74" spans="1:12" ht="15" thickBot="1">
      <c r="A74" s="804"/>
      <c r="B74" s="1968"/>
      <c r="C74" s="2022"/>
      <c r="D74" s="1020" t="s">
        <v>1548</v>
      </c>
      <c r="E74" s="1095"/>
      <c r="F74" s="1095"/>
      <c r="G74" s="1095"/>
      <c r="H74" s="1095"/>
      <c r="I74" s="796"/>
    </row>
  </sheetData>
  <mergeCells count="28">
    <mergeCell ref="E3:I3"/>
    <mergeCell ref="B2:I2"/>
    <mergeCell ref="E4:I4"/>
    <mergeCell ref="A60:A72"/>
    <mergeCell ref="E5:I5"/>
    <mergeCell ref="B8:C8"/>
    <mergeCell ref="B9:C12"/>
    <mergeCell ref="B13:B19"/>
    <mergeCell ref="C13:C15"/>
    <mergeCell ref="C16:C17"/>
    <mergeCell ref="B20:B21"/>
    <mergeCell ref="B22:B32"/>
    <mergeCell ref="B33:C39"/>
    <mergeCell ref="B40:B42"/>
    <mergeCell ref="C41:C42"/>
    <mergeCell ref="B43:C43"/>
    <mergeCell ref="B45:B50"/>
    <mergeCell ref="C45:C50"/>
    <mergeCell ref="B51:C52"/>
    <mergeCell ref="C53:C54"/>
    <mergeCell ref="B68:B69"/>
    <mergeCell ref="B70:C72"/>
    <mergeCell ref="B73:C74"/>
    <mergeCell ref="C55:C56"/>
    <mergeCell ref="C57:C59"/>
    <mergeCell ref="B53:B59"/>
    <mergeCell ref="B60:B67"/>
    <mergeCell ref="C60:C62"/>
  </mergeCells>
  <pageMargins left="0.70866141732283472" right="0.70866141732283472" top="0.74803149606299213" bottom="0.74803149606299213" header="0.31496062992125984" footer="0.31496062992125984"/>
  <pageSetup scale="67" fitToHeight="0" orientation="portrait"/>
  <rowBreaks count="1" manualBreakCount="1">
    <brk id="44"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EA91B2ED-2D51-481B-800A-B00444210496}">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pageSetUpPr fitToPage="1"/>
  </sheetPr>
  <dimension ref="A1:Y128"/>
  <sheetViews>
    <sheetView topLeftCell="A23" zoomScale="70" zoomScaleNormal="70" zoomScaleSheetLayoutView="78" zoomScalePageLayoutView="70" workbookViewId="0">
      <selection activeCell="J29" sqref="J29"/>
    </sheetView>
  </sheetViews>
  <sheetFormatPr baseColWidth="10" defaultColWidth="11.5" defaultRowHeight="18.75" customHeight="1" x14ac:dyDescent="0"/>
  <cols>
    <col min="1" max="1" width="2.5" style="2" customWidth="1"/>
    <col min="2" max="2" width="21.33203125" style="6" customWidth="1"/>
    <col min="3" max="3" width="6.5" style="5" customWidth="1"/>
    <col min="4" max="4" width="66.1640625" style="6" customWidth="1"/>
    <col min="5" max="5" width="7.33203125" style="6" customWidth="1"/>
    <col min="6" max="6" width="14.1640625" style="5" customWidth="1"/>
    <col min="7" max="7" width="14.6640625" customWidth="1"/>
    <col min="8" max="8" width="2.1640625" style="81" customWidth="1"/>
    <col min="9" max="9" width="21" style="60" customWidth="1"/>
    <col min="10" max="10" width="22" style="60" customWidth="1"/>
    <col min="11" max="11" width="22.33203125" style="60" customWidth="1"/>
    <col min="12" max="12" width="12.6640625" style="60" customWidth="1"/>
    <col min="13" max="13" width="7.6640625" style="60" customWidth="1"/>
    <col min="14" max="14" width="6.6640625" style="60" customWidth="1"/>
    <col min="15" max="15" width="12.6640625" style="60" customWidth="1"/>
    <col min="16" max="16" width="64.1640625" style="24" customWidth="1"/>
    <col min="17" max="17" width="62.1640625" style="139" customWidth="1"/>
    <col min="18" max="24" width="11.5" customWidth="1"/>
    <col min="25" max="16384" width="11.5" style="2"/>
  </cols>
  <sheetData>
    <row r="1" spans="1:17" ht="18.75" customHeight="1">
      <c r="B1" s="223" t="s">
        <v>225</v>
      </c>
    </row>
    <row r="2" spans="1:17" ht="18.75" customHeight="1">
      <c r="B2" s="223"/>
    </row>
    <row r="3" spans="1:17" ht="15.5" customHeight="1" thickBot="1">
      <c r="B3" s="223"/>
      <c r="G3" s="605" t="s">
        <v>1079</v>
      </c>
    </row>
    <row r="4" spans="1:17" ht="18.75" customHeight="1">
      <c r="B4" s="1684">
        <f>+C8</f>
        <v>2</v>
      </c>
      <c r="C4" s="1686" t="s">
        <v>239</v>
      </c>
      <c r="D4" s="1688">
        <f>+C9</f>
        <v>4</v>
      </c>
      <c r="E4" s="303" t="str">
        <f>IF(C8=1,"1 SALA CUNA",IF(C8=2,"2 SALAS CUNAS",IF(C8=3,"3 SALAS CUNAS","SIN SALA CUNA")))</f>
        <v>2 SALAS CUNAS</v>
      </c>
      <c r="F4" s="305"/>
      <c r="G4" s="1690">
        <f>+G10</f>
        <v>152</v>
      </c>
      <c r="H4" s="256"/>
      <c r="I4" s="182"/>
      <c r="J4" s="182"/>
      <c r="K4" s="182"/>
      <c r="L4" s="182"/>
      <c r="M4" s="182"/>
      <c r="N4" s="182"/>
      <c r="O4" s="54"/>
    </row>
    <row r="5" spans="1:17" ht="18.75" customHeight="1" thickBot="1">
      <c r="B5" s="1685"/>
      <c r="C5" s="1687"/>
      <c r="D5" s="1689"/>
      <c r="E5" s="304" t="str">
        <f>IF(C9=1,"1 NIVEL MEDIO",IF(C9=2,"2 NIVELES MEDIOS",IF(C9=3,"3 NIVELES MEDIOS","SIN NIVEL MEDIO")))</f>
        <v>SIN NIVEL MEDIO</v>
      </c>
      <c r="F5" s="306"/>
      <c r="G5" s="1691"/>
      <c r="H5" s="257"/>
      <c r="I5" s="182"/>
      <c r="J5" s="182"/>
      <c r="K5" s="182"/>
      <c r="L5" s="182"/>
      <c r="M5" s="182"/>
      <c r="N5" s="182"/>
      <c r="O5" s="54"/>
    </row>
    <row r="6" spans="1:17" ht="18.75" customHeight="1" thickBot="1">
      <c r="B6" s="141"/>
      <c r="C6" s="141"/>
      <c r="D6" s="141"/>
      <c r="E6" s="141"/>
      <c r="F6" s="141"/>
      <c r="G6" s="141"/>
      <c r="H6" s="161"/>
      <c r="I6" s="141"/>
      <c r="J6" s="141"/>
      <c r="K6" s="141"/>
      <c r="L6" s="141"/>
      <c r="M6" s="54"/>
      <c r="N6" s="141"/>
      <c r="O6" s="54"/>
    </row>
    <row r="7" spans="1:17" ht="18.75" hidden="1" customHeight="1" thickBot="1">
      <c r="B7" s="249" t="s">
        <v>182</v>
      </c>
      <c r="C7" s="181" t="str">
        <f>+INICIO!D3</f>
        <v>VALPARAISO</v>
      </c>
      <c r="D7" s="28"/>
      <c r="E7" s="181"/>
      <c r="F7" s="243"/>
      <c r="G7" s="244"/>
      <c r="H7" s="161"/>
      <c r="I7" s="141"/>
      <c r="J7" s="141"/>
      <c r="K7" s="141"/>
      <c r="L7" s="141"/>
      <c r="M7" s="54"/>
      <c r="N7" s="141"/>
      <c r="O7" s="54"/>
    </row>
    <row r="8" spans="1:17" ht="18.75" customHeight="1">
      <c r="B8" s="279" t="s">
        <v>13</v>
      </c>
      <c r="C8" s="280">
        <f>+INICIO!D4</f>
        <v>2</v>
      </c>
      <c r="D8" s="603" t="s">
        <v>88</v>
      </c>
      <c r="E8" s="604"/>
      <c r="F8" s="315"/>
      <c r="G8" s="281">
        <f>+INICIO!C12</f>
        <v>40</v>
      </c>
      <c r="H8" s="50"/>
      <c r="I8" s="54"/>
      <c r="J8" s="54"/>
      <c r="K8" s="54"/>
      <c r="L8" s="54"/>
      <c r="M8" s="54"/>
      <c r="N8" s="54"/>
      <c r="O8" s="54"/>
    </row>
    <row r="9" spans="1:17" ht="18.75" customHeight="1">
      <c r="B9" s="176" t="s">
        <v>14</v>
      </c>
      <c r="C9" s="175">
        <f>+INICIO!D5</f>
        <v>4</v>
      </c>
      <c r="D9" s="245" t="s">
        <v>89</v>
      </c>
      <c r="E9" s="207"/>
      <c r="F9" s="129"/>
      <c r="G9" s="177">
        <f>+INICIO!C13</f>
        <v>112</v>
      </c>
      <c r="H9" s="50"/>
      <c r="I9" s="54"/>
      <c r="J9" s="54"/>
      <c r="K9" s="54"/>
      <c r="L9" s="54"/>
      <c r="M9" s="54"/>
      <c r="N9" s="54"/>
      <c r="O9" s="54"/>
    </row>
    <row r="10" spans="1:17" ht="18.75" customHeight="1" thickBot="1">
      <c r="B10" s="178" t="s">
        <v>181</v>
      </c>
      <c r="C10" s="179">
        <f>+C8+C9</f>
        <v>6</v>
      </c>
      <c r="D10" s="246" t="s">
        <v>90</v>
      </c>
      <c r="E10" s="246"/>
      <c r="F10" s="247"/>
      <c r="G10" s="180">
        <f>+INICIO!C10</f>
        <v>152</v>
      </c>
      <c r="H10" s="50"/>
      <c r="I10" s="54"/>
      <c r="J10" s="54"/>
      <c r="K10" s="54"/>
      <c r="L10" s="54"/>
      <c r="M10" s="54"/>
      <c r="N10" s="54"/>
      <c r="O10" s="54"/>
    </row>
    <row r="11" spans="1:17" ht="18.75" customHeight="1" thickBot="1">
      <c r="B11" s="216"/>
      <c r="C11" s="217"/>
      <c r="D11" s="218"/>
      <c r="E11" s="66"/>
      <c r="I11" s="54"/>
      <c r="J11" s="54"/>
      <c r="K11" s="54"/>
      <c r="L11" s="54"/>
      <c r="M11" s="54"/>
      <c r="N11" s="54"/>
      <c r="O11" s="54"/>
    </row>
    <row r="12" spans="1:17" ht="18">
      <c r="B12" s="1692" t="s">
        <v>118</v>
      </c>
      <c r="C12" s="1693"/>
      <c r="D12" s="1693"/>
      <c r="E12" s="1693"/>
      <c r="F12" s="1693"/>
      <c r="G12" s="1694"/>
      <c r="H12" s="258"/>
      <c r="I12" s="54"/>
      <c r="J12" s="54"/>
      <c r="K12" s="54"/>
      <c r="L12" s="54"/>
      <c r="M12" s="54"/>
      <c r="N12" s="54"/>
      <c r="O12" s="54"/>
    </row>
    <row r="13" spans="1:17" ht="18">
      <c r="B13" s="1695"/>
      <c r="C13" s="1696"/>
      <c r="D13" s="1696"/>
      <c r="E13" s="1696"/>
      <c r="F13" s="1696"/>
      <c r="G13" s="1697"/>
      <c r="H13" s="258"/>
      <c r="I13" s="54"/>
      <c r="J13" s="54"/>
      <c r="K13" s="54"/>
      <c r="L13" s="54"/>
      <c r="M13" s="54"/>
      <c r="N13" s="54"/>
      <c r="O13" s="54"/>
    </row>
    <row r="14" spans="1:17" ht="19" thickBot="1">
      <c r="B14" s="1698"/>
      <c r="C14" s="1699"/>
      <c r="D14" s="1699"/>
      <c r="E14" s="1699"/>
      <c r="F14" s="1699"/>
      <c r="G14" s="1700"/>
      <c r="H14" s="258"/>
      <c r="I14" s="55"/>
      <c r="J14" s="55"/>
      <c r="K14" s="55"/>
      <c r="L14" s="55"/>
      <c r="M14" s="55"/>
      <c r="N14" s="55"/>
      <c r="O14" s="55"/>
    </row>
    <row r="15" spans="1:17" ht="24.75" customHeight="1" thickBot="1">
      <c r="A15" s="1"/>
      <c r="B15" s="1681" t="str">
        <f>IF(INICIO!D3=INICIO!N9,"ZONA CENTRO NORTE",IF(INICIO!D3=INICIO!N10,"ZONA CENTRO NORTE",IF(INICIO!D3=INICIO!N11,"ZONA CENTRO NORTE",IF(INICIO!D3=INICIO!N12,"ZONA CENTRO NORTE",IF(INICIO!D3=INICIO!N13,"ZONA CENTRO NORTE",IF(INICIO!D3=INICIO!N14,"ZONA CENTRO NORTE",IF(INICIO!D3=INICIO!N15,"ZONA CENTRO NORTE",IF(INICIO!D3=INICIO!N16,"ZONA CENTRO NORTE","ZONA SUR"))))))))</f>
        <v>ZONA CENTRO NORTE</v>
      </c>
      <c r="C15" s="1682"/>
      <c r="D15" s="1682"/>
      <c r="E15" s="1682"/>
      <c r="F15" s="1682"/>
      <c r="G15" s="1683"/>
      <c r="H15" s="258"/>
      <c r="I15" s="50"/>
      <c r="J15" s="50"/>
      <c r="K15" s="50"/>
      <c r="L15" s="50"/>
      <c r="M15" s="50"/>
      <c r="N15" s="50"/>
      <c r="O15" s="50"/>
      <c r="P15" s="24" t="s">
        <v>119</v>
      </c>
      <c r="Q15" s="139" t="s">
        <v>121</v>
      </c>
    </row>
    <row r="16" spans="1:17" s="54" customFormat="1" ht="29" thickBot="1">
      <c r="B16" s="236" t="s">
        <v>223</v>
      </c>
      <c r="C16" s="235" t="s">
        <v>224</v>
      </c>
      <c r="D16" s="227" t="s">
        <v>183</v>
      </c>
      <c r="E16" s="228" t="s">
        <v>222</v>
      </c>
      <c r="F16" s="229" t="s">
        <v>226</v>
      </c>
      <c r="G16" s="230" t="s">
        <v>227</v>
      </c>
      <c r="H16" s="142"/>
      <c r="I16" s="232" t="s">
        <v>228</v>
      </c>
      <c r="J16" s="233" t="s">
        <v>229</v>
      </c>
      <c r="K16" s="230" t="s">
        <v>230</v>
      </c>
      <c r="L16" s="142"/>
      <c r="M16" s="142"/>
      <c r="N16" s="142"/>
      <c r="O16" s="142"/>
      <c r="P16" s="143" t="s">
        <v>4</v>
      </c>
      <c r="Q16" s="140"/>
    </row>
    <row r="17" spans="2:17" ht="18.75" customHeight="1">
      <c r="B17" s="1603" t="s">
        <v>1326</v>
      </c>
      <c r="C17" s="237" t="s">
        <v>43</v>
      </c>
      <c r="D17" s="52" t="s">
        <v>147</v>
      </c>
      <c r="E17" s="224">
        <f>+INICIO!D4</f>
        <v>2</v>
      </c>
      <c r="F17" s="225">
        <f>IF(E17&gt;0,P17*INICIO!N4,0)</f>
        <v>62</v>
      </c>
      <c r="G17" s="226">
        <f t="shared" ref="G17:G23" si="0">+F17*E17</f>
        <v>124</v>
      </c>
      <c r="H17" s="82"/>
      <c r="I17" s="231">
        <f>+F17*2.5</f>
        <v>155</v>
      </c>
      <c r="J17" s="225">
        <f>IF(INICIO!D3=INICIO!N9,(F17*0.14),IF(INICIO!D3=INICIO!N10,(F17*0.14),IF(INICIO!D3=INICIO!N11,(F17*0.14),IF(INICIO!D3=INICIO!N12,(F17*0.14),IF(INICIO!D3=INICIO!N13,(F17*0.14),IF(INICIO!D3=INICIO!N14,(F17*0.17),IF(INICIO!D3=INICIO!N15,(F17*0.17),IF(INICIO!D3=INICIO!N16,(F17*0.17),IF(INICIO!D3=INICIO!N17,(F17*0.17),(F17*0.2))))))))))</f>
        <v>10.540000000000001</v>
      </c>
      <c r="K17" s="226">
        <f>+F17*0.08</f>
        <v>4.96</v>
      </c>
      <c r="L17" s="1606" t="s">
        <v>87</v>
      </c>
      <c r="M17" s="1600" t="s">
        <v>180</v>
      </c>
      <c r="N17" s="82">
        <f>+F17/20</f>
        <v>3.1</v>
      </c>
      <c r="O17" s="82"/>
      <c r="P17" s="24">
        <v>3.1</v>
      </c>
    </row>
    <row r="18" spans="2:17" ht="18.75" customHeight="1">
      <c r="B18" s="1604"/>
      <c r="C18" s="238" t="s">
        <v>44</v>
      </c>
      <c r="D18" s="51" t="s">
        <v>130</v>
      </c>
      <c r="E18" s="7">
        <f>IF(INICIO!D4=0,0,(IF(INICIO!D4=1,1,IF(INICIO!D4=2,0,IF(INICIO!D4=3,1,IF(INICIO!D4=4,0,IF(INICIO!D4=5,1,"CONSULTAR")))))))</f>
        <v>0</v>
      </c>
      <c r="F18" s="8">
        <f>IF(E18&gt;0,11.3,0)</f>
        <v>0</v>
      </c>
      <c r="G18" s="121">
        <f t="shared" si="0"/>
        <v>0</v>
      </c>
      <c r="H18" s="13"/>
      <c r="I18" s="166"/>
      <c r="J18" s="8">
        <f>IF(F18&gt;0,F18*8%,0)</f>
        <v>0</v>
      </c>
      <c r="K18" s="121">
        <f>IF(F18&gt;0,F18*4%,0)</f>
        <v>0</v>
      </c>
      <c r="L18" s="1607"/>
      <c r="M18" s="1601"/>
      <c r="N18" s="13"/>
      <c r="O18" s="13"/>
      <c r="P18" s="86">
        <f>F18/20</f>
        <v>0</v>
      </c>
      <c r="Q18" s="139" t="s">
        <v>12</v>
      </c>
    </row>
    <row r="19" spans="2:17" ht="18.75" customHeight="1">
      <c r="B19" s="1604"/>
      <c r="C19" s="238" t="s">
        <v>45</v>
      </c>
      <c r="D19" s="51" t="s">
        <v>131</v>
      </c>
      <c r="E19" s="7">
        <f>IF(INICIO!D4=0,0,IF(INICIO!D4=1,0,IF(INICIO!D4=2,1,IF(INICIO!D4=3,1,IF(INICIO!D4=4,2,IF(INICIO!D4=5,2,"CONSULTAR"))))))</f>
        <v>1</v>
      </c>
      <c r="F19" s="8">
        <f>IF(E19&gt;0,19.8,0)</f>
        <v>19.8</v>
      </c>
      <c r="G19" s="121">
        <f t="shared" si="0"/>
        <v>19.8</v>
      </c>
      <c r="H19" s="13"/>
      <c r="I19" s="166"/>
      <c r="J19" s="8">
        <f>IF(F19&gt;0,F19*8%,0)</f>
        <v>1.5840000000000001</v>
      </c>
      <c r="K19" s="121">
        <f>IF(F19&gt;0,F19*4%,0)</f>
        <v>0.79200000000000004</v>
      </c>
      <c r="L19" s="1607"/>
      <c r="M19" s="1601"/>
      <c r="N19" s="13"/>
      <c r="O19" s="13"/>
      <c r="P19" s="86">
        <f>IF(E19&gt;0,F19/(40*E19),0)</f>
        <v>0.495</v>
      </c>
      <c r="Q19" s="139" t="s">
        <v>62</v>
      </c>
    </row>
    <row r="20" spans="2:17" ht="18.75" customHeight="1">
      <c r="B20" s="1604"/>
      <c r="C20" s="238" t="s">
        <v>46</v>
      </c>
      <c r="D20" s="51" t="s">
        <v>677</v>
      </c>
      <c r="E20" s="7">
        <f>IF(INICIO!D4=0,0,IF(INICIO!D4=1,1,IF(INICIO!D4=2,1,IF(INICIO!D4=3,2,IF(INICIO!D4=4,2,IF(INICIO!D4=5,3,"CONSULTAR"))))))</f>
        <v>1</v>
      </c>
      <c r="F20" s="8"/>
      <c r="G20" s="121">
        <f t="shared" si="0"/>
        <v>0</v>
      </c>
      <c r="H20" s="13"/>
      <c r="I20" s="165">
        <f>+F20*2.5</f>
        <v>0</v>
      </c>
      <c r="J20" s="22">
        <f>IF(INICIO!D3=INICIO!N9,(F20*0.14),IF(INICIO!D3=INICIO!N10,(F20*0.14),IF(INICIO!D3=INICIO!N11,(F20*0.14),IF(INICIO!D3=INICIO!N12,(F20*0.14),IF(INICIO!D3=INICIO!N13,(F20*0.14),IF(INICIO!D3=INICIO!N14,(F20*0.17),IF(INICIO!D3=INICIO!N15,(F20*0.17),IF(INICIO!D3=INICIO!N16,(F20*0.17),IF(INICIO!D3=INICIO!N17,(F20*0.17),(F20*0.2))))))))))</f>
        <v>0</v>
      </c>
      <c r="K20" s="120">
        <f>+F20*0.08</f>
        <v>0</v>
      </c>
      <c r="L20" s="1608"/>
      <c r="M20" s="1602"/>
      <c r="N20" s="82"/>
      <c r="O20" s="82"/>
      <c r="P20" s="24">
        <f>F20/20</f>
        <v>0</v>
      </c>
      <c r="Q20" s="139" t="s">
        <v>114</v>
      </c>
    </row>
    <row r="21" spans="2:17" ht="18.75" customHeight="1">
      <c r="B21" s="1604"/>
      <c r="C21" s="238" t="s">
        <v>47</v>
      </c>
      <c r="D21" s="51" t="s">
        <v>146</v>
      </c>
      <c r="E21" s="7">
        <f>+INICIO!D5</f>
        <v>4</v>
      </c>
      <c r="F21" s="22">
        <f>IF(E21&gt;0,+P21*INICIO!N5,0)</f>
        <v>64.399999999999991</v>
      </c>
      <c r="G21" s="120">
        <f t="shared" si="0"/>
        <v>257.59999999999997</v>
      </c>
      <c r="H21" s="82"/>
      <c r="I21" s="165">
        <f>+F21*2.5</f>
        <v>160.99999999999997</v>
      </c>
      <c r="J21" s="22">
        <f>IF(INICIO!D3=INICIO!N9,(F21*0.14),IF(INICIO!D3=INICIO!N10,(F21*0.14),IF(INICIO!D3=INICIO!N11,(F21*0.14),IF(INICIO!D3=INICIO!N12,(F21*0.14),IF(INICIO!D3=INICIO!N13,(F21*0.14),IF(INICIO!D3=INICIO!N14,(F21*0.17),IF(INICIO!D3=INICIO!N15,(F21*0.17),IF(INICIO!D3=INICIO!N16,(F21*0.17),IF(INICIO!D3=INICIO!N17,(F21*0.17),(F21*0.2))))))))))</f>
        <v>10.947999999999999</v>
      </c>
      <c r="K21" s="120">
        <f>+F21*0.08</f>
        <v>5.1519999999999992</v>
      </c>
      <c r="L21" s="1606" t="s">
        <v>145</v>
      </c>
      <c r="M21" s="1600" t="s">
        <v>179</v>
      </c>
      <c r="N21" s="82">
        <f>+F21/24</f>
        <v>2.6833333333333331</v>
      </c>
      <c r="O21" s="82"/>
      <c r="P21" s="24">
        <v>2.2999999999999998</v>
      </c>
    </row>
    <row r="22" spans="2:17" ht="18.75" customHeight="1">
      <c r="B22" s="1604"/>
      <c r="C22" s="238" t="s">
        <v>48</v>
      </c>
      <c r="D22" s="51" t="s">
        <v>148</v>
      </c>
      <c r="E22" s="7">
        <f>+INICIO!D5</f>
        <v>4</v>
      </c>
      <c r="F22" s="8">
        <f>IF(E22&gt;0,11.3,0)</f>
        <v>11.3</v>
      </c>
      <c r="G22" s="121">
        <f t="shared" si="0"/>
        <v>45.2</v>
      </c>
      <c r="H22" s="13"/>
      <c r="I22" s="166"/>
      <c r="J22" s="8">
        <f>IF(F22&gt;0,F22*8%,0)</f>
        <v>0.90400000000000003</v>
      </c>
      <c r="K22" s="121">
        <f>IF(F22&gt;0,F22*4%,0)</f>
        <v>0.45200000000000001</v>
      </c>
      <c r="L22" s="1607"/>
      <c r="M22" s="1601"/>
      <c r="N22" s="13"/>
      <c r="O22" s="13"/>
      <c r="P22" s="24">
        <f>F22/24</f>
        <v>0.47083333333333338</v>
      </c>
      <c r="Q22" s="139" t="s">
        <v>117</v>
      </c>
    </row>
    <row r="23" spans="2:17" ht="18.75" customHeight="1" thickBot="1">
      <c r="B23" s="1605"/>
      <c r="C23" s="239" t="s">
        <v>61</v>
      </c>
      <c r="D23" s="69" t="s">
        <v>678</v>
      </c>
      <c r="E23" s="122">
        <f>IF(INICIO!D5=0,0,IF(INICIO!D5=1,1,IF(INICIO!D5=2,1,IF(INICIO!D5=3,2,IF(INICIO!D5=4,2,IF(INICIO!D5=5,3,"CONSULTAR"))))))</f>
        <v>2</v>
      </c>
      <c r="F23" s="8"/>
      <c r="G23" s="124">
        <f t="shared" si="0"/>
        <v>0</v>
      </c>
      <c r="H23" s="13"/>
      <c r="I23" s="167">
        <f>+F23*2.5</f>
        <v>0</v>
      </c>
      <c r="J23" s="128">
        <f>IF(INICIO!D3=INICIO!N9,(F23*0.14),IF(INICIO!D3=INICIO!N10,(F23*0.14),IF(INICIO!D3=INICIO!N11,(F23*0.14),IF(INICIO!D3=INICIO!N12,(F23*0.14),IF(INICIO!D3=INICIO!N13,(F23*0.14),IF(INICIO!D3=INICIO!N14,(F23*0.17),IF(INICIO!D3=INICIO!N15,(F23*0.17),IF(INICIO!D3=INICIO!N16,(F23*0.17),IF(INICIO!D3=INICIO!N17,(F23*0.17),(F23*0.2))))))))))</f>
        <v>0</v>
      </c>
      <c r="K23" s="168">
        <f>+F23*0.08</f>
        <v>0</v>
      </c>
      <c r="L23" s="1608"/>
      <c r="M23" s="1602"/>
      <c r="N23" s="82"/>
      <c r="O23" s="82"/>
      <c r="P23" s="24">
        <f>F23/24</f>
        <v>0</v>
      </c>
      <c r="Q23" s="139" t="s">
        <v>115</v>
      </c>
    </row>
    <row r="24" spans="2:17" ht="18.75" customHeight="1" thickBot="1">
      <c r="B24" s="1633"/>
      <c r="C24" s="1634"/>
      <c r="D24" s="29" t="s">
        <v>0</v>
      </c>
      <c r="E24" s="26"/>
      <c r="F24" s="28"/>
      <c r="G24" s="30">
        <f>SUM(G17:G23)</f>
        <v>446.59999999999997</v>
      </c>
      <c r="H24" s="57"/>
      <c r="I24" s="57"/>
      <c r="J24" s="57"/>
      <c r="K24" s="57"/>
      <c r="L24" s="57"/>
      <c r="M24" s="57"/>
      <c r="N24" s="57"/>
      <c r="O24" s="57"/>
    </row>
    <row r="25" spans="2:17" ht="18.75" customHeight="1">
      <c r="B25" s="1615" t="s">
        <v>126</v>
      </c>
      <c r="C25" s="237" t="s">
        <v>32</v>
      </c>
      <c r="D25" s="109" t="s">
        <v>149</v>
      </c>
      <c r="E25" s="110">
        <v>1</v>
      </c>
      <c r="F25" s="125">
        <v>8.4</v>
      </c>
      <c r="G25" s="126">
        <f t="shared" ref="G25:G36" si="1">+F25*E25</f>
        <v>8.4</v>
      </c>
      <c r="H25" s="13"/>
      <c r="I25" s="13"/>
      <c r="J25" s="13"/>
      <c r="K25" s="13"/>
      <c r="L25" s="13"/>
      <c r="M25" s="13"/>
      <c r="N25" s="13"/>
      <c r="O25" s="13"/>
      <c r="P25" s="24" t="s">
        <v>5</v>
      </c>
    </row>
    <row r="26" spans="2:17" ht="18.75" customHeight="1">
      <c r="B26" s="1616"/>
      <c r="C26" s="238" t="s">
        <v>33</v>
      </c>
      <c r="D26" s="52" t="s">
        <v>150</v>
      </c>
      <c r="E26" s="7">
        <v>1</v>
      </c>
      <c r="F26" s="11"/>
      <c r="G26" s="121">
        <f t="shared" si="1"/>
        <v>0</v>
      </c>
      <c r="H26" s="13"/>
      <c r="I26" s="13"/>
      <c r="J26" s="13"/>
      <c r="K26" s="13"/>
      <c r="L26" s="13"/>
      <c r="M26" s="13"/>
      <c r="N26" s="13"/>
      <c r="O26" s="13"/>
      <c r="P26" s="24" t="s">
        <v>5</v>
      </c>
    </row>
    <row r="27" spans="2:17" ht="18.75" customHeight="1">
      <c r="B27" s="1616"/>
      <c r="C27" s="238" t="s">
        <v>34</v>
      </c>
      <c r="D27" s="51" t="s">
        <v>151</v>
      </c>
      <c r="E27" s="7">
        <v>1</v>
      </c>
      <c r="F27" s="8">
        <f>IF(INICIO!C11=1,8.4,IF(INICIO!C11=2,8.4,IF(INICIO!C11=3,(8.4+0.5),IF(INICIO!C11=4,(8.4+1),IF(INICIO!C11=5,(8.4+1.5),IF(INICIO!C11=6,(8.4+2),"CONSULTAR"))))))</f>
        <v>10.4</v>
      </c>
      <c r="G27" s="121">
        <f t="shared" si="1"/>
        <v>10.4</v>
      </c>
      <c r="H27" s="13"/>
      <c r="I27" s="13"/>
      <c r="J27" s="13"/>
      <c r="K27" s="13"/>
      <c r="L27" s="13"/>
      <c r="M27" s="13"/>
      <c r="N27" s="13"/>
      <c r="O27" s="13"/>
      <c r="P27" s="37" t="s">
        <v>895</v>
      </c>
    </row>
    <row r="28" spans="2:17" ht="18.75" customHeight="1">
      <c r="B28" s="1616"/>
      <c r="C28" s="238" t="s">
        <v>35</v>
      </c>
      <c r="D28" s="51" t="s">
        <v>184</v>
      </c>
      <c r="E28" s="7">
        <v>1</v>
      </c>
      <c r="F28" s="8">
        <f>IF(INICIO!C11=1,13.5,IF(INICIO!C11=2,13.5,IF(INICIO!C11=3,(13.5+5.5),IF(INICIO!C11=4,(13.5+11),IF(INICIO!C11=5,(13.5+16.5),IF(INICIO!C11=6,(13.5+22),"CONSULTAR"))))))</f>
        <v>35.5</v>
      </c>
      <c r="G28" s="121">
        <f t="shared" si="1"/>
        <v>35.5</v>
      </c>
      <c r="H28" s="13"/>
      <c r="I28" s="13"/>
      <c r="J28" s="13"/>
      <c r="K28" s="13"/>
      <c r="L28" s="13"/>
      <c r="M28" s="13"/>
      <c r="N28" s="13"/>
      <c r="O28" s="13"/>
      <c r="P28" s="37" t="s">
        <v>896</v>
      </c>
    </row>
    <row r="29" spans="2:17" ht="18.75" customHeight="1">
      <c r="B29" s="1616"/>
      <c r="C29" s="238" t="s">
        <v>36</v>
      </c>
      <c r="D29" s="127" t="s">
        <v>152</v>
      </c>
      <c r="E29" s="7">
        <v>1</v>
      </c>
      <c r="F29" s="8">
        <v>6</v>
      </c>
      <c r="G29" s="121">
        <f t="shared" si="1"/>
        <v>6</v>
      </c>
      <c r="H29" s="13"/>
      <c r="I29" s="13"/>
      <c r="J29" s="13"/>
      <c r="K29" s="13"/>
      <c r="L29" s="13"/>
      <c r="M29" s="13"/>
      <c r="N29" s="13"/>
      <c r="O29" s="13"/>
      <c r="P29" s="25" t="s">
        <v>897</v>
      </c>
    </row>
    <row r="30" spans="2:17" ht="18.75" customHeight="1">
      <c r="B30" s="1616"/>
      <c r="C30" s="238" t="s">
        <v>37</v>
      </c>
      <c r="D30" s="51" t="s">
        <v>153</v>
      </c>
      <c r="E30" s="7">
        <f>IF(INICIO!D4=0,0,IF(INICIO!D4=1,1,IF(INICIO!D4=2,1,IF(INICIO!D4=3,1,IF(INICIO!D4=4,2,"CONSULTAR")))))</f>
        <v>1</v>
      </c>
      <c r="F30" s="70">
        <v>4</v>
      </c>
      <c r="G30" s="121">
        <f t="shared" si="1"/>
        <v>4</v>
      </c>
      <c r="H30" s="13"/>
      <c r="I30" s="13"/>
      <c r="J30" s="8">
        <f>IF(F30&gt;0,F30*8%,0)</f>
        <v>0.32</v>
      </c>
      <c r="K30" s="121">
        <f>IF(F30&gt;0,F30*4%,0)</f>
        <v>0.16</v>
      </c>
      <c r="L30" s="13"/>
      <c r="M30" s="13"/>
      <c r="N30" s="13"/>
      <c r="O30" s="13"/>
      <c r="P30" s="25" t="s">
        <v>6</v>
      </c>
    </row>
    <row r="31" spans="2:17" ht="18.75" customHeight="1">
      <c r="B31" s="1616"/>
      <c r="C31" s="238" t="s">
        <v>38</v>
      </c>
      <c r="D31" s="51" t="s">
        <v>154</v>
      </c>
      <c r="E31" s="7">
        <v>1</v>
      </c>
      <c r="F31" s="8">
        <v>3.6</v>
      </c>
      <c r="G31" s="121">
        <f t="shared" si="1"/>
        <v>3.6</v>
      </c>
      <c r="H31" s="13"/>
      <c r="I31" s="13"/>
      <c r="J31" s="8">
        <f t="shared" ref="J31:J36" si="2">IF(F31&gt;0,F31*8%,0)</f>
        <v>0.28800000000000003</v>
      </c>
      <c r="K31" s="121">
        <f t="shared" ref="K31:K36" si="3">IF(F31&gt;0,F31*4%,0)</f>
        <v>0.14400000000000002</v>
      </c>
      <c r="L31" s="13"/>
      <c r="M31" s="13"/>
      <c r="N31" s="13"/>
      <c r="O31" s="13"/>
      <c r="P31" s="24" t="s">
        <v>5</v>
      </c>
    </row>
    <row r="32" spans="2:17" ht="18.75" customHeight="1">
      <c r="B32" s="1616"/>
      <c r="C32" s="238" t="s">
        <v>39</v>
      </c>
      <c r="D32" s="51" t="s">
        <v>155</v>
      </c>
      <c r="E32" s="7">
        <f>IF(INICIO!C19&lt;10,0,IF(INICIO!C19&gt;30,"CONSULTAR",1))</f>
        <v>1</v>
      </c>
      <c r="F32" s="8">
        <f>IF(E32&gt;0,1.96,0)</f>
        <v>1.96</v>
      </c>
      <c r="G32" s="121">
        <f t="shared" si="1"/>
        <v>1.96</v>
      </c>
      <c r="H32" s="13"/>
      <c r="I32" s="13"/>
      <c r="J32" s="8">
        <f t="shared" si="2"/>
        <v>0.15679999999999999</v>
      </c>
      <c r="K32" s="121">
        <f t="shared" si="3"/>
        <v>7.8399999999999997E-2</v>
      </c>
      <c r="L32" s="13"/>
      <c r="M32" s="13"/>
      <c r="N32" s="13"/>
      <c r="O32" s="13"/>
      <c r="Q32" s="139" t="s">
        <v>85</v>
      </c>
    </row>
    <row r="33" spans="1:17" ht="18.75" customHeight="1">
      <c r="B33" s="1616"/>
      <c r="C33" s="238" t="s">
        <v>40</v>
      </c>
      <c r="D33" s="51" t="s">
        <v>612</v>
      </c>
      <c r="E33" s="7">
        <v>1</v>
      </c>
      <c r="F33" s="8">
        <v>1.96</v>
      </c>
      <c r="G33" s="121">
        <f t="shared" si="1"/>
        <v>1.96</v>
      </c>
      <c r="H33" s="13"/>
      <c r="I33" s="13"/>
      <c r="J33" s="8">
        <f t="shared" si="2"/>
        <v>0.15679999999999999</v>
      </c>
      <c r="K33" s="121">
        <f t="shared" si="3"/>
        <v>7.8399999999999997E-2</v>
      </c>
      <c r="L33" s="13"/>
      <c r="M33" s="13"/>
      <c r="N33" s="13"/>
      <c r="O33" s="13"/>
    </row>
    <row r="34" spans="1:17" ht="18.75" customHeight="1">
      <c r="B34" s="1616"/>
      <c r="C34" s="238" t="s">
        <v>41</v>
      </c>
      <c r="D34" s="51" t="s">
        <v>157</v>
      </c>
      <c r="E34" s="7">
        <f>IF(INICIO!C11=1,1,IF(INICIO!C11=2,1,IF(INICIO!C11=3,1,IF(INICIO!C11=4,2,IF(INICIO!C11=5,2,IF(INICIO!C11=6,2,"CONSULTAR"))))))</f>
        <v>2</v>
      </c>
      <c r="F34" s="8">
        <f>IF(INICIO!C11=3,7,IF(INICIO!C11=6,7,5.5))</f>
        <v>7</v>
      </c>
      <c r="G34" s="121">
        <f t="shared" si="1"/>
        <v>14</v>
      </c>
      <c r="H34" s="13"/>
      <c r="I34" s="13"/>
      <c r="J34" s="8">
        <f t="shared" si="2"/>
        <v>0.56000000000000005</v>
      </c>
      <c r="K34" s="121">
        <f t="shared" si="3"/>
        <v>0.28000000000000003</v>
      </c>
      <c r="L34" s="13"/>
      <c r="M34" s="13"/>
      <c r="N34" s="13"/>
      <c r="O34" s="13"/>
      <c r="P34" s="37" t="s">
        <v>75</v>
      </c>
      <c r="Q34" s="139" t="s">
        <v>8</v>
      </c>
    </row>
    <row r="35" spans="1:17" ht="18.75" customHeight="1">
      <c r="B35" s="1616"/>
      <c r="C35" s="238" t="s">
        <v>42</v>
      </c>
      <c r="D35" s="51" t="s">
        <v>158</v>
      </c>
      <c r="E35" s="7">
        <f>IF(INICIO!C11=1,1,IF(INICIO!C11=2,1,IF(INICIO!C11=3,1,IF(INICIO!C11=4,2,IF(INICIO!C11=5,2,IF(INICIO!C11=6,2,"CONSULTAR"))))))</f>
        <v>2</v>
      </c>
      <c r="F35" s="8">
        <f>IF(INICIO!C11=3,6,4)</f>
        <v>4</v>
      </c>
      <c r="G35" s="121">
        <f t="shared" si="1"/>
        <v>8</v>
      </c>
      <c r="H35" s="13"/>
      <c r="I35" s="13"/>
      <c r="J35" s="8">
        <f t="shared" si="2"/>
        <v>0.32</v>
      </c>
      <c r="K35" s="121">
        <f t="shared" si="3"/>
        <v>0.16</v>
      </c>
      <c r="L35" s="13"/>
      <c r="M35" s="13"/>
      <c r="N35" s="13"/>
      <c r="O35" s="13"/>
      <c r="P35" s="37" t="s">
        <v>7</v>
      </c>
      <c r="Q35" s="139" t="s">
        <v>8</v>
      </c>
    </row>
    <row r="36" spans="1:17" s="3" customFormat="1" ht="18.75" customHeight="1" thickBot="1">
      <c r="B36" s="1617"/>
      <c r="C36" s="239" t="s">
        <v>63</v>
      </c>
      <c r="D36" s="69" t="s">
        <v>159</v>
      </c>
      <c r="E36" s="122">
        <v>1</v>
      </c>
      <c r="F36" s="128">
        <v>2</v>
      </c>
      <c r="G36" s="124">
        <f t="shared" si="1"/>
        <v>2</v>
      </c>
      <c r="H36" s="13"/>
      <c r="I36" s="13"/>
      <c r="J36" s="8">
        <f t="shared" si="2"/>
        <v>0.16</v>
      </c>
      <c r="K36" s="121">
        <f t="shared" si="3"/>
        <v>0.08</v>
      </c>
      <c r="L36" s="13"/>
      <c r="M36" s="13"/>
      <c r="N36" s="13"/>
      <c r="O36" s="13"/>
      <c r="P36" s="38" t="s">
        <v>5</v>
      </c>
      <c r="Q36" s="144"/>
    </row>
    <row r="37" spans="1:17" ht="18.75" customHeight="1" thickBot="1">
      <c r="B37" s="1631"/>
      <c r="C37" s="1632"/>
      <c r="D37" s="146" t="s">
        <v>0</v>
      </c>
      <c r="E37" s="147"/>
      <c r="F37" s="193"/>
      <c r="G37" s="149">
        <f>SUM(G25:G36)</f>
        <v>95.819999999999979</v>
      </c>
      <c r="H37" s="57"/>
      <c r="I37" s="57"/>
      <c r="J37" s="57"/>
      <c r="K37" s="57"/>
      <c r="L37" s="57"/>
      <c r="M37" s="57"/>
      <c r="N37" s="57"/>
      <c r="O37" s="57"/>
    </row>
    <row r="38" spans="1:17" ht="18.75" customHeight="1">
      <c r="B38" s="1615" t="s">
        <v>127</v>
      </c>
      <c r="C38" s="75" t="s">
        <v>50</v>
      </c>
      <c r="D38" s="109" t="s">
        <v>160</v>
      </c>
      <c r="E38" s="110">
        <f>IF(INICIO!D5=0,0,1)</f>
        <v>1</v>
      </c>
      <c r="F38" s="125">
        <f>IF(INICIO!D5=0,0,IF(INICIO!D5=1,12,IF(INICIO!D5=2,14,IF(INICIO!D5=3,16,IF(INICIO!D5=4,18,"CONSULTAR")))))</f>
        <v>18</v>
      </c>
      <c r="G38" s="126">
        <f t="shared" ref="G38:G45" si="4">+F38*E38</f>
        <v>18</v>
      </c>
      <c r="H38" s="13"/>
      <c r="I38" s="13"/>
      <c r="J38" s="13"/>
      <c r="K38" s="13"/>
      <c r="L38" s="13"/>
      <c r="M38" s="13"/>
      <c r="N38" s="13"/>
      <c r="O38" s="13"/>
      <c r="P38" s="37" t="s">
        <v>9</v>
      </c>
      <c r="Q38" s="139" t="s">
        <v>84</v>
      </c>
    </row>
    <row r="39" spans="1:17" ht="18.75" customHeight="1">
      <c r="B39" s="1616"/>
      <c r="C39" s="172" t="s">
        <v>51</v>
      </c>
      <c r="D39" s="51" t="s">
        <v>510</v>
      </c>
      <c r="E39" s="7">
        <f>IF(INICIO!D4=0,0,1)</f>
        <v>1</v>
      </c>
      <c r="F39" s="8">
        <f>IF(INICIO!D4=0,0,IF(INICIO!D4=1,9,IF(INICIO!D4=2,10,IF(INICIO!D4=3,11,IF(INICIO!D4=4,12,"CONSULTAR")))))</f>
        <v>10</v>
      </c>
      <c r="G39" s="121">
        <f t="shared" si="4"/>
        <v>10</v>
      </c>
      <c r="H39" s="13"/>
      <c r="I39" s="13"/>
      <c r="J39" s="13"/>
      <c r="K39" s="13"/>
      <c r="L39" s="13"/>
      <c r="M39" s="13"/>
      <c r="N39" s="13"/>
      <c r="O39" s="13"/>
      <c r="P39" s="37"/>
    </row>
    <row r="40" spans="1:17" ht="18.75" customHeight="1" thickBot="1">
      <c r="B40" s="1616"/>
      <c r="C40" s="172" t="s">
        <v>52</v>
      </c>
      <c r="D40" s="51" t="s">
        <v>161</v>
      </c>
      <c r="E40" s="7">
        <f>IF(INICIO!D4=0,0,1)</f>
        <v>1</v>
      </c>
      <c r="F40" s="8">
        <f>IF(INICIO!D4=0,0,IF(INICIO!D4=1,4,IF(INICIO!D4=2,(4+1.5),IF(INICIO!D4=3,(4+3),IF(INICIO!D4=4,(4+4.5),"CONSULTAR")))))</f>
        <v>5.5</v>
      </c>
      <c r="G40" s="121">
        <f t="shared" si="4"/>
        <v>5.5</v>
      </c>
      <c r="H40" s="13"/>
      <c r="I40" s="13"/>
      <c r="J40" s="13"/>
      <c r="K40" s="13"/>
      <c r="L40" s="13"/>
      <c r="M40" s="13"/>
      <c r="N40" s="13"/>
      <c r="O40" s="13"/>
      <c r="P40" s="37" t="s">
        <v>898</v>
      </c>
    </row>
    <row r="41" spans="1:17" ht="18.75" customHeight="1" thickBot="1">
      <c r="B41" s="1616"/>
      <c r="C41" s="172" t="s">
        <v>53</v>
      </c>
      <c r="D41" s="51" t="s">
        <v>185</v>
      </c>
      <c r="E41" s="7">
        <f>IF(INICIO!D5=0,0,1)</f>
        <v>1</v>
      </c>
      <c r="F41" s="8">
        <v>0</v>
      </c>
      <c r="G41" s="121">
        <f t="shared" si="4"/>
        <v>0</v>
      </c>
      <c r="H41" s="13"/>
      <c r="I41" s="169">
        <f>+F41*2.5</f>
        <v>0</v>
      </c>
      <c r="J41" s="170">
        <f>IF(INICIO!D3=INICIO!N9,(F41*0.14),IF(INICIO!D3=INICIO!N10,(F41*0.14),IF(INICIO!D3=INICIO!N11,(F41*0.14),IF(INICIO!D3=INICIO!N12,(F41*0.14),IF(INICIO!D3=INICIO!N13,(F41*0.14),IF(INICIO!D3=INICIO!N14,(F41*0.17),IF(INICIO!D3=INICIO!N15,(F41*0.17),IF(INICIO!D3=INICIO!N16,(F41*0.17),IF(INICIO!D3=INICIO!N17,(F41*0.17),(F41*0.2))))))))))</f>
        <v>0</v>
      </c>
      <c r="K41" s="171">
        <f>+F41*0.08</f>
        <v>0</v>
      </c>
      <c r="L41" s="82"/>
      <c r="M41" s="82"/>
      <c r="N41" s="82"/>
      <c r="O41" s="82"/>
      <c r="P41" s="24" t="s">
        <v>10</v>
      </c>
    </row>
    <row r="42" spans="1:17" ht="18.75" customHeight="1">
      <c r="B42" s="1616"/>
      <c r="C42" s="172" t="s">
        <v>54</v>
      </c>
      <c r="D42" s="127" t="s">
        <v>512</v>
      </c>
      <c r="E42" s="21">
        <v>1</v>
      </c>
      <c r="F42" s="8">
        <f>IF(INICIO!C11=1,5.5,IF(INICIO!C11=2,6,IF(INICIO!C11=3,(6+0.5),IF(INICIO!C11=4,(6+1),IF(INICIO!C11=5,(6+1.5),IF(INICIO!C11=6,(6+2),"CONSULTAR"))))))</f>
        <v>8</v>
      </c>
      <c r="G42" s="121">
        <f t="shared" si="4"/>
        <v>8</v>
      </c>
      <c r="H42" s="13"/>
      <c r="I42" s="13"/>
      <c r="J42" s="13"/>
      <c r="K42" s="13"/>
      <c r="L42" s="13"/>
      <c r="M42" s="13"/>
      <c r="N42" s="13"/>
      <c r="O42" s="13"/>
      <c r="P42" s="37" t="s">
        <v>11</v>
      </c>
      <c r="Q42" s="139" t="s">
        <v>110</v>
      </c>
    </row>
    <row r="43" spans="1:17" ht="18.75" customHeight="1">
      <c r="B43" s="1616"/>
      <c r="C43" s="172" t="s">
        <v>55</v>
      </c>
      <c r="D43" s="127" t="s">
        <v>513</v>
      </c>
      <c r="E43" s="21">
        <v>1</v>
      </c>
      <c r="F43" s="8">
        <f>IF(INICIO!C11=1,3.5,IF(INICIO!C11=2,4,IF(INICIO!C11=3,(4+0.5),IF(INICIO!C11=4,(4+1),IF(INICIO!C11=5,(4+1.5),IF(INICIO!C11=6,(4+2),"CONSULTAR"))))))</f>
        <v>6</v>
      </c>
      <c r="G43" s="121">
        <f>+F43*E43</f>
        <v>6</v>
      </c>
      <c r="H43" s="13"/>
      <c r="I43" s="13"/>
      <c r="J43" s="13"/>
      <c r="K43" s="13"/>
      <c r="L43" s="13"/>
      <c r="M43" s="13"/>
      <c r="N43" s="13"/>
      <c r="O43" s="13"/>
      <c r="P43" s="37"/>
    </row>
    <row r="44" spans="1:17" ht="18.75" customHeight="1">
      <c r="B44" s="1616"/>
      <c r="C44" s="172" t="s">
        <v>509</v>
      </c>
      <c r="D44" s="51" t="s">
        <v>162</v>
      </c>
      <c r="E44" s="7">
        <v>1</v>
      </c>
      <c r="F44" s="8">
        <v>2</v>
      </c>
      <c r="G44" s="121">
        <f t="shared" si="4"/>
        <v>2</v>
      </c>
      <c r="H44" s="13"/>
      <c r="I44" s="13"/>
      <c r="J44" s="13"/>
      <c r="K44" s="13"/>
      <c r="L44" s="13"/>
      <c r="M44" s="13"/>
      <c r="N44" s="13"/>
      <c r="O44" s="13"/>
      <c r="P44" s="24" t="s">
        <v>5</v>
      </c>
      <c r="Q44" s="139" t="s">
        <v>91</v>
      </c>
    </row>
    <row r="45" spans="1:17" ht="18.75" customHeight="1" thickBot="1">
      <c r="A45" s="17"/>
      <c r="B45" s="1617"/>
      <c r="C45" s="76" t="s">
        <v>511</v>
      </c>
      <c r="D45" s="69" t="s">
        <v>163</v>
      </c>
      <c r="E45" s="122">
        <v>1</v>
      </c>
      <c r="F45" s="123">
        <v>4</v>
      </c>
      <c r="G45" s="124">
        <f t="shared" si="4"/>
        <v>4</v>
      </c>
      <c r="H45" s="13"/>
      <c r="I45" s="13"/>
      <c r="J45" s="13"/>
      <c r="K45" s="13"/>
      <c r="L45" s="13"/>
      <c r="M45" s="13"/>
      <c r="N45" s="13"/>
      <c r="O45" s="13"/>
      <c r="P45" s="24" t="s">
        <v>5</v>
      </c>
    </row>
    <row r="46" spans="1:17" ht="18.75" customHeight="1" thickBot="1">
      <c r="B46" s="1627"/>
      <c r="C46" s="1628"/>
      <c r="D46" s="361" t="s">
        <v>0</v>
      </c>
      <c r="E46" s="359"/>
      <c r="F46" s="152"/>
      <c r="G46" s="360">
        <f>SUM(G38:G45)</f>
        <v>53.5</v>
      </c>
      <c r="H46" s="57"/>
      <c r="I46" s="57"/>
      <c r="J46" s="57"/>
      <c r="K46" s="57"/>
      <c r="L46" s="57"/>
      <c r="M46" s="57"/>
      <c r="N46" s="57"/>
      <c r="O46" s="57"/>
    </row>
    <row r="47" spans="1:17" ht="18.75" customHeight="1" thickBot="1">
      <c r="B47" s="1629"/>
      <c r="C47" s="1630"/>
      <c r="D47" s="146" t="s">
        <v>95</v>
      </c>
      <c r="E47" s="147"/>
      <c r="F47" s="148"/>
      <c r="G47" s="149">
        <f>G46+G37+G24</f>
        <v>595.91999999999996</v>
      </c>
      <c r="H47" s="57"/>
      <c r="I47" s="57"/>
      <c r="J47" s="57"/>
      <c r="K47" s="57"/>
      <c r="L47" s="57"/>
      <c r="M47" s="57"/>
      <c r="N47" s="57"/>
      <c r="O47" s="57"/>
    </row>
    <row r="48" spans="1:17" ht="18.75" customHeight="1">
      <c r="B48" s="1615" t="s">
        <v>166</v>
      </c>
      <c r="C48" s="237" t="s">
        <v>56</v>
      </c>
      <c r="D48" s="131" t="s">
        <v>164</v>
      </c>
      <c r="E48" s="1612"/>
      <c r="F48" s="1701"/>
      <c r="G48" s="126">
        <f>G47*0.18</f>
        <v>107.26559999999999</v>
      </c>
      <c r="H48" s="13"/>
      <c r="I48" s="14"/>
      <c r="J48" s="14"/>
      <c r="K48" s="14"/>
      <c r="L48" s="14"/>
      <c r="M48" s="14"/>
      <c r="N48" s="14"/>
      <c r="O48" s="14"/>
    </row>
    <row r="49" spans="1:25" ht="18.75" customHeight="1" thickBot="1">
      <c r="B49" s="1616"/>
      <c r="C49" s="238" t="s">
        <v>57</v>
      </c>
      <c r="D49" s="132" t="s">
        <v>679</v>
      </c>
      <c r="E49" s="1702"/>
      <c r="F49" s="1703"/>
      <c r="G49" s="124">
        <f>+IF($B$15="ZONA SUR",$Y$49,0)</f>
        <v>0</v>
      </c>
      <c r="H49" s="13"/>
      <c r="I49" s="14"/>
      <c r="J49" s="14"/>
      <c r="K49" s="14"/>
      <c r="L49" s="14"/>
      <c r="M49" s="14"/>
      <c r="N49" s="14"/>
      <c r="O49" s="14"/>
      <c r="P49" s="24" t="s">
        <v>49</v>
      </c>
      <c r="Y49" s="2">
        <f>IF(INICIO!C10&gt;87,100,1.2*INICIO!C10)</f>
        <v>100</v>
      </c>
    </row>
    <row r="50" spans="1:25" ht="18.75" customHeight="1" thickBot="1">
      <c r="A50" s="18"/>
      <c r="B50" s="1616"/>
      <c r="C50" s="238"/>
      <c r="D50" s="155" t="s">
        <v>0</v>
      </c>
      <c r="E50" s="1704"/>
      <c r="F50" s="1705"/>
      <c r="G50" s="95">
        <f>SUM(G48:G49)</f>
        <v>107.26559999999999</v>
      </c>
      <c r="H50" s="58"/>
      <c r="I50" s="58"/>
      <c r="J50" s="58"/>
      <c r="K50" s="58"/>
      <c r="L50" s="58"/>
      <c r="M50" s="58"/>
      <c r="N50" s="58"/>
      <c r="O50" s="58"/>
    </row>
    <row r="51" spans="1:25" ht="18.75" customHeight="1" thickBot="1">
      <c r="A51" s="18"/>
      <c r="B51" s="1617"/>
      <c r="C51" s="239"/>
      <c r="D51" s="93" t="s">
        <v>96</v>
      </c>
      <c r="E51" s="94"/>
      <c r="F51" s="103"/>
      <c r="G51" s="95">
        <f>+G50+G47</f>
        <v>703.18559999999991</v>
      </c>
      <c r="H51" s="58"/>
      <c r="I51" s="58"/>
      <c r="J51" s="58"/>
      <c r="K51" s="58"/>
      <c r="L51" s="58"/>
      <c r="M51" s="58"/>
      <c r="N51" s="58"/>
      <c r="O51" s="58"/>
    </row>
    <row r="52" spans="1:25" ht="18.75" customHeight="1" thickBot="1">
      <c r="B52" s="1677"/>
      <c r="C52" s="1678"/>
      <c r="D52" s="150" t="s">
        <v>1</v>
      </c>
      <c r="E52" s="151"/>
      <c r="F52" s="152"/>
      <c r="G52" s="153">
        <f>+G51*0.1</f>
        <v>70.318559999999991</v>
      </c>
      <c r="H52" s="13"/>
      <c r="I52" s="13"/>
      <c r="J52" s="13"/>
      <c r="K52" s="13"/>
      <c r="L52" s="13"/>
      <c r="M52" s="13"/>
      <c r="N52" s="13"/>
      <c r="O52" s="13"/>
    </row>
    <row r="53" spans="1:25" ht="18.75" customHeight="1" thickBot="1">
      <c r="B53" s="1629"/>
      <c r="C53" s="1630"/>
      <c r="D53" s="97" t="s">
        <v>102</v>
      </c>
      <c r="E53" s="98"/>
      <c r="F53" s="99"/>
      <c r="G53" s="96">
        <f>SUM(G51:G52)</f>
        <v>773.50415999999996</v>
      </c>
      <c r="H53" s="57"/>
      <c r="I53" s="57"/>
      <c r="J53" s="57"/>
      <c r="K53" s="57"/>
      <c r="L53" s="57"/>
      <c r="M53" s="57"/>
      <c r="N53" s="57"/>
      <c r="O53" s="57"/>
    </row>
    <row r="54" spans="1:25" s="54" customFormat="1" ht="27.75" customHeight="1">
      <c r="A54" s="88"/>
      <c r="B54" s="1615" t="s">
        <v>128</v>
      </c>
      <c r="C54" s="240" t="s">
        <v>92</v>
      </c>
      <c r="D54" s="109" t="s">
        <v>167</v>
      </c>
      <c r="E54" s="1706"/>
      <c r="F54" s="1707"/>
      <c r="G54" s="126">
        <v>12</v>
      </c>
      <c r="H54" s="13"/>
      <c r="I54" s="53"/>
      <c r="J54" s="53"/>
      <c r="K54" s="53"/>
      <c r="L54" s="53"/>
      <c r="M54" s="53"/>
      <c r="N54" s="53"/>
      <c r="O54" s="53"/>
      <c r="P54" s="89"/>
      <c r="Q54" s="140"/>
    </row>
    <row r="55" spans="1:25" ht="24" customHeight="1" thickBot="1">
      <c r="B55" s="1617"/>
      <c r="C55" s="241" t="s">
        <v>93</v>
      </c>
      <c r="D55" s="133" t="s">
        <v>165</v>
      </c>
      <c r="E55" s="1702"/>
      <c r="F55" s="1703"/>
      <c r="G55" s="124">
        <f>+IF($B$15="ZONA CENTRO NORTE",$Y$49,0)</f>
        <v>100</v>
      </c>
      <c r="H55" s="13"/>
      <c r="I55" s="5"/>
      <c r="J55" s="5"/>
      <c r="K55" s="5"/>
      <c r="L55" s="5"/>
      <c r="M55" s="5"/>
      <c r="N55" s="5"/>
      <c r="O55" s="5"/>
      <c r="Q55" s="139" t="s">
        <v>86</v>
      </c>
    </row>
    <row r="56" spans="1:25" ht="18.75" customHeight="1" thickBot="1">
      <c r="A56" s="18"/>
      <c r="B56" s="1679"/>
      <c r="C56" s="1680"/>
      <c r="D56" s="101" t="s">
        <v>94</v>
      </c>
      <c r="E56" s="102"/>
      <c r="F56" s="99"/>
      <c r="G56" s="100">
        <f>SUM(G54:G55)</f>
        <v>112</v>
      </c>
      <c r="H56" s="58"/>
      <c r="I56" s="15"/>
      <c r="J56" s="15">
        <f>+G55+(25%*G57+25%*G58+25%*G59)</f>
        <v>189</v>
      </c>
      <c r="K56" s="15"/>
      <c r="L56" s="15"/>
      <c r="M56" s="15"/>
      <c r="N56" s="15"/>
      <c r="O56" s="15"/>
    </row>
    <row r="57" spans="1:25" ht="18.75" customHeight="1">
      <c r="A57" s="18"/>
      <c r="B57" s="1669" t="s">
        <v>129</v>
      </c>
      <c r="C57" s="240" t="s">
        <v>97</v>
      </c>
      <c r="D57" s="134" t="s">
        <v>966</v>
      </c>
      <c r="E57" s="135"/>
      <c r="F57" s="33"/>
      <c r="G57" s="126">
        <f>INICIO!C12*1.5</f>
        <v>60</v>
      </c>
      <c r="H57" s="13"/>
      <c r="I57" s="368"/>
      <c r="J57" s="368"/>
      <c r="K57" s="368"/>
      <c r="L57" s="368"/>
      <c r="M57" s="368"/>
      <c r="N57" s="368"/>
      <c r="O57" s="368"/>
    </row>
    <row r="58" spans="1:25" ht="18.75" customHeight="1">
      <c r="A58" s="18"/>
      <c r="B58" s="1670"/>
      <c r="C58" s="242" t="s">
        <v>98</v>
      </c>
      <c r="D58" s="1429" t="s">
        <v>967</v>
      </c>
      <c r="E58" s="1430"/>
      <c r="F58" s="32"/>
      <c r="G58" s="137">
        <f>INICIO!C13*1.5</f>
        <v>168</v>
      </c>
      <c r="H58" s="156"/>
      <c r="I58" s="20"/>
      <c r="J58" s="156"/>
      <c r="K58" s="20"/>
      <c r="L58" s="20"/>
      <c r="M58" s="20"/>
      <c r="N58" s="20"/>
      <c r="O58" s="20"/>
    </row>
    <row r="59" spans="1:25" ht="18.75" customHeight="1">
      <c r="A59" s="18"/>
      <c r="B59" s="1670"/>
      <c r="C59" s="242" t="s">
        <v>99</v>
      </c>
      <c r="D59" s="1429" t="s">
        <v>168</v>
      </c>
      <c r="E59" s="1430"/>
      <c r="F59" s="32"/>
      <c r="G59" s="121">
        <f>IF(B15="ZONA SUR",INICIO!C10*3-G49,INICIO!C10*3-G55)-G58-G57</f>
        <v>128</v>
      </c>
      <c r="H59" s="13"/>
      <c r="I59" s="368"/>
      <c r="J59" s="368"/>
      <c r="K59" s="368"/>
      <c r="L59" s="368"/>
      <c r="M59" s="368"/>
      <c r="N59" s="368"/>
      <c r="O59" s="368"/>
      <c r="Q59" s="139" t="s">
        <v>899</v>
      </c>
    </row>
    <row r="60" spans="1:25" ht="18.75" customHeight="1">
      <c r="A60" s="18"/>
      <c r="B60" s="1670"/>
      <c r="C60" s="242" t="s">
        <v>100</v>
      </c>
      <c r="D60" s="1429" t="s">
        <v>169</v>
      </c>
      <c r="E60" s="1430"/>
      <c r="F60" s="32"/>
      <c r="G60" s="121">
        <v>18</v>
      </c>
      <c r="H60" s="13"/>
      <c r="I60" s="368"/>
      <c r="J60" s="368"/>
      <c r="K60" s="368"/>
      <c r="L60" s="368"/>
      <c r="M60" s="368"/>
      <c r="N60" s="368"/>
      <c r="O60" s="368"/>
    </row>
    <row r="61" spans="1:25" ht="18.75" customHeight="1" thickBot="1">
      <c r="B61" s="1708"/>
      <c r="C61" s="241" t="s">
        <v>101</v>
      </c>
      <c r="D61" s="69" t="s">
        <v>170</v>
      </c>
      <c r="E61" s="122"/>
      <c r="F61" s="34"/>
      <c r="G61" s="124">
        <f>IF(B15="ZONA SUR",0,18)</f>
        <v>18</v>
      </c>
      <c r="H61" s="13"/>
      <c r="I61" s="368"/>
      <c r="J61" s="368"/>
      <c r="K61" s="368"/>
      <c r="L61" s="368"/>
      <c r="M61" s="368"/>
      <c r="N61" s="368"/>
      <c r="O61" s="368"/>
    </row>
    <row r="62" spans="1:25" ht="18.75" customHeight="1" thickBot="1">
      <c r="B62" s="1679"/>
      <c r="C62" s="1680"/>
      <c r="D62" s="97" t="s">
        <v>103</v>
      </c>
      <c r="E62" s="98"/>
      <c r="F62" s="99"/>
      <c r="G62" s="96">
        <f>SUM(G57:G61)</f>
        <v>392</v>
      </c>
      <c r="H62" s="57"/>
      <c r="I62" s="59"/>
      <c r="J62" s="59"/>
      <c r="K62" s="59"/>
      <c r="L62" s="59"/>
      <c r="M62" s="59"/>
      <c r="N62" s="59"/>
      <c r="O62" s="59"/>
    </row>
    <row r="63" spans="1:25" s="54" customFormat="1" ht="18.75" customHeight="1" thickBot="1">
      <c r="B63" s="368"/>
      <c r="C63" s="368"/>
      <c r="D63" s="87"/>
      <c r="E63" s="87"/>
      <c r="F63" s="56"/>
      <c r="G63" s="57"/>
      <c r="H63" s="57"/>
      <c r="I63" s="59"/>
      <c r="J63" s="59"/>
      <c r="K63" s="59"/>
      <c r="L63" s="59"/>
      <c r="M63" s="59"/>
      <c r="N63" s="59"/>
      <c r="O63" s="59"/>
      <c r="P63" s="89"/>
      <c r="Q63" s="140"/>
      <c r="R63" s="60"/>
      <c r="S63" s="60"/>
      <c r="T63" s="60"/>
      <c r="U63" s="60"/>
      <c r="V63" s="60"/>
      <c r="W63" s="60"/>
      <c r="X63" s="60"/>
    </row>
    <row r="64" spans="1:25" ht="33.75" customHeight="1" thickBot="1">
      <c r="B64" s="91"/>
      <c r="C64" s="1428"/>
      <c r="D64" s="145" t="s">
        <v>900</v>
      </c>
      <c r="E64" s="104"/>
      <c r="F64" s="105"/>
      <c r="G64" s="106">
        <f>+G59+G58+G57+G55+G49</f>
        <v>456</v>
      </c>
      <c r="H64" s="160"/>
      <c r="I64" s="2"/>
      <c r="J64" s="2">
        <v>100</v>
      </c>
      <c r="M64" s="2">
        <v>100</v>
      </c>
    </row>
    <row r="65" spans="2:24" ht="18.75" customHeight="1" thickBot="1">
      <c r="F65" s="60" t="s">
        <v>111</v>
      </c>
      <c r="G65" s="107">
        <f>+G64/INICIO!C10</f>
        <v>3</v>
      </c>
      <c r="H65" s="157"/>
      <c r="I65" s="6"/>
      <c r="J65" s="183">
        <f>+J64*G55/G64</f>
        <v>21.92982456140351</v>
      </c>
      <c r="K65" s="183">
        <f>+J64*G49/G64</f>
        <v>0</v>
      </c>
      <c r="M65" s="183">
        <f>+M64*J56/G64</f>
        <v>41.44736842105263</v>
      </c>
    </row>
    <row r="66" spans="2:24" ht="18.75" customHeight="1" thickBot="1">
      <c r="D66" s="87"/>
      <c r="E66" s="87"/>
      <c r="F66" s="56"/>
      <c r="G66" s="57"/>
      <c r="H66" s="57"/>
      <c r="I66" s="59"/>
      <c r="J66" s="59"/>
      <c r="K66" s="59"/>
      <c r="L66" s="59"/>
      <c r="M66" s="59"/>
      <c r="N66" s="59"/>
      <c r="O66" s="59"/>
    </row>
    <row r="67" spans="2:24" ht="23">
      <c r="B67" s="1671" t="s">
        <v>109</v>
      </c>
      <c r="C67" s="1672"/>
      <c r="D67" s="1672"/>
      <c r="E67" s="1672"/>
      <c r="F67" s="1672"/>
      <c r="G67" s="1673"/>
      <c r="H67" s="1427"/>
      <c r="I67" s="59"/>
      <c r="J67" s="59"/>
      <c r="K67" s="59"/>
      <c r="L67" s="59"/>
      <c r="M67" s="59"/>
      <c r="N67" s="59"/>
      <c r="O67" s="59"/>
    </row>
    <row r="68" spans="2:24" ht="23">
      <c r="B68" s="1674"/>
      <c r="C68" s="1675"/>
      <c r="D68" s="1675"/>
      <c r="E68" s="1675"/>
      <c r="F68" s="1675"/>
      <c r="G68" s="1676"/>
      <c r="H68" s="1427"/>
      <c r="I68" s="59"/>
      <c r="J68" s="59"/>
      <c r="K68" s="59"/>
      <c r="L68" s="59"/>
      <c r="M68" s="59"/>
      <c r="N68" s="59"/>
      <c r="O68" s="59"/>
    </row>
    <row r="69" spans="2:24" ht="24" thickBot="1">
      <c r="B69" s="1674"/>
      <c r="C69" s="1675"/>
      <c r="D69" s="1675"/>
      <c r="E69" s="1675"/>
      <c r="F69" s="1675"/>
      <c r="G69" s="1676"/>
      <c r="H69" s="1427"/>
      <c r="I69" s="54"/>
      <c r="J69" s="54"/>
      <c r="K69" s="54"/>
      <c r="L69" s="54"/>
      <c r="M69" s="54"/>
      <c r="N69" s="54"/>
      <c r="O69" s="54"/>
    </row>
    <row r="70" spans="2:24" ht="29" thickBot="1">
      <c r="B70" s="273"/>
      <c r="C70" s="274"/>
      <c r="D70" s="269" t="s">
        <v>231</v>
      </c>
      <c r="E70" s="266" t="s">
        <v>232</v>
      </c>
      <c r="F70" s="267" t="s">
        <v>233</v>
      </c>
      <c r="G70" s="268" t="s">
        <v>234</v>
      </c>
      <c r="H70" s="263"/>
      <c r="I70" s="54"/>
      <c r="J70" s="54"/>
      <c r="K70" s="54"/>
      <c r="L70" s="54"/>
      <c r="M70" s="54"/>
      <c r="N70" s="54"/>
      <c r="O70" s="54"/>
      <c r="R70" s="2"/>
      <c r="S70" s="2"/>
      <c r="T70" s="2"/>
      <c r="U70" s="2"/>
      <c r="V70" s="2"/>
      <c r="W70" s="2"/>
      <c r="X70" s="2"/>
    </row>
    <row r="71" spans="2:24" ht="18.75" customHeight="1">
      <c r="B71" s="194"/>
      <c r="C71" s="253"/>
      <c r="D71" s="270" t="s">
        <v>106</v>
      </c>
      <c r="E71" s="224">
        <v>32</v>
      </c>
      <c r="F71" s="264">
        <f>+G53</f>
        <v>773.50415999999996</v>
      </c>
      <c r="G71" s="265">
        <f>+F71*E71</f>
        <v>24752.133119999999</v>
      </c>
      <c r="H71" s="158"/>
      <c r="I71" s="54"/>
      <c r="J71" s="54"/>
      <c r="K71" s="54"/>
      <c r="L71" s="54"/>
      <c r="M71" s="54"/>
      <c r="N71" s="54"/>
      <c r="O71" s="54"/>
    </row>
    <row r="72" spans="2:24" ht="18.75" customHeight="1">
      <c r="B72" s="194"/>
      <c r="C72" s="253"/>
      <c r="D72" s="173" t="s">
        <v>107</v>
      </c>
      <c r="E72" s="7">
        <v>10</v>
      </c>
      <c r="F72" s="108">
        <f>+G56</f>
        <v>112</v>
      </c>
      <c r="G72" s="111">
        <f>+F72*E72</f>
        <v>1120</v>
      </c>
      <c r="H72" s="158"/>
      <c r="I72" s="54"/>
      <c r="J72" s="54"/>
      <c r="K72" s="54"/>
      <c r="L72" s="54"/>
      <c r="M72" s="54"/>
      <c r="N72" s="54"/>
      <c r="O72" s="54"/>
    </row>
    <row r="73" spans="2:24" ht="18.75" customHeight="1">
      <c r="B73" s="194"/>
      <c r="C73" s="253"/>
      <c r="D73" s="173" t="s">
        <v>108</v>
      </c>
      <c r="E73" s="7">
        <v>2</v>
      </c>
      <c r="F73" s="108">
        <f>+G62</f>
        <v>392</v>
      </c>
      <c r="G73" s="111">
        <f>+F73*E73</f>
        <v>784</v>
      </c>
      <c r="H73" s="158"/>
      <c r="I73" s="1420">
        <f>SUM(G71:G73)</f>
        <v>26656.133119999999</v>
      </c>
      <c r="J73" s="54"/>
      <c r="K73" s="54"/>
      <c r="L73" s="54"/>
      <c r="M73" s="54"/>
      <c r="N73" s="54"/>
      <c r="O73" s="54"/>
    </row>
    <row r="74" spans="2:24" ht="18.75" customHeight="1">
      <c r="B74" s="194"/>
      <c r="C74" s="253"/>
      <c r="D74" s="271" t="s">
        <v>105</v>
      </c>
      <c r="E74" s="9"/>
      <c r="F74" s="118"/>
      <c r="G74" s="119">
        <v>360</v>
      </c>
      <c r="H74" s="158"/>
      <c r="I74" s="54"/>
      <c r="J74" s="54"/>
      <c r="K74" s="54"/>
      <c r="L74" s="54"/>
      <c r="M74" s="54"/>
      <c r="N74" s="54"/>
      <c r="O74" s="54"/>
    </row>
    <row r="75" spans="2:24" ht="18.75" customHeight="1" thickBot="1">
      <c r="B75" s="194"/>
      <c r="C75" s="253"/>
      <c r="D75" s="174" t="s">
        <v>3</v>
      </c>
      <c r="E75" s="112">
        <v>0.12</v>
      </c>
      <c r="F75" s="113"/>
      <c r="G75" s="114">
        <f>+G71*E75</f>
        <v>2970.2559743999996</v>
      </c>
      <c r="H75" s="158"/>
      <c r="I75" s="54"/>
      <c r="J75" s="54"/>
      <c r="K75" s="54"/>
      <c r="L75" s="54"/>
      <c r="M75" s="54"/>
      <c r="N75" s="54"/>
      <c r="O75" s="54"/>
    </row>
    <row r="76" spans="2:24" ht="18.75" customHeight="1" thickBot="1">
      <c r="B76" s="150"/>
      <c r="C76" s="254"/>
      <c r="D76" s="272" t="s">
        <v>104</v>
      </c>
      <c r="E76" s="115"/>
      <c r="F76" s="116"/>
      <c r="G76" s="117">
        <f>SUM(G71:G75)</f>
        <v>29986.389094399998</v>
      </c>
      <c r="H76" s="159"/>
      <c r="I76" s="349">
        <f>+G76*24000</f>
        <v>719673338.26559997</v>
      </c>
      <c r="J76" s="54"/>
      <c r="K76" s="54"/>
      <c r="L76" s="54"/>
      <c r="M76" s="54"/>
      <c r="N76" s="54"/>
      <c r="O76" s="54"/>
    </row>
    <row r="77" spans="2:24" ht="18.75" customHeight="1" thickBot="1"/>
    <row r="78" spans="2:24" ht="8.25" customHeight="1">
      <c r="B78" s="1671" t="s">
        <v>281</v>
      </c>
      <c r="C78" s="1672"/>
      <c r="D78" s="1672"/>
      <c r="E78" s="1672"/>
      <c r="F78" s="1672"/>
      <c r="G78" s="1673"/>
      <c r="H78" s="1427"/>
      <c r="I78" s="6"/>
    </row>
    <row r="79" spans="2:24" ht="23">
      <c r="B79" s="1674"/>
      <c r="C79" s="1675"/>
      <c r="D79" s="1675"/>
      <c r="E79" s="1675"/>
      <c r="F79" s="1675"/>
      <c r="G79" s="1676"/>
      <c r="H79" s="1427"/>
      <c r="I79" s="6"/>
    </row>
    <row r="80" spans="2:24" ht="24" thickBot="1">
      <c r="B80" s="1674"/>
      <c r="C80" s="1675"/>
      <c r="D80" s="1675"/>
      <c r="E80" s="1675"/>
      <c r="F80" s="1675"/>
      <c r="G80" s="1676"/>
      <c r="H80" s="1427"/>
    </row>
    <row r="81" spans="2:10" ht="24" thickBot="1">
      <c r="B81" s="1658" t="s">
        <v>280</v>
      </c>
      <c r="C81" s="1659"/>
      <c r="D81" s="1659"/>
      <c r="E81" s="1659"/>
      <c r="F81" s="1659"/>
      <c r="G81" s="1660"/>
      <c r="H81" s="1427"/>
    </row>
    <row r="82" spans="2:10" ht="18.75" customHeight="1">
      <c r="B82" s="1668"/>
      <c r="C82" s="1631" t="s">
        <v>279</v>
      </c>
      <c r="D82" s="312" t="s">
        <v>269</v>
      </c>
      <c r="E82" s="314"/>
      <c r="F82" s="315"/>
      <c r="G82" s="316">
        <f>+G56+G53+G62</f>
        <v>1277.50416</v>
      </c>
      <c r="H82" s="259"/>
    </row>
    <row r="83" spans="2:10" ht="18.75" customHeight="1">
      <c r="B83" s="1661"/>
      <c r="C83" s="1663"/>
      <c r="D83" s="206" t="s">
        <v>268</v>
      </c>
      <c r="E83" s="313"/>
      <c r="F83" s="129"/>
      <c r="G83" s="317">
        <f>+G53</f>
        <v>773.50415999999996</v>
      </c>
      <c r="H83" s="260"/>
    </row>
    <row r="84" spans="2:10" ht="18.75" customHeight="1">
      <c r="B84" s="1661"/>
      <c r="C84" s="1663"/>
      <c r="D84" s="206" t="s">
        <v>271</v>
      </c>
      <c r="E84" s="313"/>
      <c r="F84" s="129"/>
      <c r="G84" s="208">
        <f>+G57+G58</f>
        <v>228</v>
      </c>
      <c r="H84" s="259"/>
    </row>
    <row r="85" spans="2:10" ht="18.75" customHeight="1">
      <c r="B85" s="1661"/>
      <c r="C85" s="1663"/>
      <c r="D85" s="206" t="s">
        <v>272</v>
      </c>
      <c r="E85" s="313"/>
      <c r="F85" s="129"/>
      <c r="G85" s="208">
        <f>+G84+G83</f>
        <v>1001.50416</v>
      </c>
      <c r="H85" s="259"/>
    </row>
    <row r="86" spans="2:10" ht="18.75" customHeight="1">
      <c r="B86" s="1661"/>
      <c r="C86" s="1663"/>
      <c r="D86" s="324" t="s">
        <v>273</v>
      </c>
      <c r="E86" s="313"/>
      <c r="F86" s="129"/>
      <c r="G86" s="208">
        <f>SQRT(G85)</f>
        <v>31.646550522924294</v>
      </c>
      <c r="H86" s="259"/>
      <c r="I86" s="183"/>
    </row>
    <row r="87" spans="2:10" ht="18.75" customHeight="1">
      <c r="B87" s="1661"/>
      <c r="C87" s="1663"/>
      <c r="D87" s="324" t="s">
        <v>1500</v>
      </c>
      <c r="E87" s="313"/>
      <c r="F87" s="129"/>
      <c r="G87" s="208">
        <f>+(G86)+4.4</f>
        <v>36.046550522924292</v>
      </c>
      <c r="H87" s="259"/>
      <c r="I87" s="183"/>
    </row>
    <row r="88" spans="2:10" ht="18.75" customHeight="1" thickBot="1">
      <c r="B88" s="1661"/>
      <c r="C88" s="1663"/>
      <c r="D88" s="325" t="s">
        <v>1501</v>
      </c>
      <c r="E88" s="320"/>
      <c r="F88" s="190"/>
      <c r="G88" s="195">
        <f>(G86)+6</f>
        <v>37.646550522924294</v>
      </c>
      <c r="H88" s="259"/>
      <c r="I88" s="183"/>
    </row>
    <row r="89" spans="2:10" ht="18.75" customHeight="1" thickBot="1">
      <c r="B89" s="1661"/>
      <c r="C89" s="1663"/>
      <c r="D89" s="214" t="s">
        <v>198</v>
      </c>
      <c r="E89" s="323"/>
      <c r="F89" s="31"/>
      <c r="G89" s="330">
        <f>+G88*G87</f>
        <v>1357.0282854384125</v>
      </c>
      <c r="H89" s="261"/>
      <c r="I89" s="196">
        <f>+G89-G83</f>
        <v>583.52412543841251</v>
      </c>
      <c r="J89" s="60" t="s">
        <v>199</v>
      </c>
    </row>
    <row r="90" spans="2:10" ht="18.75" customHeight="1">
      <c r="B90" s="1661"/>
      <c r="C90" s="1663"/>
      <c r="D90" s="326" t="s">
        <v>187</v>
      </c>
      <c r="E90" s="321"/>
      <c r="F90" s="248"/>
      <c r="G90" s="322">
        <f>+G83/G89</f>
        <v>0.56999855367797692</v>
      </c>
      <c r="H90" s="259"/>
    </row>
    <row r="91" spans="2:10" ht="18.75" customHeight="1" thickBot="1">
      <c r="B91" s="1662"/>
      <c r="C91" s="1664"/>
      <c r="D91" s="327" t="s">
        <v>188</v>
      </c>
      <c r="E91" s="318"/>
      <c r="F91" s="247"/>
      <c r="G91" s="319">
        <f>+G83/G89</f>
        <v>0.56999855367797692</v>
      </c>
      <c r="H91" s="259"/>
    </row>
    <row r="92" spans="2:10" ht="18.75" hidden="1" customHeight="1" thickBot="1">
      <c r="B92" s="1658" t="s">
        <v>284</v>
      </c>
      <c r="C92" s="1659"/>
      <c r="D92" s="1659"/>
      <c r="E92" s="1659"/>
      <c r="F92" s="1659"/>
      <c r="G92" s="1660"/>
      <c r="H92" s="259"/>
    </row>
    <row r="93" spans="2:10" ht="18.75" hidden="1" customHeight="1">
      <c r="B93" s="1661"/>
      <c r="C93" s="1663" t="s">
        <v>200</v>
      </c>
      <c r="D93" s="338" t="s">
        <v>269</v>
      </c>
      <c r="E93" s="321"/>
      <c r="F93" s="248"/>
      <c r="G93" s="322">
        <f>+$G$62+$G$56+$G$53</f>
        <v>1277.50416</v>
      </c>
      <c r="H93" s="259"/>
    </row>
    <row r="94" spans="2:10" ht="18.75" hidden="1" customHeight="1">
      <c r="B94" s="1661"/>
      <c r="C94" s="1663"/>
      <c r="D94" s="206" t="s">
        <v>268</v>
      </c>
      <c r="E94" s="313"/>
      <c r="F94" s="129"/>
      <c r="G94" s="208">
        <f>+G53</f>
        <v>773.50415999999996</v>
      </c>
      <c r="H94" s="260"/>
    </row>
    <row r="95" spans="2:10" ht="18.75" hidden="1" customHeight="1">
      <c r="B95" s="1661"/>
      <c r="C95" s="1663"/>
      <c r="D95" s="324" t="s">
        <v>265</v>
      </c>
      <c r="E95" s="313"/>
      <c r="F95" s="129"/>
      <c r="G95" s="208">
        <f>SQRT(G94)</f>
        <v>27.811942758462596</v>
      </c>
      <c r="H95" s="259"/>
      <c r="I95" s="183"/>
    </row>
    <row r="96" spans="2:10" ht="18.75" hidden="1" customHeight="1">
      <c r="B96" s="1661"/>
      <c r="C96" s="1663"/>
      <c r="D96" s="324" t="s">
        <v>266</v>
      </c>
      <c r="E96" s="313"/>
      <c r="F96" s="129"/>
      <c r="G96" s="208">
        <f>+G95+6</f>
        <v>33.811942758462592</v>
      </c>
      <c r="H96" s="259"/>
      <c r="I96" s="183"/>
    </row>
    <row r="97" spans="2:11" ht="18.75" hidden="1" customHeight="1">
      <c r="B97" s="1661"/>
      <c r="C97" s="1663"/>
      <c r="D97" s="325" t="s">
        <v>267</v>
      </c>
      <c r="E97" s="320"/>
      <c r="F97" s="190"/>
      <c r="G97" s="195">
        <f>+G95+8</f>
        <v>35.811942758462592</v>
      </c>
      <c r="H97" s="259"/>
    </row>
    <row r="98" spans="2:11" ht="18.75" hidden="1" customHeight="1">
      <c r="B98" s="1661"/>
      <c r="C98" s="1663"/>
      <c r="D98" s="334" t="s">
        <v>270</v>
      </c>
      <c r="E98" s="313"/>
      <c r="F98" s="129"/>
      <c r="G98" s="335">
        <f>+G97*G96</f>
        <v>1210.8713586184761</v>
      </c>
      <c r="H98" s="261"/>
      <c r="I98" s="196">
        <f>+G98-G94</f>
        <v>437.3671986184761</v>
      </c>
      <c r="J98" s="60" t="s">
        <v>199</v>
      </c>
    </row>
    <row r="99" spans="2:11" ht="18.75" hidden="1" customHeight="1" thickBot="1">
      <c r="B99" s="1661"/>
      <c r="C99" s="1663"/>
      <c r="D99" s="336" t="s">
        <v>901</v>
      </c>
      <c r="E99" s="320"/>
      <c r="F99" s="190"/>
      <c r="G99" s="337">
        <f>IF(J102&lt;G98,0,J102-G98)</f>
        <v>78.3022413815238</v>
      </c>
      <c r="H99" s="261"/>
      <c r="I99" s="196"/>
    </row>
    <row r="100" spans="2:11" ht="18.75" hidden="1" customHeight="1" thickBot="1">
      <c r="B100" s="1661"/>
      <c r="C100" s="1663"/>
      <c r="D100" s="214" t="s">
        <v>278</v>
      </c>
      <c r="E100" s="323"/>
      <c r="F100" s="31"/>
      <c r="G100" s="330">
        <f>+G99+G98</f>
        <v>1289.1735999999999</v>
      </c>
      <c r="H100" s="261"/>
      <c r="I100" s="333">
        <f>+G94/G98</f>
        <v>0.63879961689945075</v>
      </c>
    </row>
    <row r="101" spans="2:11" ht="18.75" hidden="1" customHeight="1">
      <c r="B101" s="1661"/>
      <c r="C101" s="1663"/>
      <c r="D101" s="326" t="s">
        <v>187</v>
      </c>
      <c r="E101" s="321"/>
      <c r="F101" s="248"/>
      <c r="G101" s="322">
        <f>+G94/G100</f>
        <v>0.60000000000000009</v>
      </c>
      <c r="H101" s="259"/>
    </row>
    <row r="102" spans="2:11" ht="18.75" hidden="1" customHeight="1" thickBot="1">
      <c r="B102" s="1662"/>
      <c r="C102" s="1664"/>
      <c r="D102" s="327" t="s">
        <v>188</v>
      </c>
      <c r="E102" s="318"/>
      <c r="F102" s="247"/>
      <c r="G102" s="319">
        <f>+G94/G100</f>
        <v>0.60000000000000009</v>
      </c>
      <c r="H102" s="259"/>
      <c r="J102" s="183">
        <f>+(G94*100)/60</f>
        <v>1289.1735999999999</v>
      </c>
      <c r="K102" s="60">
        <v>0.6</v>
      </c>
    </row>
    <row r="103" spans="2:11" ht="18.75" hidden="1" customHeight="1" thickBot="1">
      <c r="B103" s="1658" t="s">
        <v>282</v>
      </c>
      <c r="C103" s="1659"/>
      <c r="D103" s="1659"/>
      <c r="E103" s="1659"/>
      <c r="F103" s="1659"/>
      <c r="G103" s="1660"/>
    </row>
    <row r="104" spans="2:11" ht="18.75" hidden="1" customHeight="1">
      <c r="B104" s="1661"/>
      <c r="C104" s="1663" t="s">
        <v>283</v>
      </c>
      <c r="D104" s="338" t="s">
        <v>269</v>
      </c>
      <c r="E104" s="321"/>
      <c r="F104" s="248"/>
      <c r="G104" s="322">
        <f>+$G$62+$G$56+$G$53</f>
        <v>1277.50416</v>
      </c>
    </row>
    <row r="105" spans="2:11" ht="18.75" hidden="1" customHeight="1">
      <c r="B105" s="1661"/>
      <c r="C105" s="1663"/>
      <c r="D105" s="206" t="s">
        <v>268</v>
      </c>
      <c r="E105" s="313"/>
      <c r="F105" s="129"/>
      <c r="G105" s="208">
        <f>+G53</f>
        <v>773.50415999999996</v>
      </c>
    </row>
    <row r="106" spans="2:11" ht="18.75" hidden="1" customHeight="1">
      <c r="B106" s="1661"/>
      <c r="C106" s="1663"/>
      <c r="D106" s="324" t="s">
        <v>265</v>
      </c>
      <c r="E106" s="313"/>
      <c r="F106" s="129"/>
      <c r="G106" s="208">
        <f>SQRT(G105)</f>
        <v>27.811942758462596</v>
      </c>
    </row>
    <row r="107" spans="2:11" ht="18.75" hidden="1" customHeight="1">
      <c r="B107" s="1661"/>
      <c r="C107" s="1663"/>
      <c r="D107" s="324" t="s">
        <v>266</v>
      </c>
      <c r="E107" s="313"/>
      <c r="F107" s="129"/>
      <c r="G107" s="208">
        <f>+G106+6</f>
        <v>33.811942758462592</v>
      </c>
    </row>
    <row r="108" spans="2:11" ht="18.75" hidden="1" customHeight="1">
      <c r="B108" s="1661"/>
      <c r="C108" s="1663"/>
      <c r="D108" s="325" t="s">
        <v>267</v>
      </c>
      <c r="E108" s="320"/>
      <c r="F108" s="190"/>
      <c r="G108" s="195">
        <f>+G106+8</f>
        <v>35.811942758462592</v>
      </c>
    </row>
    <row r="109" spans="2:11" ht="18.75" hidden="1" customHeight="1">
      <c r="B109" s="1661"/>
      <c r="C109" s="1663"/>
      <c r="D109" s="334" t="s">
        <v>270</v>
      </c>
      <c r="E109" s="313"/>
      <c r="F109" s="129"/>
      <c r="G109" s="335">
        <f>+G108*G107</f>
        <v>1210.8713586184761</v>
      </c>
    </row>
    <row r="110" spans="2:11" ht="18.75" hidden="1" customHeight="1" thickBot="1">
      <c r="B110" s="1661"/>
      <c r="C110" s="1663"/>
      <c r="D110" s="336" t="s">
        <v>902</v>
      </c>
      <c r="E110" s="320"/>
      <c r="F110" s="190"/>
      <c r="G110" s="337">
        <f>+J113-G109</f>
        <v>722.88904138152384</v>
      </c>
    </row>
    <row r="111" spans="2:11" ht="18.75" hidden="1" customHeight="1" thickBot="1">
      <c r="B111" s="1661"/>
      <c r="C111" s="1663"/>
      <c r="D111" s="214" t="s">
        <v>278</v>
      </c>
      <c r="E111" s="323"/>
      <c r="F111" s="31"/>
      <c r="G111" s="330">
        <f>+G110+G109</f>
        <v>1933.7603999999999</v>
      </c>
    </row>
    <row r="112" spans="2:11" ht="18.75" hidden="1" customHeight="1">
      <c r="B112" s="1661"/>
      <c r="C112" s="1663"/>
      <c r="D112" s="326" t="s">
        <v>894</v>
      </c>
      <c r="E112" s="321"/>
      <c r="F112" s="248"/>
      <c r="G112" s="322">
        <f>+G105/G111</f>
        <v>0.4</v>
      </c>
    </row>
    <row r="113" spans="2:10" ht="18.75" hidden="1" customHeight="1" thickBot="1">
      <c r="B113" s="1662"/>
      <c r="C113" s="1664"/>
      <c r="D113" s="327" t="s">
        <v>188</v>
      </c>
      <c r="E113" s="318"/>
      <c r="F113" s="247"/>
      <c r="G113" s="319">
        <f>+G105/G111</f>
        <v>0.4</v>
      </c>
      <c r="J113" s="183">
        <f>+(G105*100)/40</f>
        <v>1933.7603999999999</v>
      </c>
    </row>
    <row r="114" spans="2:10" ht="18.75" customHeight="1" thickBot="1">
      <c r="B114" s="580"/>
      <c r="C114" s="581"/>
      <c r="D114" s="263"/>
      <c r="E114" s="12"/>
      <c r="F114" s="368"/>
      <c r="G114" s="371"/>
      <c r="J114" s="183"/>
    </row>
    <row r="115" spans="2:10" ht="78" customHeight="1" thickBot="1">
      <c r="B115" s="1649" t="s">
        <v>903</v>
      </c>
      <c r="C115" s="1650"/>
      <c r="D115" s="1650"/>
      <c r="E115" s="1650"/>
      <c r="F115" s="1650"/>
      <c r="G115" s="582">
        <f>+G4*15</f>
        <v>2280</v>
      </c>
      <c r="J115" s="183"/>
    </row>
    <row r="117" spans="2:10" ht="30" customHeight="1" thickBot="1">
      <c r="B117" s="1657" t="s">
        <v>274</v>
      </c>
      <c r="C117" s="1657"/>
      <c r="D117" s="1657"/>
      <c r="E117" s="1657"/>
      <c r="F117" s="1657"/>
      <c r="G117" s="1657"/>
    </row>
    <row r="118" spans="2:10" ht="18.75" customHeight="1" thickBot="1">
      <c r="B118" s="1651" t="s">
        <v>286</v>
      </c>
      <c r="C118" s="1652"/>
      <c r="D118" s="1652"/>
      <c r="E118" s="1652"/>
      <c r="F118" s="193"/>
      <c r="G118" s="340"/>
    </row>
    <row r="119" spans="2:10" ht="18.75" customHeight="1">
      <c r="B119" s="1653" t="s">
        <v>287</v>
      </c>
      <c r="C119" s="1654"/>
      <c r="D119" s="1654"/>
      <c r="E119" s="1654"/>
      <c r="F119" s="315"/>
      <c r="G119" s="347"/>
    </row>
    <row r="120" spans="2:10" ht="18.75" customHeight="1">
      <c r="B120" s="1655" t="s">
        <v>1080</v>
      </c>
      <c r="C120" s="1656"/>
      <c r="D120" s="1656"/>
      <c r="E120" s="1656"/>
      <c r="F120" s="129"/>
      <c r="G120" s="348"/>
    </row>
    <row r="121" spans="2:10" ht="18.75" customHeight="1">
      <c r="B121" s="194" t="s">
        <v>288</v>
      </c>
      <c r="C121" s="12"/>
      <c r="D121" s="12"/>
      <c r="E121" s="12"/>
      <c r="F121" s="368"/>
      <c r="G121" s="341"/>
    </row>
    <row r="122" spans="2:10" ht="18.75" customHeight="1">
      <c r="B122" s="194" t="s">
        <v>289</v>
      </c>
      <c r="C122" s="331"/>
      <c r="D122" s="331"/>
      <c r="E122" s="331"/>
      <c r="F122" s="368"/>
      <c r="G122" s="341"/>
    </row>
    <row r="123" spans="2:10" ht="18.75" customHeight="1">
      <c r="B123" s="342" t="s">
        <v>1081</v>
      </c>
      <c r="C123" s="12"/>
      <c r="D123" s="368"/>
      <c r="E123" s="343"/>
      <c r="F123" s="368"/>
      <c r="G123" s="341"/>
    </row>
    <row r="124" spans="2:10" ht="18.75" customHeight="1">
      <c r="B124" s="342" t="s">
        <v>291</v>
      </c>
      <c r="C124" s="12"/>
      <c r="D124" s="368"/>
      <c r="E124" s="343"/>
      <c r="F124" s="368"/>
      <c r="G124" s="341"/>
    </row>
    <row r="125" spans="2:10" ht="18.75" customHeight="1">
      <c r="B125" s="342" t="s">
        <v>1082</v>
      </c>
      <c r="C125" s="12"/>
      <c r="D125" s="368"/>
      <c r="E125" s="343"/>
      <c r="F125" s="368"/>
      <c r="G125" s="341"/>
    </row>
    <row r="126" spans="2:10" ht="18.75" customHeight="1" thickBot="1">
      <c r="B126" s="344" t="s">
        <v>292</v>
      </c>
      <c r="C126" s="151"/>
      <c r="D126" s="154"/>
      <c r="E126" s="606"/>
      <c r="F126" s="154"/>
      <c r="G126" s="607"/>
    </row>
    <row r="127" spans="2:10" ht="22.5" customHeight="1">
      <c r="B127" s="218"/>
      <c r="C127" s="12"/>
      <c r="D127" s="368"/>
      <c r="E127" s="343"/>
      <c r="F127" s="368"/>
      <c r="G127" s="343"/>
    </row>
    <row r="128" spans="2:10" ht="18.75" customHeight="1">
      <c r="B128" s="218"/>
      <c r="C128" s="12"/>
      <c r="D128" s="368"/>
      <c r="E128" s="310"/>
      <c r="F128" s="368"/>
      <c r="G128" s="310"/>
    </row>
  </sheetData>
  <mergeCells count="43">
    <mergeCell ref="B118:E118"/>
    <mergeCell ref="B119:E119"/>
    <mergeCell ref="B120:E120"/>
    <mergeCell ref="B103:G103"/>
    <mergeCell ref="B104:B113"/>
    <mergeCell ref="C104:C113"/>
    <mergeCell ref="B115:F115"/>
    <mergeCell ref="B117:G117"/>
    <mergeCell ref="B81:G81"/>
    <mergeCell ref="B82:B91"/>
    <mergeCell ref="C82:C91"/>
    <mergeCell ref="B92:G92"/>
    <mergeCell ref="B93:B102"/>
    <mergeCell ref="C93:C102"/>
    <mergeCell ref="B56:C56"/>
    <mergeCell ref="B62:C62"/>
    <mergeCell ref="B67:G69"/>
    <mergeCell ref="B57:B61"/>
    <mergeCell ref="B78:G80"/>
    <mergeCell ref="B54:B55"/>
    <mergeCell ref="E48:F48"/>
    <mergeCell ref="E49:F49"/>
    <mergeCell ref="E50:F50"/>
    <mergeCell ref="B25:B36"/>
    <mergeCell ref="B37:C37"/>
    <mergeCell ref="B38:B45"/>
    <mergeCell ref="B46:C47"/>
    <mergeCell ref="B48:B51"/>
    <mergeCell ref="E54:F54"/>
    <mergeCell ref="E55:F55"/>
    <mergeCell ref="L17:L20"/>
    <mergeCell ref="M17:M20"/>
    <mergeCell ref="L21:L23"/>
    <mergeCell ref="M21:M23"/>
    <mergeCell ref="B52:C53"/>
    <mergeCell ref="B24:C24"/>
    <mergeCell ref="B15:G15"/>
    <mergeCell ref="B17:B23"/>
    <mergeCell ref="B4:B5"/>
    <mergeCell ref="C4:C5"/>
    <mergeCell ref="D4:D5"/>
    <mergeCell ref="G4:G5"/>
    <mergeCell ref="B12:G14"/>
  </mergeCells>
  <pageMargins left="0.70866141732283472" right="0.70866141732283472" top="0.74803149606299213" bottom="0.74803149606299213" header="0.31496062992125984" footer="0.31496062992125984"/>
  <pageSetup scale="61" fitToHeight="2" orientation="portrait"/>
  <rowBreaks count="2" manualBreakCount="2">
    <brk id="66" max="6" man="1"/>
    <brk id="77" max="6" man="1"/>
  </rowBreaks>
  <drawing r:id="rId1"/>
  <legacyDrawingHF r:id="rId2"/>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pageSetUpPr fitToPage="1"/>
  </sheetPr>
  <dimension ref="A1:N73"/>
  <sheetViews>
    <sheetView zoomScaleSheetLayoutView="80" workbookViewId="0">
      <selection activeCell="K8" sqref="K8:K14"/>
    </sheetView>
  </sheetViews>
  <sheetFormatPr baseColWidth="10" defaultColWidth="11.5" defaultRowHeight="14" x14ac:dyDescent="0"/>
  <cols>
    <col min="1" max="1" width="2.83203125" style="310" customWidth="1"/>
    <col min="2" max="3" width="30.6640625" style="1106" customWidth="1"/>
    <col min="4" max="4" width="50.6640625" style="1106" customWidth="1"/>
    <col min="5" max="9" width="3.6640625" style="1106" customWidth="1"/>
    <col min="10" max="10" width="7.5" style="890" customWidth="1"/>
    <col min="11" max="11" width="50.6640625" style="1517" customWidth="1"/>
    <col min="12" max="12" width="30.6640625" style="1106" customWidth="1"/>
    <col min="13" max="13" width="3.5" style="310" customWidth="1"/>
    <col min="14" max="16384" width="11.5" style="310"/>
  </cols>
  <sheetData>
    <row r="1" spans="2:14" ht="15" thickBot="1"/>
    <row r="2" spans="2:14" s="81" customFormat="1" ht="69" customHeight="1" thickBot="1">
      <c r="B2" s="1743"/>
      <c r="C2" s="1744"/>
      <c r="D2" s="1744"/>
      <c r="E2" s="1744"/>
      <c r="F2" s="1744"/>
      <c r="G2" s="1744"/>
      <c r="H2" s="1744"/>
      <c r="I2" s="1745"/>
      <c r="J2" s="382"/>
      <c r="K2" s="597"/>
      <c r="L2" s="507"/>
      <c r="M2" s="362"/>
    </row>
    <row r="3" spans="2:14" s="81" customFormat="1" ht="25.25" customHeight="1" thickBot="1">
      <c r="B3" s="820" t="s">
        <v>1385</v>
      </c>
      <c r="C3" s="821"/>
      <c r="D3" s="822"/>
      <c r="E3" s="1746" t="str">
        <f>+'PROGRAMA ARQ.'!E4</f>
        <v>2 SALAS CUNAS</v>
      </c>
      <c r="F3" s="1747"/>
      <c r="G3" s="1747"/>
      <c r="H3" s="1747"/>
      <c r="I3" s="1748"/>
      <c r="J3" s="382"/>
      <c r="K3" s="597"/>
      <c r="L3" s="507"/>
      <c r="M3" s="362"/>
    </row>
    <row r="4" spans="2:14" s="81" customFormat="1" ht="25.25" customHeight="1" thickBot="1">
      <c r="B4" s="823">
        <f>+'PROGRAMA ARQ.'!I4:I5</f>
        <v>152</v>
      </c>
      <c r="C4" s="505"/>
      <c r="D4" s="661"/>
      <c r="E4" s="1737" t="str">
        <f>+'PROGRAMA ARQ.'!E5</f>
        <v>4 NIVELES MEDIOS</v>
      </c>
      <c r="F4" s="1738"/>
      <c r="G4" s="1738"/>
      <c r="H4" s="1738"/>
      <c r="I4" s="1739"/>
      <c r="J4" s="382"/>
      <c r="K4" s="597"/>
      <c r="L4" s="507"/>
      <c r="M4" s="362"/>
    </row>
    <row r="5" spans="2:14" s="81" customFormat="1" ht="15" thickBot="1">
      <c r="B5" s="695" t="s">
        <v>1374</v>
      </c>
      <c r="C5" s="235" t="s">
        <v>1375</v>
      </c>
      <c r="D5" s="235" t="s">
        <v>1376</v>
      </c>
      <c r="E5" s="1818" t="s">
        <v>1377</v>
      </c>
      <c r="F5" s="1819"/>
      <c r="G5" s="1819"/>
      <c r="H5" s="1819"/>
      <c r="I5" s="1820"/>
      <c r="J5" s="675"/>
      <c r="K5" s="597"/>
      <c r="L5" s="507"/>
      <c r="M5" s="362"/>
    </row>
    <row r="6" spans="2:14" s="1106" customFormat="1" ht="71" thickBot="1">
      <c r="B6" s="711" t="str">
        <f>+'PROGRAMA ARQ.'!C44</f>
        <v>3.9</v>
      </c>
      <c r="C6" s="711" t="str">
        <f>+'PROGRAMA ARQ.'!D44</f>
        <v>BAÑO PERSONAL C/ DUCHA 2 (General)</v>
      </c>
      <c r="D6" s="831">
        <f>+'PROGRAMA ARQ.'!F44</f>
        <v>4</v>
      </c>
      <c r="E6" s="689" t="s">
        <v>366</v>
      </c>
      <c r="F6" s="690" t="s">
        <v>544</v>
      </c>
      <c r="G6" s="690" t="s">
        <v>2</v>
      </c>
      <c r="H6" s="690" t="s">
        <v>171</v>
      </c>
      <c r="I6" s="691" t="s">
        <v>172</v>
      </c>
      <c r="J6" s="608"/>
      <c r="K6" s="1337" t="s">
        <v>293</v>
      </c>
      <c r="L6" s="703" t="s">
        <v>120</v>
      </c>
      <c r="M6" s="846" t="s">
        <v>178</v>
      </c>
    </row>
    <row r="7" spans="2:14" s="367" customFormat="1" ht="16" thickBot="1">
      <c r="B7" s="667" t="s">
        <v>1378</v>
      </c>
      <c r="C7" s="667" t="s">
        <v>1379</v>
      </c>
      <c r="D7" s="670" t="s">
        <v>1380</v>
      </c>
      <c r="E7" s="671"/>
      <c r="F7" s="672"/>
      <c r="G7" s="672"/>
      <c r="H7" s="671"/>
      <c r="I7" s="673"/>
      <c r="J7" s="595"/>
      <c r="K7" s="1145"/>
      <c r="L7" s="696"/>
      <c r="M7" s="697"/>
    </row>
    <row r="8" spans="2:14" ht="183" thickBot="1">
      <c r="B8" s="1996" t="s">
        <v>122</v>
      </c>
      <c r="C8" s="2029"/>
      <c r="D8" s="1076" t="s">
        <v>1381</v>
      </c>
      <c r="E8" s="972"/>
      <c r="F8" s="972"/>
      <c r="G8" s="1076"/>
      <c r="H8" s="972"/>
      <c r="I8" s="970"/>
      <c r="K8" s="1517" t="s">
        <v>1456</v>
      </c>
      <c r="N8" s="310">
        <f>G8</f>
        <v>0</v>
      </c>
    </row>
    <row r="9" spans="2:14">
      <c r="B9" s="2076" t="s">
        <v>1388</v>
      </c>
      <c r="C9" s="2077"/>
      <c r="D9" s="1515" t="s">
        <v>1102</v>
      </c>
      <c r="E9" s="886"/>
      <c r="F9" s="886"/>
      <c r="G9" s="886"/>
      <c r="H9" s="886"/>
      <c r="I9" s="952"/>
      <c r="K9" s="1517" t="s">
        <v>1406</v>
      </c>
    </row>
    <row r="10" spans="2:14" ht="42">
      <c r="B10" s="2078"/>
      <c r="C10" s="2079"/>
      <c r="D10" s="1516" t="s">
        <v>1367</v>
      </c>
      <c r="I10" s="676"/>
      <c r="K10" s="597" t="s">
        <v>1456</v>
      </c>
    </row>
    <row r="11" spans="2:14" ht="29" thickBot="1">
      <c r="B11" s="2078"/>
      <c r="C11" s="2079"/>
      <c r="D11" s="1516" t="s">
        <v>1111</v>
      </c>
      <c r="I11" s="676"/>
      <c r="K11" s="1517" t="s">
        <v>1406</v>
      </c>
    </row>
    <row r="12" spans="2:14">
      <c r="B12" s="1966" t="s">
        <v>143</v>
      </c>
      <c r="C12" s="2036" t="s">
        <v>241</v>
      </c>
      <c r="D12" s="722" t="s">
        <v>296</v>
      </c>
      <c r="E12" s="722"/>
      <c r="F12" s="762"/>
      <c r="G12" s="762"/>
      <c r="H12" s="762"/>
      <c r="I12" s="805"/>
      <c r="J12" s="81"/>
      <c r="K12" s="1517" t="s">
        <v>1406</v>
      </c>
      <c r="L12" s="310"/>
    </row>
    <row r="13" spans="2:14">
      <c r="B13" s="1967"/>
      <c r="C13" s="2037"/>
      <c r="D13" s="645">
        <f>+D6*K13</f>
        <v>0.32</v>
      </c>
      <c r="E13" s="642" t="s">
        <v>258</v>
      </c>
      <c r="F13" s="642"/>
      <c r="G13" s="642"/>
      <c r="H13" s="642"/>
      <c r="I13" s="791"/>
      <c r="J13" s="81"/>
      <c r="K13" s="1319">
        <v>0.08</v>
      </c>
      <c r="L13" s="358" t="s">
        <v>888</v>
      </c>
    </row>
    <row r="14" spans="2:14">
      <c r="B14" s="1967"/>
      <c r="C14" s="2037"/>
      <c r="D14" s="645" t="s">
        <v>260</v>
      </c>
      <c r="E14" s="645"/>
      <c r="F14" s="642"/>
      <c r="G14" s="642"/>
      <c r="H14" s="642"/>
      <c r="I14" s="791"/>
      <c r="J14" s="81"/>
      <c r="K14" s="625" t="s">
        <v>718</v>
      </c>
      <c r="L14" s="358"/>
    </row>
    <row r="15" spans="2:14" ht="28">
      <c r="B15" s="1967"/>
      <c r="C15" s="2037" t="s">
        <v>242</v>
      </c>
      <c r="D15" s="644" t="s">
        <v>297</v>
      </c>
      <c r="E15" s="644"/>
      <c r="F15" s="642"/>
      <c r="G15" s="642"/>
      <c r="H15" s="642"/>
      <c r="I15" s="791"/>
      <c r="J15" s="81"/>
      <c r="K15" s="1517" t="s">
        <v>1406</v>
      </c>
      <c r="L15" s="310"/>
    </row>
    <row r="16" spans="2:14">
      <c r="B16" s="1967"/>
      <c r="C16" s="2037"/>
      <c r="D16" s="645">
        <f>+K16*D6</f>
        <v>0.16</v>
      </c>
      <c r="E16" s="642" t="s">
        <v>258</v>
      </c>
      <c r="F16" s="642"/>
      <c r="G16" s="642"/>
      <c r="H16" s="644"/>
      <c r="I16" s="791"/>
      <c r="J16" s="81"/>
      <c r="K16" s="1319">
        <v>0.04</v>
      </c>
      <c r="L16" s="310" t="s">
        <v>888</v>
      </c>
    </row>
    <row r="17" spans="2:13">
      <c r="B17" s="1967"/>
      <c r="C17" s="1519" t="s">
        <v>243</v>
      </c>
      <c r="D17" s="646" t="s">
        <v>300</v>
      </c>
      <c r="E17" s="646"/>
      <c r="F17" s="642"/>
      <c r="G17" s="642"/>
      <c r="H17" s="645"/>
      <c r="I17" s="791"/>
      <c r="J17" s="81"/>
      <c r="K17" s="597" t="s">
        <v>935</v>
      </c>
      <c r="L17" s="310"/>
    </row>
    <row r="18" spans="2:13" ht="15" thickBot="1">
      <c r="B18" s="1968"/>
      <c r="C18" s="1520" t="s">
        <v>244</v>
      </c>
      <c r="D18" s="1016" t="s">
        <v>300</v>
      </c>
      <c r="E18" s="1016"/>
      <c r="F18" s="759"/>
      <c r="G18" s="759"/>
      <c r="H18" s="813"/>
      <c r="I18" s="592"/>
      <c r="J18" s="81"/>
      <c r="K18" s="597" t="s">
        <v>935</v>
      </c>
      <c r="L18" s="310"/>
    </row>
    <row r="19" spans="2:13" ht="28">
      <c r="B19" s="1966" t="s">
        <v>144</v>
      </c>
      <c r="C19" s="1518" t="s">
        <v>245</v>
      </c>
      <c r="D19" s="726" t="s">
        <v>370</v>
      </c>
      <c r="E19" s="726"/>
      <c r="F19" s="589"/>
      <c r="G19" s="589"/>
      <c r="H19" s="589"/>
      <c r="I19" s="723"/>
      <c r="J19" s="362"/>
      <c r="K19" s="1517" t="s">
        <v>1406</v>
      </c>
      <c r="L19" s="487"/>
      <c r="M19" s="487"/>
    </row>
    <row r="20" spans="2:13" ht="15" thickBot="1">
      <c r="B20" s="1968"/>
      <c r="C20" s="1522" t="s">
        <v>246</v>
      </c>
      <c r="D20" s="1016" t="s">
        <v>300</v>
      </c>
      <c r="E20" s="1016"/>
      <c r="F20" s="759"/>
      <c r="G20" s="759"/>
      <c r="H20" s="759"/>
      <c r="I20" s="592"/>
      <c r="J20" s="81"/>
      <c r="K20" s="597" t="s">
        <v>935</v>
      </c>
      <c r="L20" s="310"/>
    </row>
    <row r="21" spans="2:13">
      <c r="B21" s="1966" t="s">
        <v>123</v>
      </c>
      <c r="C21" s="1017" t="s">
        <v>340</v>
      </c>
      <c r="D21" s="764" t="s">
        <v>371</v>
      </c>
      <c r="E21" s="764"/>
      <c r="F21" s="762">
        <v>1</v>
      </c>
      <c r="G21" s="762">
        <f>+F21*'PROGRAMA ARQ.'!$E$44</f>
        <v>1</v>
      </c>
      <c r="H21" s="762"/>
      <c r="I21" s="805"/>
      <c r="J21" s="81"/>
      <c r="K21" s="597" t="s">
        <v>1456</v>
      </c>
      <c r="L21" s="310"/>
    </row>
    <row r="22" spans="2:13">
      <c r="B22" s="1967"/>
      <c r="C22" s="1011" t="s">
        <v>341</v>
      </c>
      <c r="D22" s="652" t="s">
        <v>374</v>
      </c>
      <c r="E22" s="652"/>
      <c r="F22" s="642">
        <v>1</v>
      </c>
      <c r="G22" s="642">
        <f>+F22*'PROGRAMA ARQ.'!$E$44</f>
        <v>1</v>
      </c>
      <c r="H22" s="642"/>
      <c r="I22" s="791"/>
      <c r="J22" s="81"/>
      <c r="K22" s="597" t="s">
        <v>1456</v>
      </c>
      <c r="L22" s="310"/>
    </row>
    <row r="23" spans="2:13">
      <c r="B23" s="1967"/>
      <c r="C23" s="1011" t="s">
        <v>363</v>
      </c>
      <c r="D23" s="652" t="s">
        <v>364</v>
      </c>
      <c r="E23" s="652"/>
      <c r="F23" s="642">
        <v>1</v>
      </c>
      <c r="G23" s="642">
        <f>+F23*'PROGRAMA ARQ.'!$E$44</f>
        <v>1</v>
      </c>
      <c r="H23" s="642"/>
      <c r="I23" s="791"/>
      <c r="J23" s="81"/>
      <c r="K23" s="597" t="s">
        <v>1456</v>
      </c>
      <c r="L23" s="310"/>
    </row>
    <row r="24" spans="2:13">
      <c r="B24" s="1967"/>
      <c r="C24" s="1011" t="s">
        <v>175</v>
      </c>
      <c r="D24" s="652" t="s">
        <v>1117</v>
      </c>
      <c r="E24" s="652"/>
      <c r="F24" s="642">
        <v>4</v>
      </c>
      <c r="G24" s="642">
        <f>+F24*'PROGRAMA ARQ.'!$E$44</f>
        <v>4</v>
      </c>
      <c r="H24" s="642"/>
      <c r="I24" s="791"/>
      <c r="J24" s="81"/>
      <c r="K24" s="1517" t="s">
        <v>1432</v>
      </c>
      <c r="L24" s="310"/>
    </row>
    <row r="25" spans="2:13">
      <c r="B25" s="1967"/>
      <c r="C25" s="1011" t="s">
        <v>347</v>
      </c>
      <c r="D25" s="652" t="s">
        <v>361</v>
      </c>
      <c r="E25" s="652"/>
      <c r="F25" s="642">
        <v>2</v>
      </c>
      <c r="G25" s="642">
        <f>+F25*'PROGRAMA ARQ.'!$E$44</f>
        <v>2</v>
      </c>
      <c r="H25" s="642"/>
      <c r="I25" s="791"/>
      <c r="J25" s="81"/>
      <c r="K25" s="1517" t="s">
        <v>1432</v>
      </c>
      <c r="L25" s="310"/>
    </row>
    <row r="26" spans="2:13">
      <c r="B26" s="1967"/>
      <c r="C26" s="1011" t="s">
        <v>342</v>
      </c>
      <c r="D26" s="652" t="s">
        <v>351</v>
      </c>
      <c r="E26" s="652"/>
      <c r="F26" s="642">
        <v>1</v>
      </c>
      <c r="G26" s="642">
        <f>+F26*'PROGRAMA ARQ.'!$E$44</f>
        <v>1</v>
      </c>
      <c r="H26" s="642"/>
      <c r="I26" s="791"/>
      <c r="J26" s="81"/>
      <c r="K26" s="1517" t="s">
        <v>1432</v>
      </c>
      <c r="L26" s="310"/>
    </row>
    <row r="27" spans="2:13">
      <c r="B27" s="1967"/>
      <c r="C27" s="1011" t="s">
        <v>348</v>
      </c>
      <c r="D27" s="652" t="s">
        <v>351</v>
      </c>
      <c r="E27" s="652"/>
      <c r="F27" s="642">
        <v>1</v>
      </c>
      <c r="G27" s="642">
        <f>+F27*'PROGRAMA ARQ.'!$E$44</f>
        <v>1</v>
      </c>
      <c r="H27" s="642"/>
      <c r="I27" s="791"/>
      <c r="J27" s="81"/>
      <c r="K27" s="1517" t="s">
        <v>1406</v>
      </c>
      <c r="L27" s="310"/>
    </row>
    <row r="28" spans="2:13">
      <c r="B28" s="1967"/>
      <c r="C28" s="1011" t="s">
        <v>349</v>
      </c>
      <c r="D28" s="652" t="s">
        <v>1112</v>
      </c>
      <c r="E28" s="652"/>
      <c r="F28" s="642">
        <v>1</v>
      </c>
      <c r="G28" s="642">
        <f>+F28*'PROGRAMA ARQ.'!$E$44</f>
        <v>1</v>
      </c>
      <c r="H28" s="642"/>
      <c r="I28" s="791"/>
      <c r="J28" s="81"/>
      <c r="K28" s="1517" t="s">
        <v>1406</v>
      </c>
      <c r="L28" s="310"/>
    </row>
    <row r="29" spans="2:13">
      <c r="B29" s="1967"/>
      <c r="C29" s="1011" t="s">
        <v>360</v>
      </c>
      <c r="D29" s="652" t="s">
        <v>362</v>
      </c>
      <c r="E29" s="652"/>
      <c r="F29" s="632">
        <v>1</v>
      </c>
      <c r="G29" s="642">
        <f>+F29*'PROGRAMA ARQ.'!$E$44</f>
        <v>1</v>
      </c>
      <c r="H29" s="642"/>
      <c r="I29" s="791"/>
      <c r="J29" s="81"/>
      <c r="K29" s="1517" t="s">
        <v>1406</v>
      </c>
      <c r="L29" s="310"/>
    </row>
    <row r="30" spans="2:13">
      <c r="B30" s="1967"/>
      <c r="C30" s="1011" t="s">
        <v>343</v>
      </c>
      <c r="D30" s="652" t="s">
        <v>1106</v>
      </c>
      <c r="E30" s="652"/>
      <c r="F30" s="642">
        <v>1</v>
      </c>
      <c r="G30" s="642">
        <f>+F30*'PROGRAMA ARQ.'!$E$44</f>
        <v>1</v>
      </c>
      <c r="H30" s="642"/>
      <c r="I30" s="791"/>
      <c r="J30" s="81"/>
      <c r="K30" s="1517" t="s">
        <v>1406</v>
      </c>
      <c r="L30" s="310"/>
    </row>
    <row r="31" spans="2:13" ht="15" thickBot="1">
      <c r="B31" s="1968"/>
      <c r="C31" s="1018" t="s">
        <v>1107</v>
      </c>
      <c r="D31" s="752" t="s">
        <v>1108</v>
      </c>
      <c r="E31" s="752"/>
      <c r="F31" s="554">
        <v>1</v>
      </c>
      <c r="G31" s="759">
        <f>+F31*'PROGRAMA ARQ.'!$E$44</f>
        <v>1</v>
      </c>
      <c r="H31" s="759"/>
      <c r="I31" s="592"/>
      <c r="J31" s="81"/>
      <c r="K31" s="1517" t="s">
        <v>1432</v>
      </c>
      <c r="L31" s="310"/>
    </row>
    <row r="32" spans="2:13">
      <c r="B32" s="1966" t="s">
        <v>141</v>
      </c>
      <c r="C32" s="2020"/>
      <c r="D32" s="764" t="s">
        <v>693</v>
      </c>
      <c r="E32" s="761"/>
      <c r="F32" s="762"/>
      <c r="G32" s="762"/>
      <c r="H32" s="762"/>
      <c r="I32" s="805"/>
      <c r="J32" s="81"/>
      <c r="K32" s="1517" t="s">
        <v>1406</v>
      </c>
      <c r="L32" s="310"/>
    </row>
    <row r="33" spans="2:12">
      <c r="B33" s="1967"/>
      <c r="C33" s="2021"/>
      <c r="D33" s="642" t="s">
        <v>736</v>
      </c>
      <c r="E33" s="642"/>
      <c r="F33" s="642"/>
      <c r="G33" s="642"/>
      <c r="H33" s="642"/>
      <c r="I33" s="791"/>
      <c r="J33" s="81"/>
      <c r="K33" s="1517" t="s">
        <v>1406</v>
      </c>
      <c r="L33" s="310"/>
    </row>
    <row r="34" spans="2:12">
      <c r="B34" s="1967"/>
      <c r="C34" s="2021"/>
      <c r="D34" s="646" t="s">
        <v>339</v>
      </c>
      <c r="E34" s="646"/>
      <c r="F34" s="642"/>
      <c r="G34" s="642"/>
      <c r="H34" s="632"/>
      <c r="I34" s="791"/>
      <c r="J34" s="81"/>
      <c r="K34" s="1517" t="s">
        <v>1406</v>
      </c>
      <c r="L34" s="310"/>
    </row>
    <row r="35" spans="2:12" ht="28">
      <c r="B35" s="1967"/>
      <c r="C35" s="2021"/>
      <c r="D35" s="646" t="s">
        <v>310</v>
      </c>
      <c r="E35" s="646"/>
      <c r="F35" s="642"/>
      <c r="G35" s="642"/>
      <c r="H35" s="642"/>
      <c r="I35" s="791"/>
      <c r="J35" s="81"/>
      <c r="K35" s="1517" t="s">
        <v>1406</v>
      </c>
      <c r="L35" s="310"/>
    </row>
    <row r="36" spans="2:12">
      <c r="B36" s="1967"/>
      <c r="C36" s="2021"/>
      <c r="D36" s="646" t="s">
        <v>309</v>
      </c>
      <c r="E36" s="646"/>
      <c r="F36" s="642"/>
      <c r="G36" s="642"/>
      <c r="H36" s="642"/>
      <c r="I36" s="791"/>
      <c r="J36" s="81"/>
      <c r="K36" s="1517" t="s">
        <v>1406</v>
      </c>
      <c r="L36" s="310"/>
    </row>
    <row r="37" spans="2:12" ht="28">
      <c r="B37" s="1967"/>
      <c r="C37" s="2021"/>
      <c r="D37" s="646" t="s">
        <v>312</v>
      </c>
      <c r="E37" s="646"/>
      <c r="F37" s="642"/>
      <c r="G37" s="642"/>
      <c r="H37" s="642"/>
      <c r="I37" s="791"/>
      <c r="J37" s="81"/>
      <c r="K37" s="1517" t="s">
        <v>1406</v>
      </c>
      <c r="L37" s="310"/>
    </row>
    <row r="38" spans="2:12" ht="15" thickBot="1">
      <c r="B38" s="1968"/>
      <c r="C38" s="2022"/>
      <c r="D38" s="1016" t="s">
        <v>313</v>
      </c>
      <c r="E38" s="1016"/>
      <c r="F38" s="759"/>
      <c r="G38" s="759"/>
      <c r="H38" s="759"/>
      <c r="I38" s="592"/>
      <c r="J38" s="81"/>
      <c r="K38" s="1517" t="s">
        <v>1406</v>
      </c>
      <c r="L38" s="310"/>
    </row>
    <row r="39" spans="2:12">
      <c r="B39" s="2072" t="s">
        <v>140</v>
      </c>
      <c r="C39" s="1109"/>
      <c r="D39" s="764" t="s">
        <v>919</v>
      </c>
      <c r="E39" s="764"/>
      <c r="F39" s="762"/>
      <c r="G39" s="762"/>
      <c r="H39" s="762"/>
      <c r="I39" s="805"/>
      <c r="J39" s="81"/>
      <c r="K39" s="1517" t="s">
        <v>1406</v>
      </c>
      <c r="L39" s="310"/>
    </row>
    <row r="40" spans="2:12" ht="28">
      <c r="B40" s="2080"/>
      <c r="C40" s="1893" t="s">
        <v>247</v>
      </c>
      <c r="D40" s="652" t="s">
        <v>321</v>
      </c>
      <c r="E40" s="652"/>
      <c r="F40" s="642"/>
      <c r="G40" s="642"/>
      <c r="H40" s="642"/>
      <c r="I40" s="791"/>
      <c r="J40" s="81"/>
      <c r="K40" s="1517" t="s">
        <v>1406</v>
      </c>
      <c r="L40" s="310"/>
    </row>
    <row r="41" spans="2:12" ht="43" thickBot="1">
      <c r="B41" s="2073"/>
      <c r="C41" s="2017"/>
      <c r="D41" s="752" t="s">
        <v>1103</v>
      </c>
      <c r="E41" s="752"/>
      <c r="F41" s="759"/>
      <c r="G41" s="759"/>
      <c r="H41" s="759"/>
      <c r="I41" s="592"/>
      <c r="J41" s="81"/>
      <c r="K41" s="1517" t="s">
        <v>1406</v>
      </c>
      <c r="L41" s="310"/>
    </row>
    <row r="42" spans="2:12" ht="15" thickBot="1">
      <c r="B42" s="2023" t="s">
        <v>124</v>
      </c>
      <c r="C42" s="2024"/>
      <c r="D42" s="816" t="s">
        <v>298</v>
      </c>
      <c r="E42" s="816"/>
      <c r="F42" s="750"/>
      <c r="G42" s="750"/>
      <c r="H42" s="750"/>
      <c r="I42" s="810"/>
      <c r="J42" s="81"/>
      <c r="K42" s="1517" t="s">
        <v>935</v>
      </c>
      <c r="L42" s="310"/>
    </row>
    <row r="43" spans="2:12" ht="15" thickBot="1">
      <c r="B43" s="1110" t="s">
        <v>132</v>
      </c>
      <c r="C43" s="1111" t="s">
        <v>920</v>
      </c>
      <c r="D43" s="816" t="s">
        <v>1109</v>
      </c>
      <c r="E43" s="816"/>
      <c r="F43" s="750">
        <v>1</v>
      </c>
      <c r="G43" s="750">
        <f>+F43*'PROGRAMA ARQ.'!$E$44</f>
        <v>1</v>
      </c>
      <c r="H43" s="1019"/>
      <c r="I43" s="810"/>
      <c r="J43" s="81"/>
      <c r="K43" s="1517" t="s">
        <v>1406</v>
      </c>
      <c r="L43" s="310"/>
    </row>
    <row r="44" spans="2:12">
      <c r="B44" s="1966" t="s">
        <v>133</v>
      </c>
      <c r="C44" s="1948" t="s">
        <v>1113</v>
      </c>
      <c r="D44" s="764" t="s">
        <v>1110</v>
      </c>
      <c r="E44" s="762"/>
      <c r="F44" s="762"/>
      <c r="G44" s="762"/>
      <c r="H44" s="762"/>
      <c r="I44" s="805"/>
      <c r="J44" s="81"/>
      <c r="K44" s="1517" t="s">
        <v>1432</v>
      </c>
      <c r="L44" s="310"/>
    </row>
    <row r="45" spans="2:12">
      <c r="B45" s="1967"/>
      <c r="C45" s="1949"/>
      <c r="D45" s="652" t="s">
        <v>379</v>
      </c>
      <c r="E45" s="652"/>
      <c r="F45" s="642"/>
      <c r="G45" s="642"/>
      <c r="H45" s="642"/>
      <c r="I45" s="791"/>
      <c r="J45" s="81"/>
      <c r="K45" s="1517" t="s">
        <v>1406</v>
      </c>
      <c r="L45" s="310"/>
    </row>
    <row r="46" spans="2:12">
      <c r="B46" s="1967"/>
      <c r="C46" s="1949"/>
      <c r="D46" s="652" t="s">
        <v>382</v>
      </c>
      <c r="E46" s="652"/>
      <c r="F46" s="642"/>
      <c r="G46" s="642"/>
      <c r="H46" s="642"/>
      <c r="I46" s="791"/>
      <c r="J46" s="81"/>
      <c r="K46" s="1517" t="s">
        <v>1406</v>
      </c>
      <c r="L46" s="310"/>
    </row>
    <row r="47" spans="2:12">
      <c r="B47" s="1967"/>
      <c r="C47" s="1949"/>
      <c r="D47" s="652" t="s">
        <v>317</v>
      </c>
      <c r="E47" s="652"/>
      <c r="F47" s="642"/>
      <c r="G47" s="642"/>
      <c r="H47" s="642"/>
      <c r="I47" s="791"/>
      <c r="J47" s="81"/>
      <c r="K47" s="1517" t="s">
        <v>1406</v>
      </c>
      <c r="L47" s="310"/>
    </row>
    <row r="48" spans="2:12">
      <c r="B48" s="1967"/>
      <c r="C48" s="1949"/>
      <c r="D48" s="652" t="s">
        <v>318</v>
      </c>
      <c r="E48" s="652"/>
      <c r="F48" s="642"/>
      <c r="G48" s="642"/>
      <c r="H48" s="642"/>
      <c r="I48" s="791"/>
      <c r="J48" s="81"/>
      <c r="K48" s="1517" t="s">
        <v>1406</v>
      </c>
      <c r="L48" s="310"/>
    </row>
    <row r="49" spans="1:12" ht="29" thickBot="1">
      <c r="B49" s="1968"/>
      <c r="C49" s="1979"/>
      <c r="D49" s="752" t="s">
        <v>376</v>
      </c>
      <c r="E49" s="752"/>
      <c r="F49" s="759"/>
      <c r="G49" s="759"/>
      <c r="H49" s="759"/>
      <c r="I49" s="592"/>
      <c r="J49" s="81"/>
      <c r="K49" s="1517" t="s">
        <v>1406</v>
      </c>
      <c r="L49" s="310"/>
    </row>
    <row r="50" spans="1:12" ht="28">
      <c r="B50" s="1966" t="s">
        <v>134</v>
      </c>
      <c r="C50" s="2020"/>
      <c r="D50" s="764" t="s">
        <v>319</v>
      </c>
      <c r="E50" s="764"/>
      <c r="F50" s="762"/>
      <c r="G50" s="762"/>
      <c r="H50" s="762"/>
      <c r="I50" s="805"/>
      <c r="J50" s="81"/>
      <c r="K50" s="1517" t="s">
        <v>1406</v>
      </c>
      <c r="L50" s="310"/>
    </row>
    <row r="51" spans="1:12" ht="15" thickBot="1">
      <c r="B51" s="1968"/>
      <c r="C51" s="2022"/>
      <c r="D51" s="752" t="s">
        <v>320</v>
      </c>
      <c r="E51" s="752"/>
      <c r="F51" s="759"/>
      <c r="G51" s="759"/>
      <c r="H51" s="759"/>
      <c r="I51" s="592"/>
      <c r="J51" s="81"/>
      <c r="K51" s="597" t="s">
        <v>1456</v>
      </c>
      <c r="L51" s="310"/>
    </row>
    <row r="52" spans="1:12">
      <c r="B52" s="1966" t="s">
        <v>135</v>
      </c>
      <c r="C52" s="2036" t="s">
        <v>248</v>
      </c>
      <c r="D52" s="764" t="s">
        <v>322</v>
      </c>
      <c r="E52" s="764"/>
      <c r="F52" s="762"/>
      <c r="G52" s="762"/>
      <c r="H52" s="762"/>
      <c r="I52" s="805"/>
      <c r="J52" s="81"/>
      <c r="K52" s="597" t="s">
        <v>1456</v>
      </c>
      <c r="L52" s="310"/>
    </row>
    <row r="53" spans="1:12">
      <c r="B53" s="1967"/>
      <c r="C53" s="2037"/>
      <c r="D53" s="652" t="s">
        <v>323</v>
      </c>
      <c r="E53" s="652"/>
      <c r="F53" s="642"/>
      <c r="G53" s="642"/>
      <c r="H53" s="642"/>
      <c r="I53" s="791"/>
      <c r="J53" s="81"/>
      <c r="K53" s="597" t="s">
        <v>718</v>
      </c>
      <c r="L53" s="310"/>
    </row>
    <row r="54" spans="1:12">
      <c r="B54" s="1967"/>
      <c r="C54" s="2044" t="s">
        <v>249</v>
      </c>
      <c r="D54" s="652" t="s">
        <v>240</v>
      </c>
      <c r="E54" s="652"/>
      <c r="F54" s="642"/>
      <c r="G54" s="642"/>
      <c r="H54" s="642"/>
      <c r="I54" s="791"/>
      <c r="J54" s="81"/>
      <c r="K54" s="597" t="s">
        <v>718</v>
      </c>
      <c r="L54" s="310"/>
    </row>
    <row r="55" spans="1:12">
      <c r="B55" s="1967"/>
      <c r="C55" s="2044"/>
      <c r="D55" s="652" t="s">
        <v>324</v>
      </c>
      <c r="E55" s="652"/>
      <c r="F55" s="642"/>
      <c r="G55" s="642"/>
      <c r="H55" s="642"/>
      <c r="I55" s="791"/>
      <c r="J55" s="81"/>
      <c r="K55" s="1517" t="s">
        <v>1406</v>
      </c>
      <c r="L55" s="310"/>
    </row>
    <row r="56" spans="1:12">
      <c r="B56" s="1967"/>
      <c r="C56" s="2044" t="s">
        <v>250</v>
      </c>
      <c r="D56" s="652" t="s">
        <v>325</v>
      </c>
      <c r="E56" s="652"/>
      <c r="F56" s="642"/>
      <c r="G56" s="642"/>
      <c r="H56" s="642"/>
      <c r="I56" s="791"/>
      <c r="J56" s="81"/>
      <c r="K56" s="1517" t="s">
        <v>1406</v>
      </c>
      <c r="L56" s="310"/>
    </row>
    <row r="57" spans="1:12">
      <c r="B57" s="1967"/>
      <c r="C57" s="2044"/>
      <c r="D57" s="652" t="s">
        <v>326</v>
      </c>
      <c r="E57" s="652"/>
      <c r="F57" s="642"/>
      <c r="G57" s="642"/>
      <c r="H57" s="642"/>
      <c r="I57" s="791"/>
      <c r="J57" s="81"/>
      <c r="K57" s="1517" t="s">
        <v>1406</v>
      </c>
      <c r="L57" s="310"/>
    </row>
    <row r="58" spans="1:12" ht="15" thickBot="1">
      <c r="B58" s="1968"/>
      <c r="C58" s="2045"/>
      <c r="D58" s="752" t="s">
        <v>327</v>
      </c>
      <c r="E58" s="752"/>
      <c r="F58" s="759"/>
      <c r="G58" s="759"/>
      <c r="H58" s="759"/>
      <c r="I58" s="592"/>
      <c r="J58" s="81"/>
      <c r="K58" s="1517" t="s">
        <v>1406</v>
      </c>
      <c r="L58" s="310"/>
    </row>
    <row r="59" spans="1:12">
      <c r="A59" s="1945" t="s">
        <v>137</v>
      </c>
      <c r="B59" s="1966" t="s">
        <v>138</v>
      </c>
      <c r="C59" s="2030" t="s">
        <v>438</v>
      </c>
      <c r="D59" s="764" t="s">
        <v>331</v>
      </c>
      <c r="E59" s="764"/>
      <c r="F59" s="762"/>
      <c r="G59" s="762"/>
      <c r="H59" s="762"/>
      <c r="I59" s="805"/>
      <c r="J59" s="81"/>
      <c r="K59" s="625" t="s">
        <v>436</v>
      </c>
      <c r="L59" s="310"/>
    </row>
    <row r="60" spans="1:12" ht="28">
      <c r="A60" s="1946"/>
      <c r="B60" s="1967"/>
      <c r="C60" s="2031"/>
      <c r="D60" s="652" t="s">
        <v>1115</v>
      </c>
      <c r="E60" s="652"/>
      <c r="F60" s="642">
        <v>2</v>
      </c>
      <c r="G60" s="642">
        <f>+F60*'PROGRAMA ARQ.'!$E$44</f>
        <v>2</v>
      </c>
      <c r="H60" s="642"/>
      <c r="I60" s="791"/>
      <c r="J60" s="81"/>
      <c r="K60" s="625" t="s">
        <v>1406</v>
      </c>
      <c r="L60" s="310"/>
    </row>
    <row r="61" spans="1:12" ht="28">
      <c r="A61" s="1946"/>
      <c r="B61" s="1967"/>
      <c r="C61" s="2031"/>
      <c r="D61" s="652" t="s">
        <v>1114</v>
      </c>
      <c r="E61" s="652"/>
      <c r="F61" s="642">
        <v>1</v>
      </c>
      <c r="G61" s="642">
        <f>+F61*'PROGRAMA ARQ.'!$E$44</f>
        <v>1</v>
      </c>
      <c r="H61" s="642"/>
      <c r="I61" s="791"/>
      <c r="J61" s="81"/>
      <c r="K61" s="1517" t="s">
        <v>1406</v>
      </c>
      <c r="L61" s="310"/>
    </row>
    <row r="62" spans="1:12">
      <c r="A62" s="1946"/>
      <c r="B62" s="1967"/>
      <c r="C62" s="1521" t="s">
        <v>251</v>
      </c>
      <c r="D62" s="652" t="s">
        <v>358</v>
      </c>
      <c r="E62" s="652"/>
      <c r="F62" s="642">
        <v>1</v>
      </c>
      <c r="G62" s="642">
        <f>+F62*'PROGRAMA ARQ.'!$E$44</f>
        <v>1</v>
      </c>
      <c r="H62" s="642"/>
      <c r="I62" s="791"/>
      <c r="J62" s="81"/>
      <c r="K62" s="1517" t="s">
        <v>1406</v>
      </c>
      <c r="L62" s="310"/>
    </row>
    <row r="63" spans="1:12">
      <c r="A63" s="1946"/>
      <c r="B63" s="1967"/>
      <c r="C63" s="1521" t="s">
        <v>252</v>
      </c>
      <c r="D63" s="652" t="s">
        <v>1116</v>
      </c>
      <c r="E63" s="652"/>
      <c r="F63" s="642">
        <v>1</v>
      </c>
      <c r="G63" s="642">
        <f>+F63*'PROGRAMA ARQ.'!$E$44</f>
        <v>1</v>
      </c>
      <c r="H63" s="642"/>
      <c r="I63" s="791"/>
      <c r="J63" s="81"/>
      <c r="K63" s="1517" t="s">
        <v>1406</v>
      </c>
      <c r="L63" s="310"/>
    </row>
    <row r="64" spans="1:12">
      <c r="A64" s="1946"/>
      <c r="B64" s="1967"/>
      <c r="C64" s="1521" t="s">
        <v>253</v>
      </c>
      <c r="D64" s="652" t="s">
        <v>298</v>
      </c>
      <c r="E64" s="652"/>
      <c r="F64" s="642"/>
      <c r="G64" s="642"/>
      <c r="H64" s="642"/>
      <c r="I64" s="791"/>
      <c r="J64" s="81"/>
      <c r="K64" s="1517" t="s">
        <v>935</v>
      </c>
      <c r="L64" s="310"/>
    </row>
    <row r="65" spans="1:12">
      <c r="A65" s="1946"/>
      <c r="B65" s="1967"/>
      <c r="C65" s="1521" t="s">
        <v>254</v>
      </c>
      <c r="D65" s="652" t="s">
        <v>298</v>
      </c>
      <c r="E65" s="652"/>
      <c r="F65" s="642"/>
      <c r="G65" s="642"/>
      <c r="H65" s="642"/>
      <c r="I65" s="791"/>
      <c r="J65" s="81"/>
      <c r="K65" s="1517" t="s">
        <v>935</v>
      </c>
      <c r="L65" s="310"/>
    </row>
    <row r="66" spans="1:12" ht="15" thickBot="1">
      <c r="A66" s="1946"/>
      <c r="B66" s="1968"/>
      <c r="C66" s="1522" t="s">
        <v>255</v>
      </c>
      <c r="D66" s="752" t="s">
        <v>298</v>
      </c>
      <c r="E66" s="752"/>
      <c r="F66" s="759"/>
      <c r="G66" s="759"/>
      <c r="H66" s="759"/>
      <c r="I66" s="592"/>
      <c r="J66" s="81"/>
      <c r="K66" s="1517" t="s">
        <v>935</v>
      </c>
      <c r="L66" s="310"/>
    </row>
    <row r="67" spans="1:12">
      <c r="A67" s="1946"/>
      <c r="B67" s="1966" t="s">
        <v>139</v>
      </c>
      <c r="C67" s="1523" t="s">
        <v>256</v>
      </c>
      <c r="D67" s="761" t="s">
        <v>298</v>
      </c>
      <c r="E67" s="761"/>
      <c r="F67" s="762"/>
      <c r="G67" s="762"/>
      <c r="H67" s="812"/>
      <c r="I67" s="805"/>
      <c r="J67" s="81"/>
      <c r="K67" s="1517" t="s">
        <v>935</v>
      </c>
      <c r="L67" s="310"/>
    </row>
    <row r="68" spans="1:12" ht="29" thickBot="1">
      <c r="A68" s="1946"/>
      <c r="B68" s="1968"/>
      <c r="C68" s="1520" t="s">
        <v>257</v>
      </c>
      <c r="D68" s="752" t="s">
        <v>365</v>
      </c>
      <c r="E68" s="752"/>
      <c r="F68" s="759"/>
      <c r="G68" s="759"/>
      <c r="H68" s="759"/>
      <c r="I68" s="592"/>
      <c r="J68" s="81"/>
      <c r="K68" s="1517" t="s">
        <v>1406</v>
      </c>
      <c r="L68" s="310"/>
    </row>
    <row r="69" spans="1:12">
      <c r="A69" s="1946"/>
      <c r="B69" s="1966" t="s">
        <v>142</v>
      </c>
      <c r="C69" s="2020"/>
      <c r="D69" s="764" t="s">
        <v>357</v>
      </c>
      <c r="E69" s="764"/>
      <c r="F69" s="762"/>
      <c r="G69" s="762"/>
      <c r="H69" s="762"/>
      <c r="I69" s="805"/>
      <c r="J69" s="81"/>
      <c r="K69" s="1517" t="s">
        <v>1406</v>
      </c>
      <c r="L69" s="310"/>
    </row>
    <row r="70" spans="1:12">
      <c r="A70" s="1946"/>
      <c r="B70" s="1967"/>
      <c r="C70" s="2021"/>
      <c r="D70" s="652" t="s">
        <v>715</v>
      </c>
      <c r="E70" s="652"/>
      <c r="F70" s="642"/>
      <c r="G70" s="642"/>
      <c r="H70" s="642"/>
      <c r="I70" s="791"/>
      <c r="J70" s="81"/>
      <c r="K70" s="1517" t="s">
        <v>1406</v>
      </c>
      <c r="L70" s="310"/>
    </row>
    <row r="71" spans="1:12" ht="15" thickBot="1">
      <c r="A71" s="1946"/>
      <c r="B71" s="1967"/>
      <c r="C71" s="2021"/>
      <c r="D71" s="1395" t="s">
        <v>1491</v>
      </c>
      <c r="E71" s="652"/>
      <c r="F71" s="642"/>
      <c r="G71" s="642"/>
      <c r="H71" s="642"/>
      <c r="I71" s="791"/>
      <c r="J71" s="81"/>
      <c r="K71" s="1517" t="s">
        <v>1454</v>
      </c>
      <c r="L71" s="310"/>
    </row>
    <row r="72" spans="1:12">
      <c r="A72" s="470"/>
      <c r="B72" s="1966" t="s">
        <v>264</v>
      </c>
      <c r="C72" s="2020"/>
      <c r="D72" s="764" t="s">
        <v>771</v>
      </c>
      <c r="E72" s="764"/>
      <c r="F72" s="762"/>
      <c r="G72" s="762"/>
      <c r="H72" s="762"/>
      <c r="I72" s="805"/>
      <c r="J72" s="81"/>
      <c r="K72" s="1517" t="s">
        <v>302</v>
      </c>
      <c r="L72" s="310"/>
    </row>
    <row r="73" spans="1:12" ht="15" thickBot="1">
      <c r="A73" s="804"/>
      <c r="B73" s="1968"/>
      <c r="C73" s="2022"/>
      <c r="D73" s="1020" t="s">
        <v>1521</v>
      </c>
      <c r="E73" s="1514"/>
      <c r="F73" s="1514"/>
      <c r="G73" s="1514"/>
      <c r="H73" s="1514"/>
      <c r="I73" s="796"/>
    </row>
  </sheetData>
  <mergeCells count="28">
    <mergeCell ref="B9:C11"/>
    <mergeCell ref="B2:I2"/>
    <mergeCell ref="E3:I3"/>
    <mergeCell ref="E4:I4"/>
    <mergeCell ref="E5:I5"/>
    <mergeCell ref="B8:C8"/>
    <mergeCell ref="B50:C51"/>
    <mergeCell ref="B12:B18"/>
    <mergeCell ref="C12:C14"/>
    <mergeCell ref="C15:C16"/>
    <mergeCell ref="B19:B20"/>
    <mergeCell ref="B21:B31"/>
    <mergeCell ref="B32:C38"/>
    <mergeCell ref="B39:B41"/>
    <mergeCell ref="C40:C41"/>
    <mergeCell ref="B42:C42"/>
    <mergeCell ref="B44:B49"/>
    <mergeCell ref="C44:C49"/>
    <mergeCell ref="A59:A71"/>
    <mergeCell ref="B59:B66"/>
    <mergeCell ref="C59:C61"/>
    <mergeCell ref="B67:B68"/>
    <mergeCell ref="B69:C71"/>
    <mergeCell ref="B72:C73"/>
    <mergeCell ref="B52:B58"/>
    <mergeCell ref="C52:C53"/>
    <mergeCell ref="C54:C55"/>
    <mergeCell ref="C56:C58"/>
  </mergeCells>
  <pageMargins left="0.70866141732283472" right="0.70866141732283472" top="0.74803149606299213" bottom="0.74803149606299213" header="0.31496062992125984" footer="0.31496062992125984"/>
  <pageSetup scale="67" fitToHeight="0" orientation="portrait"/>
  <rowBreaks count="1" manualBreakCount="1">
    <brk id="43"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C3FBE2B3-B4DC-40B5-8D9E-B64CF8F03854}">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0" tint="-4.9989318521683403E-2"/>
    <pageSetUpPr fitToPage="1"/>
  </sheetPr>
  <dimension ref="A1:M73"/>
  <sheetViews>
    <sheetView workbookViewId="0">
      <selection activeCell="K8" sqref="K8:K14"/>
    </sheetView>
  </sheetViews>
  <sheetFormatPr baseColWidth="10" defaultColWidth="11.5" defaultRowHeight="14" x14ac:dyDescent="0"/>
  <cols>
    <col min="1" max="1" width="4.33203125" style="310" customWidth="1"/>
    <col min="2" max="2" width="30.6640625" style="598" customWidth="1"/>
    <col min="3" max="3" width="30.6640625" style="599" customWidth="1"/>
    <col min="4" max="4" width="50.6640625" style="598" customWidth="1"/>
    <col min="5" max="9" width="3.6640625" style="598" customWidth="1"/>
    <col min="10" max="10" width="7.5" style="621" customWidth="1"/>
    <col min="11" max="11" width="50.6640625" style="496" customWidth="1"/>
    <col min="12" max="12" width="30.6640625" style="598" customWidth="1"/>
    <col min="13" max="13" width="3.5" style="310" customWidth="1"/>
    <col min="14" max="16384" width="11.5" style="310"/>
  </cols>
  <sheetData>
    <row r="1" spans="2:13" ht="14.5" customHeight="1"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101" customHeight="1" thickBot="1">
      <c r="B6" s="829" t="str">
        <f>+'PROGRAMA ARQ.'!C47</f>
        <v>4.1</v>
      </c>
      <c r="C6" s="829" t="str">
        <f>+'PROGRAMA ARQ.'!D47</f>
        <v xml:space="preserve">CIRCULACIONES </v>
      </c>
      <c r="D6" s="830">
        <f>+'PROGRAMA ARQ.'!I47</f>
        <v>122.42879999999997</v>
      </c>
      <c r="E6" s="686" t="s">
        <v>366</v>
      </c>
      <c r="F6" s="687" t="s">
        <v>544</v>
      </c>
      <c r="G6" s="687" t="s">
        <v>2</v>
      </c>
      <c r="H6" s="687" t="s">
        <v>171</v>
      </c>
      <c r="I6" s="688" t="s">
        <v>172</v>
      </c>
      <c r="J6" s="608"/>
      <c r="K6" s="1354" t="s">
        <v>293</v>
      </c>
      <c r="L6" s="701" t="s">
        <v>120</v>
      </c>
      <c r="M6" s="845" t="s">
        <v>178</v>
      </c>
    </row>
    <row r="7" spans="2:13" s="367" customFormat="1" ht="16" thickBot="1">
      <c r="B7" s="667" t="s">
        <v>1378</v>
      </c>
      <c r="C7" s="667" t="s">
        <v>1379</v>
      </c>
      <c r="D7" s="670" t="s">
        <v>1380</v>
      </c>
      <c r="E7" s="671"/>
      <c r="F7" s="672"/>
      <c r="G7" s="672"/>
      <c r="H7" s="671"/>
      <c r="I7" s="673"/>
      <c r="J7" s="595"/>
      <c r="K7" s="235"/>
      <c r="L7" s="696"/>
      <c r="M7" s="697"/>
    </row>
    <row r="8" spans="2:13" s="81" customFormat="1" ht="182">
      <c r="B8" s="1786" t="s">
        <v>1118</v>
      </c>
      <c r="C8" s="2085"/>
      <c r="D8" s="1061" t="s">
        <v>1381</v>
      </c>
      <c r="E8" s="1062"/>
      <c r="F8" s="1062"/>
      <c r="G8" s="1062"/>
      <c r="H8" s="1062"/>
      <c r="I8" s="1063"/>
      <c r="J8" s="608"/>
      <c r="K8" s="496" t="s">
        <v>1406</v>
      </c>
      <c r="L8" s="596"/>
      <c r="M8" s="595"/>
    </row>
    <row r="9" spans="2:13" s="81" customFormat="1" ht="28">
      <c r="B9" s="1780"/>
      <c r="C9" s="2086"/>
      <c r="D9" s="506" t="s">
        <v>1121</v>
      </c>
      <c r="E9" s="890"/>
      <c r="F9" s="890"/>
      <c r="G9" s="890"/>
      <c r="H9" s="890"/>
      <c r="I9" s="1064"/>
      <c r="J9" s="621"/>
      <c r="K9" s="496" t="s">
        <v>1406</v>
      </c>
      <c r="L9" s="600"/>
    </row>
    <row r="10" spans="2:13" s="81" customFormat="1" ht="45" customHeight="1">
      <c r="B10" s="1780"/>
      <c r="C10" s="2086"/>
      <c r="D10" s="363" t="s">
        <v>1367</v>
      </c>
      <c r="E10" s="890"/>
      <c r="F10" s="890"/>
      <c r="G10" s="890"/>
      <c r="H10" s="890"/>
      <c r="I10" s="1064"/>
      <c r="J10" s="621"/>
      <c r="K10" s="496" t="s">
        <v>1406</v>
      </c>
      <c r="L10" s="600"/>
    </row>
    <row r="11" spans="2:13" s="81" customFormat="1">
      <c r="B11" s="1780"/>
      <c r="C11" s="2086"/>
      <c r="D11" s="511" t="s">
        <v>1130</v>
      </c>
      <c r="E11" s="890"/>
      <c r="F11" s="890"/>
      <c r="G11" s="890"/>
      <c r="H11" s="890"/>
      <c r="I11" s="1064"/>
      <c r="J11" s="621"/>
      <c r="K11" s="496" t="s">
        <v>1406</v>
      </c>
      <c r="L11" s="600"/>
    </row>
    <row r="12" spans="2:13" s="1165" customFormat="1" ht="56.5" customHeight="1">
      <c r="B12" s="1780"/>
      <c r="C12" s="2086"/>
      <c r="D12" s="1355" t="s">
        <v>1465</v>
      </c>
      <c r="E12" s="1311"/>
      <c r="F12" s="1311"/>
      <c r="G12" s="1311"/>
      <c r="H12" s="1311"/>
      <c r="I12" s="1312"/>
      <c r="J12" s="1311"/>
      <c r="K12" s="1324" t="s">
        <v>1463</v>
      </c>
      <c r="L12" s="1311"/>
    </row>
    <row r="13" spans="2:13" s="1165" customFormat="1" ht="28">
      <c r="B13" s="1780"/>
      <c r="C13" s="2086"/>
      <c r="D13" s="1356" t="s">
        <v>1138</v>
      </c>
      <c r="E13" s="1311"/>
      <c r="F13" s="1311"/>
      <c r="G13" s="1311"/>
      <c r="H13" s="1311"/>
      <c r="I13" s="1312"/>
      <c r="J13" s="1311"/>
      <c r="K13" s="1324" t="s">
        <v>416</v>
      </c>
      <c r="L13" s="1311"/>
    </row>
    <row r="14" spans="2:13" s="81" customFormat="1" ht="99" thickBot="1">
      <c r="B14" s="1780"/>
      <c r="C14" s="2086"/>
      <c r="D14" s="506" t="s">
        <v>1155</v>
      </c>
      <c r="E14" s="890"/>
      <c r="F14" s="890"/>
      <c r="G14" s="890"/>
      <c r="H14" s="890"/>
      <c r="I14" s="1064"/>
      <c r="J14" s="621"/>
      <c r="K14" s="496" t="s">
        <v>1406</v>
      </c>
      <c r="L14" s="600"/>
    </row>
    <row r="15" spans="2:13" s="81" customFormat="1" ht="28">
      <c r="B15" s="1935" t="s">
        <v>1388</v>
      </c>
      <c r="C15" s="2004"/>
      <c r="D15" s="786" t="s">
        <v>1119</v>
      </c>
      <c r="E15" s="528"/>
      <c r="F15" s="528"/>
      <c r="G15" s="528"/>
      <c r="H15" s="528"/>
      <c r="I15" s="529"/>
      <c r="J15" s="362"/>
      <c r="K15" s="496" t="s">
        <v>1406</v>
      </c>
      <c r="L15" s="362" t="s">
        <v>439</v>
      </c>
    </row>
    <row r="16" spans="2:13" s="1165" customFormat="1" ht="56">
      <c r="B16" s="1936"/>
      <c r="C16" s="1956"/>
      <c r="D16" s="1357" t="s">
        <v>1122</v>
      </c>
      <c r="E16" s="1167"/>
      <c r="F16" s="1167"/>
      <c r="G16" s="1167"/>
      <c r="H16" s="1167"/>
      <c r="I16" s="1168"/>
      <c r="J16" s="1164"/>
      <c r="K16" s="1324" t="s">
        <v>416</v>
      </c>
      <c r="L16" s="1164"/>
    </row>
    <row r="17" spans="1:13" s="1165" customFormat="1" ht="71" thickBot="1">
      <c r="B17" s="1958"/>
      <c r="C17" s="2005"/>
      <c r="D17" s="1353" t="s">
        <v>1137</v>
      </c>
      <c r="E17" s="1210"/>
      <c r="F17" s="1210"/>
      <c r="G17" s="1210"/>
      <c r="H17" s="1210"/>
      <c r="I17" s="1211"/>
      <c r="J17" s="1164"/>
      <c r="K17" s="1324" t="s">
        <v>416</v>
      </c>
      <c r="L17" s="1164"/>
    </row>
    <row r="18" spans="1:13" s="81" customFormat="1">
      <c r="B18" s="1960" t="s">
        <v>143</v>
      </c>
      <c r="C18" s="1906" t="s">
        <v>241</v>
      </c>
      <c r="D18" s="879" t="s">
        <v>1127</v>
      </c>
      <c r="E18" s="885"/>
      <c r="F18" s="885"/>
      <c r="G18" s="885"/>
      <c r="H18" s="885"/>
      <c r="I18" s="863"/>
      <c r="J18" s="621"/>
      <c r="K18" s="597" t="s">
        <v>1406</v>
      </c>
      <c r="L18" s="600"/>
    </row>
    <row r="19" spans="1:13" s="81" customFormat="1" ht="29.5" customHeight="1">
      <c r="B19" s="1961"/>
      <c r="C19" s="1905"/>
      <c r="D19" s="880" t="s">
        <v>1126</v>
      </c>
      <c r="E19" s="877"/>
      <c r="F19" s="877"/>
      <c r="G19" s="877"/>
      <c r="H19" s="877"/>
      <c r="I19" s="862"/>
      <c r="J19" s="621"/>
      <c r="K19" s="597" t="s">
        <v>1406</v>
      </c>
      <c r="L19" s="600"/>
    </row>
    <row r="20" spans="1:13" s="81" customFormat="1">
      <c r="A20" s="503"/>
      <c r="B20" s="1961"/>
      <c r="C20" s="1905" t="s">
        <v>242</v>
      </c>
      <c r="D20" s="880" t="s">
        <v>1128</v>
      </c>
      <c r="E20" s="877"/>
      <c r="F20" s="877"/>
      <c r="G20" s="877"/>
      <c r="H20" s="877"/>
      <c r="I20" s="862"/>
      <c r="J20" s="621"/>
      <c r="K20" s="597" t="s">
        <v>1406</v>
      </c>
      <c r="L20" s="600"/>
    </row>
    <row r="21" spans="1:13" s="81" customFormat="1" ht="31.25" customHeight="1">
      <c r="A21" s="503"/>
      <c r="B21" s="1961"/>
      <c r="C21" s="1905"/>
      <c r="D21" s="880" t="s">
        <v>1125</v>
      </c>
      <c r="E21" s="877"/>
      <c r="F21" s="877"/>
      <c r="G21" s="877"/>
      <c r="H21" s="877"/>
      <c r="I21" s="862"/>
      <c r="J21" s="621"/>
      <c r="K21" s="597" t="s">
        <v>1406</v>
      </c>
      <c r="L21" s="600"/>
    </row>
    <row r="22" spans="1:13" s="81" customFormat="1" ht="28">
      <c r="B22" s="1961"/>
      <c r="C22" s="894" t="s">
        <v>243</v>
      </c>
      <c r="D22" s="628" t="s">
        <v>1129</v>
      </c>
      <c r="E22" s="880"/>
      <c r="F22" s="877"/>
      <c r="G22" s="880"/>
      <c r="H22" s="880"/>
      <c r="I22" s="864"/>
      <c r="J22" s="620"/>
      <c r="K22" s="597" t="s">
        <v>1406</v>
      </c>
      <c r="L22" s="602"/>
    </row>
    <row r="23" spans="1:13" s="1165" customFormat="1" ht="32" customHeight="1" thickBot="1">
      <c r="B23" s="1980"/>
      <c r="C23" s="1283" t="s">
        <v>244</v>
      </c>
      <c r="D23" s="1358" t="s">
        <v>1123</v>
      </c>
      <c r="E23" s="1359"/>
      <c r="F23" s="1359"/>
      <c r="G23" s="1360"/>
      <c r="H23" s="1359"/>
      <c r="I23" s="1361"/>
      <c r="J23" s="1311"/>
      <c r="K23" s="1325" t="s">
        <v>668</v>
      </c>
      <c r="L23" s="1362" t="s">
        <v>1055</v>
      </c>
    </row>
    <row r="24" spans="1:13" s="81" customFormat="1" ht="14.5" customHeight="1">
      <c r="B24" s="1935" t="s">
        <v>144</v>
      </c>
      <c r="C24" s="966" t="s">
        <v>245</v>
      </c>
      <c r="D24" s="786" t="s">
        <v>921</v>
      </c>
      <c r="E24" s="786"/>
      <c r="F24" s="786"/>
      <c r="G24" s="786"/>
      <c r="H24" s="786"/>
      <c r="I24" s="1066"/>
      <c r="J24" s="363"/>
      <c r="K24" s="594" t="s">
        <v>935</v>
      </c>
      <c r="L24" s="363"/>
    </row>
    <row r="25" spans="1:13" s="81" customFormat="1" ht="29" thickBot="1">
      <c r="B25" s="1958"/>
      <c r="C25" s="967" t="s">
        <v>246</v>
      </c>
      <c r="D25" s="778" t="s">
        <v>1124</v>
      </c>
      <c r="E25" s="778"/>
      <c r="F25" s="778"/>
      <c r="G25" s="778"/>
      <c r="H25" s="778"/>
      <c r="I25" s="1067"/>
      <c r="J25" s="363"/>
      <c r="K25" s="597" t="s">
        <v>1406</v>
      </c>
      <c r="L25" s="363"/>
    </row>
    <row r="26" spans="1:13" s="81" customFormat="1" ht="56">
      <c r="B26" s="1935" t="s">
        <v>141</v>
      </c>
      <c r="C26" s="883" t="s">
        <v>1142</v>
      </c>
      <c r="D26" s="1068" t="s">
        <v>1133</v>
      </c>
      <c r="E26" s="1069"/>
      <c r="F26" s="1069"/>
      <c r="G26" s="1069"/>
      <c r="H26" s="1069"/>
      <c r="I26" s="1070"/>
      <c r="J26" s="608"/>
      <c r="K26" s="597" t="s">
        <v>1406</v>
      </c>
      <c r="L26" s="596"/>
      <c r="M26" s="595"/>
    </row>
    <row r="27" spans="1:13" s="81" customFormat="1" ht="98">
      <c r="B27" s="1936"/>
      <c r="C27" s="963" t="s">
        <v>1143</v>
      </c>
      <c r="D27" s="650" t="s">
        <v>1139</v>
      </c>
      <c r="E27" s="1065"/>
      <c r="F27" s="1065"/>
      <c r="G27" s="1065"/>
      <c r="H27" s="1065"/>
      <c r="I27" s="1071"/>
      <c r="J27" s="608"/>
      <c r="K27" s="597" t="s">
        <v>1406</v>
      </c>
      <c r="L27" s="596"/>
      <c r="M27" s="595"/>
    </row>
    <row r="28" spans="1:13" s="1165" customFormat="1">
      <c r="B28" s="1936"/>
      <c r="C28" s="1750" t="s">
        <v>1144</v>
      </c>
      <c r="D28" s="1357" t="s">
        <v>1140</v>
      </c>
      <c r="E28" s="1363"/>
      <c r="F28" s="1363"/>
      <c r="G28" s="1363"/>
      <c r="H28" s="1363"/>
      <c r="I28" s="1364"/>
      <c r="J28" s="1365"/>
      <c r="K28" s="1324" t="s">
        <v>416</v>
      </c>
      <c r="L28" s="1366"/>
      <c r="M28" s="1367"/>
    </row>
    <row r="29" spans="1:13" s="1165" customFormat="1">
      <c r="B29" s="1936"/>
      <c r="C29" s="1750"/>
      <c r="D29" s="1357" t="s">
        <v>1141</v>
      </c>
      <c r="E29" s="1363"/>
      <c r="F29" s="1363"/>
      <c r="G29" s="1363"/>
      <c r="H29" s="1363"/>
      <c r="I29" s="1364"/>
      <c r="J29" s="1365"/>
      <c r="K29" s="1324" t="s">
        <v>416</v>
      </c>
      <c r="L29" s="1366"/>
      <c r="M29" s="1367"/>
    </row>
    <row r="30" spans="1:13" s="1165" customFormat="1" ht="42">
      <c r="B30" s="1936"/>
      <c r="C30" s="1750"/>
      <c r="D30" s="1357" t="s">
        <v>1148</v>
      </c>
      <c r="E30" s="1363"/>
      <c r="F30" s="1363"/>
      <c r="G30" s="1363"/>
      <c r="H30" s="1363"/>
      <c r="I30" s="1364"/>
      <c r="J30" s="1365"/>
      <c r="K30" s="1324" t="s">
        <v>416</v>
      </c>
      <c r="L30" s="1366"/>
      <c r="M30" s="1367"/>
    </row>
    <row r="31" spans="1:13" s="1165" customFormat="1" ht="42">
      <c r="B31" s="1936"/>
      <c r="C31" s="1750"/>
      <c r="D31" s="1357" t="s">
        <v>1151</v>
      </c>
      <c r="E31" s="1363"/>
      <c r="F31" s="1363"/>
      <c r="G31" s="1363"/>
      <c r="H31" s="1363"/>
      <c r="I31" s="1364"/>
      <c r="J31" s="1365"/>
      <c r="K31" s="1324" t="s">
        <v>416</v>
      </c>
      <c r="L31" s="1366"/>
      <c r="M31" s="1367"/>
    </row>
    <row r="32" spans="1:13" s="1165" customFormat="1" ht="42">
      <c r="B32" s="1936"/>
      <c r="C32" s="1750"/>
      <c r="D32" s="1357" t="s">
        <v>1154</v>
      </c>
      <c r="E32" s="1363"/>
      <c r="F32" s="1363"/>
      <c r="G32" s="1363"/>
      <c r="H32" s="1363"/>
      <c r="I32" s="1364"/>
      <c r="J32" s="1365"/>
      <c r="K32" s="1324" t="s">
        <v>416</v>
      </c>
      <c r="L32" s="1366"/>
      <c r="M32" s="1367"/>
    </row>
    <row r="33" spans="2:13" s="81" customFormat="1" ht="28">
      <c r="B33" s="1936"/>
      <c r="C33" s="1758" t="s">
        <v>1147</v>
      </c>
      <c r="D33" s="650" t="s">
        <v>1149</v>
      </c>
      <c r="E33" s="1065"/>
      <c r="F33" s="1065"/>
      <c r="G33" s="1065"/>
      <c r="H33" s="1065"/>
      <c r="I33" s="1071"/>
      <c r="J33" s="608"/>
      <c r="K33" s="597" t="s">
        <v>1406</v>
      </c>
      <c r="L33" s="596"/>
      <c r="M33" s="595"/>
    </row>
    <row r="34" spans="2:13" s="81" customFormat="1" ht="28">
      <c r="B34" s="1936"/>
      <c r="C34" s="1758"/>
      <c r="D34" s="650" t="s">
        <v>1152</v>
      </c>
      <c r="E34" s="1065"/>
      <c r="F34" s="1065"/>
      <c r="G34" s="1065"/>
      <c r="H34" s="1065"/>
      <c r="I34" s="1071"/>
      <c r="J34" s="608"/>
      <c r="K34" s="597" t="s">
        <v>1406</v>
      </c>
      <c r="L34" s="596"/>
      <c r="M34" s="595"/>
    </row>
    <row r="35" spans="2:13" s="81" customFormat="1" ht="56">
      <c r="B35" s="1936"/>
      <c r="C35" s="1758"/>
      <c r="D35" s="650" t="s">
        <v>1153</v>
      </c>
      <c r="E35" s="1065"/>
      <c r="F35" s="1065"/>
      <c r="G35" s="1065"/>
      <c r="H35" s="1065"/>
      <c r="I35" s="1071"/>
      <c r="J35" s="608"/>
      <c r="K35" s="597" t="s">
        <v>1406</v>
      </c>
      <c r="L35" s="596"/>
      <c r="M35" s="595"/>
    </row>
    <row r="36" spans="2:13" s="81" customFormat="1" ht="28">
      <c r="B36" s="1936"/>
      <c r="C36" s="1758"/>
      <c r="D36" s="650" t="s">
        <v>1150</v>
      </c>
      <c r="E36" s="1065"/>
      <c r="F36" s="1065"/>
      <c r="G36" s="1065"/>
      <c r="H36" s="1065"/>
      <c r="I36" s="1071"/>
      <c r="J36" s="608"/>
      <c r="K36" s="597" t="s">
        <v>1406</v>
      </c>
      <c r="L36" s="596"/>
      <c r="M36" s="595"/>
    </row>
    <row r="37" spans="2:13" s="81" customFormat="1" ht="42">
      <c r="B37" s="1936"/>
      <c r="C37" s="1758"/>
      <c r="D37" s="650" t="s">
        <v>1156</v>
      </c>
      <c r="E37" s="1065"/>
      <c r="F37" s="1065"/>
      <c r="G37" s="1065"/>
      <c r="H37" s="1065"/>
      <c r="I37" s="1071"/>
      <c r="J37" s="608"/>
      <c r="K37" s="597" t="s">
        <v>1406</v>
      </c>
      <c r="L37" s="596"/>
      <c r="M37" s="595"/>
    </row>
    <row r="38" spans="2:13" s="81" customFormat="1">
      <c r="B38" s="1936"/>
      <c r="C38" s="963" t="s">
        <v>1145</v>
      </c>
      <c r="D38" s="650" t="s">
        <v>1132</v>
      </c>
      <c r="E38" s="1065"/>
      <c r="F38" s="1065"/>
      <c r="G38" s="1065"/>
      <c r="H38" s="1065"/>
      <c r="I38" s="1071"/>
      <c r="J38" s="608"/>
      <c r="K38" s="597" t="s">
        <v>1406</v>
      </c>
      <c r="L38" s="596"/>
      <c r="M38" s="595"/>
    </row>
    <row r="39" spans="2:13" s="81" customFormat="1" ht="85" thickBot="1">
      <c r="B39" s="1958"/>
      <c r="C39" s="967" t="s">
        <v>1146</v>
      </c>
      <c r="D39" s="1072" t="s">
        <v>1136</v>
      </c>
      <c r="E39" s="1073"/>
      <c r="F39" s="1073"/>
      <c r="G39" s="1073"/>
      <c r="H39" s="1073"/>
      <c r="I39" s="1074"/>
      <c r="J39" s="608"/>
      <c r="K39" s="597" t="s">
        <v>1406</v>
      </c>
      <c r="L39" s="596"/>
      <c r="M39" s="595"/>
    </row>
    <row r="40" spans="2:13" s="1165" customFormat="1" ht="56">
      <c r="B40" s="1935" t="s">
        <v>140</v>
      </c>
      <c r="C40" s="1938" t="s">
        <v>1157</v>
      </c>
      <c r="D40" s="1316" t="s">
        <v>1158</v>
      </c>
      <c r="E40" s="1313"/>
      <c r="F40" s="1313"/>
      <c r="G40" s="1313"/>
      <c r="H40" s="1313"/>
      <c r="I40" s="1317"/>
      <c r="J40" s="1311"/>
      <c r="K40" s="1325" t="s">
        <v>416</v>
      </c>
      <c r="L40" s="1311"/>
    </row>
    <row r="41" spans="2:13" s="1165" customFormat="1" ht="42">
      <c r="B41" s="1936"/>
      <c r="C41" s="1750"/>
      <c r="D41" s="1279" t="s">
        <v>1159</v>
      </c>
      <c r="E41" s="1233"/>
      <c r="F41" s="1233"/>
      <c r="G41" s="1233"/>
      <c r="H41" s="1233"/>
      <c r="I41" s="1204"/>
      <c r="J41" s="1311"/>
      <c r="K41" s="1325" t="s">
        <v>416</v>
      </c>
      <c r="L41" s="1311"/>
    </row>
    <row r="42" spans="2:13" s="1165" customFormat="1" ht="28">
      <c r="B42" s="1936"/>
      <c r="C42" s="1228" t="s">
        <v>1057</v>
      </c>
      <c r="D42" s="1357" t="s">
        <v>1160</v>
      </c>
      <c r="E42" s="1233"/>
      <c r="F42" s="1233"/>
      <c r="G42" s="1233"/>
      <c r="H42" s="1233"/>
      <c r="I42" s="1204"/>
      <c r="J42" s="1311"/>
      <c r="K42" s="1325" t="s">
        <v>416</v>
      </c>
      <c r="L42" s="1351"/>
    </row>
    <row r="43" spans="2:13" ht="29" customHeight="1" thickBot="1">
      <c r="B43" s="1958"/>
      <c r="C43" s="770" t="s">
        <v>247</v>
      </c>
      <c r="D43" s="769" t="s">
        <v>1164</v>
      </c>
      <c r="E43" s="869"/>
      <c r="F43" s="869"/>
      <c r="G43" s="869"/>
      <c r="H43" s="869"/>
      <c r="I43" s="796"/>
      <c r="K43" s="597" t="s">
        <v>1406</v>
      </c>
    </row>
    <row r="44" spans="2:13" ht="43" thickBot="1">
      <c r="B44" s="2018" t="s">
        <v>123</v>
      </c>
      <c r="C44" s="2019"/>
      <c r="D44" s="1075" t="s">
        <v>1172</v>
      </c>
      <c r="E44" s="802"/>
      <c r="F44" s="802"/>
      <c r="G44" s="802"/>
      <c r="H44" s="802"/>
      <c r="I44" s="803"/>
      <c r="K44" s="597" t="s">
        <v>1406</v>
      </c>
      <c r="L44" s="375"/>
    </row>
    <row r="45" spans="2:13">
      <c r="B45" s="1755" t="s">
        <v>124</v>
      </c>
      <c r="C45" s="1761"/>
      <c r="D45" s="2057" t="s">
        <v>1161</v>
      </c>
      <c r="E45" s="867"/>
      <c r="F45" s="867"/>
      <c r="G45" s="867"/>
      <c r="H45" s="867"/>
      <c r="I45" s="794"/>
      <c r="K45" s="597" t="s">
        <v>1406</v>
      </c>
      <c r="L45" s="375"/>
    </row>
    <row r="46" spans="2:13" ht="44" customHeight="1" thickBot="1">
      <c r="B46" s="1757" t="s">
        <v>132</v>
      </c>
      <c r="C46" s="1763"/>
      <c r="D46" s="2084"/>
      <c r="E46" s="869"/>
      <c r="F46" s="869"/>
      <c r="G46" s="869"/>
      <c r="H46" s="869"/>
      <c r="I46" s="796"/>
      <c r="K46" s="597" t="s">
        <v>1406</v>
      </c>
    </row>
    <row r="47" spans="2:13" s="1165" customFormat="1" ht="28">
      <c r="B47" s="1755" t="s">
        <v>133</v>
      </c>
      <c r="C47" s="1761"/>
      <c r="D47" s="1316" t="s">
        <v>923</v>
      </c>
      <c r="E47" s="1313"/>
      <c r="F47" s="1313"/>
      <c r="G47" s="1313"/>
      <c r="H47" s="1313"/>
      <c r="I47" s="1317"/>
      <c r="J47" s="1311"/>
      <c r="K47" s="1324" t="s">
        <v>1463</v>
      </c>
      <c r="L47" s="1311"/>
    </row>
    <row r="48" spans="2:13" ht="28">
      <c r="B48" s="1756"/>
      <c r="C48" s="1762"/>
      <c r="D48" s="634" t="s">
        <v>1162</v>
      </c>
      <c r="E48" s="868"/>
      <c r="F48" s="868"/>
      <c r="G48" s="868"/>
      <c r="H48" s="868"/>
      <c r="I48" s="795"/>
      <c r="K48" s="597" t="s">
        <v>1406</v>
      </c>
    </row>
    <row r="49" spans="1:12" ht="28">
      <c r="B49" s="1756"/>
      <c r="C49" s="1762"/>
      <c r="D49" s="634" t="s">
        <v>531</v>
      </c>
      <c r="E49" s="868"/>
      <c r="F49" s="868"/>
      <c r="G49" s="868"/>
      <c r="H49" s="868"/>
      <c r="I49" s="795"/>
      <c r="K49" s="597" t="s">
        <v>1406</v>
      </c>
    </row>
    <row r="50" spans="1:12" s="1165" customFormat="1" ht="43" thickBot="1">
      <c r="B50" s="1757"/>
      <c r="C50" s="1763"/>
      <c r="D50" s="1230" t="s">
        <v>1163</v>
      </c>
      <c r="E50" s="1359"/>
      <c r="F50" s="1359"/>
      <c r="G50" s="1359"/>
      <c r="H50" s="1359"/>
      <c r="I50" s="1361"/>
      <c r="J50" s="1311"/>
      <c r="K50" s="1325" t="s">
        <v>416</v>
      </c>
      <c r="L50" s="1311"/>
    </row>
    <row r="51" spans="1:12" ht="15" thickBot="1">
      <c r="B51" s="2018" t="s">
        <v>134</v>
      </c>
      <c r="C51" s="2019"/>
      <c r="D51" s="1075"/>
      <c r="E51" s="802"/>
      <c r="F51" s="802"/>
      <c r="G51" s="802"/>
      <c r="H51" s="802"/>
      <c r="I51" s="803"/>
      <c r="K51" s="625" t="s">
        <v>935</v>
      </c>
    </row>
    <row r="52" spans="1:12" s="1165" customFormat="1" ht="20" customHeight="1">
      <c r="B52" s="1755" t="s">
        <v>135</v>
      </c>
      <c r="C52" s="1948" t="s">
        <v>248</v>
      </c>
      <c r="D52" s="1345" t="s">
        <v>924</v>
      </c>
      <c r="E52" s="1313"/>
      <c r="F52" s="1313"/>
      <c r="G52" s="1313"/>
      <c r="H52" s="1313"/>
      <c r="I52" s="1317"/>
      <c r="J52" s="1311"/>
      <c r="K52" s="1324" t="s">
        <v>1456</v>
      </c>
      <c r="L52" s="1311"/>
    </row>
    <row r="53" spans="1:12" s="1165" customFormat="1" ht="14.5" customHeight="1">
      <c r="B53" s="1756"/>
      <c r="C53" s="1949"/>
      <c r="D53" s="1279" t="s">
        <v>925</v>
      </c>
      <c r="E53" s="1233"/>
      <c r="F53" s="1233"/>
      <c r="G53" s="1233"/>
      <c r="H53" s="1233"/>
      <c r="I53" s="1204"/>
      <c r="J53" s="1311"/>
      <c r="K53" s="1324" t="s">
        <v>1456</v>
      </c>
      <c r="L53" s="1311"/>
    </row>
    <row r="54" spans="1:12" ht="28">
      <c r="B54" s="1756"/>
      <c r="C54" s="1949"/>
      <c r="D54" s="640" t="s">
        <v>1131</v>
      </c>
      <c r="E54" s="868"/>
      <c r="F54" s="868"/>
      <c r="G54" s="868"/>
      <c r="H54" s="868"/>
      <c r="I54" s="795"/>
      <c r="K54" s="597" t="s">
        <v>1406</v>
      </c>
    </row>
    <row r="55" spans="1:12" ht="28">
      <c r="B55" s="1756"/>
      <c r="C55" s="1949" t="s">
        <v>249</v>
      </c>
      <c r="D55" s="640" t="s">
        <v>1203</v>
      </c>
      <c r="E55" s="868"/>
      <c r="F55" s="868"/>
      <c r="G55" s="868"/>
      <c r="H55" s="868"/>
      <c r="I55" s="795"/>
      <c r="K55" s="625" t="s">
        <v>1421</v>
      </c>
    </row>
    <row r="56" spans="1:12" s="1165" customFormat="1">
      <c r="B56" s="1756"/>
      <c r="C56" s="1949"/>
      <c r="D56" s="1279" t="s">
        <v>927</v>
      </c>
      <c r="E56" s="1233"/>
      <c r="F56" s="1233"/>
      <c r="G56" s="1233"/>
      <c r="H56" s="1233"/>
      <c r="I56" s="1204"/>
      <c r="J56" s="1311"/>
      <c r="K56" s="1325" t="s">
        <v>416</v>
      </c>
      <c r="L56" s="1311"/>
    </row>
    <row r="57" spans="1:12" ht="15" thickBot="1">
      <c r="B57" s="1757"/>
      <c r="C57" s="770" t="s">
        <v>250</v>
      </c>
      <c r="D57" s="869" t="s">
        <v>928</v>
      </c>
      <c r="E57" s="869"/>
      <c r="F57" s="869"/>
      <c r="G57" s="869"/>
      <c r="H57" s="869"/>
      <c r="I57" s="796"/>
      <c r="K57" s="625" t="s">
        <v>1421</v>
      </c>
    </row>
    <row r="58" spans="1:12" ht="28">
      <c r="A58" s="1858" t="s">
        <v>137</v>
      </c>
      <c r="B58" s="2081" t="s">
        <v>138</v>
      </c>
      <c r="C58" s="1948" t="s">
        <v>435</v>
      </c>
      <c r="D58" s="879" t="s">
        <v>1173</v>
      </c>
      <c r="E58" s="867"/>
      <c r="F58" s="867"/>
      <c r="G58" s="867"/>
      <c r="H58" s="867"/>
      <c r="I58" s="794"/>
      <c r="K58" s="625" t="s">
        <v>1421</v>
      </c>
    </row>
    <row r="59" spans="1:12">
      <c r="A59" s="1859"/>
      <c r="B59" s="2082"/>
      <c r="C59" s="1949"/>
      <c r="D59" s="640" t="s">
        <v>1165</v>
      </c>
      <c r="E59" s="868"/>
      <c r="F59" s="868"/>
      <c r="G59" s="868"/>
      <c r="H59" s="868"/>
      <c r="I59" s="795"/>
      <c r="K59" s="625" t="s">
        <v>1406</v>
      </c>
    </row>
    <row r="60" spans="1:12" ht="28">
      <c r="A60" s="1859"/>
      <c r="B60" s="2082"/>
      <c r="C60" s="1949"/>
      <c r="D60" s="640" t="s">
        <v>1166</v>
      </c>
      <c r="E60" s="868"/>
      <c r="F60" s="868"/>
      <c r="G60" s="868"/>
      <c r="H60" s="868"/>
      <c r="I60" s="795"/>
      <c r="K60" s="597" t="s">
        <v>1406</v>
      </c>
    </row>
    <row r="61" spans="1:12" ht="28">
      <c r="A61" s="1859"/>
      <c r="B61" s="2082"/>
      <c r="C61" s="1949"/>
      <c r="D61" s="640" t="s">
        <v>1167</v>
      </c>
      <c r="E61" s="868"/>
      <c r="F61" s="868"/>
      <c r="G61" s="868"/>
      <c r="H61" s="868"/>
      <c r="I61" s="795"/>
      <c r="K61" s="597" t="s">
        <v>1406</v>
      </c>
    </row>
    <row r="62" spans="1:12" ht="42">
      <c r="A62" s="1859"/>
      <c r="B62" s="2082"/>
      <c r="C62" s="1949"/>
      <c r="D62" s="640" t="s">
        <v>1169</v>
      </c>
      <c r="E62" s="868"/>
      <c r="F62" s="868"/>
      <c r="G62" s="868"/>
      <c r="H62" s="868"/>
      <c r="I62" s="795"/>
      <c r="K62" s="597" t="s">
        <v>1406</v>
      </c>
    </row>
    <row r="63" spans="1:12" ht="28">
      <c r="A63" s="1859"/>
      <c r="B63" s="2082"/>
      <c r="C63" s="1949"/>
      <c r="D63" s="640" t="s">
        <v>1170</v>
      </c>
      <c r="E63" s="868"/>
      <c r="F63" s="868"/>
      <c r="G63" s="868"/>
      <c r="H63" s="868"/>
      <c r="I63" s="795"/>
      <c r="K63" s="597" t="s">
        <v>1406</v>
      </c>
    </row>
    <row r="64" spans="1:12" s="1165" customFormat="1">
      <c r="A64" s="1859"/>
      <c r="B64" s="2082"/>
      <c r="C64" s="1310" t="s">
        <v>251</v>
      </c>
      <c r="D64" s="1233" t="s">
        <v>1120</v>
      </c>
      <c r="E64" s="1233"/>
      <c r="F64" s="1233"/>
      <c r="G64" s="1233"/>
      <c r="H64" s="1233"/>
      <c r="I64" s="1204"/>
      <c r="J64" s="1311"/>
      <c r="K64" s="1325" t="s">
        <v>1454</v>
      </c>
      <c r="L64" s="1311"/>
    </row>
    <row r="65" spans="1:12">
      <c r="A65" s="1859"/>
      <c r="B65" s="2082"/>
      <c r="C65" s="874" t="s">
        <v>253</v>
      </c>
      <c r="D65" s="868" t="s">
        <v>922</v>
      </c>
      <c r="E65" s="868"/>
      <c r="F65" s="868"/>
      <c r="G65" s="868"/>
      <c r="H65" s="868"/>
      <c r="I65" s="795"/>
      <c r="K65" s="496" t="s">
        <v>935</v>
      </c>
    </row>
    <row r="66" spans="1:12">
      <c r="A66" s="1859"/>
      <c r="B66" s="2082"/>
      <c r="C66" s="874" t="s">
        <v>254</v>
      </c>
      <c r="D66" s="868" t="s">
        <v>922</v>
      </c>
      <c r="E66" s="868"/>
      <c r="F66" s="868"/>
      <c r="G66" s="868"/>
      <c r="H66" s="868"/>
      <c r="I66" s="795"/>
      <c r="K66" s="496" t="s">
        <v>935</v>
      </c>
    </row>
    <row r="67" spans="1:12" ht="13.25" customHeight="1" thickBot="1">
      <c r="A67" s="1859"/>
      <c r="B67" s="2083"/>
      <c r="C67" s="770" t="s">
        <v>255</v>
      </c>
      <c r="D67" s="869" t="s">
        <v>922</v>
      </c>
      <c r="E67" s="869"/>
      <c r="F67" s="869"/>
      <c r="G67" s="869"/>
      <c r="H67" s="869"/>
      <c r="I67" s="796"/>
      <c r="K67" s="496" t="s">
        <v>935</v>
      </c>
    </row>
    <row r="68" spans="1:12" ht="28">
      <c r="A68" s="1859"/>
      <c r="B68" s="1755" t="s">
        <v>139</v>
      </c>
      <c r="C68" s="2001" t="s">
        <v>256</v>
      </c>
      <c r="D68" s="879" t="s">
        <v>1168</v>
      </c>
      <c r="E68" s="867"/>
      <c r="F68" s="867"/>
      <c r="G68" s="867"/>
      <c r="H68" s="867"/>
      <c r="I68" s="794"/>
      <c r="K68" s="597" t="s">
        <v>1406</v>
      </c>
      <c r="L68" s="601" t="s">
        <v>445</v>
      </c>
    </row>
    <row r="69" spans="1:12" ht="28">
      <c r="A69" s="1859"/>
      <c r="B69" s="1756"/>
      <c r="C69" s="2003"/>
      <c r="D69" s="640" t="s">
        <v>1392</v>
      </c>
      <c r="E69" s="868"/>
      <c r="F69" s="868"/>
      <c r="G69" s="868"/>
      <c r="H69" s="868"/>
      <c r="I69" s="795"/>
      <c r="K69" s="597" t="s">
        <v>1406</v>
      </c>
    </row>
    <row r="70" spans="1:12" ht="15" thickBot="1">
      <c r="A70" s="1859"/>
      <c r="B70" s="1757"/>
      <c r="C70" s="770" t="s">
        <v>257</v>
      </c>
      <c r="D70" s="869" t="s">
        <v>922</v>
      </c>
      <c r="E70" s="869"/>
      <c r="F70" s="869"/>
      <c r="G70" s="869"/>
      <c r="H70" s="869"/>
      <c r="I70" s="796"/>
      <c r="K70" s="496" t="s">
        <v>935</v>
      </c>
    </row>
    <row r="71" spans="1:12" ht="15" thickBot="1">
      <c r="A71" s="1859"/>
      <c r="B71" s="2018" t="s">
        <v>142</v>
      </c>
      <c r="C71" s="2019"/>
      <c r="D71" s="802" t="s">
        <v>922</v>
      </c>
      <c r="E71" s="802"/>
      <c r="F71" s="802"/>
      <c r="G71" s="802"/>
      <c r="H71" s="802"/>
      <c r="I71" s="803"/>
      <c r="K71" s="496" t="s">
        <v>935</v>
      </c>
    </row>
    <row r="72" spans="1:12">
      <c r="A72" s="1859"/>
      <c r="B72" s="1755" t="s">
        <v>264</v>
      </c>
      <c r="C72" s="1761"/>
      <c r="D72" s="879" t="s">
        <v>1171</v>
      </c>
      <c r="E72" s="722"/>
      <c r="F72" s="867"/>
      <c r="G72" s="867"/>
      <c r="H72" s="867"/>
      <c r="I72" s="794"/>
      <c r="K72" s="597" t="s">
        <v>1406</v>
      </c>
    </row>
    <row r="73" spans="1:12" ht="43" thickBot="1">
      <c r="A73" s="1860"/>
      <c r="B73" s="1757"/>
      <c r="C73" s="1763"/>
      <c r="D73" s="768" t="s">
        <v>1174</v>
      </c>
      <c r="E73" s="869"/>
      <c r="F73" s="869"/>
      <c r="G73" s="869"/>
      <c r="H73" s="869"/>
      <c r="I73" s="796"/>
      <c r="K73" s="597" t="s">
        <v>1406</v>
      </c>
    </row>
  </sheetData>
  <autoFilter ref="K1:K73"/>
  <mergeCells count="31">
    <mergeCell ref="A58:A73"/>
    <mergeCell ref="E3:I3"/>
    <mergeCell ref="B2:I2"/>
    <mergeCell ref="E4:I4"/>
    <mergeCell ref="D45:D46"/>
    <mergeCell ref="E5:I5"/>
    <mergeCell ref="B8:C14"/>
    <mergeCell ref="B15:C17"/>
    <mergeCell ref="B18:B23"/>
    <mergeCell ref="C18:C19"/>
    <mergeCell ref="C20:C21"/>
    <mergeCell ref="B24:B25"/>
    <mergeCell ref="B26:B39"/>
    <mergeCell ref="C28:C32"/>
    <mergeCell ref="C33:C37"/>
    <mergeCell ref="B40:B43"/>
    <mergeCell ref="C40:C41"/>
    <mergeCell ref="B44:C44"/>
    <mergeCell ref="B45:C45"/>
    <mergeCell ref="B46:C46"/>
    <mergeCell ref="B47:C50"/>
    <mergeCell ref="B51:C51"/>
    <mergeCell ref="B68:B70"/>
    <mergeCell ref="B71:C71"/>
    <mergeCell ref="B72:C73"/>
    <mergeCell ref="C68:C69"/>
    <mergeCell ref="B52:B57"/>
    <mergeCell ref="C52:C54"/>
    <mergeCell ref="C55:C56"/>
    <mergeCell ref="B58:B67"/>
    <mergeCell ref="C58:C63"/>
  </mergeCells>
  <pageMargins left="0.70866141732283472" right="0.70866141732283472" top="0.74803149606299213" bottom="0.74803149606299213" header="0.31496062992125984" footer="0.31496062992125984"/>
  <pageSetup scale="39" fitToHeight="0" orientation="portrait"/>
  <rowBreaks count="2" manualBreakCount="2">
    <brk id="25" max="16383" man="1"/>
    <brk id="43"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4BF33AD8-85E6-48EC-95BD-3FED61F60F57}">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theme="0" tint="-4.9989318521683403E-2"/>
    <pageSetUpPr fitToPage="1"/>
  </sheetPr>
  <dimension ref="A1:N68"/>
  <sheetViews>
    <sheetView workbookViewId="0">
      <selection activeCell="K8" sqref="K8:K14"/>
    </sheetView>
  </sheetViews>
  <sheetFormatPr baseColWidth="10" defaultColWidth="11.5" defaultRowHeight="14" x14ac:dyDescent="0"/>
  <cols>
    <col min="1" max="1" width="2.6640625" style="310" customWidth="1"/>
    <col min="2" max="2" width="30.6640625" style="598" customWidth="1"/>
    <col min="3" max="3" width="30.6640625" style="599" customWidth="1"/>
    <col min="4" max="4" width="50.6640625" style="598" customWidth="1"/>
    <col min="5" max="8" width="3.6640625" style="598" customWidth="1"/>
    <col min="9" max="9" width="6.5" style="598" bestFit="1" customWidth="1"/>
    <col min="10" max="10" width="7.5" style="621" customWidth="1"/>
    <col min="11" max="11" width="50.6640625" style="496" customWidth="1"/>
    <col min="12" max="12" width="30.6640625" style="598" customWidth="1"/>
    <col min="13" max="13" width="3.5" style="310" customWidth="1"/>
    <col min="14" max="14" width="19" style="310" customWidth="1"/>
    <col min="15" max="15" width="19.1640625" style="310" customWidth="1"/>
    <col min="16" max="16384" width="11.5" style="310"/>
  </cols>
  <sheetData>
    <row r="1" spans="2:13" ht="15" thickBot="1">
      <c r="L1" s="496"/>
    </row>
    <row r="2" spans="2:13" s="81" customFormat="1" ht="69" customHeight="1" thickBot="1">
      <c r="B2" s="1743"/>
      <c r="C2" s="1744"/>
      <c r="D2" s="1744"/>
      <c r="E2" s="1744"/>
      <c r="F2" s="1744"/>
      <c r="G2" s="1744"/>
      <c r="H2" s="1744"/>
      <c r="I2" s="1745"/>
      <c r="J2" s="382"/>
      <c r="K2" s="597"/>
      <c r="L2" s="507"/>
      <c r="M2" s="362"/>
    </row>
    <row r="3" spans="2:13" s="81" customFormat="1" ht="25.25" customHeight="1" thickBot="1">
      <c r="B3" s="820" t="s">
        <v>1385</v>
      </c>
      <c r="C3" s="821"/>
      <c r="D3" s="822"/>
      <c r="E3" s="1746" t="str">
        <f>+'PROGRAMA ARQ.'!E4</f>
        <v>2 SALAS CUNAS</v>
      </c>
      <c r="F3" s="1747"/>
      <c r="G3" s="1747"/>
      <c r="H3" s="1747"/>
      <c r="I3" s="1748"/>
      <c r="J3" s="382"/>
      <c r="K3" s="597"/>
      <c r="L3" s="507"/>
      <c r="M3" s="362"/>
    </row>
    <row r="4" spans="2:13" s="81" customFormat="1" ht="25.25" customHeight="1" thickBot="1">
      <c r="B4" s="823">
        <f>+'PROGRAMA ARQ.'!I4:I5</f>
        <v>152</v>
      </c>
      <c r="C4" s="505"/>
      <c r="D4" s="661"/>
      <c r="E4" s="1737" t="str">
        <f>+'PROGRAMA ARQ.'!E5</f>
        <v>4 NIVELES MEDIOS</v>
      </c>
      <c r="F4" s="1738"/>
      <c r="G4" s="1738"/>
      <c r="H4" s="1738"/>
      <c r="I4" s="1739"/>
      <c r="J4" s="382"/>
      <c r="K4" s="597"/>
      <c r="L4" s="507"/>
      <c r="M4" s="362"/>
    </row>
    <row r="5" spans="2:13" s="81" customFormat="1" ht="15" thickBot="1">
      <c r="B5" s="695" t="s">
        <v>1374</v>
      </c>
      <c r="C5" s="235" t="s">
        <v>1375</v>
      </c>
      <c r="D5" s="235" t="s">
        <v>1376</v>
      </c>
      <c r="E5" s="1818" t="s">
        <v>1377</v>
      </c>
      <c r="F5" s="1819"/>
      <c r="G5" s="1819"/>
      <c r="H5" s="1819"/>
      <c r="I5" s="1820"/>
      <c r="J5" s="675"/>
      <c r="K5" s="597"/>
      <c r="L5" s="507"/>
      <c r="M5" s="362"/>
    </row>
    <row r="6" spans="2:13" s="616" customFormat="1" ht="71" thickBot="1">
      <c r="B6" s="828">
        <f>IF(C6=0,0,+'PROGRAMA ARQ.'!C48)</f>
        <v>0</v>
      </c>
      <c r="C6" s="828">
        <f>IF(D6=0,0,+'PROGRAMA ARQ.'!D48)</f>
        <v>0</v>
      </c>
      <c r="D6" s="828">
        <f>+'PROGRAMA ARQ.'!G48</f>
        <v>0</v>
      </c>
      <c r="E6" s="686" t="s">
        <v>366</v>
      </c>
      <c r="F6" s="687" t="s">
        <v>544</v>
      </c>
      <c r="G6" s="687" t="s">
        <v>2</v>
      </c>
      <c r="H6" s="687" t="s">
        <v>171</v>
      </c>
      <c r="I6" s="688" t="s">
        <v>172</v>
      </c>
      <c r="J6" s="608"/>
      <c r="K6" s="1354" t="s">
        <v>293</v>
      </c>
      <c r="L6" s="701" t="s">
        <v>120</v>
      </c>
      <c r="M6" s="845" t="s">
        <v>178</v>
      </c>
    </row>
    <row r="7" spans="2:13" s="367" customFormat="1" ht="16" thickBot="1">
      <c r="B7" s="667" t="s">
        <v>1378</v>
      </c>
      <c r="C7" s="667" t="s">
        <v>1379</v>
      </c>
      <c r="D7" s="670" t="s">
        <v>1380</v>
      </c>
      <c r="E7" s="671"/>
      <c r="F7" s="672"/>
      <c r="G7" s="672"/>
      <c r="H7" s="671"/>
      <c r="I7" s="673"/>
      <c r="J7" s="595"/>
      <c r="K7" s="1145"/>
      <c r="L7" s="696"/>
      <c r="M7" s="697"/>
    </row>
    <row r="8" spans="2:13" ht="144.5" customHeight="1">
      <c r="B8" s="1827" t="s">
        <v>122</v>
      </c>
      <c r="C8" s="1900"/>
      <c r="D8" s="875" t="s">
        <v>1381</v>
      </c>
      <c r="E8" s="886"/>
      <c r="F8" s="886"/>
      <c r="G8" s="886"/>
      <c r="H8" s="886"/>
      <c r="I8" s="952"/>
      <c r="K8" s="496" t="s">
        <v>1406</v>
      </c>
    </row>
    <row r="9" spans="2:13">
      <c r="B9" s="1829"/>
      <c r="C9" s="1933"/>
      <c r="D9" s="876" t="s">
        <v>929</v>
      </c>
      <c r="E9" s="887"/>
      <c r="F9" s="887"/>
      <c r="G9" s="887"/>
      <c r="H9" s="887"/>
      <c r="I9" s="676"/>
      <c r="K9" s="496" t="s">
        <v>1406</v>
      </c>
    </row>
    <row r="10" spans="2:13" ht="42">
      <c r="B10" s="1829"/>
      <c r="C10" s="1933"/>
      <c r="D10" s="876" t="s">
        <v>1367</v>
      </c>
      <c r="E10" s="887"/>
      <c r="F10" s="887"/>
      <c r="G10" s="887"/>
      <c r="H10" s="887"/>
      <c r="I10" s="676"/>
      <c r="K10" s="496" t="s">
        <v>1406</v>
      </c>
    </row>
    <row r="11" spans="2:13" ht="30" customHeight="1" thickBot="1">
      <c r="B11" s="1829"/>
      <c r="C11" s="1933"/>
      <c r="D11" s="876" t="s">
        <v>1175</v>
      </c>
      <c r="E11" s="887"/>
      <c r="F11" s="887"/>
      <c r="G11" s="887"/>
      <c r="H11" s="887"/>
      <c r="I11" s="676"/>
      <c r="K11" s="496" t="s">
        <v>1406</v>
      </c>
    </row>
    <row r="12" spans="2:13" ht="27.5" customHeight="1" thickBot="1">
      <c r="B12" s="2018" t="s">
        <v>1388</v>
      </c>
      <c r="C12" s="2019"/>
      <c r="D12" s="1075" t="s">
        <v>930</v>
      </c>
      <c r="E12" s="802"/>
      <c r="F12" s="802"/>
      <c r="G12" s="802"/>
      <c r="H12" s="802"/>
      <c r="I12" s="803"/>
      <c r="K12" s="496" t="s">
        <v>1432</v>
      </c>
      <c r="L12" s="598" t="s">
        <v>439</v>
      </c>
    </row>
    <row r="13" spans="2:13">
      <c r="B13" s="1755" t="s">
        <v>143</v>
      </c>
      <c r="C13" s="873" t="s">
        <v>241</v>
      </c>
      <c r="D13" s="722" t="s">
        <v>1176</v>
      </c>
      <c r="E13" s="867"/>
      <c r="F13" s="867"/>
      <c r="G13" s="867"/>
      <c r="H13" s="867"/>
      <c r="I13" s="794"/>
      <c r="K13" s="496" t="s">
        <v>1406</v>
      </c>
    </row>
    <row r="14" spans="2:13">
      <c r="B14" s="1756"/>
      <c r="C14" s="874" t="s">
        <v>242</v>
      </c>
      <c r="D14" s="640" t="s">
        <v>1177</v>
      </c>
      <c r="E14" s="868"/>
      <c r="F14" s="868"/>
      <c r="G14" s="868"/>
      <c r="H14" s="868"/>
      <c r="I14" s="795"/>
      <c r="K14" s="496" t="s">
        <v>1406</v>
      </c>
    </row>
    <row r="15" spans="2:13" ht="28">
      <c r="B15" s="1756"/>
      <c r="C15" s="1949" t="s">
        <v>243</v>
      </c>
      <c r="D15" s="649" t="s">
        <v>1060</v>
      </c>
      <c r="E15" s="868"/>
      <c r="F15" s="868"/>
      <c r="G15" s="868"/>
      <c r="H15" s="868"/>
      <c r="I15" s="795"/>
      <c r="K15" s="496" t="s">
        <v>1406</v>
      </c>
    </row>
    <row r="16" spans="2:13" ht="42">
      <c r="B16" s="1756"/>
      <c r="C16" s="1949"/>
      <c r="D16" s="649" t="s">
        <v>1061</v>
      </c>
      <c r="E16" s="868"/>
      <c r="F16" s="868"/>
      <c r="G16" s="868"/>
      <c r="H16" s="868"/>
      <c r="I16" s="795"/>
      <c r="K16" s="496" t="s">
        <v>1406</v>
      </c>
    </row>
    <row r="17" spans="2:14" s="1165" customFormat="1" ht="29" thickBot="1">
      <c r="B17" s="1757"/>
      <c r="C17" s="1342" t="s">
        <v>244</v>
      </c>
      <c r="D17" s="1358" t="s">
        <v>1178</v>
      </c>
      <c r="E17" s="1359"/>
      <c r="F17" s="1359"/>
      <c r="G17" s="1359"/>
      <c r="H17" s="1359"/>
      <c r="I17" s="1361"/>
      <c r="J17" s="1311"/>
      <c r="K17" s="1324" t="s">
        <v>1463</v>
      </c>
      <c r="L17" s="1311"/>
      <c r="N17" s="1368"/>
    </row>
    <row r="18" spans="2:14">
      <c r="B18" s="2090" t="s">
        <v>144</v>
      </c>
      <c r="C18" s="870" t="s">
        <v>245</v>
      </c>
      <c r="D18" s="588" t="s">
        <v>1186</v>
      </c>
      <c r="E18" s="588"/>
      <c r="F18" s="588"/>
      <c r="G18" s="588"/>
      <c r="H18" s="588"/>
      <c r="I18" s="1077"/>
      <c r="J18" s="363"/>
      <c r="K18" s="496" t="s">
        <v>1406</v>
      </c>
      <c r="L18" s="378"/>
      <c r="N18" s="586"/>
    </row>
    <row r="19" spans="2:14" ht="15" thickBot="1">
      <c r="B19" s="2091"/>
      <c r="C19" s="770" t="s">
        <v>246</v>
      </c>
      <c r="D19" s="769" t="s">
        <v>1179</v>
      </c>
      <c r="E19" s="869"/>
      <c r="F19" s="869"/>
      <c r="G19" s="869"/>
      <c r="H19" s="869"/>
      <c r="I19" s="796"/>
      <c r="K19" s="496" t="s">
        <v>1406</v>
      </c>
      <c r="N19" s="586"/>
    </row>
    <row r="20" spans="2:14" ht="17" customHeight="1">
      <c r="B20" s="1966" t="s">
        <v>141</v>
      </c>
      <c r="C20" s="2020"/>
      <c r="D20" s="867" t="s">
        <v>1180</v>
      </c>
      <c r="E20" s="867"/>
      <c r="F20" s="867"/>
      <c r="G20" s="867"/>
      <c r="H20" s="867"/>
      <c r="I20" s="794"/>
      <c r="K20" s="496" t="s">
        <v>1406</v>
      </c>
    </row>
    <row r="21" spans="2:14" ht="57" thickBot="1">
      <c r="B21" s="1968"/>
      <c r="C21" s="2022"/>
      <c r="D21" s="769" t="s">
        <v>1182</v>
      </c>
      <c r="E21" s="869"/>
      <c r="F21" s="869"/>
      <c r="G21" s="869"/>
      <c r="H21" s="869"/>
      <c r="I21" s="796"/>
      <c r="K21" s="496" t="s">
        <v>1406</v>
      </c>
      <c r="L21" s="601" t="s">
        <v>1181</v>
      </c>
    </row>
    <row r="22" spans="2:14" s="1165" customFormat="1" ht="28">
      <c r="B22" s="2087" t="s">
        <v>140</v>
      </c>
      <c r="C22" s="1252" t="s">
        <v>442</v>
      </c>
      <c r="D22" s="1316" t="s">
        <v>1056</v>
      </c>
      <c r="E22" s="1313"/>
      <c r="F22" s="1313"/>
      <c r="G22" s="1313"/>
      <c r="H22" s="1313"/>
      <c r="I22" s="1317"/>
      <c r="J22" s="1311"/>
      <c r="K22" s="1324" t="s">
        <v>416</v>
      </c>
      <c r="L22" s="1311"/>
    </row>
    <row r="23" spans="2:14" ht="56">
      <c r="B23" s="2088"/>
      <c r="C23" s="1754" t="s">
        <v>247</v>
      </c>
      <c r="D23" s="591" t="s">
        <v>933</v>
      </c>
      <c r="E23" s="868"/>
      <c r="F23" s="868"/>
      <c r="G23" s="868"/>
      <c r="H23" s="868"/>
      <c r="I23" s="795"/>
      <c r="K23" s="496" t="s">
        <v>1406</v>
      </c>
    </row>
    <row r="24" spans="2:14" ht="28">
      <c r="B24" s="2088"/>
      <c r="C24" s="1754"/>
      <c r="D24" s="640" t="s">
        <v>1184</v>
      </c>
      <c r="E24" s="868"/>
      <c r="F24" s="868"/>
      <c r="G24" s="868"/>
      <c r="H24" s="868"/>
      <c r="I24" s="795"/>
      <c r="K24" s="496" t="s">
        <v>1406</v>
      </c>
    </row>
    <row r="25" spans="2:14" s="81" customFormat="1" ht="29" thickBot="1">
      <c r="B25" s="2089"/>
      <c r="C25" s="1760"/>
      <c r="D25" s="755" t="s">
        <v>403</v>
      </c>
      <c r="E25" s="519"/>
      <c r="F25" s="519"/>
      <c r="G25" s="519"/>
      <c r="H25" s="519"/>
      <c r="I25" s="520"/>
      <c r="J25" s="362"/>
      <c r="K25" s="496" t="s">
        <v>1432</v>
      </c>
      <c r="M25" s="362"/>
    </row>
    <row r="26" spans="2:14" ht="29" thickBot="1">
      <c r="B26" s="907" t="s">
        <v>123</v>
      </c>
      <c r="C26" s="908" t="s">
        <v>932</v>
      </c>
      <c r="D26" s="1075" t="s">
        <v>1187</v>
      </c>
      <c r="E26" s="802"/>
      <c r="F26" s="802"/>
      <c r="G26" s="802"/>
      <c r="H26" s="802"/>
      <c r="I26" s="803"/>
      <c r="K26" s="496" t="s">
        <v>1406</v>
      </c>
    </row>
    <row r="27" spans="2:14" ht="15" thickBot="1">
      <c r="B27" s="2032" t="s">
        <v>124</v>
      </c>
      <c r="C27" s="2033"/>
      <c r="D27" s="802" t="s">
        <v>397</v>
      </c>
      <c r="E27" s="802"/>
      <c r="F27" s="802"/>
      <c r="G27" s="802"/>
      <c r="H27" s="802"/>
      <c r="I27" s="803"/>
      <c r="K27" s="496" t="s">
        <v>935</v>
      </c>
    </row>
    <row r="28" spans="2:14" ht="15" thickBot="1">
      <c r="B28" s="2032" t="s">
        <v>132</v>
      </c>
      <c r="C28" s="2033"/>
      <c r="D28" s="802" t="s">
        <v>397</v>
      </c>
      <c r="E28" s="802"/>
      <c r="F28" s="802"/>
      <c r="G28" s="802"/>
      <c r="H28" s="802"/>
      <c r="I28" s="803"/>
      <c r="K28" s="496" t="s">
        <v>935</v>
      </c>
    </row>
    <row r="29" spans="2:14" ht="28">
      <c r="B29" s="1966" t="s">
        <v>133</v>
      </c>
      <c r="C29" s="2020"/>
      <c r="D29" s="756" t="s">
        <v>1162</v>
      </c>
      <c r="E29" s="867"/>
      <c r="F29" s="867"/>
      <c r="G29" s="867"/>
      <c r="H29" s="867"/>
      <c r="I29" s="794"/>
      <c r="K29" s="496" t="s">
        <v>1406</v>
      </c>
    </row>
    <row r="30" spans="2:14" ht="28">
      <c r="B30" s="1967"/>
      <c r="C30" s="2021"/>
      <c r="D30" s="634" t="s">
        <v>531</v>
      </c>
      <c r="E30" s="868"/>
      <c r="F30" s="868"/>
      <c r="G30" s="868"/>
      <c r="H30" s="868"/>
      <c r="I30" s="795"/>
      <c r="K30" s="496" t="s">
        <v>1406</v>
      </c>
    </row>
    <row r="31" spans="2:14" s="1165" customFormat="1" ht="43" thickBot="1">
      <c r="B31" s="1968"/>
      <c r="C31" s="2022"/>
      <c r="D31" s="1230" t="s">
        <v>1163</v>
      </c>
      <c r="E31" s="1359"/>
      <c r="F31" s="1359"/>
      <c r="G31" s="1359"/>
      <c r="H31" s="1359"/>
      <c r="I31" s="1361"/>
      <c r="J31" s="1311"/>
      <c r="K31" s="1324" t="s">
        <v>416</v>
      </c>
      <c r="L31" s="1311"/>
    </row>
    <row r="32" spans="2:14" ht="42">
      <c r="B32" s="1755" t="s">
        <v>134</v>
      </c>
      <c r="C32" s="1761"/>
      <c r="D32" s="879" t="s">
        <v>1188</v>
      </c>
      <c r="E32" s="588"/>
      <c r="F32" s="589"/>
      <c r="G32" s="589"/>
      <c r="H32" s="589"/>
      <c r="I32" s="723"/>
      <c r="J32" s="362"/>
      <c r="K32" s="496" t="s">
        <v>1406</v>
      </c>
      <c r="L32" s="487"/>
    </row>
    <row r="33" spans="1:12" ht="29" thickBot="1">
      <c r="B33" s="1757"/>
      <c r="C33" s="1763"/>
      <c r="D33" s="769" t="s">
        <v>1185</v>
      </c>
      <c r="E33" s="869"/>
      <c r="F33" s="869"/>
      <c r="G33" s="869"/>
      <c r="H33" s="869"/>
      <c r="I33" s="796"/>
      <c r="K33" s="496" t="s">
        <v>1406</v>
      </c>
    </row>
    <row r="34" spans="1:12" ht="20" customHeight="1">
      <c r="B34" s="1755" t="s">
        <v>135</v>
      </c>
      <c r="C34" s="1948" t="s">
        <v>248</v>
      </c>
      <c r="D34" s="588" t="s">
        <v>924</v>
      </c>
      <c r="E34" s="867"/>
      <c r="F34" s="867"/>
      <c r="G34" s="867"/>
      <c r="H34" s="867"/>
      <c r="I34" s="794"/>
      <c r="K34" s="496" t="s">
        <v>1406</v>
      </c>
    </row>
    <row r="35" spans="1:12" ht="14.5" customHeight="1">
      <c r="B35" s="1756"/>
      <c r="C35" s="1949"/>
      <c r="D35" s="591"/>
      <c r="E35" s="868"/>
      <c r="F35" s="868"/>
      <c r="G35" s="868"/>
      <c r="H35" s="868"/>
      <c r="I35" s="795"/>
      <c r="K35" s="496" t="s">
        <v>303</v>
      </c>
    </row>
    <row r="36" spans="1:12" ht="14.5" customHeight="1">
      <c r="B36" s="1756"/>
      <c r="C36" s="1949"/>
      <c r="D36" s="640" t="s">
        <v>925</v>
      </c>
      <c r="E36" s="868"/>
      <c r="F36" s="868"/>
      <c r="G36" s="868"/>
      <c r="H36" s="868"/>
      <c r="I36" s="795"/>
      <c r="K36" s="496" t="s">
        <v>1406</v>
      </c>
    </row>
    <row r="37" spans="1:12" ht="28">
      <c r="B37" s="1756"/>
      <c r="C37" s="1949"/>
      <c r="D37" s="640" t="s">
        <v>1131</v>
      </c>
      <c r="E37" s="868"/>
      <c r="F37" s="868"/>
      <c r="G37" s="868"/>
      <c r="H37" s="868"/>
      <c r="I37" s="795"/>
      <c r="K37" s="496" t="s">
        <v>1406</v>
      </c>
    </row>
    <row r="38" spans="1:12" ht="28">
      <c r="B38" s="1756"/>
      <c r="C38" s="1949" t="s">
        <v>249</v>
      </c>
      <c r="D38" s="640" t="s">
        <v>926</v>
      </c>
      <c r="E38" s="868"/>
      <c r="F38" s="868"/>
      <c r="G38" s="868"/>
      <c r="H38" s="868"/>
      <c r="I38" s="795"/>
      <c r="K38" s="496" t="s">
        <v>1406</v>
      </c>
    </row>
    <row r="39" spans="1:12" ht="28">
      <c r="B39" s="1756"/>
      <c r="C39" s="1949"/>
      <c r="D39" s="640" t="s">
        <v>1183</v>
      </c>
      <c r="E39" s="868"/>
      <c r="F39" s="868"/>
      <c r="G39" s="868"/>
      <c r="H39" s="868"/>
      <c r="I39" s="795"/>
      <c r="K39" s="496" t="s">
        <v>1406</v>
      </c>
    </row>
    <row r="40" spans="1:12" ht="15" thickBot="1">
      <c r="B40" s="1757"/>
      <c r="C40" s="770" t="s">
        <v>250</v>
      </c>
      <c r="D40" s="869" t="s">
        <v>928</v>
      </c>
      <c r="E40" s="869"/>
      <c r="F40" s="869"/>
      <c r="G40" s="869"/>
      <c r="H40" s="869"/>
      <c r="I40" s="796"/>
      <c r="K40" s="496" t="s">
        <v>1406</v>
      </c>
    </row>
    <row r="41" spans="1:12" s="1165" customFormat="1" ht="29" customHeight="1">
      <c r="A41" s="1858" t="s">
        <v>137</v>
      </c>
      <c r="B41" s="1755" t="s">
        <v>138</v>
      </c>
      <c r="C41" s="1948" t="s">
        <v>438</v>
      </c>
      <c r="D41" s="1313" t="s">
        <v>1193</v>
      </c>
      <c r="E41" s="1313"/>
      <c r="F41" s="1313"/>
      <c r="G41" s="1313"/>
      <c r="H41" s="1313"/>
      <c r="I41" s="1317"/>
      <c r="J41" s="1311"/>
      <c r="K41" s="1325" t="s">
        <v>436</v>
      </c>
      <c r="L41" s="1311"/>
    </row>
    <row r="42" spans="1:12" ht="28">
      <c r="A42" s="1859"/>
      <c r="B42" s="1756"/>
      <c r="C42" s="1949"/>
      <c r="D42" s="640" t="s">
        <v>1194</v>
      </c>
      <c r="E42" s="868"/>
      <c r="F42" s="868"/>
      <c r="G42" s="868"/>
      <c r="H42" s="868"/>
      <c r="I42" s="795"/>
      <c r="K42" s="496" t="s">
        <v>1406</v>
      </c>
    </row>
    <row r="43" spans="1:12" ht="42">
      <c r="A43" s="1859"/>
      <c r="B43" s="1756"/>
      <c r="C43" s="1949"/>
      <c r="D43" s="640" t="s">
        <v>1169</v>
      </c>
      <c r="E43" s="868"/>
      <c r="F43" s="868"/>
      <c r="G43" s="868"/>
      <c r="H43" s="868"/>
      <c r="I43" s="795"/>
      <c r="K43" s="496" t="s">
        <v>1406</v>
      </c>
    </row>
    <row r="44" spans="1:12" ht="28">
      <c r="A44" s="1859"/>
      <c r="B44" s="1756"/>
      <c r="C44" s="1949"/>
      <c r="D44" s="640" t="s">
        <v>1170</v>
      </c>
      <c r="E44" s="868"/>
      <c r="F44" s="868"/>
      <c r="G44" s="868"/>
      <c r="H44" s="868"/>
      <c r="I44" s="795"/>
      <c r="K44" s="496" t="s">
        <v>1406</v>
      </c>
    </row>
    <row r="45" spans="1:12" s="81" customFormat="1" ht="30.5" customHeight="1">
      <c r="A45" s="1859"/>
      <c r="B45" s="1756"/>
      <c r="C45" s="1949"/>
      <c r="D45" s="880" t="s">
        <v>1064</v>
      </c>
      <c r="E45" s="632"/>
      <c r="F45" s="632"/>
      <c r="G45" s="632"/>
      <c r="H45" s="632"/>
      <c r="I45" s="989"/>
      <c r="K45" s="496" t="s">
        <v>1406</v>
      </c>
      <c r="L45" s="600"/>
    </row>
    <row r="46" spans="1:12" ht="46.25" customHeight="1">
      <c r="A46" s="1859"/>
      <c r="B46" s="1756"/>
      <c r="C46" s="1949"/>
      <c r="D46" s="640" t="s">
        <v>1205</v>
      </c>
      <c r="E46" s="868"/>
      <c r="F46" s="868"/>
      <c r="G46" s="868"/>
      <c r="H46" s="868"/>
      <c r="I46" s="795"/>
      <c r="K46" s="496" t="s">
        <v>1406</v>
      </c>
    </row>
    <row r="47" spans="1:12" s="81" customFormat="1">
      <c r="A47" s="1859"/>
      <c r="B47" s="1756"/>
      <c r="C47" s="1949"/>
      <c r="D47" s="880" t="s">
        <v>1065</v>
      </c>
      <c r="E47" s="632"/>
      <c r="F47" s="632"/>
      <c r="G47" s="632"/>
      <c r="H47" s="632"/>
      <c r="I47" s="989"/>
      <c r="K47" s="496" t="s">
        <v>1406</v>
      </c>
      <c r="L47" s="600"/>
    </row>
    <row r="48" spans="1:12">
      <c r="A48" s="1859"/>
      <c r="B48" s="1756"/>
      <c r="C48" s="1949" t="s">
        <v>251</v>
      </c>
      <c r="D48" s="640" t="s">
        <v>1190</v>
      </c>
      <c r="E48" s="868"/>
      <c r="F48" s="868">
        <v>4</v>
      </c>
      <c r="G48" s="868">
        <f>IF($D$6=0,0,1*F48)</f>
        <v>0</v>
      </c>
      <c r="H48" s="868"/>
      <c r="I48" s="795"/>
      <c r="K48" s="496" t="s">
        <v>1406</v>
      </c>
    </row>
    <row r="49" spans="1:12" s="1165" customFormat="1" ht="28">
      <c r="A49" s="1859"/>
      <c r="B49" s="1756"/>
      <c r="C49" s="1949"/>
      <c r="D49" s="1228" t="s">
        <v>1189</v>
      </c>
      <c r="E49" s="1233"/>
      <c r="F49" s="1233">
        <v>2</v>
      </c>
      <c r="G49" s="1233">
        <f>IF($D$6=0,0,1*F49)</f>
        <v>0</v>
      </c>
      <c r="H49" s="1233"/>
      <c r="I49" s="1204"/>
      <c r="J49" s="1311"/>
      <c r="K49" s="1324" t="s">
        <v>1454</v>
      </c>
      <c r="L49" s="1311"/>
    </row>
    <row r="50" spans="1:12" ht="28">
      <c r="A50" s="1859"/>
      <c r="B50" s="1756"/>
      <c r="C50" s="874" t="s">
        <v>252</v>
      </c>
      <c r="D50" s="640" t="s">
        <v>1208</v>
      </c>
      <c r="E50" s="868"/>
      <c r="F50" s="868"/>
      <c r="G50" s="868"/>
      <c r="H50" s="868"/>
      <c r="I50" s="795"/>
      <c r="K50" s="496" t="s">
        <v>1406</v>
      </c>
    </row>
    <row r="51" spans="1:12">
      <c r="A51" s="1859"/>
      <c r="B51" s="1756"/>
      <c r="C51" s="874" t="s">
        <v>253</v>
      </c>
      <c r="D51" s="868" t="s">
        <v>397</v>
      </c>
      <c r="E51" s="868"/>
      <c r="F51" s="868"/>
      <c r="G51" s="868"/>
      <c r="H51" s="868"/>
      <c r="I51" s="795"/>
      <c r="K51" s="496" t="s">
        <v>935</v>
      </c>
    </row>
    <row r="52" spans="1:12">
      <c r="A52" s="1859"/>
      <c r="B52" s="1756"/>
      <c r="C52" s="874" t="s">
        <v>254</v>
      </c>
      <c r="D52" s="868" t="s">
        <v>934</v>
      </c>
      <c r="E52" s="868"/>
      <c r="F52" s="868"/>
      <c r="G52" s="868"/>
      <c r="H52" s="868"/>
      <c r="I52" s="795"/>
      <c r="K52" s="496" t="s">
        <v>1406</v>
      </c>
    </row>
    <row r="53" spans="1:12" ht="12.5" customHeight="1" thickBot="1">
      <c r="A53" s="1859"/>
      <c r="B53" s="1757"/>
      <c r="C53" s="770" t="s">
        <v>255</v>
      </c>
      <c r="D53" s="869" t="s">
        <v>397</v>
      </c>
      <c r="E53" s="869"/>
      <c r="F53" s="869"/>
      <c r="G53" s="869"/>
      <c r="H53" s="869"/>
      <c r="I53" s="796"/>
      <c r="K53" s="496" t="s">
        <v>935</v>
      </c>
    </row>
    <row r="54" spans="1:12">
      <c r="A54" s="1859"/>
      <c r="B54" s="1755" t="s">
        <v>139</v>
      </c>
      <c r="C54" s="873" t="s">
        <v>256</v>
      </c>
      <c r="D54" s="879" t="s">
        <v>1191</v>
      </c>
      <c r="E54" s="867"/>
      <c r="F54" s="867"/>
      <c r="G54" s="867"/>
      <c r="H54" s="867"/>
      <c r="I54" s="794"/>
      <c r="K54" s="496" t="s">
        <v>1406</v>
      </c>
    </row>
    <row r="55" spans="1:12" ht="15" thickBot="1">
      <c r="A55" s="1859"/>
      <c r="B55" s="1757"/>
      <c r="C55" s="770" t="s">
        <v>257</v>
      </c>
      <c r="D55" s="869" t="s">
        <v>397</v>
      </c>
      <c r="E55" s="869"/>
      <c r="F55" s="869"/>
      <c r="G55" s="869"/>
      <c r="H55" s="869"/>
      <c r="I55" s="796"/>
      <c r="K55" s="496" t="s">
        <v>935</v>
      </c>
    </row>
    <row r="56" spans="1:12" ht="15" thickBot="1">
      <c r="A56" s="1859"/>
      <c r="B56" s="2018" t="s">
        <v>142</v>
      </c>
      <c r="C56" s="2019"/>
      <c r="D56" s="906" t="s">
        <v>397</v>
      </c>
      <c r="E56" s="802"/>
      <c r="F56" s="802"/>
      <c r="G56" s="802"/>
      <c r="H56" s="802"/>
      <c r="I56" s="803"/>
      <c r="K56" s="496" t="s">
        <v>935</v>
      </c>
    </row>
    <row r="57" spans="1:12" ht="28">
      <c r="A57" s="1859"/>
      <c r="B57" s="1755" t="s">
        <v>264</v>
      </c>
      <c r="C57" s="1761"/>
      <c r="D57" s="879" t="s">
        <v>1192</v>
      </c>
      <c r="E57" s="722"/>
      <c r="F57" s="867"/>
      <c r="G57" s="867"/>
      <c r="H57" s="867"/>
      <c r="I57" s="794"/>
      <c r="K57" s="496" t="s">
        <v>1406</v>
      </c>
    </row>
    <row r="58" spans="1:12" ht="31.25" customHeight="1" thickBot="1">
      <c r="A58" s="1860"/>
      <c r="B58" s="1757"/>
      <c r="C58" s="1763"/>
      <c r="D58" s="806" t="s">
        <v>165</v>
      </c>
      <c r="E58" s="869"/>
      <c r="F58" s="869"/>
      <c r="G58" s="869"/>
      <c r="H58" s="869"/>
      <c r="I58" s="796"/>
      <c r="K58" s="496" t="s">
        <v>1406</v>
      </c>
    </row>
    <row r="61" spans="1:12" ht="32.5" customHeight="1"/>
    <row r="62" spans="1:12" ht="20.5" customHeight="1"/>
    <row r="63" spans="1:12" ht="30" customHeight="1"/>
    <row r="68" ht="17.5" customHeight="1"/>
  </sheetData>
  <autoFilter ref="K1:K68"/>
  <mergeCells count="26">
    <mergeCell ref="A41:A58"/>
    <mergeCell ref="B2:I2"/>
    <mergeCell ref="E5:I5"/>
    <mergeCell ref="E3:I3"/>
    <mergeCell ref="E4:I4"/>
    <mergeCell ref="B8:C11"/>
    <mergeCell ref="B12:C12"/>
    <mergeCell ref="B13:B17"/>
    <mergeCell ref="C15:C16"/>
    <mergeCell ref="B20:C21"/>
    <mergeCell ref="B22:B25"/>
    <mergeCell ref="C23:C25"/>
    <mergeCell ref="B57:C58"/>
    <mergeCell ref="B18:B19"/>
    <mergeCell ref="B41:B53"/>
    <mergeCell ref="C41:C47"/>
    <mergeCell ref="C48:C49"/>
    <mergeCell ref="B54:B55"/>
    <mergeCell ref="B56:C56"/>
    <mergeCell ref="B27:C27"/>
    <mergeCell ref="B28:C28"/>
    <mergeCell ref="B29:C31"/>
    <mergeCell ref="B32:C33"/>
    <mergeCell ref="B34:B40"/>
    <mergeCell ref="C34:C37"/>
    <mergeCell ref="C38:C39"/>
  </mergeCells>
  <conditionalFormatting sqref="D6">
    <cfRule type="cellIs" dxfId="11" priority="3" operator="equal">
      <formula>0</formula>
    </cfRule>
  </conditionalFormatting>
  <conditionalFormatting sqref="B6:D6">
    <cfRule type="cellIs" dxfId="10" priority="2" operator="equal">
      <formula>0</formula>
    </cfRule>
  </conditionalFormatting>
  <pageMargins left="0.70866141732283472" right="0.70866141732283472" top="0.74803149606299213" bottom="0.74803149606299213" header="0.31496062992125984" footer="0.31496062992125984"/>
  <pageSetup scale="66" fitToHeight="0" orientation="portrait"/>
  <rowBreaks count="1" manualBreakCount="1">
    <brk id="28"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143B36E0-4790-4F6B-AD82-CFA67E810165}">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theme="6" tint="0.79998168889431442"/>
    <pageSetUpPr fitToPage="1"/>
  </sheetPr>
  <dimension ref="A1:M48"/>
  <sheetViews>
    <sheetView topLeftCell="A10" zoomScale="90" zoomScaleNormal="90" zoomScaleSheetLayoutView="90" zoomScalePageLayoutView="90" workbookViewId="0">
      <selection activeCell="K8" sqref="K8:K14"/>
    </sheetView>
  </sheetViews>
  <sheetFormatPr baseColWidth="10" defaultColWidth="11.5" defaultRowHeight="14" x14ac:dyDescent="0"/>
  <cols>
    <col min="1" max="1" width="3.33203125" style="310" customWidth="1"/>
    <col min="2" max="3" width="30.6640625" style="598" customWidth="1"/>
    <col min="4" max="4" width="50.6640625" style="598" customWidth="1"/>
    <col min="5" max="9" width="3.6640625" style="310" customWidth="1"/>
    <col min="10" max="10" width="7.5" style="81" customWidth="1"/>
    <col min="11" max="11" width="50.6640625" style="496" customWidth="1"/>
    <col min="12" max="12" width="30.6640625" style="496" customWidth="1"/>
    <col min="13" max="13" width="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107.5" customHeight="1" thickBot="1">
      <c r="B6" s="710" t="str">
        <f>IF(C6=0,0,'PROGRAMA ARQ.'!C54)</f>
        <v>5.1</v>
      </c>
      <c r="C6" s="710" t="str">
        <f>IF(D6=0,0,'PROGRAMA ARQ.'!D54)</f>
        <v>PATIO CUBIERTO (Cubierto y abierto perimetralmente)</v>
      </c>
      <c r="D6" s="710">
        <f>'PROGRAMA ARQ.'!I54</f>
        <v>100</v>
      </c>
      <c r="E6" s="683" t="s">
        <v>366</v>
      </c>
      <c r="F6" s="684" t="s">
        <v>544</v>
      </c>
      <c r="G6" s="684" t="s">
        <v>2</v>
      </c>
      <c r="H6" s="684" t="s">
        <v>171</v>
      </c>
      <c r="I6" s="685" t="s">
        <v>172</v>
      </c>
      <c r="J6" s="608"/>
      <c r="K6" s="700" t="s">
        <v>293</v>
      </c>
      <c r="L6" s="827" t="s">
        <v>120</v>
      </c>
      <c r="M6" s="844" t="s">
        <v>178</v>
      </c>
    </row>
    <row r="7" spans="2:13" s="367" customFormat="1" ht="16" thickBot="1">
      <c r="B7" s="667" t="s">
        <v>1378</v>
      </c>
      <c r="C7" s="667" t="s">
        <v>1379</v>
      </c>
      <c r="D7" s="670" t="s">
        <v>1380</v>
      </c>
      <c r="E7" s="671"/>
      <c r="F7" s="672"/>
      <c r="G7" s="672"/>
      <c r="H7" s="671"/>
      <c r="I7" s="673"/>
      <c r="J7" s="595"/>
      <c r="K7" s="235"/>
      <c r="L7" s="696"/>
      <c r="M7" s="697"/>
    </row>
    <row r="8" spans="2:13" ht="90" customHeight="1" thickBot="1">
      <c r="B8" s="1996" t="s">
        <v>122</v>
      </c>
      <c r="C8" s="2029"/>
      <c r="D8" s="1076" t="s">
        <v>1381</v>
      </c>
      <c r="E8" s="353"/>
      <c r="F8" s="353"/>
      <c r="G8" s="353"/>
      <c r="H8" s="353"/>
      <c r="I8" s="215"/>
      <c r="K8" s="496" t="s">
        <v>416</v>
      </c>
      <c r="L8" s="597"/>
    </row>
    <row r="9" spans="2:13" ht="29" customHeight="1">
      <c r="B9" s="1755" t="s">
        <v>1388</v>
      </c>
      <c r="C9" s="1761"/>
      <c r="D9" s="722" t="s">
        <v>936</v>
      </c>
      <c r="E9" s="1079"/>
      <c r="F9" s="1079"/>
      <c r="G9" s="1079"/>
      <c r="H9" s="1079"/>
      <c r="I9" s="1080"/>
      <c r="J9" s="367"/>
      <c r="K9" s="496" t="s">
        <v>1406</v>
      </c>
      <c r="L9" s="496" t="s">
        <v>439</v>
      </c>
    </row>
    <row r="10" spans="2:13" ht="30" customHeight="1" thickBot="1">
      <c r="B10" s="1757"/>
      <c r="C10" s="1763"/>
      <c r="D10" s="769" t="s">
        <v>1367</v>
      </c>
      <c r="E10" s="869"/>
      <c r="F10" s="869"/>
      <c r="G10" s="869"/>
      <c r="H10" s="869"/>
      <c r="I10" s="796"/>
      <c r="J10" s="621"/>
      <c r="K10" s="496" t="s">
        <v>1406</v>
      </c>
      <c r="L10" s="616"/>
    </row>
    <row r="11" spans="2:13" ht="29.5" customHeight="1">
      <c r="B11" s="1755" t="s">
        <v>143</v>
      </c>
      <c r="C11" s="728" t="s">
        <v>241</v>
      </c>
      <c r="D11" s="722" t="s">
        <v>1197</v>
      </c>
      <c r="E11" s="762"/>
      <c r="F11" s="762"/>
      <c r="G11" s="762"/>
      <c r="H11" s="762"/>
      <c r="I11" s="805"/>
      <c r="K11" s="496" t="s">
        <v>1406</v>
      </c>
    </row>
    <row r="12" spans="2:13" ht="28">
      <c r="B12" s="1756"/>
      <c r="C12" s="874" t="s">
        <v>242</v>
      </c>
      <c r="D12" s="640" t="s">
        <v>1198</v>
      </c>
      <c r="E12" s="642"/>
      <c r="F12" s="642"/>
      <c r="G12" s="642"/>
      <c r="H12" s="642"/>
      <c r="I12" s="791"/>
      <c r="K12" s="496" t="s">
        <v>1406</v>
      </c>
    </row>
    <row r="13" spans="2:13">
      <c r="B13" s="1756"/>
      <c r="C13" s="874" t="s">
        <v>243</v>
      </c>
      <c r="D13" s="868" t="s">
        <v>937</v>
      </c>
      <c r="E13" s="642"/>
      <c r="F13" s="642"/>
      <c r="G13" s="642"/>
      <c r="H13" s="642"/>
      <c r="I13" s="791"/>
      <c r="K13" s="496" t="s">
        <v>935</v>
      </c>
    </row>
    <row r="14" spans="2:13" ht="29" thickBot="1">
      <c r="B14" s="1757"/>
      <c r="C14" s="770" t="s">
        <v>244</v>
      </c>
      <c r="D14" s="769" t="s">
        <v>1199</v>
      </c>
      <c r="E14" s="759"/>
      <c r="F14" s="759"/>
      <c r="G14" s="759"/>
      <c r="H14" s="759"/>
      <c r="I14" s="592"/>
      <c r="K14" s="496" t="s">
        <v>1406</v>
      </c>
    </row>
    <row r="15" spans="2:13" ht="14.5" customHeight="1">
      <c r="B15" s="1755" t="s">
        <v>144</v>
      </c>
      <c r="C15" s="873" t="s">
        <v>245</v>
      </c>
      <c r="D15" s="867" t="s">
        <v>938</v>
      </c>
      <c r="E15" s="762"/>
      <c r="F15" s="762"/>
      <c r="G15" s="762"/>
      <c r="H15" s="762"/>
      <c r="I15" s="805"/>
      <c r="K15" s="496" t="s">
        <v>1406</v>
      </c>
      <c r="L15" s="495" t="s">
        <v>931</v>
      </c>
    </row>
    <row r="16" spans="2:13" ht="14.5" customHeight="1">
      <c r="B16" s="1756"/>
      <c r="C16" s="1949" t="s">
        <v>246</v>
      </c>
      <c r="D16" s="868" t="s">
        <v>1201</v>
      </c>
      <c r="E16" s="642"/>
      <c r="F16" s="642"/>
      <c r="G16" s="642"/>
      <c r="H16" s="642"/>
      <c r="I16" s="791"/>
      <c r="K16" s="496" t="s">
        <v>1406</v>
      </c>
      <c r="L16" s="495"/>
    </row>
    <row r="17" spans="1:12" ht="29" thickBot="1">
      <c r="B17" s="1757"/>
      <c r="C17" s="1979"/>
      <c r="D17" s="769" t="s">
        <v>1200</v>
      </c>
      <c r="E17" s="759"/>
      <c r="F17" s="759"/>
      <c r="G17" s="759"/>
      <c r="H17" s="759"/>
      <c r="I17" s="592"/>
      <c r="K17" s="496" t="s">
        <v>1406</v>
      </c>
    </row>
    <row r="18" spans="1:12" s="81" customFormat="1" ht="15" thickBot="1">
      <c r="B18" s="2092" t="s">
        <v>140</v>
      </c>
      <c r="C18" s="2093"/>
      <c r="D18" s="906" t="s">
        <v>1202</v>
      </c>
      <c r="E18" s="983"/>
      <c r="F18" s="983"/>
      <c r="G18" s="983"/>
      <c r="H18" s="983"/>
      <c r="I18" s="984"/>
      <c r="K18" s="597" t="s">
        <v>935</v>
      </c>
      <c r="L18" s="597"/>
    </row>
    <row r="19" spans="1:12" ht="15" thickBot="1">
      <c r="B19" s="2032" t="s">
        <v>123</v>
      </c>
      <c r="C19" s="2033"/>
      <c r="D19" s="802" t="s">
        <v>298</v>
      </c>
      <c r="E19" s="750"/>
      <c r="F19" s="750"/>
      <c r="G19" s="750"/>
      <c r="H19" s="750"/>
      <c r="I19" s="810"/>
      <c r="K19" s="597" t="s">
        <v>935</v>
      </c>
    </row>
    <row r="20" spans="1:12" ht="15" thickBot="1">
      <c r="B20" s="2032" t="s">
        <v>124</v>
      </c>
      <c r="C20" s="2033"/>
      <c r="D20" s="802" t="s">
        <v>298</v>
      </c>
      <c r="E20" s="750"/>
      <c r="F20" s="750"/>
      <c r="G20" s="750"/>
      <c r="H20" s="750"/>
      <c r="I20" s="810"/>
      <c r="K20" s="597" t="s">
        <v>935</v>
      </c>
    </row>
    <row r="21" spans="1:12" ht="15" thickBot="1">
      <c r="B21" s="2032" t="s">
        <v>132</v>
      </c>
      <c r="C21" s="2033"/>
      <c r="D21" s="802" t="s">
        <v>298</v>
      </c>
      <c r="E21" s="750"/>
      <c r="F21" s="750"/>
      <c r="G21" s="750"/>
      <c r="H21" s="750"/>
      <c r="I21" s="810"/>
      <c r="K21" s="597" t="s">
        <v>935</v>
      </c>
    </row>
    <row r="22" spans="1:12" ht="15" thickBot="1">
      <c r="B22" s="2032" t="s">
        <v>133</v>
      </c>
      <c r="C22" s="2033"/>
      <c r="D22" s="802" t="s">
        <v>298</v>
      </c>
      <c r="E22" s="750"/>
      <c r="F22" s="750"/>
      <c r="G22" s="750"/>
      <c r="H22" s="750"/>
      <c r="I22" s="810"/>
      <c r="K22" s="597" t="s">
        <v>935</v>
      </c>
    </row>
    <row r="23" spans="1:12" ht="15" thickBot="1">
      <c r="B23" s="2018" t="s">
        <v>134</v>
      </c>
      <c r="C23" s="2019"/>
      <c r="D23" s="802" t="s">
        <v>298</v>
      </c>
      <c r="E23" s="750"/>
      <c r="F23" s="750"/>
      <c r="G23" s="750"/>
      <c r="H23" s="750"/>
      <c r="I23" s="810"/>
      <c r="K23" s="597" t="s">
        <v>935</v>
      </c>
    </row>
    <row r="24" spans="1:12">
      <c r="B24" s="1755" t="s">
        <v>135</v>
      </c>
      <c r="C24" s="1948" t="s">
        <v>248</v>
      </c>
      <c r="D24" s="588" t="s">
        <v>924</v>
      </c>
      <c r="E24" s="867"/>
      <c r="F24" s="867"/>
      <c r="G24" s="867"/>
      <c r="H24" s="867"/>
      <c r="I24" s="794"/>
      <c r="J24" s="621"/>
      <c r="K24" s="496" t="s">
        <v>1406</v>
      </c>
      <c r="L24" s="598"/>
    </row>
    <row r="25" spans="1:12" ht="14.5" customHeight="1">
      <c r="B25" s="1756"/>
      <c r="C25" s="1949"/>
      <c r="D25" s="640" t="s">
        <v>925</v>
      </c>
      <c r="E25" s="868"/>
      <c r="F25" s="868"/>
      <c r="G25" s="868"/>
      <c r="H25" s="868"/>
      <c r="I25" s="795"/>
      <c r="J25" s="621"/>
      <c r="K25" s="496" t="s">
        <v>1406</v>
      </c>
      <c r="L25" s="598"/>
    </row>
    <row r="26" spans="1:12" ht="28">
      <c r="B26" s="1756"/>
      <c r="C26" s="1949"/>
      <c r="D26" s="640" t="s">
        <v>1131</v>
      </c>
      <c r="E26" s="868"/>
      <c r="F26" s="868"/>
      <c r="G26" s="868"/>
      <c r="H26" s="868"/>
      <c r="I26" s="795"/>
      <c r="J26" s="621"/>
      <c r="K26" s="496" t="s">
        <v>1406</v>
      </c>
      <c r="L26" s="598"/>
    </row>
    <row r="27" spans="1:12" ht="28">
      <c r="B27" s="1756"/>
      <c r="C27" s="1949"/>
      <c r="D27" s="640" t="s">
        <v>1206</v>
      </c>
      <c r="E27" s="868"/>
      <c r="F27" s="868"/>
      <c r="G27" s="868"/>
      <c r="H27" s="868"/>
      <c r="I27" s="795"/>
      <c r="J27" s="621"/>
      <c r="K27" s="496" t="s">
        <v>1406</v>
      </c>
      <c r="L27" s="598"/>
    </row>
    <row r="28" spans="1:12" ht="48.5" customHeight="1">
      <c r="B28" s="1756"/>
      <c r="C28" s="874" t="s">
        <v>249</v>
      </c>
      <c r="D28" s="640" t="s">
        <v>926</v>
      </c>
      <c r="E28" s="868"/>
      <c r="F28" s="868"/>
      <c r="G28" s="868"/>
      <c r="H28" s="868"/>
      <c r="I28" s="795"/>
      <c r="J28" s="621"/>
      <c r="K28" s="496" t="s">
        <v>1406</v>
      </c>
      <c r="L28" s="598"/>
    </row>
    <row r="29" spans="1:12" ht="63.5" customHeight="1" thickBot="1">
      <c r="B29" s="1757"/>
      <c r="C29" s="770" t="s">
        <v>250</v>
      </c>
      <c r="D29" s="769" t="s">
        <v>1204</v>
      </c>
      <c r="E29" s="869"/>
      <c r="F29" s="869"/>
      <c r="G29" s="869"/>
      <c r="H29" s="869"/>
      <c r="I29" s="796"/>
      <c r="J29" s="621"/>
      <c r="K29" s="496" t="s">
        <v>1406</v>
      </c>
      <c r="L29" s="598"/>
    </row>
    <row r="30" spans="1:12" ht="29" customHeight="1">
      <c r="A30" s="1858" t="s">
        <v>137</v>
      </c>
      <c r="B30" s="1755" t="s">
        <v>138</v>
      </c>
      <c r="C30" s="1948" t="s">
        <v>438</v>
      </c>
      <c r="D30" s="867" t="s">
        <v>1193</v>
      </c>
      <c r="E30" s="867"/>
      <c r="F30" s="867"/>
      <c r="G30" s="867"/>
      <c r="H30" s="867"/>
      <c r="I30" s="794"/>
      <c r="J30" s="621"/>
      <c r="K30" s="496" t="s">
        <v>436</v>
      </c>
      <c r="L30" s="598"/>
    </row>
    <row r="31" spans="1:12" ht="58.25" customHeight="1">
      <c r="A31" s="1859"/>
      <c r="B31" s="1756"/>
      <c r="C31" s="1949"/>
      <c r="D31" s="640" t="s">
        <v>1194</v>
      </c>
      <c r="E31" s="868"/>
      <c r="F31" s="868"/>
      <c r="G31" s="868"/>
      <c r="H31" s="868"/>
      <c r="I31" s="795"/>
      <c r="J31" s="621"/>
      <c r="K31" s="496" t="s">
        <v>1406</v>
      </c>
      <c r="L31" s="598"/>
    </row>
    <row r="32" spans="1:12" ht="42">
      <c r="A32" s="1859"/>
      <c r="B32" s="1756"/>
      <c r="C32" s="1949"/>
      <c r="D32" s="640" t="s">
        <v>1169</v>
      </c>
      <c r="E32" s="868"/>
      <c r="F32" s="868"/>
      <c r="G32" s="868"/>
      <c r="H32" s="868"/>
      <c r="I32" s="795"/>
      <c r="J32" s="621"/>
      <c r="K32" s="496" t="s">
        <v>1406</v>
      </c>
      <c r="L32" s="598"/>
    </row>
    <row r="33" spans="1:12" ht="28">
      <c r="A33" s="1859"/>
      <c r="B33" s="1756"/>
      <c r="C33" s="1949"/>
      <c r="D33" s="640" t="s">
        <v>1170</v>
      </c>
      <c r="E33" s="868"/>
      <c r="F33" s="868"/>
      <c r="G33" s="868"/>
      <c r="H33" s="868"/>
      <c r="I33" s="795"/>
      <c r="J33" s="621"/>
      <c r="K33" s="496" t="s">
        <v>1406</v>
      </c>
      <c r="L33" s="598"/>
    </row>
    <row r="34" spans="1:12" s="81" customFormat="1" ht="30.5" customHeight="1">
      <c r="A34" s="1859"/>
      <c r="B34" s="1756"/>
      <c r="C34" s="1949"/>
      <c r="D34" s="880" t="s">
        <v>1064</v>
      </c>
      <c r="E34" s="632"/>
      <c r="F34" s="632"/>
      <c r="G34" s="632"/>
      <c r="H34" s="632"/>
      <c r="I34" s="989"/>
      <c r="K34" s="496" t="s">
        <v>1406</v>
      </c>
      <c r="L34" s="600"/>
    </row>
    <row r="35" spans="1:12" ht="47.5" customHeight="1">
      <c r="A35" s="1859"/>
      <c r="B35" s="1756"/>
      <c r="C35" s="1949"/>
      <c r="D35" s="640" t="s">
        <v>1205</v>
      </c>
      <c r="E35" s="868"/>
      <c r="F35" s="868"/>
      <c r="G35" s="868"/>
      <c r="H35" s="868"/>
      <c r="I35" s="795"/>
      <c r="J35" s="621"/>
      <c r="K35" s="496" t="s">
        <v>1406</v>
      </c>
      <c r="L35" s="598"/>
    </row>
    <row r="36" spans="1:12" s="81" customFormat="1" ht="32" customHeight="1">
      <c r="A36" s="1859"/>
      <c r="B36" s="1756"/>
      <c r="C36" s="1949"/>
      <c r="D36" s="880" t="s">
        <v>1065</v>
      </c>
      <c r="E36" s="632"/>
      <c r="F36" s="632"/>
      <c r="G36" s="632"/>
      <c r="H36" s="632"/>
      <c r="I36" s="989"/>
      <c r="K36" s="496" t="s">
        <v>1406</v>
      </c>
      <c r="L36" s="600"/>
    </row>
    <row r="37" spans="1:12">
      <c r="A37" s="1859"/>
      <c r="B37" s="1756"/>
      <c r="C37" s="1949" t="s">
        <v>251</v>
      </c>
      <c r="D37" s="640" t="s">
        <v>1190</v>
      </c>
      <c r="E37" s="868"/>
      <c r="F37" s="868">
        <v>4</v>
      </c>
      <c r="G37" s="868">
        <f>IF($D$6=0,0,1*F37)</f>
        <v>4</v>
      </c>
      <c r="H37" s="868"/>
      <c r="I37" s="795"/>
      <c r="J37" s="621"/>
      <c r="K37" s="496" t="s">
        <v>1406</v>
      </c>
      <c r="L37" s="598"/>
    </row>
    <row r="38" spans="1:12" ht="28">
      <c r="A38" s="1859"/>
      <c r="B38" s="1756"/>
      <c r="C38" s="1949"/>
      <c r="D38" s="871" t="s">
        <v>1189</v>
      </c>
      <c r="E38" s="868"/>
      <c r="F38" s="868">
        <v>2</v>
      </c>
      <c r="G38" s="868">
        <f>IF($D$6=0,0,1*F38)</f>
        <v>2</v>
      </c>
      <c r="H38" s="868"/>
      <c r="I38" s="795"/>
      <c r="J38" s="621"/>
      <c r="K38" s="496" t="s">
        <v>1454</v>
      </c>
      <c r="L38" s="598"/>
    </row>
    <row r="39" spans="1:12" ht="28">
      <c r="A39" s="1859"/>
      <c r="B39" s="1756"/>
      <c r="C39" s="874" t="s">
        <v>252</v>
      </c>
      <c r="D39" s="640" t="s">
        <v>1208</v>
      </c>
      <c r="E39" s="868"/>
      <c r="F39" s="868"/>
      <c r="G39" s="868"/>
      <c r="H39" s="868"/>
      <c r="I39" s="795"/>
      <c r="J39" s="621"/>
      <c r="K39" s="496" t="s">
        <v>1406</v>
      </c>
      <c r="L39" s="598"/>
    </row>
    <row r="40" spans="1:12">
      <c r="A40" s="1859"/>
      <c r="B40" s="1756"/>
      <c r="C40" s="874" t="s">
        <v>253</v>
      </c>
      <c r="D40" s="868" t="s">
        <v>397</v>
      </c>
      <c r="E40" s="868"/>
      <c r="F40" s="868"/>
      <c r="G40" s="868"/>
      <c r="H40" s="868"/>
      <c r="I40" s="795"/>
      <c r="J40" s="621"/>
      <c r="K40" s="496" t="s">
        <v>935</v>
      </c>
      <c r="L40" s="598"/>
    </row>
    <row r="41" spans="1:12">
      <c r="A41" s="1859"/>
      <c r="B41" s="1756"/>
      <c r="C41" s="874" t="s">
        <v>254</v>
      </c>
      <c r="D41" s="868" t="s">
        <v>397</v>
      </c>
      <c r="E41" s="868"/>
      <c r="F41" s="868"/>
      <c r="G41" s="868"/>
      <c r="H41" s="868"/>
      <c r="I41" s="795"/>
      <c r="J41" s="621"/>
      <c r="K41" s="496" t="s">
        <v>935</v>
      </c>
      <c r="L41" s="598"/>
    </row>
    <row r="42" spans="1:12" ht="15" thickBot="1">
      <c r="A42" s="1859"/>
      <c r="B42" s="1757"/>
      <c r="C42" s="770" t="s">
        <v>255</v>
      </c>
      <c r="D42" s="869" t="s">
        <v>397</v>
      </c>
      <c r="E42" s="869"/>
      <c r="F42" s="869"/>
      <c r="G42" s="869"/>
      <c r="H42" s="869"/>
      <c r="I42" s="796"/>
      <c r="J42" s="621"/>
      <c r="K42" s="496" t="s">
        <v>935</v>
      </c>
      <c r="L42" s="598"/>
    </row>
    <row r="43" spans="1:12">
      <c r="A43" s="1859"/>
      <c r="B43" s="1889" t="s">
        <v>139</v>
      </c>
      <c r="C43" s="873" t="s">
        <v>256</v>
      </c>
      <c r="D43" s="867" t="s">
        <v>298</v>
      </c>
      <c r="E43" s="762"/>
      <c r="F43" s="762"/>
      <c r="G43" s="762"/>
      <c r="H43" s="762"/>
      <c r="I43" s="805"/>
      <c r="K43" s="496" t="s">
        <v>935</v>
      </c>
    </row>
    <row r="44" spans="1:12" ht="15" thickBot="1">
      <c r="A44" s="1859"/>
      <c r="B44" s="1891"/>
      <c r="C44" s="770" t="s">
        <v>257</v>
      </c>
      <c r="D44" s="869" t="s">
        <v>298</v>
      </c>
      <c r="E44" s="759"/>
      <c r="F44" s="759"/>
      <c r="G44" s="759"/>
      <c r="H44" s="759"/>
      <c r="I44" s="592"/>
      <c r="K44" s="496" t="s">
        <v>935</v>
      </c>
    </row>
    <row r="45" spans="1:12" ht="62" customHeight="1" thickBot="1">
      <c r="A45" s="1859"/>
      <c r="B45" s="2018" t="s">
        <v>142</v>
      </c>
      <c r="C45" s="2019"/>
      <c r="D45" s="904" t="s">
        <v>1207</v>
      </c>
      <c r="E45" s="750"/>
      <c r="F45" s="750"/>
      <c r="G45" s="750"/>
      <c r="H45" s="750"/>
      <c r="I45" s="810"/>
      <c r="K45" s="496" t="s">
        <v>1406</v>
      </c>
    </row>
    <row r="46" spans="1:12">
      <c r="A46" s="1859"/>
      <c r="B46" s="1966" t="s">
        <v>264</v>
      </c>
      <c r="C46" s="2020"/>
      <c r="D46" s="879" t="s">
        <v>939</v>
      </c>
      <c r="E46" s="762"/>
      <c r="F46" s="762"/>
      <c r="G46" s="762"/>
      <c r="H46" s="762"/>
      <c r="I46" s="805"/>
      <c r="K46" s="496" t="s">
        <v>1406</v>
      </c>
    </row>
    <row r="47" spans="1:12">
      <c r="A47" s="1859"/>
      <c r="B47" s="1967"/>
      <c r="C47" s="2021"/>
      <c r="D47" s="868" t="s">
        <v>771</v>
      </c>
      <c r="E47" s="642"/>
      <c r="F47" s="642"/>
      <c r="G47" s="642"/>
      <c r="H47" s="642"/>
      <c r="I47" s="791"/>
    </row>
    <row r="48" spans="1:12" ht="15" thickBot="1">
      <c r="A48" s="1860"/>
      <c r="B48" s="1968"/>
      <c r="C48" s="2022"/>
      <c r="D48" s="806" t="s">
        <v>165</v>
      </c>
      <c r="E48" s="759"/>
      <c r="F48" s="759"/>
      <c r="G48" s="759"/>
      <c r="H48" s="759"/>
      <c r="I48" s="592"/>
      <c r="K48" s="496" t="s">
        <v>1406</v>
      </c>
    </row>
  </sheetData>
  <mergeCells count="24">
    <mergeCell ref="A30:A48"/>
    <mergeCell ref="B2:I2"/>
    <mergeCell ref="E5:I5"/>
    <mergeCell ref="E3:I3"/>
    <mergeCell ref="E4:I4"/>
    <mergeCell ref="B9:C10"/>
    <mergeCell ref="B11:B14"/>
    <mergeCell ref="B8:C8"/>
    <mergeCell ref="B15:B17"/>
    <mergeCell ref="C16:C17"/>
    <mergeCell ref="B18:C18"/>
    <mergeCell ref="B19:C19"/>
    <mergeCell ref="B20:C20"/>
    <mergeCell ref="B21:C21"/>
    <mergeCell ref="B22:C22"/>
    <mergeCell ref="B23:C23"/>
    <mergeCell ref="B45:C45"/>
    <mergeCell ref="B46:C48"/>
    <mergeCell ref="B43:B44"/>
    <mergeCell ref="B24:B29"/>
    <mergeCell ref="C24:C27"/>
    <mergeCell ref="B30:B42"/>
    <mergeCell ref="C30:C36"/>
    <mergeCell ref="C37:C38"/>
  </mergeCells>
  <conditionalFormatting sqref="B6:D6">
    <cfRule type="cellIs" dxfId="8" priority="2" operator="equal">
      <formula>0</formula>
    </cfRule>
  </conditionalFormatting>
  <pageMargins left="0.70866141732283472" right="0.70866141732283472" top="0.74803149606299213" bottom="0.74803149606299213" header="0.31496062992125984" footer="0.31496062992125984"/>
  <pageSetup scale="67" fitToHeight="0" orientation="portrait"/>
  <rowBreaks count="1" manualBreakCount="1">
    <brk id="29"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9D8F8C1F-A605-4CDB-89B6-2B8E61DB5BB0}">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theme="6" tint="0.59999389629810485"/>
    <pageSetUpPr fitToPage="1"/>
  </sheetPr>
  <dimension ref="A1:M48"/>
  <sheetViews>
    <sheetView zoomScaleSheetLayoutView="90" workbookViewId="0">
      <selection activeCell="K8" sqref="K8:K14"/>
    </sheetView>
  </sheetViews>
  <sheetFormatPr baseColWidth="10" defaultColWidth="11.5" defaultRowHeight="14" x14ac:dyDescent="0"/>
  <cols>
    <col min="1" max="1" width="2.83203125" style="310" customWidth="1"/>
    <col min="2" max="2" width="30.6640625" style="622" customWidth="1"/>
    <col min="3" max="3" width="30.6640625" style="617" customWidth="1"/>
    <col min="4" max="4" width="50.6640625" style="616" customWidth="1"/>
    <col min="5" max="9" width="3.6640625" style="487" customWidth="1"/>
    <col min="10" max="10" width="7.5" style="362" customWidth="1"/>
    <col min="11" max="11" width="50.6640625" style="463" customWidth="1"/>
    <col min="12" max="12" width="30.6640625" style="463" customWidth="1"/>
    <col min="13" max="13" width="3.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2.5" customHeight="1" thickBot="1">
      <c r="B6" s="709" t="str">
        <f>IF(D6=0,0,+'PROGRAMA ARQ.'!C56)</f>
        <v>6.1</v>
      </c>
      <c r="C6" s="709" t="str">
        <f>IF(D6=0,0,+'PROGRAMA ARQ.'!D56)</f>
        <v>PATIO EXPANSIÓN SALA CUNA</v>
      </c>
      <c r="D6" s="826">
        <f>+'PROGRAMA ARQ.'!I56</f>
        <v>60</v>
      </c>
      <c r="E6" s="680" t="s">
        <v>366</v>
      </c>
      <c r="F6" s="681" t="s">
        <v>544</v>
      </c>
      <c r="G6" s="681" t="s">
        <v>2</v>
      </c>
      <c r="H6" s="681" t="s">
        <v>171</v>
      </c>
      <c r="I6" s="682" t="s">
        <v>172</v>
      </c>
      <c r="J6" s="608"/>
      <c r="K6" s="698" t="s">
        <v>293</v>
      </c>
      <c r="L6" s="699" t="s">
        <v>120</v>
      </c>
      <c r="M6" s="843" t="s">
        <v>178</v>
      </c>
    </row>
    <row r="7" spans="2:13" s="367" customFormat="1" ht="16" thickBot="1">
      <c r="B7" s="667" t="s">
        <v>1378</v>
      </c>
      <c r="C7" s="667" t="s">
        <v>1379</v>
      </c>
      <c r="D7" s="670" t="s">
        <v>1380</v>
      </c>
      <c r="E7" s="671"/>
      <c r="F7" s="672"/>
      <c r="G7" s="672"/>
      <c r="H7" s="671"/>
      <c r="I7" s="673"/>
      <c r="J7" s="595"/>
      <c r="K7" s="235"/>
      <c r="L7" s="696"/>
      <c r="M7" s="697"/>
    </row>
    <row r="8" spans="2:13" ht="182">
      <c r="B8" s="1827" t="s">
        <v>122</v>
      </c>
      <c r="C8" s="1900"/>
      <c r="D8" s="875" t="s">
        <v>1381</v>
      </c>
      <c r="E8" s="395"/>
      <c r="F8" s="395"/>
      <c r="G8" s="858"/>
      <c r="H8" s="395"/>
      <c r="I8" s="399"/>
      <c r="K8" s="496" t="s">
        <v>1406</v>
      </c>
      <c r="L8" s="463" t="s">
        <v>430</v>
      </c>
    </row>
    <row r="9" spans="2:13">
      <c r="B9" s="1829"/>
      <c r="C9" s="1933"/>
      <c r="D9" s="640" t="s">
        <v>1210</v>
      </c>
      <c r="E9" s="513"/>
      <c r="F9" s="513"/>
      <c r="G9" s="591"/>
      <c r="H9" s="513"/>
      <c r="I9" s="545"/>
      <c r="K9" s="496" t="s">
        <v>1406</v>
      </c>
      <c r="L9" s="463" t="s">
        <v>432</v>
      </c>
    </row>
    <row r="10" spans="2:13" ht="42">
      <c r="B10" s="1829"/>
      <c r="C10" s="1933"/>
      <c r="D10" s="1081" t="s">
        <v>1367</v>
      </c>
      <c r="E10" s="513"/>
      <c r="F10" s="513"/>
      <c r="G10" s="591"/>
      <c r="H10" s="513"/>
      <c r="I10" s="545"/>
      <c r="K10" s="496" t="s">
        <v>1406</v>
      </c>
    </row>
    <row r="11" spans="2:13" ht="15" thickBot="1">
      <c r="B11" s="1829"/>
      <c r="C11" s="1933"/>
      <c r="D11" s="919" t="s">
        <v>940</v>
      </c>
      <c r="E11" s="917"/>
      <c r="F11" s="917"/>
      <c r="G11" s="917"/>
      <c r="H11" s="917"/>
      <c r="I11" s="918"/>
      <c r="K11" s="496" t="s">
        <v>1406</v>
      </c>
    </row>
    <row r="12" spans="2:13" ht="29" thickBot="1">
      <c r="B12" s="2018" t="s">
        <v>1388</v>
      </c>
      <c r="C12" s="2019"/>
      <c r="D12" s="1075" t="s">
        <v>1211</v>
      </c>
      <c r="E12" s="593"/>
      <c r="F12" s="593"/>
      <c r="G12" s="593"/>
      <c r="H12" s="593"/>
      <c r="I12" s="721"/>
      <c r="K12" s="496" t="s">
        <v>1432</v>
      </c>
      <c r="L12" s="463" t="s">
        <v>430</v>
      </c>
    </row>
    <row r="13" spans="2:13" ht="29.5" customHeight="1">
      <c r="B13" s="1755" t="s">
        <v>143</v>
      </c>
      <c r="C13" s="728" t="s">
        <v>241</v>
      </c>
      <c r="D13" s="722" t="s">
        <v>1227</v>
      </c>
      <c r="E13" s="762"/>
      <c r="F13" s="762"/>
      <c r="G13" s="762"/>
      <c r="H13" s="762"/>
      <c r="I13" s="805"/>
      <c r="J13" s="81"/>
      <c r="K13" s="496" t="s">
        <v>1406</v>
      </c>
      <c r="L13" s="496"/>
    </row>
    <row r="14" spans="2:13" ht="28">
      <c r="B14" s="1756"/>
      <c r="C14" s="874" t="s">
        <v>242</v>
      </c>
      <c r="D14" s="640" t="s">
        <v>1198</v>
      </c>
      <c r="E14" s="642"/>
      <c r="F14" s="642"/>
      <c r="G14" s="642"/>
      <c r="H14" s="642"/>
      <c r="I14" s="791"/>
      <c r="J14" s="81"/>
      <c r="K14" s="496" t="s">
        <v>1406</v>
      </c>
      <c r="L14" s="496"/>
    </row>
    <row r="15" spans="2:13">
      <c r="B15" s="1756"/>
      <c r="C15" s="874" t="s">
        <v>243</v>
      </c>
      <c r="D15" s="999" t="s">
        <v>1212</v>
      </c>
      <c r="E15" s="642"/>
      <c r="F15" s="642"/>
      <c r="G15" s="642"/>
      <c r="H15" s="642"/>
      <c r="I15" s="791"/>
      <c r="J15" s="81"/>
      <c r="K15" s="496" t="s">
        <v>1406</v>
      </c>
      <c r="L15" s="496"/>
    </row>
    <row r="16" spans="2:13" ht="28">
      <c r="B16" s="1756"/>
      <c r="C16" s="1949" t="s">
        <v>244</v>
      </c>
      <c r="D16" s="640" t="s">
        <v>1213</v>
      </c>
      <c r="E16" s="642"/>
      <c r="F16" s="642"/>
      <c r="G16" s="642"/>
      <c r="H16" s="642"/>
      <c r="I16" s="791"/>
      <c r="J16" s="81"/>
      <c r="K16" s="496" t="s">
        <v>1406</v>
      </c>
      <c r="L16" s="496"/>
    </row>
    <row r="17" spans="2:12" ht="71" thickBot="1">
      <c r="B17" s="1757"/>
      <c r="C17" s="1979"/>
      <c r="D17" s="1004" t="s">
        <v>1214</v>
      </c>
      <c r="E17" s="552"/>
      <c r="F17" s="552"/>
      <c r="G17" s="1082"/>
      <c r="H17" s="552"/>
      <c r="I17" s="725"/>
      <c r="K17" s="496" t="s">
        <v>1406</v>
      </c>
      <c r="L17" s="585"/>
    </row>
    <row r="18" spans="2:12">
      <c r="B18" s="1889" t="s">
        <v>144</v>
      </c>
      <c r="C18" s="873" t="s">
        <v>245</v>
      </c>
      <c r="D18" s="1003" t="s">
        <v>300</v>
      </c>
      <c r="E18" s="589"/>
      <c r="F18" s="589"/>
      <c r="G18" s="589"/>
      <c r="H18" s="589"/>
      <c r="I18" s="723"/>
      <c r="K18" s="463" t="s">
        <v>935</v>
      </c>
      <c r="L18" s="586"/>
    </row>
    <row r="19" spans="2:12" ht="15" thickBot="1">
      <c r="B19" s="1891"/>
      <c r="C19" s="1083" t="s">
        <v>246</v>
      </c>
      <c r="D19" s="1004" t="s">
        <v>441</v>
      </c>
      <c r="E19" s="552"/>
      <c r="F19" s="552"/>
      <c r="G19" s="552"/>
      <c r="H19" s="552"/>
      <c r="I19" s="725"/>
      <c r="K19" s="496" t="s">
        <v>1406</v>
      </c>
      <c r="L19" s="586"/>
    </row>
    <row r="20" spans="2:12">
      <c r="B20" s="1755" t="s">
        <v>141</v>
      </c>
      <c r="C20" s="1761"/>
      <c r="D20" s="1003" t="s">
        <v>1228</v>
      </c>
      <c r="E20" s="589"/>
      <c r="F20" s="589"/>
      <c r="G20" s="589"/>
      <c r="H20" s="589"/>
      <c r="I20" s="723"/>
      <c r="K20" s="496" t="s">
        <v>1406</v>
      </c>
    </row>
    <row r="21" spans="2:12" ht="42">
      <c r="B21" s="1756"/>
      <c r="C21" s="1762"/>
      <c r="D21" s="640" t="s">
        <v>1215</v>
      </c>
      <c r="E21" s="513"/>
      <c r="F21" s="513"/>
      <c r="G21" s="513"/>
      <c r="H21" s="513"/>
      <c r="I21" s="545"/>
      <c r="K21" s="496" t="s">
        <v>1406</v>
      </c>
    </row>
    <row r="22" spans="2:12" ht="43" thickBot="1">
      <c r="B22" s="1757"/>
      <c r="C22" s="1763"/>
      <c r="D22" s="769" t="s">
        <v>1216</v>
      </c>
      <c r="E22" s="552"/>
      <c r="F22" s="552"/>
      <c r="G22" s="552"/>
      <c r="H22" s="552"/>
      <c r="I22" s="725"/>
      <c r="K22" s="496" t="s">
        <v>1406</v>
      </c>
    </row>
    <row r="23" spans="2:12" ht="28">
      <c r="B23" s="1755" t="s">
        <v>140</v>
      </c>
      <c r="C23" s="870" t="s">
        <v>1057</v>
      </c>
      <c r="D23" s="1005" t="s">
        <v>1217</v>
      </c>
      <c r="E23" s="589"/>
      <c r="F23" s="589"/>
      <c r="G23" s="589"/>
      <c r="H23" s="589"/>
      <c r="I23" s="723"/>
      <c r="K23" s="504" t="s">
        <v>416</v>
      </c>
      <c r="L23" s="463" t="s">
        <v>1209</v>
      </c>
    </row>
    <row r="24" spans="2:12" ht="42">
      <c r="B24" s="1756"/>
      <c r="C24" s="1754" t="s">
        <v>413</v>
      </c>
      <c r="D24" s="640" t="s">
        <v>1229</v>
      </c>
      <c r="E24" s="513"/>
      <c r="F24" s="513"/>
      <c r="G24" s="513"/>
      <c r="H24" s="513"/>
      <c r="I24" s="545"/>
      <c r="K24" s="496" t="s">
        <v>1421</v>
      </c>
    </row>
    <row r="25" spans="2:12" ht="29" thickBot="1">
      <c r="B25" s="1757"/>
      <c r="C25" s="1760"/>
      <c r="D25" s="769" t="s">
        <v>1218</v>
      </c>
      <c r="E25" s="552"/>
      <c r="F25" s="552"/>
      <c r="G25" s="552"/>
      <c r="H25" s="552"/>
      <c r="I25" s="725"/>
      <c r="K25" s="496" t="s">
        <v>1406</v>
      </c>
    </row>
    <row r="26" spans="2:12" ht="15" thickBot="1">
      <c r="B26" s="2018" t="s">
        <v>123</v>
      </c>
      <c r="C26" s="2019"/>
      <c r="D26" s="1075" t="s">
        <v>397</v>
      </c>
      <c r="E26" s="593"/>
      <c r="F26" s="593"/>
      <c r="G26" s="593"/>
      <c r="H26" s="593"/>
      <c r="I26" s="721"/>
      <c r="K26" s="463" t="s">
        <v>935</v>
      </c>
    </row>
    <row r="27" spans="2:12" ht="29" thickBot="1">
      <c r="B27" s="2018" t="s">
        <v>124</v>
      </c>
      <c r="C27" s="2019"/>
      <c r="D27" s="1075" t="s">
        <v>1219</v>
      </c>
      <c r="E27" s="593"/>
      <c r="F27" s="593"/>
      <c r="G27" s="593"/>
      <c r="H27" s="593"/>
      <c r="I27" s="721"/>
      <c r="K27" s="496" t="s">
        <v>1406</v>
      </c>
      <c r="L27" s="463" t="s">
        <v>941</v>
      </c>
    </row>
    <row r="28" spans="2:12" ht="15" thickBot="1">
      <c r="B28" s="2018" t="s">
        <v>132</v>
      </c>
      <c r="C28" s="2019"/>
      <c r="D28" s="1075" t="s">
        <v>397</v>
      </c>
      <c r="E28" s="593"/>
      <c r="F28" s="593"/>
      <c r="G28" s="720"/>
      <c r="H28" s="593"/>
      <c r="I28" s="721"/>
      <c r="K28" s="463" t="s">
        <v>935</v>
      </c>
    </row>
    <row r="29" spans="2:12" ht="15" thickBot="1">
      <c r="B29" s="2018" t="s">
        <v>133</v>
      </c>
      <c r="C29" s="2019"/>
      <c r="D29" s="1084" t="s">
        <v>298</v>
      </c>
      <c r="E29" s="593"/>
      <c r="F29" s="593"/>
      <c r="G29" s="720"/>
      <c r="H29" s="593"/>
      <c r="I29" s="721"/>
      <c r="K29" s="1123" t="s">
        <v>935</v>
      </c>
      <c r="L29" s="463" t="s">
        <v>942</v>
      </c>
    </row>
    <row r="30" spans="2:12" ht="15" thickBot="1">
      <c r="B30" s="2096" t="s">
        <v>134</v>
      </c>
      <c r="C30" s="2096"/>
      <c r="D30" s="1085" t="s">
        <v>298</v>
      </c>
      <c r="E30" s="1086"/>
      <c r="F30" s="626"/>
      <c r="G30" s="626"/>
      <c r="H30" s="626"/>
      <c r="I30" s="626"/>
      <c r="K30" s="1123" t="s">
        <v>935</v>
      </c>
    </row>
    <row r="31" spans="2:12">
      <c r="B31" s="1755" t="s">
        <v>135</v>
      </c>
      <c r="C31" s="1948" t="s">
        <v>248</v>
      </c>
      <c r="D31" s="1005" t="s">
        <v>323</v>
      </c>
      <c r="E31" s="589"/>
      <c r="F31" s="589"/>
      <c r="G31" s="589"/>
      <c r="H31" s="589"/>
      <c r="I31" s="723"/>
      <c r="K31" s="496" t="s">
        <v>1406</v>
      </c>
    </row>
    <row r="32" spans="2:12">
      <c r="B32" s="1756"/>
      <c r="C32" s="1949"/>
      <c r="D32" s="1001" t="s">
        <v>536</v>
      </c>
      <c r="E32" s="513"/>
      <c r="F32" s="513"/>
      <c r="G32" s="513"/>
      <c r="H32" s="513"/>
      <c r="I32" s="545"/>
      <c r="K32" s="496" t="s">
        <v>1406</v>
      </c>
    </row>
    <row r="33" spans="1:12">
      <c r="B33" s="1756"/>
      <c r="C33" s="1949"/>
      <c r="D33" s="1001" t="s">
        <v>1221</v>
      </c>
      <c r="E33" s="513"/>
      <c r="F33" s="513"/>
      <c r="G33" s="513"/>
      <c r="H33" s="513"/>
      <c r="I33" s="545"/>
      <c r="K33" s="496" t="s">
        <v>1406</v>
      </c>
    </row>
    <row r="34" spans="1:12">
      <c r="B34" s="1756"/>
      <c r="C34" s="1949" t="s">
        <v>249</v>
      </c>
      <c r="D34" s="1001" t="s">
        <v>1220</v>
      </c>
      <c r="E34" s="513"/>
      <c r="F34" s="513"/>
      <c r="G34" s="513"/>
      <c r="H34" s="513"/>
      <c r="I34" s="545"/>
      <c r="K34" s="496" t="s">
        <v>1406</v>
      </c>
      <c r="L34" s="463" t="s">
        <v>943</v>
      </c>
    </row>
    <row r="35" spans="1:12">
      <c r="B35" s="1756"/>
      <c r="C35" s="1949"/>
      <c r="D35" s="1001" t="s">
        <v>1221</v>
      </c>
      <c r="E35" s="513"/>
      <c r="F35" s="513"/>
      <c r="G35" s="513"/>
      <c r="H35" s="513"/>
      <c r="I35" s="545"/>
      <c r="K35" s="496" t="s">
        <v>1406</v>
      </c>
    </row>
    <row r="36" spans="1:12" ht="42">
      <c r="B36" s="1756"/>
      <c r="C36" s="1949"/>
      <c r="D36" s="1001" t="s">
        <v>1231</v>
      </c>
      <c r="E36" s="513"/>
      <c r="F36" s="513"/>
      <c r="G36" s="513"/>
      <c r="H36" s="513"/>
      <c r="I36" s="545"/>
      <c r="K36" s="496" t="s">
        <v>1406</v>
      </c>
    </row>
    <row r="37" spans="1:12" ht="15" thickBot="1">
      <c r="B37" s="1757"/>
      <c r="C37" s="770" t="s">
        <v>250</v>
      </c>
      <c r="D37" s="1006" t="s">
        <v>298</v>
      </c>
      <c r="E37" s="552"/>
      <c r="F37" s="552"/>
      <c r="G37" s="552"/>
      <c r="H37" s="552"/>
      <c r="I37" s="725"/>
      <c r="K37" s="504" t="s">
        <v>935</v>
      </c>
    </row>
    <row r="38" spans="1:12" ht="28">
      <c r="A38" s="1858" t="s">
        <v>137</v>
      </c>
      <c r="B38" s="1755" t="s">
        <v>138</v>
      </c>
      <c r="C38" s="957" t="s">
        <v>438</v>
      </c>
      <c r="D38" s="1087" t="s">
        <v>1225</v>
      </c>
      <c r="E38" s="589"/>
      <c r="F38" s="589">
        <f>+F39</f>
        <v>2</v>
      </c>
      <c r="G38" s="589">
        <f>+F38*1</f>
        <v>2</v>
      </c>
      <c r="H38" s="589"/>
      <c r="I38" s="723"/>
      <c r="K38" s="496" t="s">
        <v>1406</v>
      </c>
      <c r="L38" s="504" t="s">
        <v>398</v>
      </c>
    </row>
    <row r="39" spans="1:12" ht="28">
      <c r="A39" s="1859"/>
      <c r="B39" s="1756"/>
      <c r="C39" s="1949" t="s">
        <v>251</v>
      </c>
      <c r="D39" s="640" t="s">
        <v>1222</v>
      </c>
      <c r="E39" s="513"/>
      <c r="F39" s="513">
        <f>+'PROGRAMA ARQ.'!E18</f>
        <v>2</v>
      </c>
      <c r="G39" s="513">
        <f>+F39*1</f>
        <v>2</v>
      </c>
      <c r="H39" s="513"/>
      <c r="I39" s="545"/>
      <c r="K39" s="496" t="s">
        <v>1406</v>
      </c>
      <c r="L39" s="504"/>
    </row>
    <row r="40" spans="1:12">
      <c r="A40" s="1859"/>
      <c r="B40" s="1756"/>
      <c r="C40" s="1949"/>
      <c r="D40" s="640" t="s">
        <v>1223</v>
      </c>
      <c r="E40" s="513"/>
      <c r="F40" s="513"/>
      <c r="G40" s="513"/>
      <c r="H40" s="513"/>
      <c r="I40" s="545"/>
      <c r="K40" s="504" t="s">
        <v>1464</v>
      </c>
    </row>
    <row r="41" spans="1:12" ht="28">
      <c r="A41" s="1859"/>
      <c r="B41" s="1756"/>
      <c r="C41" s="898" t="s">
        <v>252</v>
      </c>
      <c r="D41" s="640" t="s">
        <v>1226</v>
      </c>
      <c r="E41" s="513"/>
      <c r="F41" s="513">
        <f>+F38</f>
        <v>2</v>
      </c>
      <c r="G41" s="513">
        <f>+G38</f>
        <v>2</v>
      </c>
      <c r="H41" s="513"/>
      <c r="I41" s="545"/>
      <c r="K41" s="496" t="s">
        <v>1406</v>
      </c>
      <c r="L41" s="504" t="s">
        <v>398</v>
      </c>
    </row>
    <row r="42" spans="1:12">
      <c r="A42" s="1859"/>
      <c r="B42" s="1756"/>
      <c r="C42" s="874" t="s">
        <v>253</v>
      </c>
      <c r="D42" s="868" t="s">
        <v>397</v>
      </c>
      <c r="E42" s="513"/>
      <c r="F42" s="513"/>
      <c r="G42" s="513"/>
      <c r="H42" s="513"/>
      <c r="I42" s="545"/>
      <c r="K42" s="496" t="s">
        <v>935</v>
      </c>
    </row>
    <row r="43" spans="1:12" ht="15" thickBot="1">
      <c r="A43" s="1859"/>
      <c r="B43" s="1757"/>
      <c r="C43" s="770" t="s">
        <v>255</v>
      </c>
      <c r="D43" s="869" t="s">
        <v>397</v>
      </c>
      <c r="E43" s="552"/>
      <c r="F43" s="552"/>
      <c r="G43" s="552"/>
      <c r="H43" s="552"/>
      <c r="I43" s="725"/>
      <c r="K43" s="496" t="s">
        <v>935</v>
      </c>
      <c r="L43" s="504" t="s">
        <v>398</v>
      </c>
    </row>
    <row r="44" spans="1:12">
      <c r="A44" s="1859"/>
      <c r="B44" s="1755" t="s">
        <v>399</v>
      </c>
      <c r="C44" s="873" t="s">
        <v>256</v>
      </c>
      <c r="D44" s="867" t="s">
        <v>397</v>
      </c>
      <c r="E44" s="589"/>
      <c r="F44" s="589"/>
      <c r="G44" s="589"/>
      <c r="H44" s="589"/>
      <c r="I44" s="723"/>
      <c r="K44" s="496" t="s">
        <v>935</v>
      </c>
      <c r="L44" s="504" t="s">
        <v>398</v>
      </c>
    </row>
    <row r="45" spans="1:12" ht="15" thickBot="1">
      <c r="A45" s="1859"/>
      <c r="B45" s="1757"/>
      <c r="C45" s="770" t="s">
        <v>257</v>
      </c>
      <c r="D45" s="869" t="s">
        <v>397</v>
      </c>
      <c r="E45" s="552"/>
      <c r="F45" s="552"/>
      <c r="G45" s="552"/>
      <c r="H45" s="552"/>
      <c r="I45" s="725"/>
      <c r="K45" s="496" t="s">
        <v>935</v>
      </c>
    </row>
    <row r="46" spans="1:12" ht="15" thickBot="1">
      <c r="A46" s="1859"/>
      <c r="B46" s="2018" t="s">
        <v>142</v>
      </c>
      <c r="C46" s="2019"/>
      <c r="D46" s="802" t="s">
        <v>397</v>
      </c>
      <c r="E46" s="593"/>
      <c r="F46" s="593"/>
      <c r="G46" s="593"/>
      <c r="H46" s="593"/>
      <c r="I46" s="721"/>
      <c r="K46" s="496" t="s">
        <v>935</v>
      </c>
    </row>
    <row r="47" spans="1:12" ht="15" thickBot="1">
      <c r="A47" s="1088"/>
      <c r="B47" s="2094" t="s">
        <v>264</v>
      </c>
      <c r="C47" s="2095"/>
      <c r="D47" s="1075" t="s">
        <v>1224</v>
      </c>
      <c r="E47" s="593"/>
      <c r="F47" s="593"/>
      <c r="G47" s="593"/>
      <c r="H47" s="593"/>
      <c r="I47" s="721"/>
      <c r="K47" s="496" t="s">
        <v>1406</v>
      </c>
      <c r="L47" s="463" t="s">
        <v>396</v>
      </c>
    </row>
    <row r="48" spans="1:12">
      <c r="D48" s="624"/>
    </row>
  </sheetData>
  <mergeCells count="26">
    <mergeCell ref="B2:I2"/>
    <mergeCell ref="E5:I5"/>
    <mergeCell ref="E3:I3"/>
    <mergeCell ref="E4:I4"/>
    <mergeCell ref="A38:A46"/>
    <mergeCell ref="B8:C11"/>
    <mergeCell ref="B12:C12"/>
    <mergeCell ref="B13:B17"/>
    <mergeCell ref="C16:C17"/>
    <mergeCell ref="B20:C22"/>
    <mergeCell ref="B23:B25"/>
    <mergeCell ref="C24:C25"/>
    <mergeCell ref="B26:C26"/>
    <mergeCell ref="B27:C27"/>
    <mergeCell ref="B28:C28"/>
    <mergeCell ref="B18:B19"/>
    <mergeCell ref="B47:C47"/>
    <mergeCell ref="B29:C29"/>
    <mergeCell ref="B30:C30"/>
    <mergeCell ref="B31:B37"/>
    <mergeCell ref="C31:C33"/>
    <mergeCell ref="C34:C36"/>
    <mergeCell ref="B38:B43"/>
    <mergeCell ref="C39:C40"/>
    <mergeCell ref="B44:B45"/>
    <mergeCell ref="B46:C46"/>
  </mergeCells>
  <conditionalFormatting sqref="B6:D6">
    <cfRule type="cellIs" dxfId="6" priority="2" operator="equal">
      <formula>0</formula>
    </cfRule>
  </conditionalFormatting>
  <pageMargins left="0.70866141732283472" right="0.70866141732283472" top="0.74803149606299213" bottom="0.74803149606299213" header="0.31496062992125984" footer="0.31496062992125984"/>
  <pageSetup scale="67" fitToHeight="0" orientation="portrait"/>
  <rowBreaks count="1" manualBreakCount="1">
    <brk id="30"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2FEE132F-0F80-4484-9A32-2820D15555D8}">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6" tint="0.59999389629810485"/>
    <pageSetUpPr fitToPage="1"/>
  </sheetPr>
  <dimension ref="A1:M57"/>
  <sheetViews>
    <sheetView zoomScaleSheetLayoutView="90" workbookViewId="0">
      <selection activeCell="K8" sqref="K8:K14"/>
    </sheetView>
  </sheetViews>
  <sheetFormatPr baseColWidth="10" defaultColWidth="11.5" defaultRowHeight="14" x14ac:dyDescent="0"/>
  <cols>
    <col min="1" max="1" width="2.83203125" style="310" customWidth="1"/>
    <col min="2" max="2" width="30.6640625" style="489" customWidth="1"/>
    <col min="3" max="3" width="30.6640625" style="462" customWidth="1"/>
    <col min="4" max="4" width="50.6640625" style="461" customWidth="1"/>
    <col min="5" max="9" width="3.6640625" style="487" customWidth="1"/>
    <col min="10" max="10" width="7.5" style="362" customWidth="1"/>
    <col min="11" max="11" width="50.6640625" style="463" customWidth="1"/>
    <col min="12" max="12" width="30.6640625" style="463" customWidth="1"/>
    <col min="13" max="13" width="3.5" style="31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4.5" customHeight="1" thickBot="1">
      <c r="B6" s="708" t="str">
        <f>IF(D6=0,0,+'PROGRAMA ARQ.'!C57)</f>
        <v>6.2</v>
      </c>
      <c r="C6" s="708" t="str">
        <f>IF(D6=0,0,+'PROGRAMA ARQ.'!D57)</f>
        <v>PATIO EXPANSIÓN NIVEL MEDIO</v>
      </c>
      <c r="D6" s="825">
        <f>+'PROGRAMA ARQ.'!I57</f>
        <v>168</v>
      </c>
      <c r="E6" s="680" t="s">
        <v>366</v>
      </c>
      <c r="F6" s="681" t="s">
        <v>544</v>
      </c>
      <c r="G6" s="681" t="s">
        <v>2</v>
      </c>
      <c r="H6" s="681" t="s">
        <v>171</v>
      </c>
      <c r="I6" s="682" t="s">
        <v>172</v>
      </c>
      <c r="J6" s="608"/>
      <c r="K6" s="698" t="s">
        <v>293</v>
      </c>
      <c r="L6" s="699" t="s">
        <v>120</v>
      </c>
      <c r="M6" s="843" t="s">
        <v>178</v>
      </c>
    </row>
    <row r="7" spans="2:13" s="367" customFormat="1" ht="16" thickBot="1">
      <c r="B7" s="667" t="s">
        <v>1378</v>
      </c>
      <c r="C7" s="667" t="s">
        <v>1379</v>
      </c>
      <c r="D7" s="670" t="s">
        <v>1380</v>
      </c>
      <c r="E7" s="671"/>
      <c r="F7" s="672"/>
      <c r="G7" s="672"/>
      <c r="H7" s="671"/>
      <c r="I7" s="673"/>
      <c r="J7" s="595"/>
      <c r="K7" s="235"/>
      <c r="L7" s="696"/>
      <c r="M7" s="697"/>
    </row>
    <row r="8" spans="2:13" s="81" customFormat="1" ht="182">
      <c r="B8" s="1786" t="s">
        <v>122</v>
      </c>
      <c r="C8" s="2085"/>
      <c r="D8" s="973" t="s">
        <v>1381</v>
      </c>
      <c r="E8" s="1033"/>
      <c r="F8" s="1033"/>
      <c r="G8" s="964"/>
      <c r="H8" s="1033"/>
      <c r="I8" s="413"/>
      <c r="J8" s="362"/>
      <c r="K8" s="507" t="s">
        <v>303</v>
      </c>
      <c r="L8" s="507" t="s">
        <v>430</v>
      </c>
    </row>
    <row r="9" spans="2:13">
      <c r="B9" s="1780"/>
      <c r="C9" s="2086"/>
      <c r="D9" s="876" t="s">
        <v>1210</v>
      </c>
      <c r="G9" s="378"/>
      <c r="I9" s="400"/>
      <c r="K9" s="463" t="s">
        <v>303</v>
      </c>
      <c r="L9" s="463" t="s">
        <v>432</v>
      </c>
    </row>
    <row r="10" spans="2:13" ht="42">
      <c r="B10" s="1780"/>
      <c r="C10" s="2086"/>
      <c r="D10" s="491" t="s">
        <v>1367</v>
      </c>
      <c r="G10" s="378"/>
      <c r="I10" s="400"/>
      <c r="K10" s="463" t="s">
        <v>303</v>
      </c>
    </row>
    <row r="11" spans="2:13" ht="15" thickBot="1">
      <c r="B11" s="1781"/>
      <c r="C11" s="2097"/>
      <c r="D11" s="888" t="s">
        <v>940</v>
      </c>
      <c r="E11" s="397"/>
      <c r="F11" s="397"/>
      <c r="G11" s="397"/>
      <c r="H11" s="397"/>
      <c r="I11" s="405"/>
      <c r="K11" s="463" t="s">
        <v>303</v>
      </c>
    </row>
    <row r="12" spans="2:13" ht="29" thickBot="1">
      <c r="B12" s="2018" t="s">
        <v>125</v>
      </c>
      <c r="C12" s="2019"/>
      <c r="D12" s="1075" t="s">
        <v>1211</v>
      </c>
      <c r="E12" s="593"/>
      <c r="F12" s="593"/>
      <c r="G12" s="593"/>
      <c r="H12" s="593"/>
      <c r="I12" s="721"/>
      <c r="K12" s="463" t="s">
        <v>302</v>
      </c>
      <c r="L12" s="463" t="s">
        <v>430</v>
      </c>
    </row>
    <row r="13" spans="2:13" ht="29.5" customHeight="1">
      <c r="B13" s="1755" t="s">
        <v>143</v>
      </c>
      <c r="C13" s="728" t="s">
        <v>241</v>
      </c>
      <c r="D13" s="722" t="s">
        <v>1227</v>
      </c>
      <c r="E13" s="762"/>
      <c r="F13" s="762"/>
      <c r="G13" s="762"/>
      <c r="H13" s="762"/>
      <c r="I13" s="805"/>
      <c r="J13" s="81"/>
      <c r="K13" s="496"/>
      <c r="L13" s="496"/>
    </row>
    <row r="14" spans="2:13" ht="28">
      <c r="B14" s="1756"/>
      <c r="C14" s="874" t="s">
        <v>242</v>
      </c>
      <c r="D14" s="640" t="s">
        <v>1198</v>
      </c>
      <c r="E14" s="642"/>
      <c r="F14" s="642"/>
      <c r="G14" s="642"/>
      <c r="H14" s="642"/>
      <c r="I14" s="791"/>
      <c r="J14" s="81"/>
      <c r="K14" s="496"/>
      <c r="L14" s="496"/>
    </row>
    <row r="15" spans="2:13">
      <c r="B15" s="1756"/>
      <c r="C15" s="874" t="s">
        <v>243</v>
      </c>
      <c r="D15" s="999" t="s">
        <v>1212</v>
      </c>
      <c r="E15" s="642"/>
      <c r="F15" s="642"/>
      <c r="G15" s="642"/>
      <c r="H15" s="642"/>
      <c r="I15" s="791"/>
      <c r="J15" s="81"/>
      <c r="K15" s="496"/>
      <c r="L15" s="496"/>
    </row>
    <row r="16" spans="2:13" ht="28">
      <c r="B16" s="1756"/>
      <c r="C16" s="1949" t="s">
        <v>244</v>
      </c>
      <c r="D16" s="640" t="s">
        <v>1213</v>
      </c>
      <c r="E16" s="642"/>
      <c r="F16" s="642"/>
      <c r="G16" s="642"/>
      <c r="H16" s="642"/>
      <c r="I16" s="791"/>
      <c r="J16" s="81"/>
      <c r="K16" s="496"/>
      <c r="L16" s="496"/>
    </row>
    <row r="17" spans="2:12" ht="71" thickBot="1">
      <c r="B17" s="1757"/>
      <c r="C17" s="1979"/>
      <c r="D17" s="1004" t="s">
        <v>1214</v>
      </c>
      <c r="E17" s="552"/>
      <c r="F17" s="552"/>
      <c r="G17" s="1082"/>
      <c r="H17" s="552"/>
      <c r="I17" s="725"/>
      <c r="K17" s="463" t="s">
        <v>303</v>
      </c>
      <c r="L17" s="585"/>
    </row>
    <row r="18" spans="2:12">
      <c r="B18" s="1755" t="s">
        <v>144</v>
      </c>
      <c r="C18" s="873" t="s">
        <v>245</v>
      </c>
      <c r="D18" s="1003" t="s">
        <v>300</v>
      </c>
      <c r="E18" s="589"/>
      <c r="F18" s="589"/>
      <c r="G18" s="589"/>
      <c r="H18" s="589"/>
      <c r="I18" s="723"/>
      <c r="K18" s="463" t="s">
        <v>303</v>
      </c>
      <c r="L18" s="586"/>
    </row>
    <row r="19" spans="2:12" ht="15" thickBot="1">
      <c r="B19" s="1757"/>
      <c r="C19" s="1083" t="s">
        <v>246</v>
      </c>
      <c r="D19" s="1004" t="s">
        <v>441</v>
      </c>
      <c r="E19" s="552"/>
      <c r="F19" s="552"/>
      <c r="G19" s="552"/>
      <c r="H19" s="552"/>
      <c r="I19" s="725"/>
      <c r="K19" s="463" t="s">
        <v>303</v>
      </c>
      <c r="L19" s="586"/>
    </row>
    <row r="20" spans="2:12">
      <c r="B20" s="1755" t="s">
        <v>141</v>
      </c>
      <c r="C20" s="1761"/>
      <c r="D20" s="1003" t="s">
        <v>1228</v>
      </c>
      <c r="E20" s="589"/>
      <c r="F20" s="589"/>
      <c r="G20" s="589"/>
      <c r="H20" s="589"/>
      <c r="I20" s="723"/>
      <c r="K20" s="463" t="s">
        <v>303</v>
      </c>
    </row>
    <row r="21" spans="2:12" ht="42">
      <c r="B21" s="1756"/>
      <c r="C21" s="1762"/>
      <c r="D21" s="640" t="s">
        <v>1215</v>
      </c>
      <c r="E21" s="513"/>
      <c r="F21" s="513"/>
      <c r="G21" s="513"/>
      <c r="H21" s="513"/>
      <c r="I21" s="545"/>
    </row>
    <row r="22" spans="2:12" ht="43" thickBot="1">
      <c r="B22" s="1757"/>
      <c r="C22" s="1763"/>
      <c r="D22" s="769" t="s">
        <v>1216</v>
      </c>
      <c r="E22" s="552"/>
      <c r="F22" s="552"/>
      <c r="G22" s="552"/>
      <c r="H22" s="552"/>
      <c r="I22" s="725"/>
    </row>
    <row r="23" spans="2:12" ht="28">
      <c r="B23" s="1755" t="s">
        <v>140</v>
      </c>
      <c r="C23" s="870" t="s">
        <v>1057</v>
      </c>
      <c r="D23" s="1005" t="s">
        <v>1217</v>
      </c>
      <c r="E23" s="589"/>
      <c r="F23" s="589"/>
      <c r="G23" s="589"/>
      <c r="H23" s="589"/>
      <c r="I23" s="723"/>
      <c r="K23" s="504" t="s">
        <v>443</v>
      </c>
      <c r="L23" s="463" t="s">
        <v>1209</v>
      </c>
    </row>
    <row r="24" spans="2:12" ht="42">
      <c r="B24" s="1756"/>
      <c r="C24" s="1754" t="s">
        <v>413</v>
      </c>
      <c r="D24" s="640" t="s">
        <v>1230</v>
      </c>
      <c r="E24" s="513"/>
      <c r="F24" s="513"/>
      <c r="G24" s="513"/>
      <c r="H24" s="513"/>
      <c r="I24" s="545"/>
      <c r="K24" s="463" t="s">
        <v>303</v>
      </c>
    </row>
    <row r="25" spans="2:12" ht="29" thickBot="1">
      <c r="B25" s="1757"/>
      <c r="C25" s="1760"/>
      <c r="D25" s="769" t="s">
        <v>1218</v>
      </c>
      <c r="E25" s="552"/>
      <c r="F25" s="552"/>
      <c r="G25" s="552"/>
      <c r="H25" s="552"/>
      <c r="I25" s="725"/>
    </row>
    <row r="26" spans="2:12" ht="15" thickBot="1">
      <c r="B26" s="2018" t="s">
        <v>123</v>
      </c>
      <c r="C26" s="2019"/>
      <c r="D26" s="1075" t="s">
        <v>397</v>
      </c>
      <c r="E26" s="593"/>
      <c r="F26" s="593"/>
      <c r="G26" s="593"/>
      <c r="H26" s="593"/>
      <c r="I26" s="721"/>
    </row>
    <row r="27" spans="2:12" ht="29" thickBot="1">
      <c r="B27" s="2018" t="s">
        <v>124</v>
      </c>
      <c r="C27" s="2019"/>
      <c r="D27" s="1075" t="s">
        <v>1219</v>
      </c>
      <c r="E27" s="593"/>
      <c r="F27" s="593"/>
      <c r="G27" s="593"/>
      <c r="H27" s="593"/>
      <c r="I27" s="721"/>
      <c r="K27" s="463" t="s">
        <v>303</v>
      </c>
      <c r="L27" s="463" t="s">
        <v>941</v>
      </c>
    </row>
    <row r="28" spans="2:12" ht="15" thickBot="1">
      <c r="B28" s="2018" t="s">
        <v>132</v>
      </c>
      <c r="C28" s="2019"/>
      <c r="D28" s="1075" t="s">
        <v>397</v>
      </c>
      <c r="E28" s="593"/>
      <c r="F28" s="593"/>
      <c r="G28" s="720"/>
      <c r="H28" s="593"/>
      <c r="I28" s="721"/>
    </row>
    <row r="29" spans="2:12" ht="15" thickBot="1">
      <c r="B29" s="2018" t="s">
        <v>133</v>
      </c>
      <c r="C29" s="2019"/>
      <c r="D29" s="1084" t="s">
        <v>298</v>
      </c>
      <c r="E29" s="593"/>
      <c r="F29" s="593"/>
      <c r="G29" s="720"/>
      <c r="H29" s="593"/>
      <c r="I29" s="721"/>
      <c r="K29" s="504" t="s">
        <v>303</v>
      </c>
      <c r="L29" s="463" t="s">
        <v>942</v>
      </c>
    </row>
    <row r="30" spans="2:12" ht="15" thickBot="1">
      <c r="B30" s="2018" t="s">
        <v>134</v>
      </c>
      <c r="C30" s="2019"/>
      <c r="D30" s="908" t="s">
        <v>298</v>
      </c>
      <c r="E30" s="1090"/>
      <c r="F30" s="593"/>
      <c r="G30" s="593"/>
      <c r="H30" s="593"/>
      <c r="I30" s="721"/>
      <c r="K30" s="625"/>
    </row>
    <row r="31" spans="2:12">
      <c r="B31" s="1755" t="s">
        <v>135</v>
      </c>
      <c r="C31" s="1948" t="s">
        <v>248</v>
      </c>
      <c r="D31" s="1005" t="s">
        <v>323</v>
      </c>
      <c r="E31" s="589"/>
      <c r="F31" s="589"/>
      <c r="G31" s="589"/>
      <c r="H31" s="589"/>
      <c r="I31" s="723"/>
      <c r="K31" s="504"/>
    </row>
    <row r="32" spans="2:12">
      <c r="B32" s="1756"/>
      <c r="C32" s="1949"/>
      <c r="D32" s="1001" t="s">
        <v>536</v>
      </c>
      <c r="E32" s="513"/>
      <c r="F32" s="513"/>
      <c r="G32" s="513"/>
      <c r="H32" s="513"/>
      <c r="I32" s="545"/>
      <c r="K32" s="504"/>
    </row>
    <row r="33" spans="1:12">
      <c r="B33" s="1756"/>
      <c r="C33" s="1949"/>
      <c r="D33" s="1001" t="s">
        <v>1221</v>
      </c>
      <c r="E33" s="513"/>
      <c r="F33" s="513"/>
      <c r="G33" s="513"/>
      <c r="H33" s="513"/>
      <c r="I33" s="545"/>
      <c r="K33" s="504"/>
    </row>
    <row r="34" spans="1:12">
      <c r="B34" s="1756"/>
      <c r="C34" s="1949" t="s">
        <v>249</v>
      </c>
      <c r="D34" s="1001" t="s">
        <v>1220</v>
      </c>
      <c r="E34" s="513"/>
      <c r="F34" s="513"/>
      <c r="G34" s="513"/>
      <c r="H34" s="513"/>
      <c r="I34" s="545"/>
      <c r="K34" s="504"/>
      <c r="L34" s="463" t="s">
        <v>943</v>
      </c>
    </row>
    <row r="35" spans="1:12">
      <c r="B35" s="1756"/>
      <c r="C35" s="1949"/>
      <c r="D35" s="1001" t="s">
        <v>1221</v>
      </c>
      <c r="E35" s="513"/>
      <c r="F35" s="513"/>
      <c r="G35" s="513"/>
      <c r="H35" s="513"/>
      <c r="I35" s="545"/>
      <c r="K35" s="504"/>
    </row>
    <row r="36" spans="1:12" ht="42">
      <c r="B36" s="1756"/>
      <c r="C36" s="1949"/>
      <c r="D36" s="1001" t="s">
        <v>1231</v>
      </c>
      <c r="E36" s="513"/>
      <c r="F36" s="513"/>
      <c r="G36" s="513"/>
      <c r="H36" s="513"/>
      <c r="I36" s="545"/>
      <c r="K36" s="504"/>
    </row>
    <row r="37" spans="1:12" ht="15" thickBot="1">
      <c r="B37" s="1757"/>
      <c r="C37" s="770" t="s">
        <v>250</v>
      </c>
      <c r="D37" s="1006" t="s">
        <v>298</v>
      </c>
      <c r="E37" s="552"/>
      <c r="F37" s="552"/>
      <c r="G37" s="552"/>
      <c r="H37" s="552"/>
      <c r="I37" s="725"/>
      <c r="K37" s="504"/>
    </row>
    <row r="38" spans="1:12" ht="28">
      <c r="A38" s="1945" t="s">
        <v>137</v>
      </c>
      <c r="B38" s="1755" t="s">
        <v>138</v>
      </c>
      <c r="C38" s="957" t="s">
        <v>438</v>
      </c>
      <c r="D38" s="1087" t="s">
        <v>1225</v>
      </c>
      <c r="E38" s="589"/>
      <c r="F38" s="589">
        <f>+F39</f>
        <v>2</v>
      </c>
      <c r="G38" s="589">
        <f>+F38*1</f>
        <v>2</v>
      </c>
      <c r="H38" s="589"/>
      <c r="I38" s="723"/>
      <c r="K38" s="504" t="s">
        <v>303</v>
      </c>
      <c r="L38" s="504" t="s">
        <v>398</v>
      </c>
    </row>
    <row r="39" spans="1:12" ht="28">
      <c r="A39" s="1946"/>
      <c r="B39" s="1756"/>
      <c r="C39" s="1949" t="s">
        <v>251</v>
      </c>
      <c r="D39" s="640" t="s">
        <v>1222</v>
      </c>
      <c r="E39" s="513"/>
      <c r="F39" s="513">
        <f>+'PROGRAMA ARQ.'!E18</f>
        <v>2</v>
      </c>
      <c r="G39" s="513">
        <f>+F39*1</f>
        <v>2</v>
      </c>
      <c r="H39" s="513"/>
      <c r="I39" s="545"/>
      <c r="K39" s="504"/>
      <c r="L39" s="504"/>
    </row>
    <row r="40" spans="1:12">
      <c r="A40" s="1946"/>
      <c r="B40" s="1756"/>
      <c r="C40" s="1949"/>
      <c r="D40" s="640" t="s">
        <v>1223</v>
      </c>
      <c r="E40" s="513"/>
      <c r="F40" s="513"/>
      <c r="G40" s="513"/>
      <c r="H40" s="513"/>
      <c r="I40" s="545"/>
      <c r="K40" s="504" t="s">
        <v>400</v>
      </c>
    </row>
    <row r="41" spans="1:12" ht="28">
      <c r="A41" s="1946"/>
      <c r="B41" s="1756"/>
      <c r="C41" s="898" t="s">
        <v>252</v>
      </c>
      <c r="D41" s="640" t="s">
        <v>1226</v>
      </c>
      <c r="E41" s="513"/>
      <c r="F41" s="513">
        <f>+F38</f>
        <v>2</v>
      </c>
      <c r="G41" s="513">
        <f>+G38</f>
        <v>2</v>
      </c>
      <c r="H41" s="513"/>
      <c r="I41" s="545"/>
      <c r="K41" s="463" t="s">
        <v>303</v>
      </c>
      <c r="L41" s="504" t="s">
        <v>398</v>
      </c>
    </row>
    <row r="42" spans="1:12">
      <c r="A42" s="1946"/>
      <c r="B42" s="1756"/>
      <c r="C42" s="874" t="s">
        <v>253</v>
      </c>
      <c r="D42" s="868" t="s">
        <v>397</v>
      </c>
      <c r="E42" s="513"/>
      <c r="F42" s="513"/>
      <c r="G42" s="513"/>
      <c r="H42" s="513"/>
      <c r="I42" s="545"/>
      <c r="K42" s="352"/>
    </row>
    <row r="43" spans="1:12" ht="15" thickBot="1">
      <c r="A43" s="1946"/>
      <c r="B43" s="1757"/>
      <c r="C43" s="770" t="s">
        <v>255</v>
      </c>
      <c r="D43" s="869" t="s">
        <v>397</v>
      </c>
      <c r="E43" s="552"/>
      <c r="F43" s="552"/>
      <c r="G43" s="552"/>
      <c r="H43" s="552"/>
      <c r="I43" s="725"/>
      <c r="K43" s="352"/>
      <c r="L43" s="504" t="s">
        <v>398</v>
      </c>
    </row>
    <row r="44" spans="1:12">
      <c r="A44" s="1946"/>
      <c r="B44" s="1755" t="s">
        <v>399</v>
      </c>
      <c r="C44" s="873" t="s">
        <v>256</v>
      </c>
      <c r="D44" s="867" t="s">
        <v>397</v>
      </c>
      <c r="E44" s="589"/>
      <c r="F44" s="589"/>
      <c r="G44" s="589"/>
      <c r="H44" s="589"/>
      <c r="I44" s="723"/>
      <c r="L44" s="504" t="s">
        <v>398</v>
      </c>
    </row>
    <row r="45" spans="1:12" ht="15" thickBot="1">
      <c r="A45" s="1946"/>
      <c r="B45" s="1757"/>
      <c r="C45" s="770" t="s">
        <v>257</v>
      </c>
      <c r="D45" s="869" t="s">
        <v>397</v>
      </c>
      <c r="E45" s="552"/>
      <c r="F45" s="552"/>
      <c r="G45" s="552"/>
      <c r="H45" s="552"/>
      <c r="I45" s="725"/>
    </row>
    <row r="46" spans="1:12" ht="15" thickBot="1">
      <c r="A46" s="1946"/>
      <c r="B46" s="2018" t="s">
        <v>142</v>
      </c>
      <c r="C46" s="2019"/>
      <c r="D46" s="802" t="s">
        <v>397</v>
      </c>
      <c r="E46" s="593"/>
      <c r="F46" s="593"/>
      <c r="G46" s="593"/>
      <c r="H46" s="593"/>
      <c r="I46" s="721"/>
    </row>
    <row r="47" spans="1:12" ht="15" thickBot="1">
      <c r="A47" s="1089"/>
      <c r="B47" s="2094" t="s">
        <v>264</v>
      </c>
      <c r="C47" s="2095"/>
      <c r="D47" s="1075" t="s">
        <v>1224</v>
      </c>
      <c r="E47" s="593"/>
      <c r="F47" s="593"/>
      <c r="G47" s="593"/>
      <c r="H47" s="593"/>
      <c r="I47" s="721"/>
      <c r="L47" s="463" t="s">
        <v>396</v>
      </c>
    </row>
    <row r="55" ht="29" customHeight="1"/>
    <row r="57" ht="30" customHeight="1"/>
  </sheetData>
  <mergeCells count="26">
    <mergeCell ref="E3:I3"/>
    <mergeCell ref="B2:I2"/>
    <mergeCell ref="E4:I4"/>
    <mergeCell ref="A38:A46"/>
    <mergeCell ref="E5:I5"/>
    <mergeCell ref="B8:C11"/>
    <mergeCell ref="B12:C12"/>
    <mergeCell ref="B13:B17"/>
    <mergeCell ref="C16:C17"/>
    <mergeCell ref="B18:B19"/>
    <mergeCell ref="B20:C22"/>
    <mergeCell ref="B23:B25"/>
    <mergeCell ref="C24:C25"/>
    <mergeCell ref="B26:C26"/>
    <mergeCell ref="B27:C27"/>
    <mergeCell ref="B28:C28"/>
    <mergeCell ref="B29:C29"/>
    <mergeCell ref="B30:C30"/>
    <mergeCell ref="B31:B37"/>
    <mergeCell ref="C31:C33"/>
    <mergeCell ref="C34:C36"/>
    <mergeCell ref="B38:B43"/>
    <mergeCell ref="C39:C40"/>
    <mergeCell ref="B44:B45"/>
    <mergeCell ref="B46:C46"/>
    <mergeCell ref="B47:C47"/>
  </mergeCells>
  <conditionalFormatting sqref="D6">
    <cfRule type="cellIs" dxfId="4" priority="3" operator="equal">
      <formula>0</formula>
    </cfRule>
  </conditionalFormatting>
  <conditionalFormatting sqref="B6:C6">
    <cfRule type="cellIs" dxfId="3" priority="2" operator="equal">
      <formula>0</formula>
    </cfRule>
  </conditionalFormatting>
  <pageMargins left="0.70866141732283472" right="0.70866141732283472" top="0.74803149606299213" bottom="0.74803149606299213" header="0.31496062992125984" footer="0.31496062992125984"/>
  <pageSetup scale="67" fitToHeight="0" orientation="portrait"/>
  <rowBreaks count="1" manualBreakCount="1">
    <brk id="30"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FFEE0426-5262-47F2-B739-AB819D7C3253}">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enableFormatConditionsCalculation="0">
    <tabColor theme="6" tint="0.59999389629810485"/>
    <pageSetUpPr fitToPage="1"/>
  </sheetPr>
  <dimension ref="A1:M83"/>
  <sheetViews>
    <sheetView zoomScale="90" zoomScaleNormal="90" zoomScalePageLayoutView="90" workbookViewId="0">
      <selection activeCell="K8" sqref="K8:K14"/>
    </sheetView>
  </sheetViews>
  <sheetFormatPr baseColWidth="10" defaultColWidth="11.5" defaultRowHeight="14" x14ac:dyDescent="0"/>
  <cols>
    <col min="1" max="1" width="4.83203125" style="310" customWidth="1"/>
    <col min="2" max="2" width="38" style="616" customWidth="1"/>
    <col min="3" max="3" width="30.6640625" style="616" customWidth="1"/>
    <col min="4" max="4" width="50.6640625" style="616" customWidth="1"/>
    <col min="5" max="9" width="3.6640625" style="310" customWidth="1"/>
    <col min="10" max="10" width="7.5" style="81" customWidth="1"/>
    <col min="11" max="11" width="50.6640625" style="310" customWidth="1"/>
    <col min="12" max="12" width="30.6640625" style="310" customWidth="1"/>
    <col min="13" max="13" width="3.5" style="310" customWidth="1"/>
    <col min="14" max="16384" width="11.5" style="310"/>
  </cols>
  <sheetData>
    <row r="1" spans="2:13" ht="15" thickBot="1">
      <c r="E1" s="487"/>
      <c r="F1" s="487"/>
      <c r="G1" s="487"/>
      <c r="H1" s="487"/>
    </row>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1" thickBot="1">
      <c r="B6" s="708" t="str">
        <f>+'PROGRAMA ARQ.'!C58</f>
        <v>6.3</v>
      </c>
      <c r="C6" s="708" t="str">
        <f>+'PROGRAMA ARQ.'!D58</f>
        <v>PATIO GENERAL</v>
      </c>
      <c r="D6" s="825">
        <f>+'PROGRAMA ARQ.'!I58</f>
        <v>280</v>
      </c>
      <c r="E6" s="680" t="s">
        <v>366</v>
      </c>
      <c r="F6" s="681" t="s">
        <v>544</v>
      </c>
      <c r="G6" s="681" t="s">
        <v>2</v>
      </c>
      <c r="H6" s="681" t="s">
        <v>171</v>
      </c>
      <c r="I6" s="682" t="s">
        <v>172</v>
      </c>
      <c r="J6" s="608"/>
      <c r="K6" s="698" t="s">
        <v>293</v>
      </c>
      <c r="L6" s="699" t="s">
        <v>120</v>
      </c>
      <c r="M6" s="843" t="s">
        <v>681</v>
      </c>
    </row>
    <row r="7" spans="2:13" s="367" customFormat="1" ht="16" thickBot="1">
      <c r="B7" s="667" t="s">
        <v>1378</v>
      </c>
      <c r="C7" s="667" t="s">
        <v>1379</v>
      </c>
      <c r="D7" s="670" t="s">
        <v>1380</v>
      </c>
      <c r="E7" s="671"/>
      <c r="F7" s="672"/>
      <c r="G7" s="672"/>
      <c r="H7" s="671"/>
      <c r="I7" s="673"/>
      <c r="J7" s="595"/>
      <c r="K7" s="235"/>
      <c r="L7" s="696"/>
      <c r="M7" s="697"/>
    </row>
    <row r="8" spans="2:13" ht="43.25" customHeight="1">
      <c r="B8" s="1827" t="s">
        <v>122</v>
      </c>
      <c r="C8" s="1900"/>
      <c r="D8" s="875" t="s">
        <v>1381</v>
      </c>
      <c r="E8" s="354"/>
      <c r="F8" s="354"/>
      <c r="G8" s="354"/>
      <c r="H8" s="354"/>
      <c r="I8" s="857"/>
      <c r="K8" s="463" t="s">
        <v>1421</v>
      </c>
    </row>
    <row r="9" spans="2:13" ht="85.25" customHeight="1">
      <c r="B9" s="1829"/>
      <c r="C9" s="1933"/>
      <c r="D9" s="876" t="s">
        <v>1496</v>
      </c>
      <c r="I9" s="262"/>
      <c r="K9" s="1123" t="s">
        <v>1421</v>
      </c>
    </row>
    <row r="10" spans="2:13" ht="42">
      <c r="B10" s="1829"/>
      <c r="C10" s="1933"/>
      <c r="D10" s="876" t="s">
        <v>1367</v>
      </c>
      <c r="I10" s="262"/>
      <c r="K10" s="1123" t="s">
        <v>1421</v>
      </c>
    </row>
    <row r="11" spans="2:13" ht="42">
      <c r="B11" s="1829"/>
      <c r="C11" s="1933"/>
      <c r="D11" s="876" t="s">
        <v>1232</v>
      </c>
      <c r="I11" s="262"/>
      <c r="K11" s="1123" t="s">
        <v>1421</v>
      </c>
    </row>
    <row r="12" spans="2:13">
      <c r="B12" s="1829"/>
      <c r="C12" s="1933"/>
      <c r="D12" s="876" t="s">
        <v>929</v>
      </c>
      <c r="I12" s="262"/>
      <c r="K12" s="1123" t="s">
        <v>1421</v>
      </c>
    </row>
    <row r="13" spans="2:13">
      <c r="B13" s="1829"/>
      <c r="C13" s="1933"/>
      <c r="D13" s="640" t="s">
        <v>1233</v>
      </c>
      <c r="E13" s="642"/>
      <c r="F13" s="642"/>
      <c r="G13" s="642"/>
      <c r="H13" s="642"/>
      <c r="I13" s="791"/>
      <c r="K13" s="1123" t="s">
        <v>1421</v>
      </c>
    </row>
    <row r="14" spans="2:13" ht="30" customHeight="1" thickBot="1">
      <c r="B14" s="1829"/>
      <c r="C14" s="1933"/>
      <c r="D14" s="937" t="s">
        <v>1175</v>
      </c>
      <c r="E14" s="919"/>
      <c r="F14" s="919"/>
      <c r="G14" s="919"/>
      <c r="H14" s="919"/>
      <c r="I14" s="954"/>
      <c r="J14" s="621"/>
      <c r="K14" s="1123" t="s">
        <v>1421</v>
      </c>
      <c r="L14" s="616"/>
    </row>
    <row r="15" spans="2:13" ht="29" customHeight="1">
      <c r="B15" s="1827" t="s">
        <v>125</v>
      </c>
      <c r="C15" s="866"/>
      <c r="D15" s="886" t="s">
        <v>1234</v>
      </c>
      <c r="E15" s="354"/>
      <c r="F15" s="354"/>
      <c r="G15" s="354"/>
      <c r="H15" s="354"/>
      <c r="I15" s="857"/>
      <c r="K15" s="1123" t="s">
        <v>1421</v>
      </c>
      <c r="L15" s="310" t="s">
        <v>439</v>
      </c>
    </row>
    <row r="16" spans="2:13" s="1400" customFormat="1" ht="43" thickBot="1">
      <c r="B16" s="1831"/>
      <c r="C16" s="1401" t="s">
        <v>1257</v>
      </c>
      <c r="D16" s="1402" t="s">
        <v>1258</v>
      </c>
      <c r="E16" s="1403"/>
      <c r="F16" s="1403"/>
      <c r="G16" s="1403"/>
      <c r="H16" s="1403"/>
      <c r="I16" s="1404"/>
      <c r="J16" s="1405"/>
      <c r="K16" s="1406" t="s">
        <v>1421</v>
      </c>
      <c r="L16" s="1399"/>
    </row>
    <row r="17" spans="2:12">
      <c r="B17" s="1755" t="s">
        <v>143</v>
      </c>
      <c r="C17" s="957" t="s">
        <v>241</v>
      </c>
      <c r="D17" s="588" t="s">
        <v>1227</v>
      </c>
      <c r="E17" s="762"/>
      <c r="F17" s="762"/>
      <c r="G17" s="762"/>
      <c r="H17" s="762"/>
      <c r="I17" s="805"/>
      <c r="K17" s="1123" t="s">
        <v>1406</v>
      </c>
    </row>
    <row r="18" spans="2:12" ht="28">
      <c r="B18" s="1756"/>
      <c r="C18" s="874" t="s">
        <v>242</v>
      </c>
      <c r="D18" s="640" t="s">
        <v>1198</v>
      </c>
      <c r="E18" s="642"/>
      <c r="F18" s="642"/>
      <c r="G18" s="642"/>
      <c r="H18" s="642"/>
      <c r="I18" s="791"/>
      <c r="K18" s="1123" t="s">
        <v>1406</v>
      </c>
      <c r="L18" s="496"/>
    </row>
    <row r="19" spans="2:12">
      <c r="B19" s="1756"/>
      <c r="C19" s="874" t="s">
        <v>243</v>
      </c>
      <c r="D19" s="999" t="s">
        <v>1212</v>
      </c>
      <c r="E19" s="642"/>
      <c r="F19" s="642"/>
      <c r="G19" s="642"/>
      <c r="H19" s="642"/>
      <c r="I19" s="791"/>
      <c r="K19" s="1123" t="s">
        <v>1406</v>
      </c>
      <c r="L19" s="496"/>
    </row>
    <row r="20" spans="2:12" ht="28">
      <c r="B20" s="1756"/>
      <c r="C20" s="1949" t="s">
        <v>244</v>
      </c>
      <c r="D20" s="640" t="s">
        <v>1213</v>
      </c>
      <c r="E20" s="642"/>
      <c r="F20" s="642"/>
      <c r="G20" s="642"/>
      <c r="H20" s="642"/>
      <c r="I20" s="791"/>
      <c r="K20" s="1123" t="s">
        <v>1406</v>
      </c>
      <c r="L20" s="496"/>
    </row>
    <row r="21" spans="2:12" ht="71" thickBot="1">
      <c r="B21" s="1757"/>
      <c r="C21" s="1979"/>
      <c r="D21" s="1004" t="s">
        <v>1214</v>
      </c>
      <c r="E21" s="552"/>
      <c r="F21" s="552"/>
      <c r="G21" s="1082"/>
      <c r="H21" s="552"/>
      <c r="I21" s="725"/>
      <c r="J21" s="362"/>
      <c r="K21" s="1123" t="s">
        <v>1406</v>
      </c>
      <c r="L21" s="585"/>
    </row>
    <row r="22" spans="2:12">
      <c r="B22" s="1755" t="s">
        <v>144</v>
      </c>
      <c r="C22" s="873" t="s">
        <v>245</v>
      </c>
      <c r="D22" s="867" t="s">
        <v>945</v>
      </c>
      <c r="E22" s="589"/>
      <c r="F22" s="589"/>
      <c r="G22" s="589"/>
      <c r="H22" s="589"/>
      <c r="I22" s="723"/>
      <c r="J22" s="362"/>
      <c r="K22" s="1123" t="s">
        <v>1406</v>
      </c>
      <c r="L22" s="586"/>
    </row>
    <row r="23" spans="2:12" ht="15" thickBot="1">
      <c r="B23" s="1757"/>
      <c r="C23" s="1083" t="s">
        <v>246</v>
      </c>
      <c r="D23" s="1004" t="s">
        <v>441</v>
      </c>
      <c r="E23" s="552"/>
      <c r="F23" s="552"/>
      <c r="G23" s="552"/>
      <c r="H23" s="552"/>
      <c r="I23" s="725"/>
      <c r="J23" s="362"/>
      <c r="K23" s="1123" t="s">
        <v>1406</v>
      </c>
      <c r="L23" s="586"/>
    </row>
    <row r="24" spans="2:12">
      <c r="B24" s="1755" t="s">
        <v>141</v>
      </c>
      <c r="C24" s="1761"/>
      <c r="D24" s="1003" t="s">
        <v>1228</v>
      </c>
      <c r="E24" s="589"/>
      <c r="F24" s="589"/>
      <c r="G24" s="589"/>
      <c r="H24" s="589"/>
      <c r="I24" s="723"/>
      <c r="J24" s="362"/>
      <c r="K24" s="1123" t="s">
        <v>1406</v>
      </c>
      <c r="L24" s="463"/>
    </row>
    <row r="25" spans="2:12" ht="61.25" customHeight="1">
      <c r="B25" s="1756"/>
      <c r="C25" s="1762"/>
      <c r="D25" s="640" t="s">
        <v>1242</v>
      </c>
      <c r="E25" s="513"/>
      <c r="F25" s="513"/>
      <c r="G25" s="513"/>
      <c r="H25" s="513"/>
      <c r="I25" s="545"/>
      <c r="J25" s="362"/>
      <c r="K25" s="1123" t="s">
        <v>1406</v>
      </c>
      <c r="L25" s="463"/>
    </row>
    <row r="26" spans="2:12" ht="43" thickBot="1">
      <c r="B26" s="1757"/>
      <c r="C26" s="1763"/>
      <c r="D26" s="769" t="s">
        <v>1243</v>
      </c>
      <c r="E26" s="552"/>
      <c r="F26" s="552"/>
      <c r="G26" s="552"/>
      <c r="H26" s="552"/>
      <c r="I26" s="725"/>
      <c r="J26" s="362"/>
      <c r="K26" s="1123" t="s">
        <v>1406</v>
      </c>
      <c r="L26" s="463"/>
    </row>
    <row r="27" spans="2:12" s="1165" customFormat="1" ht="29" customHeight="1">
      <c r="B27" s="1966" t="s">
        <v>140</v>
      </c>
      <c r="C27" s="1252" t="s">
        <v>442</v>
      </c>
      <c r="D27" s="1316" t="s">
        <v>1250</v>
      </c>
      <c r="E27" s="1236"/>
      <c r="F27" s="1236"/>
      <c r="G27" s="1236"/>
      <c r="H27" s="1236"/>
      <c r="I27" s="1254"/>
      <c r="K27" s="1255" t="s">
        <v>416</v>
      </c>
      <c r="L27" s="1259"/>
    </row>
    <row r="28" spans="2:12" s="1165" customFormat="1">
      <c r="B28" s="1967"/>
      <c r="C28" s="1750" t="s">
        <v>1251</v>
      </c>
      <c r="D28" s="1357" t="s">
        <v>1217</v>
      </c>
      <c r="E28" s="1167"/>
      <c r="F28" s="1167"/>
      <c r="G28" s="1167"/>
      <c r="H28" s="1167"/>
      <c r="I28" s="1168"/>
      <c r="J28" s="1164"/>
      <c r="K28" s="1255" t="s">
        <v>416</v>
      </c>
      <c r="L28" s="1176" t="s">
        <v>1209</v>
      </c>
    </row>
    <row r="29" spans="2:12" s="1165" customFormat="1" ht="28">
      <c r="B29" s="1967"/>
      <c r="C29" s="1750"/>
      <c r="D29" s="1279" t="s">
        <v>951</v>
      </c>
      <c r="E29" s="1262"/>
      <c r="F29" s="1262"/>
      <c r="G29" s="1262"/>
      <c r="H29" s="1262"/>
      <c r="I29" s="1263"/>
      <c r="K29" s="1255" t="s">
        <v>416</v>
      </c>
    </row>
    <row r="30" spans="2:12" ht="42">
      <c r="B30" s="1967"/>
      <c r="C30" s="871" t="s">
        <v>413</v>
      </c>
      <c r="D30" s="640" t="s">
        <v>1230</v>
      </c>
      <c r="E30" s="513"/>
      <c r="F30" s="513"/>
      <c r="G30" s="513"/>
      <c r="H30" s="513"/>
      <c r="I30" s="545"/>
      <c r="J30" s="362"/>
      <c r="K30" s="1123" t="s">
        <v>1421</v>
      </c>
      <c r="L30" s="463"/>
    </row>
    <row r="31" spans="2:12" ht="28">
      <c r="B31" s="1967"/>
      <c r="C31" s="898" t="s">
        <v>1248</v>
      </c>
      <c r="D31" s="640" t="s">
        <v>1249</v>
      </c>
      <c r="E31" s="642"/>
      <c r="F31" s="642"/>
      <c r="G31" s="642"/>
      <c r="H31" s="642"/>
      <c r="I31" s="791"/>
      <c r="K31" s="1123" t="s">
        <v>1421</v>
      </c>
      <c r="L31" s="352"/>
    </row>
    <row r="32" spans="2:12" s="1165" customFormat="1" ht="30.5" customHeight="1">
      <c r="B32" s="1967"/>
      <c r="C32" s="1229" t="s">
        <v>1246</v>
      </c>
      <c r="D32" s="1279" t="s">
        <v>946</v>
      </c>
      <c r="E32" s="1262"/>
      <c r="F32" s="1262"/>
      <c r="G32" s="1262"/>
      <c r="H32" s="1262"/>
      <c r="I32" s="1263"/>
      <c r="K32" s="1335" t="s">
        <v>1466</v>
      </c>
      <c r="L32" s="1259"/>
    </row>
    <row r="33" spans="2:12" ht="42">
      <c r="B33" s="1967"/>
      <c r="C33" s="1754" t="s">
        <v>454</v>
      </c>
      <c r="D33" s="640" t="s">
        <v>1244</v>
      </c>
      <c r="E33" s="642"/>
      <c r="F33" s="642"/>
      <c r="G33" s="642"/>
      <c r="H33" s="642"/>
      <c r="I33" s="791"/>
      <c r="K33" s="1123" t="s">
        <v>1421</v>
      </c>
      <c r="L33" s="352"/>
    </row>
    <row r="34" spans="2:12" ht="80" customHeight="1">
      <c r="B34" s="1967"/>
      <c r="C34" s="1754"/>
      <c r="D34" s="640" t="s">
        <v>1301</v>
      </c>
      <c r="E34" s="642"/>
      <c r="F34" s="642"/>
      <c r="G34" s="642"/>
      <c r="H34" s="642"/>
      <c r="I34" s="791"/>
      <c r="K34" s="1123" t="s">
        <v>1421</v>
      </c>
      <c r="L34" s="463" t="s">
        <v>1247</v>
      </c>
    </row>
    <row r="35" spans="2:12" s="1165" customFormat="1" ht="42">
      <c r="B35" s="1967"/>
      <c r="C35" s="1754" t="s">
        <v>1256</v>
      </c>
      <c r="D35" s="1279" t="s">
        <v>1493</v>
      </c>
      <c r="E35" s="1262"/>
      <c r="F35" s="1262"/>
      <c r="G35" s="1262"/>
      <c r="H35" s="1262"/>
      <c r="I35" s="1263"/>
      <c r="K35" s="1176" t="s">
        <v>1467</v>
      </c>
      <c r="L35" s="1259"/>
    </row>
    <row r="36" spans="2:12" ht="15" thickBot="1">
      <c r="B36" s="1968"/>
      <c r="C36" s="1760"/>
      <c r="D36" s="769" t="s">
        <v>1245</v>
      </c>
      <c r="E36" s="759"/>
      <c r="F36" s="759"/>
      <c r="G36" s="759"/>
      <c r="H36" s="759"/>
      <c r="I36" s="592"/>
      <c r="K36" s="1123" t="s">
        <v>1421</v>
      </c>
      <c r="L36" s="352"/>
    </row>
    <row r="37" spans="2:12" ht="42">
      <c r="B37" s="1966" t="s">
        <v>123</v>
      </c>
      <c r="C37" s="1948" t="s">
        <v>1252</v>
      </c>
      <c r="D37" s="722" t="s">
        <v>1253</v>
      </c>
      <c r="E37" s="762"/>
      <c r="F37" s="762"/>
      <c r="G37" s="762"/>
      <c r="H37" s="762"/>
      <c r="I37" s="805"/>
      <c r="K37" s="1123" t="s">
        <v>1421</v>
      </c>
      <c r="L37" s="352"/>
    </row>
    <row r="38" spans="2:12">
      <c r="B38" s="1967"/>
      <c r="C38" s="1949"/>
      <c r="D38" s="868" t="s">
        <v>1241</v>
      </c>
      <c r="E38" s="642"/>
      <c r="F38" s="642"/>
      <c r="G38" s="642"/>
      <c r="H38" s="642"/>
      <c r="I38" s="791"/>
      <c r="K38" s="1123" t="s">
        <v>1406</v>
      </c>
      <c r="L38" s="352"/>
    </row>
    <row r="39" spans="2:12">
      <c r="B39" s="1967"/>
      <c r="C39" s="1949"/>
      <c r="D39" s="868" t="s">
        <v>947</v>
      </c>
      <c r="E39" s="642"/>
      <c r="F39" s="642"/>
      <c r="G39" s="642"/>
      <c r="H39" s="642"/>
      <c r="I39" s="791"/>
      <c r="K39" s="1123" t="s">
        <v>1421</v>
      </c>
      <c r="L39" s="352"/>
    </row>
    <row r="40" spans="2:12">
      <c r="B40" s="1967"/>
      <c r="C40" s="1949"/>
      <c r="D40" s="640" t="s">
        <v>948</v>
      </c>
      <c r="E40" s="642"/>
      <c r="F40" s="642"/>
      <c r="G40" s="642"/>
      <c r="H40" s="642"/>
      <c r="I40" s="791"/>
      <c r="K40" s="1123" t="s">
        <v>1421</v>
      </c>
      <c r="L40" s="352"/>
    </row>
    <row r="41" spans="2:12" ht="20.5" customHeight="1">
      <c r="B41" s="1967"/>
      <c r="C41" s="1949"/>
      <c r="D41" s="640" t="s">
        <v>1255</v>
      </c>
      <c r="E41" s="642"/>
      <c r="F41" s="642"/>
      <c r="G41" s="642"/>
      <c r="H41" s="642"/>
      <c r="I41" s="791"/>
      <c r="K41" s="1123" t="s">
        <v>1421</v>
      </c>
      <c r="L41" s="352"/>
    </row>
    <row r="42" spans="2:12">
      <c r="B42" s="1967"/>
      <c r="C42" s="871" t="s">
        <v>1261</v>
      </c>
      <c r="D42" s="640" t="s">
        <v>1196</v>
      </c>
      <c r="E42" s="642"/>
      <c r="F42" s="642"/>
      <c r="G42" s="642"/>
      <c r="H42" s="642"/>
      <c r="I42" s="791"/>
      <c r="K42" s="1123" t="s">
        <v>1406</v>
      </c>
    </row>
    <row r="43" spans="2:12" ht="15" thickBot="1">
      <c r="B43" s="1968"/>
      <c r="C43" s="768" t="s">
        <v>1254</v>
      </c>
      <c r="D43" s="769" t="s">
        <v>1364</v>
      </c>
      <c r="E43" s="759"/>
      <c r="F43" s="759"/>
      <c r="G43" s="759"/>
      <c r="H43" s="759"/>
      <c r="I43" s="592"/>
      <c r="K43" s="1123" t="s">
        <v>1421</v>
      </c>
    </row>
    <row r="44" spans="2:12" ht="29" thickBot="1">
      <c r="B44" s="2018" t="s">
        <v>124</v>
      </c>
      <c r="C44" s="2019"/>
      <c r="D44" s="1075" t="s">
        <v>1219</v>
      </c>
      <c r="E44" s="593"/>
      <c r="F44" s="593"/>
      <c r="G44" s="593"/>
      <c r="H44" s="593"/>
      <c r="I44" s="721"/>
      <c r="J44" s="362"/>
      <c r="K44" s="1123" t="s">
        <v>1406</v>
      </c>
      <c r="L44" s="463" t="s">
        <v>941</v>
      </c>
    </row>
    <row r="45" spans="2:12" ht="15" thickBot="1">
      <c r="B45" s="2018" t="s">
        <v>132</v>
      </c>
      <c r="C45" s="2019"/>
      <c r="D45" s="1075" t="s">
        <v>397</v>
      </c>
      <c r="E45" s="593"/>
      <c r="F45" s="593"/>
      <c r="G45" s="720"/>
      <c r="H45" s="593"/>
      <c r="I45" s="721"/>
      <c r="J45" s="362"/>
      <c r="K45" s="463" t="s">
        <v>935</v>
      </c>
      <c r="L45" s="463"/>
    </row>
    <row r="46" spans="2:12" ht="15" thickBot="1">
      <c r="B46" s="2018" t="s">
        <v>133</v>
      </c>
      <c r="C46" s="2019"/>
      <c r="D46" s="1084" t="s">
        <v>298</v>
      </c>
      <c r="E46" s="593"/>
      <c r="F46" s="593"/>
      <c r="G46" s="720"/>
      <c r="H46" s="593"/>
      <c r="I46" s="721"/>
      <c r="J46" s="362"/>
      <c r="K46" s="1123" t="s">
        <v>935</v>
      </c>
      <c r="L46" s="463" t="s">
        <v>942</v>
      </c>
    </row>
    <row r="47" spans="2:12" ht="15" thickBot="1">
      <c r="B47" s="2096" t="s">
        <v>134</v>
      </c>
      <c r="C47" s="2096"/>
      <c r="D47" s="1085" t="s">
        <v>298</v>
      </c>
      <c r="E47" s="1086"/>
      <c r="F47" s="626"/>
      <c r="G47" s="626"/>
      <c r="H47" s="626"/>
      <c r="I47" s="626"/>
      <c r="J47" s="362"/>
      <c r="K47" s="1123" t="s">
        <v>935</v>
      </c>
      <c r="L47" s="463"/>
    </row>
    <row r="48" spans="2:12">
      <c r="B48" s="1755" t="s">
        <v>135</v>
      </c>
      <c r="C48" s="1948" t="s">
        <v>248</v>
      </c>
      <c r="D48" s="1005" t="s">
        <v>323</v>
      </c>
      <c r="E48" s="589"/>
      <c r="F48" s="589"/>
      <c r="G48" s="589"/>
      <c r="H48" s="589"/>
      <c r="I48" s="723"/>
      <c r="J48" s="362"/>
      <c r="K48" s="1123" t="s">
        <v>1406</v>
      </c>
      <c r="L48" s="463"/>
    </row>
    <row r="49" spans="1:12" ht="28">
      <c r="B49" s="1756"/>
      <c r="C49" s="1949"/>
      <c r="D49" s="640" t="s">
        <v>1259</v>
      </c>
      <c r="E49" s="868"/>
      <c r="F49" s="868"/>
      <c r="G49" s="868"/>
      <c r="H49" s="868"/>
      <c r="I49" s="795"/>
      <c r="J49" s="621"/>
      <c r="K49" s="1123" t="s">
        <v>1406</v>
      </c>
      <c r="L49" s="616"/>
    </row>
    <row r="50" spans="1:12" ht="42">
      <c r="B50" s="1756"/>
      <c r="C50" s="1949"/>
      <c r="D50" s="1001" t="s">
        <v>1260</v>
      </c>
      <c r="E50" s="513"/>
      <c r="F50" s="513"/>
      <c r="G50" s="513"/>
      <c r="H50" s="513"/>
      <c r="I50" s="545"/>
      <c r="J50" s="362"/>
      <c r="K50" s="1123" t="s">
        <v>1406</v>
      </c>
      <c r="L50" s="463"/>
    </row>
    <row r="51" spans="1:12">
      <c r="B51" s="1756"/>
      <c r="C51" s="1949"/>
      <c r="D51" s="1001" t="s">
        <v>1221</v>
      </c>
      <c r="E51" s="513"/>
      <c r="F51" s="513"/>
      <c r="G51" s="513"/>
      <c r="H51" s="513"/>
      <c r="I51" s="545"/>
      <c r="J51" s="362"/>
      <c r="K51" s="1123" t="s">
        <v>1406</v>
      </c>
      <c r="L51" s="463"/>
    </row>
    <row r="52" spans="1:12">
      <c r="B52" s="1756"/>
      <c r="C52" s="1949" t="s">
        <v>249</v>
      </c>
      <c r="D52" s="1001" t="s">
        <v>1220</v>
      </c>
      <c r="E52" s="513"/>
      <c r="F52" s="513"/>
      <c r="G52" s="513"/>
      <c r="H52" s="513"/>
      <c r="I52" s="545"/>
      <c r="J52" s="362"/>
      <c r="K52" s="1123" t="s">
        <v>1406</v>
      </c>
      <c r="L52" s="463" t="s">
        <v>943</v>
      </c>
    </row>
    <row r="53" spans="1:12">
      <c r="B53" s="1756"/>
      <c r="C53" s="1949"/>
      <c r="D53" s="1001" t="s">
        <v>1221</v>
      </c>
      <c r="E53" s="513"/>
      <c r="F53" s="513"/>
      <c r="G53" s="513"/>
      <c r="H53" s="513"/>
      <c r="I53" s="545"/>
      <c r="J53" s="362"/>
      <c r="K53" s="1123" t="s">
        <v>1406</v>
      </c>
      <c r="L53" s="463"/>
    </row>
    <row r="54" spans="1:12" ht="42">
      <c r="B54" s="1756"/>
      <c r="C54" s="1949"/>
      <c r="D54" s="1001" t="s">
        <v>1231</v>
      </c>
      <c r="E54" s="513"/>
      <c r="F54" s="513"/>
      <c r="G54" s="513"/>
      <c r="H54" s="513"/>
      <c r="I54" s="545"/>
      <c r="J54" s="362"/>
      <c r="K54" s="1123" t="s">
        <v>1406</v>
      </c>
      <c r="L54" s="463"/>
    </row>
    <row r="55" spans="1:12" ht="15" thickBot="1">
      <c r="B55" s="1757"/>
      <c r="C55" s="770" t="s">
        <v>250</v>
      </c>
      <c r="D55" s="1006" t="s">
        <v>298</v>
      </c>
      <c r="E55" s="552"/>
      <c r="F55" s="552"/>
      <c r="G55" s="552"/>
      <c r="H55" s="552"/>
      <c r="I55" s="725"/>
      <c r="J55" s="362"/>
      <c r="K55" s="504" t="s">
        <v>935</v>
      </c>
      <c r="L55" s="463"/>
    </row>
    <row r="56" spans="1:12" ht="43.25" customHeight="1">
      <c r="A56" s="1858" t="s">
        <v>137</v>
      </c>
      <c r="B56" s="1755" t="s">
        <v>138</v>
      </c>
      <c r="C56" s="1948" t="s">
        <v>438</v>
      </c>
      <c r="D56" s="722" t="s">
        <v>1235</v>
      </c>
      <c r="E56" s="762"/>
      <c r="F56" s="762"/>
      <c r="G56" s="762"/>
      <c r="H56" s="762"/>
      <c r="I56" s="805"/>
      <c r="K56" s="1123" t="s">
        <v>1406</v>
      </c>
    </row>
    <row r="57" spans="1:12" ht="42">
      <c r="A57" s="1859"/>
      <c r="B57" s="1756"/>
      <c r="C57" s="1949"/>
      <c r="D57" s="640" t="s">
        <v>1236</v>
      </c>
      <c r="E57" s="642"/>
      <c r="F57" s="642"/>
      <c r="G57" s="642"/>
      <c r="H57" s="642"/>
      <c r="I57" s="791"/>
      <c r="K57" s="1123" t="s">
        <v>1406</v>
      </c>
    </row>
    <row r="58" spans="1:12">
      <c r="A58" s="1859"/>
      <c r="B58" s="1756"/>
      <c r="C58" s="874" t="s">
        <v>251</v>
      </c>
      <c r="D58" s="868" t="s">
        <v>397</v>
      </c>
      <c r="E58" s="642"/>
      <c r="F58" s="642"/>
      <c r="G58" s="642"/>
      <c r="H58" s="642"/>
      <c r="I58" s="791"/>
      <c r="K58" s="1121" t="s">
        <v>935</v>
      </c>
    </row>
    <row r="59" spans="1:12" ht="29" customHeight="1">
      <c r="A59" s="1859"/>
      <c r="B59" s="1756"/>
      <c r="C59" s="874" t="s">
        <v>252</v>
      </c>
      <c r="D59" s="640" t="s">
        <v>1237</v>
      </c>
      <c r="E59" s="642"/>
      <c r="F59" s="642"/>
      <c r="G59" s="642"/>
      <c r="H59" s="642"/>
      <c r="I59" s="791"/>
      <c r="K59" s="1123" t="s">
        <v>1406</v>
      </c>
    </row>
    <row r="60" spans="1:12">
      <c r="A60" s="1859"/>
      <c r="B60" s="1756"/>
      <c r="C60" s="874" t="s">
        <v>253</v>
      </c>
      <c r="D60" s="868" t="s">
        <v>397</v>
      </c>
      <c r="E60" s="642"/>
      <c r="F60" s="642"/>
      <c r="G60" s="642"/>
      <c r="H60" s="642"/>
      <c r="I60" s="791"/>
      <c r="K60" s="1121" t="s">
        <v>935</v>
      </c>
    </row>
    <row r="61" spans="1:12">
      <c r="A61" s="1859"/>
      <c r="B61" s="1756"/>
      <c r="C61" s="874" t="s">
        <v>254</v>
      </c>
      <c r="D61" s="868" t="s">
        <v>397</v>
      </c>
      <c r="E61" s="642"/>
      <c r="F61" s="642"/>
      <c r="G61" s="642"/>
      <c r="H61" s="642"/>
      <c r="I61" s="791"/>
      <c r="K61" s="1121" t="s">
        <v>935</v>
      </c>
    </row>
    <row r="62" spans="1:12">
      <c r="A62" s="1859"/>
      <c r="B62" s="1756"/>
      <c r="C62" s="874" t="s">
        <v>255</v>
      </c>
      <c r="D62" s="868" t="s">
        <v>397</v>
      </c>
      <c r="E62" s="642"/>
      <c r="F62" s="642"/>
      <c r="G62" s="642"/>
      <c r="H62" s="642"/>
      <c r="I62" s="791"/>
      <c r="K62" s="1121" t="s">
        <v>935</v>
      </c>
    </row>
    <row r="63" spans="1:12" ht="29" thickBot="1">
      <c r="A63" s="1859"/>
      <c r="B63" s="1757"/>
      <c r="C63" s="770" t="s">
        <v>1238</v>
      </c>
      <c r="D63" s="769" t="s">
        <v>1239</v>
      </c>
      <c r="E63" s="759"/>
      <c r="F63" s="759"/>
      <c r="G63" s="759"/>
      <c r="H63" s="759"/>
      <c r="I63" s="592"/>
      <c r="K63" s="1123" t="s">
        <v>1406</v>
      </c>
    </row>
    <row r="64" spans="1:12">
      <c r="A64" s="1859"/>
      <c r="B64" s="1755" t="s">
        <v>139</v>
      </c>
      <c r="C64" s="873" t="s">
        <v>256</v>
      </c>
      <c r="D64" s="867" t="s">
        <v>397</v>
      </c>
      <c r="E64" s="762"/>
      <c r="F64" s="762"/>
      <c r="G64" s="762"/>
      <c r="H64" s="762"/>
      <c r="I64" s="805"/>
      <c r="K64" s="463" t="s">
        <v>935</v>
      </c>
    </row>
    <row r="65" spans="1:11" ht="15" thickBot="1">
      <c r="A65" s="1859"/>
      <c r="B65" s="1757"/>
      <c r="C65" s="770" t="s">
        <v>257</v>
      </c>
      <c r="D65" s="869" t="s">
        <v>397</v>
      </c>
      <c r="E65" s="759"/>
      <c r="F65" s="759"/>
      <c r="G65" s="759"/>
      <c r="H65" s="759"/>
      <c r="I65" s="592"/>
      <c r="K65" s="1123" t="s">
        <v>935</v>
      </c>
    </row>
    <row r="66" spans="1:11" ht="28">
      <c r="A66" s="1859"/>
      <c r="B66" s="1755" t="s">
        <v>142</v>
      </c>
      <c r="C66" s="1761"/>
      <c r="D66" s="722" t="s">
        <v>1240</v>
      </c>
      <c r="E66" s="762"/>
      <c r="F66" s="762"/>
      <c r="G66" s="762"/>
      <c r="H66" s="762"/>
      <c r="I66" s="805"/>
      <c r="K66" s="1123" t="s">
        <v>1406</v>
      </c>
    </row>
    <row r="67" spans="1:11" ht="29" thickBot="1">
      <c r="A67" s="1859"/>
      <c r="B67" s="1757"/>
      <c r="C67" s="1763"/>
      <c r="D67" s="797" t="s">
        <v>1262</v>
      </c>
      <c r="E67" s="759"/>
      <c r="F67" s="759"/>
      <c r="G67" s="759"/>
      <c r="H67" s="759"/>
      <c r="I67" s="592"/>
      <c r="K67" s="1123" t="s">
        <v>1406</v>
      </c>
    </row>
    <row r="68" spans="1:11" ht="28">
      <c r="A68" s="1859"/>
      <c r="B68" s="1935" t="s">
        <v>952</v>
      </c>
      <c r="C68" s="2004"/>
      <c r="D68" s="722" t="s">
        <v>953</v>
      </c>
      <c r="E68" s="762"/>
      <c r="F68" s="762"/>
      <c r="G68" s="762"/>
      <c r="H68" s="762"/>
      <c r="I68" s="805"/>
      <c r="K68" s="1123" t="s">
        <v>1406</v>
      </c>
    </row>
    <row r="69" spans="1:11" ht="43" thickBot="1">
      <c r="A69" s="1859"/>
      <c r="B69" s="1958"/>
      <c r="C69" s="2005"/>
      <c r="D69" s="769" t="s">
        <v>954</v>
      </c>
      <c r="E69" s="759"/>
      <c r="F69" s="759"/>
      <c r="G69" s="759"/>
      <c r="H69" s="759"/>
      <c r="I69" s="592"/>
      <c r="K69" s="1123" t="s">
        <v>1406</v>
      </c>
    </row>
    <row r="70" spans="1:11">
      <c r="A70" s="1859"/>
      <c r="B70" s="1755" t="s">
        <v>264</v>
      </c>
      <c r="C70" s="1761"/>
      <c r="D70" s="879" t="s">
        <v>1263</v>
      </c>
      <c r="E70" s="809"/>
      <c r="F70" s="762"/>
      <c r="G70" s="762"/>
      <c r="H70" s="762"/>
      <c r="I70" s="805"/>
      <c r="K70" s="1123" t="s">
        <v>1406</v>
      </c>
    </row>
    <row r="71" spans="1:11">
      <c r="A71" s="1859"/>
      <c r="B71" s="1756"/>
      <c r="C71" s="1762"/>
      <c r="D71" s="880" t="s">
        <v>771</v>
      </c>
      <c r="E71" s="644"/>
      <c r="F71" s="642"/>
      <c r="G71" s="642"/>
      <c r="H71" s="642"/>
      <c r="I71" s="791"/>
      <c r="K71" s="504"/>
    </row>
    <row r="72" spans="1:11" ht="18.5" customHeight="1" thickBot="1">
      <c r="A72" s="1860"/>
      <c r="B72" s="1757"/>
      <c r="C72" s="1763"/>
      <c r="D72" s="1007" t="s">
        <v>955</v>
      </c>
      <c r="E72" s="759"/>
      <c r="F72" s="759"/>
      <c r="G72" s="759"/>
      <c r="H72" s="759"/>
      <c r="I72" s="592"/>
      <c r="K72" s="1123" t="s">
        <v>1406</v>
      </c>
    </row>
    <row r="73" spans="1:11" ht="18.5" customHeight="1">
      <c r="C73" s="617"/>
      <c r="D73" s="624"/>
    </row>
    <row r="74" spans="1:11" ht="18.5" customHeight="1">
      <c r="C74" s="617"/>
      <c r="D74" s="624"/>
    </row>
    <row r="75" spans="1:11" ht="18.5" customHeight="1">
      <c r="C75" s="617"/>
      <c r="D75" s="624"/>
    </row>
    <row r="76" spans="1:11" ht="18.5" customHeight="1">
      <c r="C76" s="617"/>
      <c r="D76" s="624"/>
    </row>
    <row r="77" spans="1:11" ht="18.5" customHeight="1">
      <c r="C77" s="617"/>
      <c r="D77" s="624"/>
    </row>
    <row r="78" spans="1:11" ht="18.5" customHeight="1">
      <c r="C78" s="617"/>
      <c r="D78" s="624"/>
    </row>
    <row r="79" spans="1:11" ht="18.5" customHeight="1">
      <c r="C79" s="617"/>
      <c r="D79" s="624"/>
    </row>
    <row r="80" spans="1:11" ht="17.5" customHeight="1">
      <c r="C80" s="617"/>
    </row>
    <row r="82" spans="3:3" ht="18" customHeight="1">
      <c r="C82" s="617"/>
    </row>
    <row r="83" spans="3:3" ht="44.5" customHeight="1">
      <c r="C83" s="617"/>
    </row>
  </sheetData>
  <autoFilter ref="K1:K83"/>
  <mergeCells count="30">
    <mergeCell ref="B15:B16"/>
    <mergeCell ref="B17:B21"/>
    <mergeCell ref="C20:C21"/>
    <mergeCell ref="B22:B23"/>
    <mergeCell ref="B2:I2"/>
    <mergeCell ref="E5:I5"/>
    <mergeCell ref="E3:I3"/>
    <mergeCell ref="E4:I4"/>
    <mergeCell ref="B8:C14"/>
    <mergeCell ref="B24:C26"/>
    <mergeCell ref="B27:B36"/>
    <mergeCell ref="C28:C29"/>
    <mergeCell ref="C33:C34"/>
    <mergeCell ref="C35:C36"/>
    <mergeCell ref="B47:C47"/>
    <mergeCell ref="C48:C51"/>
    <mergeCell ref="C52:C54"/>
    <mergeCell ref="B48:B55"/>
    <mergeCell ref="B37:B43"/>
    <mergeCell ref="C37:C41"/>
    <mergeCell ref="B44:C44"/>
    <mergeCell ref="B45:C45"/>
    <mergeCell ref="B46:C46"/>
    <mergeCell ref="B70:C72"/>
    <mergeCell ref="A56:A72"/>
    <mergeCell ref="B56:B63"/>
    <mergeCell ref="C56:C57"/>
    <mergeCell ref="B64:B65"/>
    <mergeCell ref="B66:C67"/>
    <mergeCell ref="B68:C69"/>
  </mergeCells>
  <pageMargins left="0.70866141732283472" right="0.70866141732283472" top="0.74803149606299213" bottom="0.74803149606299213" header="0.31496062992125984" footer="0.31496062992125984"/>
  <pageSetup scale="62" fitToHeight="0" orientation="portrait"/>
  <rowBreaks count="2" manualBreakCount="2">
    <brk id="26" max="8" man="1"/>
    <brk id="55"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27833447-348C-4498-9431-6065C22929C9}">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enableFormatConditionsCalculation="0">
    <tabColor theme="6" tint="0.59999389629810485"/>
    <pageSetUpPr fitToPage="1"/>
  </sheetPr>
  <dimension ref="A1:N56"/>
  <sheetViews>
    <sheetView zoomScaleSheetLayoutView="80" workbookViewId="0">
      <selection activeCell="K8" sqref="K8:K14"/>
    </sheetView>
  </sheetViews>
  <sheetFormatPr baseColWidth="10" defaultColWidth="11.5" defaultRowHeight="14" x14ac:dyDescent="0"/>
  <cols>
    <col min="1" max="1" width="2.83203125" style="310" customWidth="1"/>
    <col min="2" max="3" width="30.6640625" style="310" customWidth="1"/>
    <col min="4" max="4" width="50.6640625" style="310" customWidth="1"/>
    <col min="5" max="9" width="3.6640625" style="310" customWidth="1"/>
    <col min="10" max="10" width="7.5" style="81" customWidth="1"/>
    <col min="11" max="11" width="50.6640625" style="310" customWidth="1"/>
    <col min="12" max="12" width="30.6640625" style="310" customWidth="1"/>
    <col min="13" max="13" width="3.5" style="310" customWidth="1"/>
    <col min="14" max="14" width="11.5" style="310" customWidth="1"/>
    <col min="15" max="16384" width="11.5" style="310"/>
  </cols>
  <sheetData>
    <row r="1" spans="2:14" ht="15" thickBot="1"/>
    <row r="2" spans="2:14" s="81" customFormat="1" ht="69" customHeight="1" thickBot="1">
      <c r="B2" s="1743"/>
      <c r="C2" s="1744"/>
      <c r="D2" s="1744"/>
      <c r="E2" s="1744"/>
      <c r="F2" s="1744"/>
      <c r="G2" s="1744"/>
      <c r="H2" s="1744"/>
      <c r="I2" s="1745"/>
      <c r="J2" s="382"/>
      <c r="K2" s="507"/>
      <c r="L2" s="507"/>
      <c r="M2" s="362"/>
    </row>
    <row r="3" spans="2:14" s="81" customFormat="1" ht="25.25" customHeight="1" thickBot="1">
      <c r="B3" s="820" t="s">
        <v>1385</v>
      </c>
      <c r="C3" s="821"/>
      <c r="D3" s="822"/>
      <c r="E3" s="1746" t="str">
        <f>+'PROGRAMA ARQ.'!E4</f>
        <v>2 SALAS CUNAS</v>
      </c>
      <c r="F3" s="1747"/>
      <c r="G3" s="1747"/>
      <c r="H3" s="1747"/>
      <c r="I3" s="1748"/>
      <c r="J3" s="382"/>
      <c r="K3" s="507"/>
      <c r="L3" s="507"/>
      <c r="M3" s="362"/>
    </row>
    <row r="4" spans="2:14" s="81" customFormat="1" ht="25.25" customHeight="1" thickBot="1">
      <c r="B4" s="823">
        <f>+'PROGRAMA ARQ.'!I4:I5</f>
        <v>152</v>
      </c>
      <c r="C4" s="505"/>
      <c r="D4" s="661"/>
      <c r="E4" s="1737" t="str">
        <f>+'PROGRAMA ARQ.'!E5</f>
        <v>4 NIVELES MEDIOS</v>
      </c>
      <c r="F4" s="1738"/>
      <c r="G4" s="1738"/>
      <c r="H4" s="1738"/>
      <c r="I4" s="1739"/>
      <c r="J4" s="382"/>
      <c r="K4" s="507"/>
      <c r="L4" s="507"/>
      <c r="M4" s="362"/>
    </row>
    <row r="5" spans="2:14" s="81" customFormat="1" ht="15" thickBot="1">
      <c r="B5" s="695" t="s">
        <v>1374</v>
      </c>
      <c r="C5" s="235" t="s">
        <v>1375</v>
      </c>
      <c r="D5" s="235" t="s">
        <v>1376</v>
      </c>
      <c r="E5" s="1818" t="s">
        <v>1377</v>
      </c>
      <c r="F5" s="1819"/>
      <c r="G5" s="1819"/>
      <c r="H5" s="1819"/>
      <c r="I5" s="1820"/>
      <c r="J5" s="675"/>
      <c r="K5" s="507"/>
      <c r="L5" s="507"/>
      <c r="M5" s="362"/>
    </row>
    <row r="6" spans="2:14" s="616" customFormat="1" ht="71" thickBot="1">
      <c r="B6" s="708" t="str">
        <f>+'PROGRAMA ARQ.'!C59</f>
        <v>6.4</v>
      </c>
      <c r="C6" s="708" t="str">
        <f>+'PROGRAMA ARQ.'!D59</f>
        <v>PATIO SERVICIO</v>
      </c>
      <c r="D6" s="825">
        <f>+'PROGRAMA ARQ.'!I59</f>
        <v>18</v>
      </c>
      <c r="E6" s="680" t="s">
        <v>366</v>
      </c>
      <c r="F6" s="681" t="s">
        <v>544</v>
      </c>
      <c r="G6" s="681" t="s">
        <v>2</v>
      </c>
      <c r="H6" s="681" t="s">
        <v>171</v>
      </c>
      <c r="I6" s="682" t="s">
        <v>172</v>
      </c>
      <c r="J6" s="608"/>
      <c r="K6" s="698" t="s">
        <v>293</v>
      </c>
      <c r="L6" s="699" t="s">
        <v>120</v>
      </c>
      <c r="M6" s="843" t="s">
        <v>178</v>
      </c>
    </row>
    <row r="7" spans="2:14" s="367" customFormat="1" ht="16" thickBot="1">
      <c r="B7" s="719" t="s">
        <v>1378</v>
      </c>
      <c r="C7" s="719" t="s">
        <v>1379</v>
      </c>
      <c r="D7" s="666" t="s">
        <v>1380</v>
      </c>
      <c r="E7" s="663"/>
      <c r="F7" s="664"/>
      <c r="G7" s="664"/>
      <c r="H7" s="663"/>
      <c r="I7" s="665"/>
      <c r="J7" s="595"/>
      <c r="K7" s="235"/>
      <c r="L7" s="696"/>
      <c r="M7" s="697"/>
    </row>
    <row r="8" spans="2:14" ht="182">
      <c r="B8" s="2027" t="s">
        <v>122</v>
      </c>
      <c r="C8" s="2028"/>
      <c r="D8" s="859" t="s">
        <v>1381</v>
      </c>
      <c r="E8" s="354"/>
      <c r="F8" s="354"/>
      <c r="G8" s="859"/>
      <c r="H8" s="354"/>
      <c r="I8" s="857"/>
      <c r="N8" s="310">
        <f>G8</f>
        <v>0</v>
      </c>
    </row>
    <row r="9" spans="2:14">
      <c r="B9" s="2099"/>
      <c r="C9" s="2100"/>
      <c r="D9" s="587" t="s">
        <v>1264</v>
      </c>
      <c r="G9" s="370"/>
      <c r="I9" s="262"/>
    </row>
    <row r="10" spans="2:14" ht="15" thickBot="1">
      <c r="B10" s="2101"/>
      <c r="C10" s="2102"/>
      <c r="D10" s="345" t="s">
        <v>1367</v>
      </c>
      <c r="E10" s="345"/>
      <c r="F10" s="345"/>
      <c r="G10" s="345"/>
      <c r="H10" s="345"/>
      <c r="I10" s="346"/>
    </row>
    <row r="11" spans="2:14">
      <c r="B11" s="1755" t="s">
        <v>1388</v>
      </c>
      <c r="C11" s="2020"/>
      <c r="D11" s="809" t="s">
        <v>1276</v>
      </c>
      <c r="E11" s="762"/>
      <c r="F11" s="762"/>
      <c r="G11" s="762"/>
      <c r="H11" s="762"/>
      <c r="I11" s="805"/>
      <c r="K11" s="464" t="s">
        <v>1406</v>
      </c>
    </row>
    <row r="12" spans="2:14" ht="28">
      <c r="B12" s="1967"/>
      <c r="C12" s="2021"/>
      <c r="D12" s="644" t="s">
        <v>1277</v>
      </c>
      <c r="E12" s="642"/>
      <c r="F12" s="642"/>
      <c r="G12" s="642"/>
      <c r="H12" s="642"/>
      <c r="I12" s="791"/>
      <c r="K12" s="464" t="s">
        <v>1406</v>
      </c>
    </row>
    <row r="13" spans="2:14">
      <c r="B13" s="1967"/>
      <c r="C13" s="2021"/>
      <c r="D13" s="644" t="s">
        <v>1195</v>
      </c>
      <c r="E13" s="642"/>
      <c r="F13" s="642"/>
      <c r="G13" s="642"/>
      <c r="H13" s="642"/>
      <c r="I13" s="791"/>
      <c r="K13" s="464" t="s">
        <v>1406</v>
      </c>
    </row>
    <row r="14" spans="2:14">
      <c r="B14" s="1967"/>
      <c r="C14" s="2021"/>
      <c r="D14" s="644" t="s">
        <v>1278</v>
      </c>
      <c r="E14" s="642"/>
      <c r="F14" s="642"/>
      <c r="G14" s="642"/>
      <c r="H14" s="642"/>
      <c r="I14" s="791"/>
      <c r="K14" s="464" t="s">
        <v>1406</v>
      </c>
    </row>
    <row r="15" spans="2:14" ht="15" thickBot="1">
      <c r="B15" s="1968"/>
      <c r="C15" s="2022"/>
      <c r="D15" s="1012" t="s">
        <v>1275</v>
      </c>
      <c r="E15" s="759"/>
      <c r="F15" s="759"/>
      <c r="G15" s="759"/>
      <c r="H15" s="759"/>
      <c r="I15" s="592"/>
      <c r="K15" s="464" t="s">
        <v>1406</v>
      </c>
    </row>
    <row r="16" spans="2:14">
      <c r="B16" s="1966" t="s">
        <v>143</v>
      </c>
      <c r="C16" s="1014" t="s">
        <v>241</v>
      </c>
      <c r="D16" s="812" t="s">
        <v>1270</v>
      </c>
      <c r="E16" s="762"/>
      <c r="F16" s="762"/>
      <c r="G16" s="762"/>
      <c r="H16" s="762"/>
      <c r="I16" s="805"/>
      <c r="K16" s="464" t="s">
        <v>1406</v>
      </c>
      <c r="L16" s="358"/>
    </row>
    <row r="17" spans="2:11" ht="28">
      <c r="B17" s="1967"/>
      <c r="C17" s="1009" t="s">
        <v>242</v>
      </c>
      <c r="D17" s="644" t="s">
        <v>1272</v>
      </c>
      <c r="E17" s="642"/>
      <c r="F17" s="642"/>
      <c r="G17" s="642"/>
      <c r="H17" s="642"/>
      <c r="I17" s="791"/>
      <c r="K17" s="464" t="s">
        <v>1406</v>
      </c>
    </row>
    <row r="18" spans="2:11">
      <c r="B18" s="1967"/>
      <c r="C18" s="1009" t="s">
        <v>243</v>
      </c>
      <c r="D18" s="646" t="s">
        <v>391</v>
      </c>
      <c r="E18" s="642"/>
      <c r="F18" s="642"/>
      <c r="G18" s="645"/>
      <c r="H18" s="642"/>
      <c r="I18" s="791"/>
      <c r="K18" s="1250" t="s">
        <v>935</v>
      </c>
    </row>
    <row r="19" spans="2:11" ht="29" thickBot="1">
      <c r="B19" s="1968"/>
      <c r="C19" s="1021" t="s">
        <v>244</v>
      </c>
      <c r="D19" s="1016" t="s">
        <v>1271</v>
      </c>
      <c r="E19" s="759"/>
      <c r="F19" s="759"/>
      <c r="G19" s="813"/>
      <c r="H19" s="759"/>
      <c r="I19" s="592"/>
      <c r="K19" s="464" t="s">
        <v>1406</v>
      </c>
    </row>
    <row r="20" spans="2:11">
      <c r="B20" s="1966" t="s">
        <v>144</v>
      </c>
      <c r="C20" s="1014" t="s">
        <v>245</v>
      </c>
      <c r="D20" s="761" t="s">
        <v>1265</v>
      </c>
      <c r="E20" s="762"/>
      <c r="F20" s="762"/>
      <c r="G20" s="762"/>
      <c r="H20" s="762"/>
      <c r="I20" s="805"/>
      <c r="K20" s="464" t="s">
        <v>1406</v>
      </c>
    </row>
    <row r="21" spans="2:11" ht="15" thickBot="1">
      <c r="B21" s="1968"/>
      <c r="C21" s="1015" t="s">
        <v>246</v>
      </c>
      <c r="D21" s="1016" t="s">
        <v>956</v>
      </c>
      <c r="E21" s="759"/>
      <c r="F21" s="759"/>
      <c r="G21" s="759"/>
      <c r="H21" s="759"/>
      <c r="I21" s="592"/>
      <c r="K21" s="464" t="s">
        <v>1406</v>
      </c>
    </row>
    <row r="22" spans="2:11" ht="57" thickBot="1">
      <c r="B22" s="2032" t="s">
        <v>141</v>
      </c>
      <c r="C22" s="2033"/>
      <c r="D22" s="1091" t="s">
        <v>1266</v>
      </c>
      <c r="E22" s="750"/>
      <c r="F22" s="750"/>
      <c r="G22" s="750"/>
      <c r="H22" s="750"/>
      <c r="I22" s="810"/>
      <c r="K22" s="464" t="s">
        <v>1406</v>
      </c>
    </row>
    <row r="23" spans="2:11" ht="28">
      <c r="B23" s="1966" t="s">
        <v>140</v>
      </c>
      <c r="C23" s="2020"/>
      <c r="D23" s="809" t="s">
        <v>1267</v>
      </c>
      <c r="E23" s="762"/>
      <c r="F23" s="762"/>
      <c r="G23" s="762"/>
      <c r="H23" s="762"/>
      <c r="I23" s="805"/>
      <c r="K23" s="464" t="s">
        <v>436</v>
      </c>
    </row>
    <row r="24" spans="2:11" ht="28">
      <c r="B24" s="1967"/>
      <c r="C24" s="2021"/>
      <c r="D24" s="644" t="s">
        <v>1268</v>
      </c>
      <c r="E24" s="642"/>
      <c r="F24" s="642"/>
      <c r="G24" s="642"/>
      <c r="H24" s="642"/>
      <c r="I24" s="791"/>
      <c r="K24" s="1250" t="s">
        <v>1454</v>
      </c>
    </row>
    <row r="25" spans="2:11" ht="15" thickBot="1">
      <c r="B25" s="1968"/>
      <c r="C25" s="2022"/>
      <c r="D25" s="1012" t="s">
        <v>1297</v>
      </c>
      <c r="E25" s="759"/>
      <c r="F25" s="759"/>
      <c r="G25" s="759"/>
      <c r="H25" s="759"/>
      <c r="I25" s="592"/>
      <c r="K25" s="1250" t="s">
        <v>1454</v>
      </c>
    </row>
    <row r="26" spans="2:11" ht="70">
      <c r="B26" s="1966" t="s">
        <v>123</v>
      </c>
      <c r="C26" s="957" t="s">
        <v>1269</v>
      </c>
      <c r="D26" s="809" t="s">
        <v>1279</v>
      </c>
      <c r="E26" s="762"/>
      <c r="F26" s="762"/>
      <c r="G26" s="762"/>
      <c r="H26" s="762"/>
      <c r="I26" s="805"/>
      <c r="K26" s="464" t="s">
        <v>1406</v>
      </c>
    </row>
    <row r="27" spans="2:11" ht="56">
      <c r="B27" s="1967"/>
      <c r="C27" s="898" t="s">
        <v>1273</v>
      </c>
      <c r="D27" s="899" t="s">
        <v>1280</v>
      </c>
      <c r="E27" s="642"/>
      <c r="F27" s="642"/>
      <c r="G27" s="642"/>
      <c r="H27" s="642"/>
      <c r="I27" s="791"/>
      <c r="K27" s="464" t="s">
        <v>1406</v>
      </c>
    </row>
    <row r="28" spans="2:11" ht="28">
      <c r="B28" s="1967"/>
      <c r="C28" s="898" t="s">
        <v>1274</v>
      </c>
      <c r="D28" s="644" t="s">
        <v>1282</v>
      </c>
      <c r="E28" s="642"/>
      <c r="F28" s="642"/>
      <c r="G28" s="642"/>
      <c r="H28" s="642"/>
      <c r="I28" s="791"/>
      <c r="K28" s="464" t="s">
        <v>1406</v>
      </c>
    </row>
    <row r="29" spans="2:11" ht="15" thickBot="1">
      <c r="B29" s="1968"/>
      <c r="C29" s="34" t="s">
        <v>1281</v>
      </c>
      <c r="D29" s="781" t="s">
        <v>1283</v>
      </c>
      <c r="E29" s="759"/>
      <c r="F29" s="759"/>
      <c r="G29" s="759"/>
      <c r="H29" s="759"/>
      <c r="I29" s="592"/>
      <c r="K29" s="464" t="s">
        <v>1406</v>
      </c>
    </row>
    <row r="30" spans="2:11" s="81" customFormat="1" ht="15" thickBot="1">
      <c r="B30" s="2050" t="s">
        <v>124</v>
      </c>
      <c r="C30" s="2051"/>
      <c r="D30" s="1055" t="s">
        <v>608</v>
      </c>
      <c r="E30" s="983"/>
      <c r="F30" s="983"/>
      <c r="G30" s="983"/>
      <c r="H30" s="983"/>
      <c r="I30" s="984"/>
      <c r="K30" s="1250" t="s">
        <v>935</v>
      </c>
    </row>
    <row r="31" spans="2:11" s="81" customFormat="1" ht="15" thickBot="1">
      <c r="B31" s="2050" t="s">
        <v>132</v>
      </c>
      <c r="C31" s="2051"/>
      <c r="D31" s="983" t="s">
        <v>608</v>
      </c>
      <c r="E31" s="983"/>
      <c r="F31" s="983"/>
      <c r="G31" s="1055"/>
      <c r="H31" s="983"/>
      <c r="I31" s="984"/>
      <c r="K31" s="1250" t="s">
        <v>935</v>
      </c>
    </row>
    <row r="32" spans="2:11" s="81" customFormat="1" ht="28">
      <c r="B32" s="1960" t="s">
        <v>133</v>
      </c>
      <c r="C32" s="2007"/>
      <c r="D32" s="891" t="s">
        <v>1284</v>
      </c>
      <c r="E32" s="784"/>
      <c r="F32" s="784"/>
      <c r="G32" s="784"/>
      <c r="H32" s="784"/>
      <c r="I32" s="988"/>
      <c r="K32" s="464" t="s">
        <v>1406</v>
      </c>
    </row>
    <row r="33" spans="1:11" ht="15" thickBot="1">
      <c r="B33" s="1980"/>
      <c r="C33" s="2009"/>
      <c r="D33" s="781" t="s">
        <v>1285</v>
      </c>
      <c r="E33" s="759"/>
      <c r="F33" s="759"/>
      <c r="G33" s="759"/>
      <c r="H33" s="759"/>
      <c r="I33" s="592"/>
      <c r="K33" s="464" t="s">
        <v>1406</v>
      </c>
    </row>
    <row r="34" spans="1:11" ht="15" thickBot="1">
      <c r="B34" s="2023" t="s">
        <v>134</v>
      </c>
      <c r="C34" s="2024"/>
      <c r="D34" s="750" t="s">
        <v>298</v>
      </c>
      <c r="E34" s="750"/>
      <c r="F34" s="750"/>
      <c r="G34" s="750"/>
      <c r="H34" s="750"/>
      <c r="I34" s="810"/>
      <c r="K34" s="1250" t="s">
        <v>935</v>
      </c>
    </row>
    <row r="35" spans="1:11">
      <c r="B35" s="1966" t="s">
        <v>135</v>
      </c>
      <c r="C35" s="2098" t="s">
        <v>248</v>
      </c>
      <c r="D35" s="762" t="s">
        <v>1286</v>
      </c>
      <c r="E35" s="762"/>
      <c r="F35" s="762"/>
      <c r="G35" s="762"/>
      <c r="H35" s="762"/>
      <c r="I35" s="805"/>
      <c r="K35" s="464" t="s">
        <v>1454</v>
      </c>
    </row>
    <row r="36" spans="1:11">
      <c r="B36" s="1967"/>
      <c r="C36" s="2044"/>
      <c r="D36" s="632" t="s">
        <v>323</v>
      </c>
      <c r="E36" s="642"/>
      <c r="F36" s="642"/>
      <c r="G36" s="642"/>
      <c r="H36" s="642"/>
      <c r="I36" s="791"/>
    </row>
    <row r="37" spans="1:11">
      <c r="B37" s="1967"/>
      <c r="C37" s="2044"/>
      <c r="D37" s="1078" t="s">
        <v>957</v>
      </c>
      <c r="E37" s="642"/>
      <c r="F37" s="642"/>
      <c r="G37" s="642"/>
      <c r="H37" s="642"/>
      <c r="I37" s="791"/>
      <c r="K37" s="464" t="s">
        <v>1406</v>
      </c>
    </row>
    <row r="38" spans="1:11">
      <c r="B38" s="1967"/>
      <c r="C38" s="1028" t="s">
        <v>249</v>
      </c>
      <c r="D38" s="642" t="s">
        <v>958</v>
      </c>
      <c r="E38" s="642"/>
      <c r="F38" s="642"/>
      <c r="G38" s="642"/>
      <c r="H38" s="642"/>
      <c r="I38" s="791"/>
      <c r="K38" s="464" t="s">
        <v>1406</v>
      </c>
    </row>
    <row r="39" spans="1:11" ht="15" thickBot="1">
      <c r="B39" s="1968"/>
      <c r="C39" s="1029" t="s">
        <v>250</v>
      </c>
      <c r="D39" s="759" t="s">
        <v>394</v>
      </c>
      <c r="E39" s="759"/>
      <c r="F39" s="759"/>
      <c r="G39" s="759"/>
      <c r="H39" s="759"/>
      <c r="I39" s="592"/>
      <c r="K39" s="1250" t="s">
        <v>935</v>
      </c>
    </row>
    <row r="40" spans="1:11">
      <c r="A40" s="1945" t="s">
        <v>137</v>
      </c>
      <c r="B40" s="1966" t="s">
        <v>138</v>
      </c>
      <c r="C40" s="1017" t="s">
        <v>910</v>
      </c>
      <c r="D40" s="809" t="s">
        <v>1287</v>
      </c>
      <c r="E40" s="762"/>
      <c r="F40" s="762"/>
      <c r="G40" s="762"/>
      <c r="H40" s="762"/>
      <c r="I40" s="805"/>
      <c r="K40" s="1369" t="s">
        <v>1406</v>
      </c>
    </row>
    <row r="41" spans="1:11">
      <c r="A41" s="1946"/>
      <c r="B41" s="1967"/>
      <c r="C41" s="2037" t="s">
        <v>251</v>
      </c>
      <c r="D41" s="632" t="s">
        <v>1289</v>
      </c>
      <c r="E41" s="642"/>
      <c r="F41" s="642">
        <v>1</v>
      </c>
      <c r="G41" s="642">
        <v>1</v>
      </c>
      <c r="H41" s="642"/>
      <c r="I41" s="791"/>
      <c r="K41" s="464" t="s">
        <v>1406</v>
      </c>
    </row>
    <row r="42" spans="1:11">
      <c r="A42" s="1946"/>
      <c r="B42" s="1967"/>
      <c r="C42" s="2037"/>
      <c r="D42" s="632" t="s">
        <v>1288</v>
      </c>
      <c r="E42" s="642"/>
      <c r="F42" s="642"/>
      <c r="G42" s="642"/>
      <c r="H42" s="642"/>
      <c r="I42" s="791"/>
      <c r="K42" s="464" t="s">
        <v>1406</v>
      </c>
    </row>
    <row r="43" spans="1:11" ht="28">
      <c r="A43" s="1946"/>
      <c r="B43" s="1967"/>
      <c r="C43" s="1028" t="s">
        <v>252</v>
      </c>
      <c r="D43" s="899" t="s">
        <v>1290</v>
      </c>
      <c r="E43" s="642"/>
      <c r="F43" s="642"/>
      <c r="G43" s="642"/>
      <c r="H43" s="642"/>
      <c r="I43" s="791"/>
      <c r="K43" s="464" t="s">
        <v>1406</v>
      </c>
    </row>
    <row r="44" spans="1:11">
      <c r="A44" s="1946"/>
      <c r="B44" s="1967"/>
      <c r="C44" s="1028" t="s">
        <v>253</v>
      </c>
      <c r="D44" s="642" t="s">
        <v>391</v>
      </c>
      <c r="E44" s="642"/>
      <c r="F44" s="642"/>
      <c r="G44" s="642"/>
      <c r="H44" s="642"/>
      <c r="I44" s="791"/>
      <c r="K44" s="1250" t="s">
        <v>935</v>
      </c>
    </row>
    <row r="45" spans="1:11">
      <c r="A45" s="1946"/>
      <c r="B45" s="1967"/>
      <c r="C45" s="1028" t="s">
        <v>254</v>
      </c>
      <c r="D45" s="642" t="s">
        <v>391</v>
      </c>
      <c r="E45" s="642"/>
      <c r="F45" s="642"/>
      <c r="G45" s="642"/>
      <c r="H45" s="642"/>
      <c r="I45" s="791"/>
      <c r="K45" s="1250" t="s">
        <v>935</v>
      </c>
    </row>
    <row r="46" spans="1:11" ht="15" thickBot="1">
      <c r="A46" s="1946"/>
      <c r="B46" s="1968"/>
      <c r="C46" s="1029" t="s">
        <v>255</v>
      </c>
      <c r="D46" s="759" t="s">
        <v>391</v>
      </c>
      <c r="E46" s="759"/>
      <c r="F46" s="759"/>
      <c r="G46" s="759"/>
      <c r="H46" s="759"/>
      <c r="I46" s="592"/>
      <c r="K46" s="1250" t="s">
        <v>935</v>
      </c>
    </row>
    <row r="47" spans="1:11">
      <c r="A47" s="1946"/>
      <c r="B47" s="1966" t="s">
        <v>139</v>
      </c>
      <c r="C47" s="1014" t="s">
        <v>256</v>
      </c>
      <c r="D47" s="762" t="s">
        <v>391</v>
      </c>
      <c r="E47" s="762"/>
      <c r="F47" s="762"/>
      <c r="G47" s="762"/>
      <c r="H47" s="762"/>
      <c r="I47" s="805"/>
      <c r="K47" s="1250" t="s">
        <v>935</v>
      </c>
    </row>
    <row r="48" spans="1:11" ht="15" thickBot="1">
      <c r="A48" s="1946"/>
      <c r="B48" s="1968"/>
      <c r="C48" s="1029" t="s">
        <v>257</v>
      </c>
      <c r="D48" s="759" t="s">
        <v>391</v>
      </c>
      <c r="E48" s="759"/>
      <c r="F48" s="759"/>
      <c r="G48" s="759"/>
      <c r="H48" s="759"/>
      <c r="I48" s="592"/>
      <c r="K48" s="1250" t="s">
        <v>935</v>
      </c>
    </row>
    <row r="49" spans="1:11" ht="70">
      <c r="A49" s="1946"/>
      <c r="B49" s="1966" t="s">
        <v>142</v>
      </c>
      <c r="C49" s="1892" t="s">
        <v>1291</v>
      </c>
      <c r="D49" s="809" t="s">
        <v>1292</v>
      </c>
      <c r="E49" s="762"/>
      <c r="F49" s="762"/>
      <c r="G49" s="762"/>
      <c r="H49" s="762"/>
      <c r="I49" s="805"/>
      <c r="K49" s="1250" t="s">
        <v>1432</v>
      </c>
    </row>
    <row r="50" spans="1:11">
      <c r="A50" s="1946"/>
      <c r="B50" s="1967"/>
      <c r="C50" s="1893"/>
      <c r="D50" s="1407" t="s">
        <v>1494</v>
      </c>
      <c r="E50" s="642"/>
      <c r="F50" s="642"/>
      <c r="G50" s="642"/>
      <c r="H50" s="642"/>
      <c r="I50" s="791"/>
      <c r="K50" s="1250" t="s">
        <v>1432</v>
      </c>
    </row>
    <row r="51" spans="1:11" ht="15" thickBot="1">
      <c r="A51" s="1946"/>
      <c r="B51" s="1968"/>
      <c r="C51" s="2017"/>
      <c r="D51" s="759" t="s">
        <v>1293</v>
      </c>
      <c r="E51" s="759"/>
      <c r="F51" s="759"/>
      <c r="G51" s="759"/>
      <c r="H51" s="759"/>
      <c r="I51" s="592"/>
      <c r="K51" s="1250" t="s">
        <v>1432</v>
      </c>
    </row>
    <row r="52" spans="1:11">
      <c r="A52" s="470"/>
      <c r="B52" s="1966" t="s">
        <v>264</v>
      </c>
      <c r="C52" s="2020"/>
      <c r="D52" s="762" t="s">
        <v>1294</v>
      </c>
      <c r="E52" s="762"/>
      <c r="F52" s="762"/>
      <c r="G52" s="762"/>
      <c r="H52" s="762"/>
      <c r="I52" s="805"/>
      <c r="K52" s="464" t="s">
        <v>1406</v>
      </c>
    </row>
    <row r="53" spans="1:11">
      <c r="A53" s="470"/>
      <c r="B53" s="1967"/>
      <c r="C53" s="2021"/>
      <c r="D53" s="632" t="s">
        <v>1295</v>
      </c>
      <c r="E53" s="642"/>
      <c r="F53" s="642"/>
      <c r="G53" s="642"/>
      <c r="H53" s="642"/>
      <c r="I53" s="791"/>
      <c r="K53" s="464" t="s">
        <v>1406</v>
      </c>
    </row>
    <row r="54" spans="1:11">
      <c r="A54" s="470"/>
      <c r="B54" s="1967"/>
      <c r="C54" s="2021"/>
      <c r="D54" s="632" t="s">
        <v>1296</v>
      </c>
      <c r="E54" s="642"/>
      <c r="F54" s="642"/>
      <c r="G54" s="642"/>
      <c r="H54" s="642"/>
      <c r="I54" s="791"/>
      <c r="K54" s="464" t="s">
        <v>1406</v>
      </c>
    </row>
    <row r="55" spans="1:11">
      <c r="A55" s="470"/>
      <c r="B55" s="1967"/>
      <c r="C55" s="2021"/>
      <c r="D55" s="632" t="s">
        <v>771</v>
      </c>
      <c r="E55" s="642"/>
      <c r="F55" s="642"/>
      <c r="G55" s="642"/>
      <c r="H55" s="642"/>
      <c r="I55" s="791"/>
    </row>
    <row r="56" spans="1:11" ht="15" thickBot="1">
      <c r="A56" s="804"/>
      <c r="B56" s="1968"/>
      <c r="C56" s="2022"/>
      <c r="D56" s="1056" t="s">
        <v>959</v>
      </c>
      <c r="E56" s="759"/>
      <c r="F56" s="759"/>
      <c r="G56" s="759"/>
      <c r="H56" s="759"/>
      <c r="I56" s="592"/>
      <c r="K56" s="464" t="s">
        <v>1406</v>
      </c>
    </row>
  </sheetData>
  <mergeCells count="24">
    <mergeCell ref="B2:I2"/>
    <mergeCell ref="E3:I3"/>
    <mergeCell ref="E4:I4"/>
    <mergeCell ref="A40:A51"/>
    <mergeCell ref="E5:I5"/>
    <mergeCell ref="B8:C10"/>
    <mergeCell ref="B11:C15"/>
    <mergeCell ref="B16:B19"/>
    <mergeCell ref="B20:B21"/>
    <mergeCell ref="B22:C22"/>
    <mergeCell ref="B23:C25"/>
    <mergeCell ref="B26:B29"/>
    <mergeCell ref="B30:C30"/>
    <mergeCell ref="B31:C31"/>
    <mergeCell ref="B32:C33"/>
    <mergeCell ref="B47:B48"/>
    <mergeCell ref="B49:B51"/>
    <mergeCell ref="C49:C51"/>
    <mergeCell ref="B52:C56"/>
    <mergeCell ref="B34:C34"/>
    <mergeCell ref="B35:B39"/>
    <mergeCell ref="C35:C37"/>
    <mergeCell ref="B40:B46"/>
    <mergeCell ref="C41:C42"/>
  </mergeCells>
  <pageMargins left="0.70866141732283472" right="0.70866141732283472" top="0.74803149606299213" bottom="0.74803149606299213" header="0.31496062992125984" footer="0.31496062992125984"/>
  <pageSetup scale="37" fitToHeight="0" orientation="portrait"/>
  <rowBreaks count="1" manualBreakCount="1">
    <brk id="34" max="16383"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CF8DDDAC-A96A-4BE8-9B55-24E03419F12E}">
            <xm:f>NOT(ISERROR(SEARCH("0",'1.2'!B7)))</xm:f>
            <x14:dxf>
              <font>
                <color rgb="FF9C0006"/>
              </font>
              <fill>
                <patternFill>
                  <bgColor rgb="FFFFC7CE"/>
                </patternFill>
              </fill>
            </x14:dxf>
          </x14:cfRule>
          <xm:sqref>B7:M7</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rgb="FFFFFF00"/>
  </sheetPr>
  <dimension ref="A1:Y140"/>
  <sheetViews>
    <sheetView topLeftCell="A44" zoomScale="65" zoomScaleNormal="65" zoomScalePageLayoutView="65" workbookViewId="0">
      <selection activeCell="G64" sqref="G64"/>
    </sheetView>
  </sheetViews>
  <sheetFormatPr baseColWidth="10" defaultColWidth="11.5" defaultRowHeight="18.75" customHeight="1" x14ac:dyDescent="0"/>
  <cols>
    <col min="1" max="1" width="2.5" style="2" customWidth="1"/>
    <col min="2" max="2" width="18.5" style="6" customWidth="1"/>
    <col min="3" max="3" width="6.5" style="5" customWidth="1"/>
    <col min="4" max="4" width="73.33203125" style="6" customWidth="1"/>
    <col min="5" max="5" width="6.6640625" style="6" customWidth="1"/>
    <col min="6" max="6" width="14.6640625" style="5" customWidth="1"/>
    <col min="7" max="7" width="15.5" customWidth="1"/>
    <col min="8" max="8" width="4.1640625" style="60" customWidth="1"/>
    <col min="9" max="9" width="6.5" style="81" bestFit="1" customWidth="1"/>
    <col min="10" max="10" width="16.83203125" style="60" customWidth="1"/>
    <col min="11" max="11" width="22" style="60" customWidth="1"/>
    <col min="12" max="12" width="22.33203125" style="60" customWidth="1"/>
    <col min="13" max="13" width="12.6640625" style="60" customWidth="1"/>
    <col min="14" max="14" width="7.6640625" style="60" customWidth="1"/>
    <col min="15" max="15" width="12.6640625" style="60" customWidth="1"/>
    <col min="16" max="16" width="64.1640625" style="24" customWidth="1"/>
    <col min="17" max="17" width="62.1640625" style="139" customWidth="1"/>
    <col min="18" max="24" width="11.5" customWidth="1"/>
    <col min="25" max="16384" width="11.5" style="2"/>
  </cols>
  <sheetData>
    <row r="1" spans="1:17" ht="18.75" customHeight="1">
      <c r="B1" s="223" t="s">
        <v>236</v>
      </c>
      <c r="E1" s="2"/>
    </row>
    <row r="2" spans="1:17" ht="18.75" customHeight="1">
      <c r="B2" s="223"/>
      <c r="E2" s="2"/>
    </row>
    <row r="3" spans="1:17" ht="26" thickBot="1">
      <c r="B3" s="223"/>
      <c r="E3" s="2"/>
      <c r="G3" s="605" t="s">
        <v>1079</v>
      </c>
    </row>
    <row r="4" spans="1:17" ht="18.75" customHeight="1">
      <c r="B4" s="1727">
        <f>+C8</f>
        <v>2</v>
      </c>
      <c r="C4" s="1729" t="s">
        <v>239</v>
      </c>
      <c r="D4" s="1731">
        <f>+C9</f>
        <v>4</v>
      </c>
      <c r="E4" s="299" t="str">
        <f>IF(C8=1,"1 SALA CUNA",IF(C8=2,"2 SALAS CUNAS",IF(C8=3,"3 SALAS CUNAS","SIN SALA CUNA")))</f>
        <v>2 SALAS CUNAS</v>
      </c>
      <c r="F4" s="301"/>
      <c r="G4" s="1735">
        <f>+G10</f>
        <v>152</v>
      </c>
    </row>
    <row r="5" spans="1:17" ht="18.75" customHeight="1" thickBot="1">
      <c r="B5" s="1728"/>
      <c r="C5" s="1730"/>
      <c r="D5" s="1732"/>
      <c r="E5" s="300" t="str">
        <f>IF(C9=1,"1 NIVEL MEDIO",IF(C9=2,"2 NIVELES MEDIOS",IF(C9=3,"3 NIVELES MEDIOS","SIN NIVEL MEDIO")))</f>
        <v>SIN NIVEL MEDIO</v>
      </c>
      <c r="F5" s="302"/>
      <c r="G5" s="1736"/>
      <c r="H5" s="292"/>
      <c r="I5" s="182"/>
      <c r="J5" s="182"/>
      <c r="K5" s="182"/>
      <c r="L5" s="182"/>
      <c r="M5" s="182"/>
      <c r="N5" s="182"/>
      <c r="O5" s="54"/>
    </row>
    <row r="6" spans="1:17" ht="18.75" customHeight="1" thickBot="1">
      <c r="B6" s="141"/>
      <c r="C6" s="141"/>
      <c r="D6" s="141"/>
      <c r="E6" s="141"/>
      <c r="F6" s="141"/>
      <c r="G6" s="141"/>
      <c r="H6" s="293"/>
      <c r="I6" s="141"/>
      <c r="J6" s="141"/>
      <c r="K6" s="141"/>
      <c r="L6" s="141"/>
      <c r="M6" s="141"/>
      <c r="N6" s="54"/>
      <c r="O6" s="54"/>
    </row>
    <row r="7" spans="1:17" ht="18.75" hidden="1" customHeight="1" thickBot="1">
      <c r="B7" s="275" t="s">
        <v>182</v>
      </c>
      <c r="C7" s="219" t="str">
        <f>+INICIO!D3</f>
        <v>VALPARAISO</v>
      </c>
      <c r="D7" s="276"/>
      <c r="E7" s="219"/>
      <c r="F7" s="277"/>
      <c r="G7" s="278"/>
      <c r="H7" s="161"/>
      <c r="I7" s="161"/>
      <c r="J7" s="141"/>
      <c r="K7" s="141"/>
      <c r="L7" s="141"/>
      <c r="M7" s="141"/>
      <c r="N7" s="54"/>
      <c r="O7" s="54"/>
    </row>
    <row r="8" spans="1:17" ht="18.75" customHeight="1">
      <c r="B8" s="279" t="s">
        <v>13</v>
      </c>
      <c r="C8" s="280">
        <f>+INICIO!D4</f>
        <v>2</v>
      </c>
      <c r="D8" s="33" t="s">
        <v>88</v>
      </c>
      <c r="E8" s="33"/>
      <c r="F8" s="210"/>
      <c r="G8" s="281">
        <f>+INICIO!C12</f>
        <v>40</v>
      </c>
      <c r="H8" s="50"/>
      <c r="I8" s="56"/>
      <c r="J8" s="54"/>
      <c r="K8" s="54"/>
      <c r="L8" s="54"/>
      <c r="M8" s="54"/>
      <c r="N8" s="54"/>
      <c r="O8" s="54"/>
    </row>
    <row r="9" spans="1:17" ht="18.75" customHeight="1">
      <c r="B9" s="176" t="s">
        <v>14</v>
      </c>
      <c r="C9" s="175">
        <f>+INICIO!D5</f>
        <v>4</v>
      </c>
      <c r="D9" s="32" t="s">
        <v>89</v>
      </c>
      <c r="E9" s="32"/>
      <c r="F9" s="211"/>
      <c r="G9" s="177">
        <f>+INICIO!C13</f>
        <v>112</v>
      </c>
      <c r="H9" s="50"/>
      <c r="I9" s="56"/>
      <c r="J9" s="54"/>
      <c r="K9" s="54"/>
      <c r="L9" s="54"/>
      <c r="M9" s="54"/>
      <c r="N9" s="54"/>
      <c r="O9" s="54"/>
    </row>
    <row r="10" spans="1:17" ht="18.75" customHeight="1" thickBot="1">
      <c r="B10" s="178" t="s">
        <v>181</v>
      </c>
      <c r="C10" s="179">
        <f>+C8+C9</f>
        <v>6</v>
      </c>
      <c r="D10" s="34" t="s">
        <v>90</v>
      </c>
      <c r="E10" s="34"/>
      <c r="F10" s="282"/>
      <c r="G10" s="180">
        <f>+INICIO!C10</f>
        <v>152</v>
      </c>
      <c r="H10" s="50"/>
      <c r="I10" s="56"/>
      <c r="J10" s="54"/>
      <c r="K10" s="54"/>
      <c r="L10" s="54"/>
      <c r="M10" s="54"/>
      <c r="N10" s="54"/>
      <c r="O10" s="54"/>
    </row>
    <row r="11" spans="1:17" ht="18.75" customHeight="1" thickBot="1">
      <c r="B11" s="83"/>
      <c r="C11" s="84"/>
      <c r="D11" s="4"/>
      <c r="E11" s="4"/>
      <c r="F11" s="4"/>
      <c r="G11" s="2"/>
      <c r="H11" s="54"/>
      <c r="I11" s="56"/>
      <c r="J11" s="54"/>
      <c r="K11" s="54"/>
      <c r="L11" s="54"/>
      <c r="M11" s="54"/>
      <c r="N11" s="54"/>
      <c r="O11" s="54"/>
    </row>
    <row r="12" spans="1:17" ht="18.75" customHeight="1">
      <c r="B12" s="1692" t="s">
        <v>118</v>
      </c>
      <c r="C12" s="1693"/>
      <c r="D12" s="1693"/>
      <c r="E12" s="1693"/>
      <c r="F12" s="1693"/>
      <c r="G12" s="1694"/>
      <c r="H12" s="255"/>
      <c r="I12" s="56"/>
      <c r="J12" s="54"/>
      <c r="K12" s="54"/>
      <c r="L12" s="54"/>
      <c r="M12" s="54"/>
      <c r="N12" s="54"/>
      <c r="O12" s="54"/>
    </row>
    <row r="13" spans="1:17" ht="18.75" customHeight="1">
      <c r="B13" s="1695"/>
      <c r="C13" s="1696"/>
      <c r="D13" s="1696"/>
      <c r="E13" s="1696"/>
      <c r="F13" s="1696"/>
      <c r="G13" s="1697"/>
      <c r="H13" s="255"/>
      <c r="I13" s="56"/>
      <c r="J13" s="54"/>
      <c r="K13" s="54"/>
      <c r="L13" s="54"/>
      <c r="M13" s="54"/>
      <c r="N13" s="54"/>
      <c r="O13" s="54"/>
    </row>
    <row r="14" spans="1:17" ht="18.75" customHeight="1" thickBot="1">
      <c r="B14" s="1698"/>
      <c r="C14" s="1699"/>
      <c r="D14" s="1699"/>
      <c r="E14" s="1699"/>
      <c r="F14" s="1699"/>
      <c r="G14" s="1700"/>
      <c r="H14" s="255"/>
      <c r="I14" s="55"/>
      <c r="J14" s="55"/>
      <c r="K14" s="55"/>
      <c r="L14" s="55"/>
      <c r="M14" s="55"/>
      <c r="N14" s="55"/>
      <c r="O14" s="55"/>
    </row>
    <row r="15" spans="1:17" ht="32" customHeight="1" thickBot="1">
      <c r="A15" s="1"/>
      <c r="B15" s="1715" t="str">
        <f>IF(INICIO!D3=INICIO!N9,"ZONA CENTRO NORTE",IF(INICIO!D3=INICIO!N10,"ZONA CENTRO NORTE",IF(INICIO!D3=INICIO!N11,"ZONA CENTRO NORTE",IF(INICIO!D3=INICIO!N12,"ZONA CENTRO NORTE",IF(INICIO!D3=INICIO!N13,"ZONA CENTRO NORTE",IF(INICIO!D3=INICIO!N14,"ZONA CENTRO NORTE",IF(INICIO!D3=INICIO!N15,"ZONA CENTRO NORTE",IF(INICIO!D3=INICIO!N16,"ZONA CENTRO NORTE","ZONA SUR"))))))))</f>
        <v>ZONA CENTRO NORTE</v>
      </c>
      <c r="C15" s="1716"/>
      <c r="D15" s="1716"/>
      <c r="E15" s="1716"/>
      <c r="F15" s="1716"/>
      <c r="G15" s="1717"/>
      <c r="H15" s="258"/>
      <c r="I15" s="50"/>
      <c r="J15" s="50"/>
      <c r="K15" s="50"/>
      <c r="L15" s="50"/>
      <c r="M15" s="50"/>
      <c r="N15" s="50"/>
      <c r="O15" s="50"/>
      <c r="P15" s="24" t="s">
        <v>119</v>
      </c>
      <c r="Q15" s="139" t="s">
        <v>121</v>
      </c>
    </row>
    <row r="16" spans="1:17" s="54" customFormat="1" ht="29" thickBot="1">
      <c r="B16" s="234" t="s">
        <v>235</v>
      </c>
      <c r="C16" s="71" t="s">
        <v>224</v>
      </c>
      <c r="D16" s="227" t="s">
        <v>183</v>
      </c>
      <c r="E16" s="228" t="s">
        <v>222</v>
      </c>
      <c r="F16" s="229" t="s">
        <v>226</v>
      </c>
      <c r="G16" s="230" t="s">
        <v>227</v>
      </c>
      <c r="H16" s="142"/>
      <c r="I16" s="142"/>
      <c r="J16" s="162" t="s">
        <v>70</v>
      </c>
      <c r="K16" s="163" t="s">
        <v>112</v>
      </c>
      <c r="L16" s="164" t="s">
        <v>113</v>
      </c>
      <c r="M16" s="142"/>
      <c r="N16" s="142"/>
      <c r="O16" s="142"/>
      <c r="P16" s="143" t="s">
        <v>4</v>
      </c>
      <c r="Q16" s="140"/>
    </row>
    <row r="17" spans="1:25" customFormat="1" ht="18.75" customHeight="1">
      <c r="A17" s="2"/>
      <c r="B17" s="1603" t="s">
        <v>1327</v>
      </c>
      <c r="C17" s="237" t="s">
        <v>43</v>
      </c>
      <c r="D17" s="294" t="s">
        <v>147</v>
      </c>
      <c r="E17" s="295">
        <f>+INICIO!D4-E21</f>
        <v>1</v>
      </c>
      <c r="F17" s="296">
        <f>IF(E17&gt;0,P17*INICIO!N4,0)</f>
        <v>62</v>
      </c>
      <c r="G17" s="297">
        <f t="shared" ref="G17:G26" si="0">+F17*E17</f>
        <v>62</v>
      </c>
      <c r="H17" s="1709" t="s">
        <v>237</v>
      </c>
      <c r="I17" s="82"/>
      <c r="J17" s="165">
        <f>+F17*2.5</f>
        <v>155</v>
      </c>
      <c r="K17" s="22">
        <f>IF(INICIO!D3=INICIO!N9,(F17*0.14),IF(INICIO!D3=INICIO!N10,(F17*0.14),IF(INICIO!D3=INICIO!N11,(F17*0.14),IF(INICIO!D3=INICIO!N12,(F17*0.14),IF(INICIO!D3=INICIO!N13,(F17*0.14),IF(INICIO!D3=INICIO!N14,(F17*0.17),IF(INICIO!D3=INICIO!N15,(F17*0.17),IF(INICIO!D3=INICIO!N16,(F17*0.17),IF(INICIO!D3=INICIO!N17,(F17*0.17),(F17*0.2))))))))))</f>
        <v>10.540000000000001</v>
      </c>
      <c r="L17" s="120">
        <f>+F17*0.08</f>
        <v>4.96</v>
      </c>
      <c r="M17" s="1606" t="s">
        <v>219</v>
      </c>
      <c r="N17" s="1600" t="s">
        <v>221</v>
      </c>
      <c r="O17" s="82"/>
      <c r="P17" s="24">
        <v>3.1</v>
      </c>
      <c r="Q17" s="139"/>
      <c r="Y17" s="2"/>
    </row>
    <row r="18" spans="1:25" customFormat="1" ht="18.75" customHeight="1">
      <c r="A18" s="2"/>
      <c r="B18" s="1604"/>
      <c r="C18" s="238" t="s">
        <v>44</v>
      </c>
      <c r="D18" s="209" t="s">
        <v>130</v>
      </c>
      <c r="E18" s="185">
        <f>IF(INICIO!D4=0,0,(IF(INICIO!D4=1,0,IF(INICIO!D4=2,1,IF(INICIO!D4=3,0,"CONSULTAR")))))</f>
        <v>1</v>
      </c>
      <c r="F18" s="186">
        <f>IF(E18&gt;0,11.3,0)</f>
        <v>11.3</v>
      </c>
      <c r="G18" s="187">
        <f t="shared" si="0"/>
        <v>11.3</v>
      </c>
      <c r="H18" s="1710"/>
      <c r="I18" s="13"/>
      <c r="J18" s="166"/>
      <c r="K18" s="8">
        <f>IF(F18&gt;0,F18*8%,0)</f>
        <v>0.90400000000000003</v>
      </c>
      <c r="L18" s="121">
        <f>IF(F18&gt;0,F18*4%,0)</f>
        <v>0.45200000000000001</v>
      </c>
      <c r="M18" s="1607"/>
      <c r="N18" s="1601"/>
      <c r="O18" s="13"/>
      <c r="P18" s="86">
        <f>F18/20</f>
        <v>0.56500000000000006</v>
      </c>
      <c r="Q18" s="139" t="s">
        <v>12</v>
      </c>
      <c r="Y18" s="2"/>
    </row>
    <row r="19" spans="1:25" ht="18.75" customHeight="1">
      <c r="B19" s="1604"/>
      <c r="C19" s="238" t="s">
        <v>45</v>
      </c>
      <c r="D19" s="209" t="s">
        <v>131</v>
      </c>
      <c r="E19" s="185">
        <f>IF(INICIO!D4=0,0,IF(INICIO!D4=1,0,IF(INICIO!D4=2,0,IF(INICIO!D4=3,1,"CONSULTAR"))))</f>
        <v>0</v>
      </c>
      <c r="F19" s="186">
        <f>IF(E19&gt;0,19.8,0)</f>
        <v>0</v>
      </c>
      <c r="G19" s="187">
        <f t="shared" si="0"/>
        <v>0</v>
      </c>
      <c r="H19" s="1710"/>
      <c r="I19" s="13"/>
      <c r="J19" s="166"/>
      <c r="K19" s="8">
        <f>IF(F19&gt;0,F19*8%,0)</f>
        <v>0</v>
      </c>
      <c r="L19" s="121">
        <f>IF(F19&gt;0,F19*4%,0)</f>
        <v>0</v>
      </c>
      <c r="M19" s="1607"/>
      <c r="N19" s="1601"/>
      <c r="O19" s="13"/>
      <c r="P19" s="86">
        <f>IF(E19&gt;0,F19/(40*E19),0)</f>
        <v>0</v>
      </c>
      <c r="Q19" s="139" t="s">
        <v>62</v>
      </c>
    </row>
    <row r="20" spans="1:25" customFormat="1" ht="18.75" customHeight="1" thickBot="1">
      <c r="A20" s="2"/>
      <c r="B20" s="1604"/>
      <c r="C20" s="238" t="s">
        <v>46</v>
      </c>
      <c r="D20" s="209" t="s">
        <v>677</v>
      </c>
      <c r="E20" s="185">
        <f>IF(INICIO!D4=0,0,IF(INICIO!D4=1,0,IF(INICIO!D4=2,1,IF(INICIO!D4=3,1,"CONSULTAR"))))</f>
        <v>1</v>
      </c>
      <c r="F20" s="186">
        <f>IF(E20&gt;0,20,0)</f>
        <v>20</v>
      </c>
      <c r="G20" s="187">
        <f t="shared" si="0"/>
        <v>20</v>
      </c>
      <c r="H20" s="1711"/>
      <c r="I20" s="13"/>
      <c r="J20" s="165">
        <f>+F20*2.5</f>
        <v>50</v>
      </c>
      <c r="K20" s="22">
        <f>IF(INICIO!D3=INICIO!N9,(F20*0.14),IF(INICIO!D3=INICIO!N10,(F20*0.14),IF(INICIO!D3=INICIO!N11,(F20*0.14),IF(INICIO!D3=INICIO!N12,(F20*0.14),IF(INICIO!D3=INICIO!N13,(F20*0.14),IF(INICIO!D3=INICIO!N14,(F20*0.17),IF(INICIO!D3=INICIO!N15,(F20*0.17),IF(INICIO!D3=INICIO!N16,(F20*0.17),IF(INICIO!D3=INICIO!N17,(F20*0.17),(F20*0.2))))))))))</f>
        <v>3.4000000000000004</v>
      </c>
      <c r="L20" s="120">
        <f>+F20*0.08</f>
        <v>1.6</v>
      </c>
      <c r="M20" s="1608"/>
      <c r="N20" s="1602"/>
      <c r="O20" s="82"/>
      <c r="P20" s="24">
        <f>F20/20</f>
        <v>1</v>
      </c>
      <c r="Q20" s="139" t="s">
        <v>114</v>
      </c>
      <c r="Y20" s="2"/>
    </row>
    <row r="21" spans="1:25" customFormat="1" ht="18.75" customHeight="1">
      <c r="A21" s="2"/>
      <c r="B21" s="1604"/>
      <c r="C21" s="238" t="s">
        <v>47</v>
      </c>
      <c r="D21" s="173" t="s">
        <v>211</v>
      </c>
      <c r="E21" s="7">
        <v>1</v>
      </c>
      <c r="F21" s="22">
        <f>IF($E$17&gt;0,$P$17*INICIO!$N$4,0)</f>
        <v>62</v>
      </c>
      <c r="G21" s="120">
        <f t="shared" si="0"/>
        <v>62</v>
      </c>
      <c r="H21" s="82"/>
      <c r="I21" s="82"/>
      <c r="J21" s="165">
        <f>+F21*2.5</f>
        <v>155</v>
      </c>
      <c r="K21" s="22">
        <f>IF(INICIO!E4=INICIO!N13,(F21*0.14),IF(INICIO!E4=INICIO!N14,(F21*0.14),IF(INICIO!E4=INICIO!N15,(F21*0.14),IF(INICIO!E4=INICIO!N16,(F21*0.14),IF(INICIO!E4=INICIO!N17,(F21*0.14),IF(INICIO!E4=INICIO!N18,(F21*0.17),IF(INICIO!E4=INICIO!N19,(F21*0.17),IF(INICIO!E4=INICIO!N20,(F21*0.17),IF(INICIO!E4=INICIO!N21,(F21*0.17),(F21*0.2))))))))))</f>
        <v>12.4</v>
      </c>
      <c r="L21" s="120">
        <f>+F21*0.08</f>
        <v>4.96</v>
      </c>
      <c r="M21" s="1712" t="s">
        <v>220</v>
      </c>
      <c r="N21" s="1600" t="s">
        <v>180</v>
      </c>
      <c r="O21" s="82"/>
      <c r="P21" s="24">
        <v>3.1</v>
      </c>
      <c r="Q21" s="139"/>
      <c r="Y21" s="2"/>
    </row>
    <row r="22" spans="1:25" customFormat="1" ht="18.75" customHeight="1">
      <c r="A22" s="2"/>
      <c r="B22" s="1604"/>
      <c r="C22" s="238" t="s">
        <v>48</v>
      </c>
      <c r="D22" s="173" t="s">
        <v>212</v>
      </c>
      <c r="E22" s="7">
        <v>1</v>
      </c>
      <c r="F22" s="8">
        <f>IF(E22&gt;0,11.3,0)</f>
        <v>11.3</v>
      </c>
      <c r="G22" s="121">
        <f t="shared" si="0"/>
        <v>11.3</v>
      </c>
      <c r="H22" s="13"/>
      <c r="I22" s="13"/>
      <c r="J22" s="166"/>
      <c r="K22" s="8">
        <f>IF(F22&gt;0,F22*8%,0)</f>
        <v>0.90400000000000003</v>
      </c>
      <c r="L22" s="121">
        <f>IF(F22&gt;0,F22*4%,0)</f>
        <v>0.45200000000000001</v>
      </c>
      <c r="M22" s="1713"/>
      <c r="N22" s="1601"/>
      <c r="O22" s="13"/>
      <c r="P22" s="86">
        <f>F22/20</f>
        <v>0.56500000000000006</v>
      </c>
      <c r="Q22" s="139" t="s">
        <v>12</v>
      </c>
      <c r="Y22" s="2"/>
    </row>
    <row r="23" spans="1:25" customFormat="1" ht="18.75" customHeight="1">
      <c r="A23" s="2"/>
      <c r="B23" s="1604"/>
      <c r="C23" s="238" t="s">
        <v>61</v>
      </c>
      <c r="D23" s="173" t="s">
        <v>968</v>
      </c>
      <c r="E23" s="7">
        <v>1</v>
      </c>
      <c r="F23" s="8">
        <f>IF(E23&gt;0,20,0)</f>
        <v>20</v>
      </c>
      <c r="G23" s="121">
        <f t="shared" si="0"/>
        <v>20</v>
      </c>
      <c r="H23" s="13"/>
      <c r="I23" s="13"/>
      <c r="J23" s="165">
        <f>+F23*2.5</f>
        <v>50</v>
      </c>
      <c r="K23" s="22" t="e">
        <f>IF(INICIO!#REF!=INICIO!N12,(F23*0.14),IF(INICIO!#REF!=INICIO!N13,(F23*0.14),IF(INICIO!#REF!=INICIO!N14,(F23*0.14),IF(INICIO!#REF!=INICIO!N15,(F23*0.14),IF(INICIO!#REF!=INICIO!N16,(F23*0.14),IF(INICIO!#REF!=INICIO!N17,(F23*0.17),IF(INICIO!#REF!=INICIO!N18,(F23*0.17),IF(INICIO!#REF!=INICIO!N19,(F23*0.17),IF(INICIO!#REF!=INICIO!N20,(F23*0.17),(F23*0.2))))))))))</f>
        <v>#REF!</v>
      </c>
      <c r="L23" s="120">
        <f>+F23*0.08</f>
        <v>1.6</v>
      </c>
      <c r="M23" s="1714"/>
      <c r="N23" s="1602"/>
      <c r="O23" s="82"/>
      <c r="P23" s="24">
        <f>F23/20</f>
        <v>1</v>
      </c>
      <c r="Q23" s="139" t="s">
        <v>114</v>
      </c>
      <c r="Y23" s="2"/>
    </row>
    <row r="24" spans="1:25" ht="18.75" customHeight="1">
      <c r="B24" s="1604"/>
      <c r="C24" s="238" t="s">
        <v>213</v>
      </c>
      <c r="D24" s="173" t="s">
        <v>146</v>
      </c>
      <c r="E24" s="7">
        <f>+INICIO!D5</f>
        <v>4</v>
      </c>
      <c r="F24" s="22">
        <f>IF(E24&gt;0,+P24*INICIO!N5,0)</f>
        <v>64.399999999999991</v>
      </c>
      <c r="G24" s="120">
        <f t="shared" si="0"/>
        <v>257.59999999999997</v>
      </c>
      <c r="H24" s="82"/>
      <c r="I24" s="82"/>
      <c r="J24" s="165">
        <f>+F24*2.5</f>
        <v>160.99999999999997</v>
      </c>
      <c r="K24" s="22">
        <f>IF(INICIO!D3=INICIO!N9,(F24*0.14),IF(INICIO!D3=INICIO!N10,(F24*0.14),IF(INICIO!D3=INICIO!N11,(F24*0.14),IF(INICIO!D3=INICIO!N12,(F24*0.14),IF(INICIO!D3=INICIO!N13,(F24*0.14),IF(INICIO!D3=INICIO!N14,(F24*0.17),IF(INICIO!D3=INICIO!N15,(F24*0.17),IF(INICIO!D3=INICIO!N16,(F24*0.17),IF(INICIO!D3=INICIO!N17,(F24*0.17),(F24*0.2))))))))))</f>
        <v>10.947999999999999</v>
      </c>
      <c r="L24" s="120">
        <f>+F24*0.08</f>
        <v>5.1519999999999992</v>
      </c>
      <c r="M24" s="1606" t="s">
        <v>145</v>
      </c>
      <c r="N24" s="1600" t="s">
        <v>179</v>
      </c>
      <c r="O24" s="82"/>
      <c r="P24" s="24">
        <v>2.2999999999999998</v>
      </c>
    </row>
    <row r="25" spans="1:25" ht="18.75" customHeight="1">
      <c r="B25" s="1604"/>
      <c r="C25" s="238" t="s">
        <v>214</v>
      </c>
      <c r="D25" s="173" t="s">
        <v>148</v>
      </c>
      <c r="E25" s="7">
        <f>+INICIO!D5</f>
        <v>4</v>
      </c>
      <c r="F25" s="8">
        <f>IF(E25&gt;0,11.3,0)</f>
        <v>11.3</v>
      </c>
      <c r="G25" s="121">
        <f t="shared" si="0"/>
        <v>45.2</v>
      </c>
      <c r="H25" s="13"/>
      <c r="I25" s="13"/>
      <c r="J25" s="166"/>
      <c r="K25" s="8">
        <f>IF(F25&gt;0,F25*8%,0)</f>
        <v>0.90400000000000003</v>
      </c>
      <c r="L25" s="121">
        <f>IF(F25&gt;0,F25*4%,0)</f>
        <v>0.45200000000000001</v>
      </c>
      <c r="M25" s="1607"/>
      <c r="N25" s="1601"/>
      <c r="O25" s="13"/>
      <c r="P25" s="24">
        <f>F25/24</f>
        <v>0.47083333333333338</v>
      </c>
      <c r="Q25" s="139" t="s">
        <v>117</v>
      </c>
    </row>
    <row r="26" spans="1:25" ht="18.75" customHeight="1" thickBot="1">
      <c r="B26" s="1605"/>
      <c r="C26" s="239" t="s">
        <v>215</v>
      </c>
      <c r="D26" s="174" t="s">
        <v>678</v>
      </c>
      <c r="E26" s="122">
        <f>IF(INICIO!D5=0,0,IF(INICIO!D5=1,1,IF(INICIO!D5=2,1,IF(INICIO!D5=3,2,IF(INICIO!D5=4,2,IF(INICIO!D5=5,3,"CONSULTAR"))))))</f>
        <v>2</v>
      </c>
      <c r="F26" s="8">
        <f>IF(E26&gt;0,24,0)</f>
        <v>24</v>
      </c>
      <c r="G26" s="124">
        <f t="shared" si="0"/>
        <v>48</v>
      </c>
      <c r="H26" s="13"/>
      <c r="I26" s="13"/>
      <c r="J26" s="167">
        <f>+F26*2.5</f>
        <v>60</v>
      </c>
      <c r="K26" s="128">
        <f>IF(INICIO!D3=INICIO!N9,(F26*0.14),IF(INICIO!D3=INICIO!N10,(F26*0.14),IF(INICIO!D3=INICIO!N11,(F26*0.14),IF(INICIO!D3=INICIO!N12,(F26*0.14),IF(INICIO!D3=INICIO!N13,(F26*0.14),IF(INICIO!D3=INICIO!N14,(F26*0.17),IF(INICIO!D3=INICIO!N15,(F26*0.17),IF(INICIO!D3=INICIO!N16,(F26*0.17),IF(INICIO!D3=INICIO!N17,(F26*0.17),(F26*0.2))))))))))</f>
        <v>4.08</v>
      </c>
      <c r="L26" s="168">
        <f>+F26*0.08</f>
        <v>1.92</v>
      </c>
      <c r="M26" s="1608"/>
      <c r="N26" s="1602"/>
      <c r="O26" s="82"/>
      <c r="P26" s="24">
        <f>F26/24</f>
        <v>1</v>
      </c>
      <c r="Q26" s="139" t="s">
        <v>115</v>
      </c>
    </row>
    <row r="27" spans="1:25" ht="18.75" customHeight="1" thickBot="1">
      <c r="B27" s="220"/>
      <c r="C27" s="45"/>
      <c r="D27" s="29" t="s">
        <v>0</v>
      </c>
      <c r="E27" s="26"/>
      <c r="F27" s="28"/>
      <c r="G27" s="30">
        <f>SUM(G17:G26)</f>
        <v>537.4</v>
      </c>
      <c r="H27" s="57"/>
      <c r="I27" s="57"/>
      <c r="J27" s="57"/>
      <c r="K27" s="57"/>
      <c r="L27" s="57"/>
      <c r="M27" s="57"/>
      <c r="N27" s="57"/>
      <c r="O27" s="57"/>
    </row>
    <row r="28" spans="1:25" ht="18.75" customHeight="1">
      <c r="B28" s="1615" t="s">
        <v>126</v>
      </c>
      <c r="C28" s="237" t="s">
        <v>32</v>
      </c>
      <c r="D28" s="109" t="s">
        <v>149</v>
      </c>
      <c r="E28" s="110">
        <v>1</v>
      </c>
      <c r="F28" s="125">
        <v>8.4</v>
      </c>
      <c r="G28" s="126">
        <f t="shared" ref="G28:G41" si="1">+F28*E28</f>
        <v>8.4</v>
      </c>
      <c r="H28" s="13"/>
      <c r="I28" s="13"/>
      <c r="J28" s="13"/>
      <c r="K28" s="13"/>
      <c r="L28" s="13"/>
      <c r="M28" s="13"/>
      <c r="N28" s="13"/>
      <c r="O28" s="13"/>
      <c r="P28" s="24" t="s">
        <v>5</v>
      </c>
    </row>
    <row r="29" spans="1:25" ht="18.75" customHeight="1">
      <c r="B29" s="1616"/>
      <c r="C29" s="238" t="s">
        <v>33</v>
      </c>
      <c r="D29" s="52" t="s">
        <v>150</v>
      </c>
      <c r="E29" s="7">
        <v>1</v>
      </c>
      <c r="F29" s="11">
        <v>8.4</v>
      </c>
      <c r="G29" s="121">
        <f t="shared" si="1"/>
        <v>8.4</v>
      </c>
      <c r="H29" s="13"/>
      <c r="I29" s="13"/>
      <c r="J29" s="13"/>
      <c r="K29" s="13"/>
      <c r="L29" s="13"/>
      <c r="M29" s="13"/>
      <c r="N29" s="13"/>
      <c r="O29" s="13"/>
      <c r="P29" s="24" t="s">
        <v>5</v>
      </c>
    </row>
    <row r="30" spans="1:25" ht="18.75" customHeight="1">
      <c r="B30" s="1616"/>
      <c r="C30" s="238" t="s">
        <v>34</v>
      </c>
      <c r="D30" s="51" t="s">
        <v>151</v>
      </c>
      <c r="E30" s="7">
        <v>1</v>
      </c>
      <c r="F30" s="8">
        <f>IF(INICIO!C11=1,8.4,IF(INICIO!C11=2,8.4,IF(INICIO!C11=3,(8.4+0.5),IF(INICIO!C11=4,(8.4+1),IF(INICIO!C11=5,(8.4+1.5),IF(INICIO!C11=6,(8.4+2),"CONSULTAR"))))))</f>
        <v>10.4</v>
      </c>
      <c r="G30" s="121">
        <f t="shared" si="1"/>
        <v>10.4</v>
      </c>
      <c r="H30" s="13"/>
      <c r="I30" s="13"/>
      <c r="J30" s="13"/>
      <c r="K30" s="13"/>
      <c r="L30" s="13"/>
      <c r="M30" s="13"/>
      <c r="N30" s="13"/>
      <c r="O30" s="13"/>
      <c r="P30" s="37" t="s">
        <v>895</v>
      </c>
    </row>
    <row r="31" spans="1:25" ht="18.75" customHeight="1">
      <c r="B31" s="1616"/>
      <c r="C31" s="238" t="s">
        <v>35</v>
      </c>
      <c r="D31" s="51" t="s">
        <v>184</v>
      </c>
      <c r="E31" s="7">
        <v>1</v>
      </c>
      <c r="F31" s="8">
        <f>IF(INICIO!C11=1,13.5,IF(INICIO!C11=2,13.5,IF(INICIO!C11=3,(13.5+5.5),IF(INICIO!C11=4,(13.5+11),IF(INICIO!C11=5,(13.5+16.5),IF(INICIO!C11=6,(13.5+22),"CONSULTAR"))))))</f>
        <v>35.5</v>
      </c>
      <c r="G31" s="121">
        <f t="shared" si="1"/>
        <v>35.5</v>
      </c>
      <c r="H31" s="13"/>
      <c r="I31" s="13"/>
      <c r="J31" s="13"/>
      <c r="K31" s="13"/>
      <c r="L31" s="13"/>
      <c r="M31" s="13"/>
      <c r="N31" s="13"/>
      <c r="O31" s="13"/>
      <c r="P31" s="37" t="s">
        <v>896</v>
      </c>
    </row>
    <row r="32" spans="1:25" ht="18.75" customHeight="1" thickBot="1">
      <c r="B32" s="1616"/>
      <c r="C32" s="238" t="s">
        <v>36</v>
      </c>
      <c r="D32" s="127" t="s">
        <v>152</v>
      </c>
      <c r="E32" s="7">
        <v>1</v>
      </c>
      <c r="F32" s="8">
        <f>IF(INICIO!C11=1,12,IF(INICIO!C11=2,12,IF(INICIO!C11=3,(12+3),IF(INICIO!C11=4,(12+6),IF(INICIO!C11=5,(12+9),IF(INICIO!C11=6,(12+12),"CONSULTAR"))))))</f>
        <v>24</v>
      </c>
      <c r="G32" s="121">
        <f t="shared" si="1"/>
        <v>24</v>
      </c>
      <c r="H32" s="13"/>
      <c r="I32" s="13"/>
      <c r="J32" s="13"/>
      <c r="K32" s="13"/>
      <c r="L32" s="13"/>
      <c r="M32" s="13"/>
      <c r="N32" s="13"/>
      <c r="O32" s="13"/>
      <c r="P32" s="25" t="s">
        <v>897</v>
      </c>
    </row>
    <row r="33" spans="2:24" ht="18.75" customHeight="1" thickBot="1">
      <c r="B33" s="1616"/>
      <c r="C33" s="238" t="s">
        <v>37</v>
      </c>
      <c r="D33" s="184" t="s">
        <v>153</v>
      </c>
      <c r="E33" s="185">
        <f>IF(INICIO!D4=0,0,IF(INICIO!D4=1,1,IF(INICIO!D4=2,1,IF(INICIO!D4=3,1,IF(INICIO!D4=4,2,"CONSULTAR")))))</f>
        <v>1</v>
      </c>
      <c r="F33" s="188">
        <v>4</v>
      </c>
      <c r="G33" s="187">
        <f t="shared" si="1"/>
        <v>4</v>
      </c>
      <c r="H33" s="298" t="s">
        <v>238</v>
      </c>
      <c r="I33" s="13"/>
      <c r="J33" s="13"/>
      <c r="K33" s="13"/>
      <c r="L33" s="13"/>
      <c r="M33" s="13"/>
      <c r="N33" s="13"/>
      <c r="O33" s="13"/>
      <c r="P33" s="25" t="s">
        <v>6</v>
      </c>
    </row>
    <row r="34" spans="2:24" s="54" customFormat="1" ht="18.75" customHeight="1">
      <c r="B34" s="1616"/>
      <c r="C34" s="238" t="s">
        <v>38</v>
      </c>
      <c r="D34" s="51" t="s">
        <v>216</v>
      </c>
      <c r="E34" s="7">
        <v>1</v>
      </c>
      <c r="F34" s="70">
        <v>4</v>
      </c>
      <c r="G34" s="121">
        <f t="shared" si="1"/>
        <v>4</v>
      </c>
      <c r="H34" s="13"/>
      <c r="I34" s="13"/>
      <c r="J34" s="13"/>
      <c r="K34" s="13"/>
      <c r="L34" s="13"/>
      <c r="M34" s="13"/>
      <c r="N34" s="13"/>
      <c r="O34" s="13"/>
      <c r="P34" s="143"/>
      <c r="Q34" s="140"/>
      <c r="R34" s="60"/>
      <c r="S34" s="60"/>
      <c r="T34" s="60"/>
      <c r="U34" s="60"/>
      <c r="V34" s="60"/>
      <c r="W34" s="60"/>
      <c r="X34" s="60"/>
    </row>
    <row r="35" spans="2:24" ht="18.75" customHeight="1" thickBot="1">
      <c r="B35" s="1616"/>
      <c r="C35" s="238" t="s">
        <v>39</v>
      </c>
      <c r="D35" s="51" t="s">
        <v>154</v>
      </c>
      <c r="E35" s="7">
        <v>1</v>
      </c>
      <c r="F35" s="8">
        <v>3.6</v>
      </c>
      <c r="G35" s="121">
        <f t="shared" si="1"/>
        <v>3.6</v>
      </c>
      <c r="H35" s="13"/>
      <c r="I35" s="13"/>
      <c r="J35" s="13"/>
      <c r="K35" s="13"/>
      <c r="L35" s="13"/>
      <c r="M35" s="13"/>
      <c r="N35" s="13"/>
      <c r="O35" s="13"/>
      <c r="P35" s="24" t="s">
        <v>5</v>
      </c>
    </row>
    <row r="36" spans="2:24" ht="18.75" customHeight="1" thickBot="1">
      <c r="B36" s="1616"/>
      <c r="C36" s="238" t="s">
        <v>40</v>
      </c>
      <c r="D36" s="184" t="s">
        <v>155</v>
      </c>
      <c r="E36" s="185">
        <f>IF(INICIO!C19&lt;10,0,IF(INICIO!C19&gt;30,"CONSULTAR",1))</f>
        <v>1</v>
      </c>
      <c r="F36" s="186">
        <v>1.96</v>
      </c>
      <c r="G36" s="187">
        <f t="shared" si="1"/>
        <v>1.96</v>
      </c>
      <c r="H36" s="298" t="s">
        <v>238</v>
      </c>
      <c r="I36" s="13"/>
      <c r="J36" s="13"/>
      <c r="K36" s="13"/>
      <c r="L36" s="13"/>
      <c r="M36" s="13"/>
      <c r="N36" s="13"/>
      <c r="O36" s="13"/>
      <c r="Q36" s="139" t="s">
        <v>85</v>
      </c>
    </row>
    <row r="37" spans="2:24" ht="18.75" customHeight="1">
      <c r="B37" s="1616"/>
      <c r="C37" s="238" t="s">
        <v>41</v>
      </c>
      <c r="D37" s="51" t="s">
        <v>156</v>
      </c>
      <c r="E37" s="7">
        <v>1</v>
      </c>
      <c r="F37" s="8">
        <v>1.96</v>
      </c>
      <c r="G37" s="121">
        <f t="shared" si="1"/>
        <v>1.96</v>
      </c>
      <c r="H37" s="13"/>
      <c r="I37" s="13"/>
      <c r="J37" s="13"/>
      <c r="K37" s="13"/>
      <c r="L37" s="13"/>
      <c r="M37" s="13"/>
      <c r="N37" s="13"/>
      <c r="O37" s="13"/>
    </row>
    <row r="38" spans="2:24" s="54" customFormat="1" ht="18.75" customHeight="1">
      <c r="B38" s="1616"/>
      <c r="C38" s="238" t="s">
        <v>42</v>
      </c>
      <c r="D38" s="51" t="s">
        <v>202</v>
      </c>
      <c r="E38" s="7">
        <v>1</v>
      </c>
      <c r="F38" s="8">
        <f>IF(INICIO!D4=1,4,IF(INICIO!D4=2,5.5,IF(INICIO!D4=3,7,CONSULTAR)))</f>
        <v>5.5</v>
      </c>
      <c r="G38" s="121">
        <f t="shared" si="1"/>
        <v>5.5</v>
      </c>
      <c r="H38" s="13"/>
      <c r="I38" s="13"/>
      <c r="J38" s="13"/>
      <c r="K38" s="13"/>
      <c r="L38" s="13"/>
      <c r="M38" s="13"/>
      <c r="N38" s="13"/>
      <c r="O38" s="13"/>
      <c r="P38" s="197" t="s">
        <v>75</v>
      </c>
      <c r="Q38" s="140" t="s">
        <v>8</v>
      </c>
      <c r="R38" s="60"/>
      <c r="S38" s="60"/>
      <c r="T38" s="60"/>
      <c r="U38" s="60"/>
      <c r="V38" s="60"/>
      <c r="W38" s="60"/>
      <c r="X38" s="60"/>
    </row>
    <row r="39" spans="2:24" ht="18.75" customHeight="1">
      <c r="B39" s="1616"/>
      <c r="C39" s="238" t="s">
        <v>63</v>
      </c>
      <c r="D39" s="51" t="s">
        <v>203</v>
      </c>
      <c r="E39" s="7">
        <v>1</v>
      </c>
      <c r="F39" s="8">
        <f>IF(INICIO!D5=1,4,IF(INICIO!D5=2,5.5,IF(INICIO!D5=3,7,0)))</f>
        <v>0</v>
      </c>
      <c r="G39" s="121">
        <f t="shared" si="1"/>
        <v>0</v>
      </c>
      <c r="H39" s="13"/>
      <c r="I39" s="13"/>
      <c r="J39" s="13"/>
      <c r="K39" s="13"/>
      <c r="L39" s="13"/>
      <c r="M39" s="13"/>
      <c r="N39" s="13"/>
      <c r="O39" s="13"/>
      <c r="P39" s="37"/>
    </row>
    <row r="40" spans="2:24" ht="18.75" customHeight="1">
      <c r="B40" s="1616"/>
      <c r="C40" s="238" t="s">
        <v>201</v>
      </c>
      <c r="D40" s="51" t="s">
        <v>158</v>
      </c>
      <c r="E40" s="7">
        <f>IF(INICIO!C11=1,1,IF(INICIO!C11=2,1,IF(INICIO!C11=3,1,IF(INICIO!C11=4,2,IF(INICIO!C11=5,2,IF(INICIO!C11=6,2,"CONSULTAR"))))))</f>
        <v>2</v>
      </c>
      <c r="F40" s="8">
        <f>IF(INICIO!C11=3,6,4)</f>
        <v>4</v>
      </c>
      <c r="G40" s="121">
        <f t="shared" si="1"/>
        <v>8</v>
      </c>
      <c r="H40" s="13"/>
      <c r="I40" s="13"/>
      <c r="J40" s="13"/>
      <c r="K40" s="13"/>
      <c r="L40" s="13"/>
      <c r="M40" s="13"/>
      <c r="N40" s="13"/>
      <c r="O40" s="13"/>
      <c r="P40" s="37" t="s">
        <v>7</v>
      </c>
      <c r="Q40" s="139" t="s">
        <v>8</v>
      </c>
    </row>
    <row r="41" spans="2:24" s="3" customFormat="1" ht="18.75" customHeight="1" thickBot="1">
      <c r="B41" s="1617"/>
      <c r="C41" s="239" t="s">
        <v>217</v>
      </c>
      <c r="D41" s="69" t="s">
        <v>159</v>
      </c>
      <c r="E41" s="122">
        <v>1</v>
      </c>
      <c r="F41" s="128">
        <v>2</v>
      </c>
      <c r="G41" s="124">
        <f t="shared" si="1"/>
        <v>2</v>
      </c>
      <c r="H41" s="13"/>
      <c r="I41" s="13"/>
      <c r="J41" s="13"/>
      <c r="K41" s="13"/>
      <c r="L41" s="13"/>
      <c r="M41" s="13"/>
      <c r="N41" s="13"/>
      <c r="O41" s="13"/>
      <c r="P41" s="38" t="s">
        <v>5</v>
      </c>
      <c r="Q41" s="144"/>
    </row>
    <row r="42" spans="2:24" ht="18.75" customHeight="1" thickBot="1">
      <c r="B42" s="221"/>
      <c r="C42" s="45"/>
      <c r="D42" s="10" t="s">
        <v>0</v>
      </c>
      <c r="E42" s="26"/>
      <c r="F42" s="31"/>
      <c r="G42" s="30">
        <f>SUM(G28:G41)</f>
        <v>117.71999999999998</v>
      </c>
      <c r="H42" s="57"/>
      <c r="I42" s="57"/>
      <c r="J42" s="57"/>
      <c r="K42" s="57"/>
      <c r="L42" s="57"/>
      <c r="M42" s="57"/>
      <c r="N42" s="57"/>
      <c r="O42" s="57"/>
    </row>
    <row r="43" spans="2:24" ht="18.75" customHeight="1">
      <c r="B43" s="1615" t="s">
        <v>127</v>
      </c>
      <c r="C43" s="75" t="s">
        <v>50</v>
      </c>
      <c r="D43" s="109" t="s">
        <v>160</v>
      </c>
      <c r="E43" s="110">
        <f>IF(INICIO!C13=0,0,1)</f>
        <v>1</v>
      </c>
      <c r="F43" s="125">
        <f>IF(INICIO!D5=0,0,IF(INICIO!D5=1,12,IF(INICIO!D5=2,14,IF(INICIO!D5=3,16,IF(INICIO!D5=4,18,"CONSULTAR")))))</f>
        <v>18</v>
      </c>
      <c r="G43" s="126">
        <f t="shared" ref="G43:G50" si="2">+F43*E43</f>
        <v>18</v>
      </c>
      <c r="H43" s="13"/>
      <c r="I43" s="13"/>
      <c r="J43" s="13" t="s">
        <v>1508</v>
      </c>
      <c r="K43" s="13"/>
      <c r="L43" s="13"/>
      <c r="M43" s="13"/>
      <c r="N43" s="13"/>
      <c r="O43" s="13"/>
      <c r="P43" s="37" t="s">
        <v>9</v>
      </c>
      <c r="Q43" s="139" t="s">
        <v>84</v>
      </c>
    </row>
    <row r="44" spans="2:24" ht="18.75" customHeight="1">
      <c r="B44" s="1616"/>
      <c r="C44" s="172" t="s">
        <v>51</v>
      </c>
      <c r="D44" s="51" t="s">
        <v>510</v>
      </c>
      <c r="E44" s="7">
        <f>IF(INICIO!C12=0,0,1)</f>
        <v>1</v>
      </c>
      <c r="F44" s="8">
        <f>IF(INICIO!D4=1,9,IF(INICIO!D4=2,10,IF(INICIO!D4=3,11,IF(INICIO!D4=4,12,"CONSULTAR"))))</f>
        <v>10</v>
      </c>
      <c r="G44" s="121">
        <f t="shared" si="2"/>
        <v>10</v>
      </c>
      <c r="H44" s="13"/>
      <c r="I44" s="13"/>
      <c r="J44" s="13"/>
      <c r="K44" s="13"/>
      <c r="L44" s="13"/>
      <c r="M44" s="13"/>
      <c r="N44" s="13"/>
      <c r="O44" s="13"/>
      <c r="P44" s="37"/>
    </row>
    <row r="45" spans="2:24" ht="18.75" customHeight="1" thickBot="1">
      <c r="B45" s="1616"/>
      <c r="C45" s="172" t="s">
        <v>52</v>
      </c>
      <c r="D45" s="51" t="s">
        <v>161</v>
      </c>
      <c r="E45" s="7">
        <v>1</v>
      </c>
      <c r="F45" s="8">
        <f>IF(INICIO!D4=0,0,IF(INICIO!D4=1,4,IF(INICIO!D4=2,(4+1.5),IF(INICIO!D4=3,(4+3),IF(INICIO!D4=4,(4+4.5),"CONSULTAR")))))</f>
        <v>5.5</v>
      </c>
      <c r="G45" s="121">
        <f t="shared" si="2"/>
        <v>5.5</v>
      </c>
      <c r="H45" s="13"/>
      <c r="I45" s="13"/>
      <c r="J45" s="13"/>
      <c r="K45" s="13"/>
      <c r="L45" s="13"/>
      <c r="M45" s="13"/>
      <c r="N45" s="13"/>
      <c r="O45" s="13"/>
      <c r="P45" s="37" t="s">
        <v>898</v>
      </c>
    </row>
    <row r="46" spans="2:24" ht="18.75" customHeight="1" thickBot="1">
      <c r="B46" s="1616"/>
      <c r="C46" s="172" t="s">
        <v>53</v>
      </c>
      <c r="D46" s="51" t="s">
        <v>185</v>
      </c>
      <c r="E46" s="7">
        <f>IF(INICIO!C13=0,0,1)</f>
        <v>1</v>
      </c>
      <c r="F46" s="8">
        <f>IF(INICIO!C13=72,48,(INICIO!C13*0.9))</f>
        <v>100.8</v>
      </c>
      <c r="G46" s="121">
        <f t="shared" si="2"/>
        <v>100.8</v>
      </c>
      <c r="H46" s="13"/>
      <c r="I46" s="2"/>
      <c r="J46" s="169">
        <f>+F46*2.5</f>
        <v>252</v>
      </c>
      <c r="K46" s="170">
        <f>IF(INICIO!E5=INICIO!N14,(F46*0.14),IF(INICIO!E5=INICIO!N15,(F46*0.14),IF(INICIO!E5=INICIO!N16,(F46*0.14),IF(INICIO!E5=INICIO!N17,(F46*0.14),IF(INICIO!E5=INICIO!N18,(F46*0.14),IF(INICIO!E5=INICIO!N19,(F46*0.17),IF(INICIO!E5=INICIO!N20,(F46*0.17),IF(INICIO!E5=INICIO!N21,(F46*0.17),IF(INICIO!E5=INICIO!N22,(F46*0.17),(F46*0.2))))))))))</f>
        <v>20.16</v>
      </c>
      <c r="L46" s="171">
        <f>+F46*0.08</f>
        <v>8.0640000000000001</v>
      </c>
      <c r="M46" s="82"/>
      <c r="N46" s="82"/>
      <c r="O46" s="82"/>
      <c r="P46" s="24" t="s">
        <v>10</v>
      </c>
    </row>
    <row r="47" spans="2:24" ht="18.75" customHeight="1">
      <c r="B47" s="1616"/>
      <c r="C47" s="172" t="s">
        <v>54</v>
      </c>
      <c r="D47" s="127" t="s">
        <v>512</v>
      </c>
      <c r="E47" s="21">
        <v>1</v>
      </c>
      <c r="F47" s="8">
        <f>IF(INICIO!C11=1,5.5,IF(INICIO!C11=2,6,IF(INICIO!C11=3,(6+0.5),IF(INICIO!C11=4,(6+1),IF(INICIO!C11=5,(6+1.5),IF(INICIO!C11=6,(6+2),"CONSULTAR"))))))</f>
        <v>8</v>
      </c>
      <c r="G47" s="121">
        <f t="shared" si="2"/>
        <v>8</v>
      </c>
      <c r="H47" s="13"/>
      <c r="I47" s="13"/>
      <c r="J47" s="13"/>
      <c r="K47" s="13"/>
      <c r="L47" s="13"/>
      <c r="M47" s="13"/>
      <c r="N47" s="13"/>
      <c r="O47" s="13"/>
      <c r="P47" s="37" t="s">
        <v>11</v>
      </c>
      <c r="Q47" s="139" t="s">
        <v>110</v>
      </c>
    </row>
    <row r="48" spans="2:24" ht="18.75" customHeight="1">
      <c r="B48" s="1616"/>
      <c r="C48" s="172" t="s">
        <v>55</v>
      </c>
      <c r="D48" s="127" t="s">
        <v>513</v>
      </c>
      <c r="E48" s="21">
        <v>1</v>
      </c>
      <c r="F48" s="8">
        <f>IF(INICIO!C11=1,3.5,IF(INICIO!C11=2,4,IF(INICIO!C11=3,(4+0.5),IF(INICIO!C11=4,(4+1),IF(INICIO!C11=5,(4+1.5),IF(INICIO!C11=6,(4+2),"CONSULTAR"))))))</f>
        <v>6</v>
      </c>
      <c r="G48" s="121">
        <f t="shared" si="2"/>
        <v>6</v>
      </c>
      <c r="H48" s="13"/>
      <c r="I48" s="13"/>
      <c r="J48" s="13"/>
      <c r="K48" s="13"/>
      <c r="L48" s="13"/>
      <c r="M48" s="13"/>
      <c r="N48" s="13"/>
      <c r="O48" s="13"/>
      <c r="P48" s="37"/>
    </row>
    <row r="49" spans="1:25" ht="18.75" customHeight="1">
      <c r="B49" s="1616"/>
      <c r="C49" s="172" t="s">
        <v>509</v>
      </c>
      <c r="D49" s="51" t="s">
        <v>162</v>
      </c>
      <c r="E49" s="7">
        <v>1</v>
      </c>
      <c r="F49" s="8">
        <v>2</v>
      </c>
      <c r="G49" s="121">
        <f t="shared" si="2"/>
        <v>2</v>
      </c>
      <c r="H49" s="13"/>
      <c r="I49" s="13"/>
      <c r="J49" s="13"/>
      <c r="K49" s="13"/>
      <c r="L49" s="13"/>
      <c r="M49" s="13"/>
      <c r="N49" s="13"/>
      <c r="O49" s="13"/>
      <c r="P49" s="24" t="s">
        <v>5</v>
      </c>
      <c r="Q49" s="139" t="s">
        <v>91</v>
      </c>
    </row>
    <row r="50" spans="1:25" ht="18.75" customHeight="1" thickBot="1">
      <c r="A50" s="17"/>
      <c r="B50" s="1617"/>
      <c r="C50" s="76" t="s">
        <v>511</v>
      </c>
      <c r="D50" s="69" t="s">
        <v>163</v>
      </c>
      <c r="E50" s="122">
        <v>1</v>
      </c>
      <c r="F50" s="123">
        <v>4</v>
      </c>
      <c r="G50" s="124">
        <f t="shared" si="2"/>
        <v>4</v>
      </c>
      <c r="H50" s="13"/>
      <c r="I50" s="13"/>
      <c r="J50" s="13"/>
      <c r="K50" s="13"/>
      <c r="L50" s="13"/>
      <c r="M50" s="13"/>
      <c r="N50" s="13"/>
      <c r="O50" s="13"/>
      <c r="P50" s="24" t="s">
        <v>5</v>
      </c>
    </row>
    <row r="51" spans="1:25" ht="18.75" customHeight="1" thickBot="1">
      <c r="B51" s="222"/>
      <c r="C51" s="45"/>
      <c r="D51" s="10" t="s">
        <v>0</v>
      </c>
      <c r="E51" s="26"/>
      <c r="F51" s="28"/>
      <c r="G51" s="30">
        <f>SUM(G43:G50)</f>
        <v>154.30000000000001</v>
      </c>
      <c r="H51" s="57"/>
      <c r="I51" s="57"/>
      <c r="J51" s="57"/>
      <c r="K51" s="57"/>
      <c r="L51" s="57"/>
      <c r="M51" s="57"/>
      <c r="N51" s="57"/>
      <c r="O51" s="57"/>
    </row>
    <row r="52" spans="1:25" ht="18.75" customHeight="1" thickBot="1">
      <c r="B52" s="222"/>
      <c r="C52" s="45"/>
      <c r="D52" s="146" t="s">
        <v>95</v>
      </c>
      <c r="E52" s="147"/>
      <c r="F52" s="148"/>
      <c r="G52" s="149">
        <f>G51+G42+G27</f>
        <v>809.42</v>
      </c>
      <c r="H52" s="57"/>
      <c r="I52" s="57"/>
      <c r="J52" s="57"/>
      <c r="K52" s="57"/>
      <c r="L52" s="57"/>
      <c r="M52" s="57"/>
      <c r="N52" s="57"/>
      <c r="O52" s="57"/>
    </row>
    <row r="53" spans="1:25" ht="18.75" customHeight="1">
      <c r="B53" s="1615" t="s">
        <v>166</v>
      </c>
      <c r="C53" s="237" t="s">
        <v>56</v>
      </c>
      <c r="D53" s="131" t="s">
        <v>164</v>
      </c>
      <c r="E53" s="1722"/>
      <c r="F53" s="1722"/>
      <c r="G53" s="126">
        <f>G52*0.18</f>
        <v>145.69559999999998</v>
      </c>
      <c r="H53" s="13"/>
      <c r="I53" s="13"/>
      <c r="J53" s="14"/>
      <c r="K53" s="14"/>
      <c r="L53" s="14"/>
      <c r="M53" s="14"/>
      <c r="N53" s="14"/>
      <c r="O53" s="14"/>
    </row>
    <row r="54" spans="1:25" ht="18.75" customHeight="1" thickBot="1">
      <c r="B54" s="1616"/>
      <c r="C54" s="286" t="s">
        <v>57</v>
      </c>
      <c r="D54" s="200" t="s">
        <v>1134</v>
      </c>
      <c r="E54" s="1723"/>
      <c r="F54" s="1723"/>
      <c r="G54" s="121">
        <f>+IF($B$15="ZONA SUR",($Y$54-G55),0)</f>
        <v>0</v>
      </c>
      <c r="H54" s="13"/>
      <c r="I54" s="13"/>
      <c r="J54" s="14"/>
      <c r="K54" s="14"/>
      <c r="L54" s="14"/>
      <c r="M54" s="14"/>
      <c r="N54" s="14"/>
      <c r="O54" s="14"/>
      <c r="Y54" s="2">
        <f>IF(G10&gt;87,100,1.2*G10)</f>
        <v>100</v>
      </c>
    </row>
    <row r="55" spans="1:25" ht="18.75" customHeight="1" thickBot="1">
      <c r="B55" s="1616"/>
      <c r="C55" s="286" t="s">
        <v>207</v>
      </c>
      <c r="D55" s="201" t="s">
        <v>1135</v>
      </c>
      <c r="E55" s="1724"/>
      <c r="F55" s="1724"/>
      <c r="G55" s="202">
        <f>+IF($B$15="ZONA SUR",$Y$55,0)</f>
        <v>0</v>
      </c>
      <c r="H55" s="298" t="s">
        <v>238</v>
      </c>
      <c r="I55" s="13"/>
      <c r="J55" s="14"/>
      <c r="K55" s="14"/>
      <c r="L55" s="14"/>
      <c r="M55" s="14"/>
      <c r="N55" s="14"/>
      <c r="O55" s="14"/>
      <c r="P55" s="24" t="s">
        <v>49</v>
      </c>
      <c r="Y55" s="2">
        <f>IF(+C8=1,0,IF(+G8&gt;87,100,IF(C8=2,1.2*20,IF(C8=3,1.2*40))))</f>
        <v>24</v>
      </c>
    </row>
    <row r="56" spans="1:25" ht="18.75" customHeight="1" thickBot="1">
      <c r="A56" s="18"/>
      <c r="B56" s="1616"/>
      <c r="C56" s="238"/>
      <c r="D56" s="90" t="s">
        <v>0</v>
      </c>
      <c r="E56" s="1733"/>
      <c r="F56" s="1734"/>
      <c r="G56" s="130">
        <f>SUM(G53:G55)</f>
        <v>145.69559999999998</v>
      </c>
      <c r="H56" s="58"/>
      <c r="I56" s="58"/>
      <c r="J56" s="58"/>
      <c r="K56" s="58"/>
      <c r="L56" s="58"/>
      <c r="M56" s="58"/>
      <c r="N56" s="58"/>
      <c r="O56" s="58"/>
    </row>
    <row r="57" spans="1:25" ht="18.75" customHeight="1" thickBot="1">
      <c r="A57" s="18"/>
      <c r="B57" s="1617"/>
      <c r="C57" s="239"/>
      <c r="D57" s="93" t="s">
        <v>96</v>
      </c>
      <c r="E57" s="94"/>
      <c r="F57" s="103"/>
      <c r="G57" s="95">
        <f>+G56+G52</f>
        <v>955.11559999999997</v>
      </c>
      <c r="H57" s="58"/>
      <c r="I57" s="58"/>
      <c r="J57" s="58"/>
      <c r="K57" s="58"/>
      <c r="L57" s="58"/>
      <c r="M57" s="58"/>
      <c r="N57" s="58"/>
      <c r="O57" s="58"/>
    </row>
    <row r="58" spans="1:25" ht="18.75" customHeight="1" thickBot="1">
      <c r="B58" s="283"/>
      <c r="C58" s="250"/>
      <c r="D58" s="150" t="s">
        <v>1</v>
      </c>
      <c r="E58" s="151"/>
      <c r="F58" s="152"/>
      <c r="G58" s="153">
        <f>+G57*0.1</f>
        <v>95.511560000000003</v>
      </c>
      <c r="H58" s="13"/>
      <c r="I58" s="13"/>
      <c r="J58" s="13"/>
      <c r="K58" s="13"/>
      <c r="L58" s="13"/>
      <c r="M58" s="13"/>
      <c r="N58" s="13"/>
      <c r="O58" s="13"/>
    </row>
    <row r="59" spans="1:25" customFormat="1" ht="18.75" customHeight="1" thickBot="1">
      <c r="A59" s="2"/>
      <c r="B59" s="284"/>
      <c r="C59" s="252"/>
      <c r="D59" s="198" t="s">
        <v>102</v>
      </c>
      <c r="E59" s="98"/>
      <c r="F59" s="99"/>
      <c r="G59" s="96">
        <f>SUM(G57:G58)</f>
        <v>1050.62716</v>
      </c>
      <c r="H59" s="57"/>
      <c r="I59" s="57"/>
      <c r="J59" s="57"/>
      <c r="K59" s="57"/>
      <c r="L59" s="57"/>
      <c r="M59" s="57"/>
      <c r="N59" s="57"/>
      <c r="O59" s="57"/>
      <c r="P59" s="24"/>
      <c r="Q59" s="139"/>
      <c r="Y59" s="2"/>
    </row>
    <row r="60" spans="1:25" s="54" customFormat="1" ht="19.5" customHeight="1">
      <c r="A60" s="88"/>
      <c r="B60" s="1616" t="s">
        <v>128</v>
      </c>
      <c r="C60" s="240" t="s">
        <v>92</v>
      </c>
      <c r="D60" s="173" t="s">
        <v>167</v>
      </c>
      <c r="E60" s="1706"/>
      <c r="F60" s="1707"/>
      <c r="G60" s="126">
        <f>IF(B15="ZONA SUR",18,0)</f>
        <v>0</v>
      </c>
      <c r="H60" s="13"/>
      <c r="I60" s="13"/>
      <c r="J60" s="53"/>
      <c r="K60" s="53"/>
      <c r="L60" s="53"/>
      <c r="M60" s="53"/>
      <c r="N60" s="53"/>
      <c r="O60" s="53"/>
      <c r="P60" s="89"/>
      <c r="Q60" s="140"/>
    </row>
    <row r="61" spans="1:25" s="54" customFormat="1" ht="21.75" customHeight="1" thickBot="1">
      <c r="A61" s="88"/>
      <c r="B61" s="1616"/>
      <c r="C61" s="242" t="s">
        <v>93</v>
      </c>
      <c r="D61" s="287" t="s">
        <v>205</v>
      </c>
      <c r="E61" s="1718"/>
      <c r="F61" s="1719"/>
      <c r="G61" s="199">
        <f>+IF($B$15="ZONA CENTRO NORTE",($Y$54-G62),0)</f>
        <v>76</v>
      </c>
      <c r="H61" s="13"/>
      <c r="I61" s="13"/>
      <c r="J61" s="53"/>
      <c r="K61" s="53"/>
      <c r="L61" s="53"/>
      <c r="M61" s="53"/>
      <c r="N61" s="53"/>
      <c r="O61" s="53"/>
      <c r="P61" s="89"/>
      <c r="Q61" s="140"/>
    </row>
    <row r="62" spans="1:25" customFormat="1" ht="21" customHeight="1" thickBot="1">
      <c r="A62" s="2"/>
      <c r="B62" s="1616"/>
      <c r="C62" s="241" t="s">
        <v>204</v>
      </c>
      <c r="D62" s="288" t="s">
        <v>206</v>
      </c>
      <c r="E62" s="1720"/>
      <c r="F62" s="1721"/>
      <c r="G62" s="203">
        <f>+IF($B$15="ZONA CENTRO NORTE",$Y$55,0)</f>
        <v>24</v>
      </c>
      <c r="H62" s="298" t="s">
        <v>238</v>
      </c>
      <c r="I62" s="13"/>
      <c r="J62" s="5"/>
      <c r="K62" s="5"/>
      <c r="L62" s="5"/>
      <c r="M62" s="5"/>
      <c r="N62" s="5"/>
      <c r="O62" s="5"/>
      <c r="P62" s="24"/>
      <c r="Q62" s="139" t="s">
        <v>86</v>
      </c>
      <c r="Y62" s="2"/>
    </row>
    <row r="63" spans="1:25" customFormat="1" ht="18.75" customHeight="1" thickBot="1">
      <c r="A63" s="18"/>
      <c r="B63" s="91"/>
      <c r="C63" s="285"/>
      <c r="D63" s="101" t="s">
        <v>94</v>
      </c>
      <c r="E63" s="102"/>
      <c r="F63" s="99"/>
      <c r="G63" s="1423">
        <f>SUM(G60:G62)</f>
        <v>100</v>
      </c>
      <c r="H63" s="58"/>
      <c r="I63" s="58"/>
      <c r="J63" s="15"/>
      <c r="K63" s="15"/>
      <c r="L63" s="15"/>
      <c r="M63" s="15"/>
      <c r="N63" s="15"/>
      <c r="O63" s="15"/>
      <c r="P63" s="24"/>
      <c r="Q63" s="139"/>
      <c r="Y63" s="2"/>
    </row>
    <row r="64" spans="1:25" customFormat="1" ht="18.75" customHeight="1" thickBot="1">
      <c r="A64" s="18"/>
      <c r="B64" s="1669" t="s">
        <v>129</v>
      </c>
      <c r="C64" s="240" t="s">
        <v>97</v>
      </c>
      <c r="D64" s="134" t="s">
        <v>969</v>
      </c>
      <c r="E64" s="135"/>
      <c r="F64" s="1422"/>
      <c r="G64" s="1425">
        <f>(G8*1.5)-G62-G55</f>
        <v>36</v>
      </c>
      <c r="H64" s="1426"/>
      <c r="I64" s="1426"/>
      <c r="J64" s="1421" t="s">
        <v>1499</v>
      </c>
      <c r="K64" s="45"/>
      <c r="L64" s="45"/>
      <c r="M64" s="45"/>
      <c r="N64" s="45"/>
      <c r="O64" s="45"/>
      <c r="P64" s="24"/>
      <c r="Q64" s="139"/>
      <c r="Y64" s="2"/>
    </row>
    <row r="65" spans="1:25" customFormat="1" ht="18.75" customHeight="1">
      <c r="A65" s="18"/>
      <c r="B65" s="1670"/>
      <c r="C65" s="242" t="s">
        <v>98</v>
      </c>
      <c r="D65" s="136" t="s">
        <v>967</v>
      </c>
      <c r="E65" s="16"/>
      <c r="F65" s="32"/>
      <c r="G65" s="1424">
        <f>INICIO!C13*1.5</f>
        <v>168</v>
      </c>
      <c r="H65" s="156"/>
      <c r="I65" s="156"/>
      <c r="J65" s="20"/>
      <c r="K65" s="20"/>
      <c r="L65" s="20"/>
      <c r="M65" s="20"/>
      <c r="N65" s="20"/>
      <c r="O65" s="20"/>
      <c r="P65" s="24"/>
      <c r="Q65" s="139"/>
      <c r="Y65" s="2"/>
    </row>
    <row r="66" spans="1:25" customFormat="1" ht="18.75" customHeight="1">
      <c r="A66" s="18"/>
      <c r="B66" s="1670"/>
      <c r="C66" s="242" t="s">
        <v>99</v>
      </c>
      <c r="D66" s="136" t="s">
        <v>168</v>
      </c>
      <c r="E66" s="16"/>
      <c r="F66" s="32"/>
      <c r="G66" s="121">
        <f>IF(B15="ZONA SUR",G10*4-(G55+G54),G10*4-(G62+G61))-G65-G64</f>
        <v>304</v>
      </c>
      <c r="H66" s="13"/>
      <c r="I66" s="13"/>
      <c r="J66" s="45"/>
      <c r="K66" s="45"/>
      <c r="L66" s="45"/>
      <c r="M66" s="45"/>
      <c r="N66" s="45"/>
      <c r="O66" s="45"/>
      <c r="P66" s="24"/>
      <c r="Q66" s="139" t="s">
        <v>899</v>
      </c>
      <c r="Y66" s="2"/>
    </row>
    <row r="67" spans="1:25" customFormat="1" ht="18.75" customHeight="1">
      <c r="A67" s="18"/>
      <c r="B67" s="1670"/>
      <c r="C67" s="242" t="s">
        <v>100</v>
      </c>
      <c r="D67" s="136" t="s">
        <v>169</v>
      </c>
      <c r="E67" s="16"/>
      <c r="F67" s="32"/>
      <c r="G67" s="121">
        <v>18</v>
      </c>
      <c r="H67" s="13"/>
      <c r="I67" s="13"/>
      <c r="J67" s="45"/>
      <c r="K67" s="45"/>
      <c r="L67" s="45"/>
      <c r="M67" s="45"/>
      <c r="N67" s="45"/>
      <c r="O67" s="45"/>
      <c r="P67" s="24"/>
      <c r="Q67" s="139"/>
      <c r="Y67" s="2"/>
    </row>
    <row r="68" spans="1:25" customFormat="1" ht="18.75" customHeight="1" thickBot="1">
      <c r="A68" s="2"/>
      <c r="B68" s="1708"/>
      <c r="C68" s="241" t="s">
        <v>101</v>
      </c>
      <c r="D68" s="69" t="s">
        <v>170</v>
      </c>
      <c r="E68" s="122"/>
      <c r="F68" s="34"/>
      <c r="G68" s="124">
        <f>IF(B15="ZONA SUR",0,18)</f>
        <v>18</v>
      </c>
      <c r="H68" s="13"/>
      <c r="I68" s="13"/>
      <c r="J68" s="45"/>
      <c r="K68" s="45"/>
      <c r="L68" s="45"/>
      <c r="M68" s="45"/>
      <c r="N68" s="45"/>
      <c r="O68" s="45"/>
      <c r="P68" s="24"/>
      <c r="Q68" s="139"/>
      <c r="Y68" s="2"/>
    </row>
    <row r="69" spans="1:25" customFormat="1" ht="18.75" customHeight="1" thickBot="1">
      <c r="A69" s="2"/>
      <c r="B69" s="150"/>
      <c r="C69" s="154"/>
      <c r="D69" s="97" t="s">
        <v>103</v>
      </c>
      <c r="E69" s="98"/>
      <c r="F69" s="99"/>
      <c r="G69" s="96">
        <f>SUM(G64:G68)</f>
        <v>544</v>
      </c>
      <c r="H69" s="57"/>
      <c r="I69" s="57"/>
      <c r="J69" s="59"/>
      <c r="K69" s="59"/>
      <c r="L69" s="59"/>
      <c r="M69" s="59"/>
      <c r="N69" s="59"/>
      <c r="O69" s="59"/>
      <c r="P69" s="24"/>
      <c r="Q69" s="139"/>
      <c r="Y69" s="2"/>
    </row>
    <row r="70" spans="1:25" s="60" customFormat="1" ht="18.75" customHeight="1" thickBot="1">
      <c r="A70" s="54"/>
      <c r="B70" s="12"/>
      <c r="C70" s="368"/>
      <c r="D70" s="87"/>
      <c r="E70" s="87"/>
      <c r="F70" s="56"/>
      <c r="G70" s="57"/>
      <c r="H70" s="57"/>
      <c r="I70" s="57"/>
      <c r="J70" s="59"/>
      <c r="K70" s="59"/>
      <c r="L70" s="59"/>
      <c r="M70" s="59"/>
      <c r="N70" s="59"/>
      <c r="O70" s="59"/>
      <c r="P70" s="89"/>
      <c r="Q70" s="140"/>
      <c r="Y70" s="54"/>
    </row>
    <row r="71" spans="1:25" s="24" customFormat="1" ht="33.75" customHeight="1" thickBot="1">
      <c r="A71" s="2"/>
      <c r="B71" s="91"/>
      <c r="C71" s="138"/>
      <c r="D71" s="145" t="s">
        <v>900</v>
      </c>
      <c r="E71" s="104"/>
      <c r="F71" s="105"/>
      <c r="G71" s="106">
        <f>+G66+G65+G64+G62+G55+G61+G54</f>
        <v>608</v>
      </c>
      <c r="H71" s="160"/>
      <c r="I71" s="160"/>
      <c r="J71" s="2"/>
      <c r="K71" s="2"/>
      <c r="L71" s="60"/>
      <c r="M71" s="60"/>
      <c r="N71" s="60"/>
      <c r="O71" s="60"/>
      <c r="Q71" s="139"/>
      <c r="R71"/>
      <c r="S71"/>
      <c r="T71"/>
      <c r="U71"/>
      <c r="V71"/>
      <c r="W71"/>
      <c r="X71"/>
      <c r="Y71" s="2"/>
    </row>
    <row r="72" spans="1:25" s="24" customFormat="1" ht="18.75" customHeight="1" thickBot="1">
      <c r="A72" s="2"/>
      <c r="B72" s="6"/>
      <c r="C72" s="5"/>
      <c r="D72" s="6"/>
      <c r="E72" s="6"/>
      <c r="F72" s="60" t="s">
        <v>111</v>
      </c>
      <c r="G72" s="205">
        <f>+G71/INICIO!C10</f>
        <v>4</v>
      </c>
      <c r="H72" s="160"/>
      <c r="I72" s="157"/>
      <c r="J72" s="60"/>
      <c r="K72" s="183"/>
      <c r="L72" s="60"/>
      <c r="M72" s="60"/>
      <c r="N72" s="60"/>
      <c r="O72" s="60"/>
      <c r="Q72" s="139"/>
      <c r="R72"/>
      <c r="S72"/>
      <c r="T72"/>
      <c r="U72"/>
      <c r="V72"/>
      <c r="W72"/>
      <c r="X72"/>
      <c r="Y72" s="2"/>
    </row>
    <row r="73" spans="1:25" s="60" customFormat="1" ht="18.75" customHeight="1" thickBot="1">
      <c r="A73" s="54"/>
      <c r="B73" s="12"/>
      <c r="C73" s="368"/>
      <c r="D73" s="87"/>
      <c r="E73" s="87"/>
      <c r="F73" s="56"/>
      <c r="G73" s="57"/>
      <c r="H73" s="57"/>
      <c r="I73" s="57"/>
      <c r="J73" s="59"/>
      <c r="K73" s="59"/>
      <c r="L73" s="59"/>
      <c r="M73" s="59"/>
      <c r="N73" s="59"/>
      <c r="O73" s="59"/>
      <c r="P73" s="89"/>
      <c r="Q73" s="140"/>
      <c r="Y73" s="54"/>
    </row>
    <row r="74" spans="1:25" customFormat="1" ht="18.75" customHeight="1">
      <c r="A74" s="2"/>
      <c r="B74" s="1671" t="s">
        <v>109</v>
      </c>
      <c r="C74" s="1672"/>
      <c r="D74" s="1672"/>
      <c r="E74" s="1672"/>
      <c r="F74" s="1672"/>
      <c r="G74" s="1673"/>
      <c r="H74" s="255"/>
      <c r="I74" s="57"/>
      <c r="J74" s="59"/>
      <c r="K74" s="59"/>
      <c r="L74" s="59"/>
      <c r="M74" s="59"/>
      <c r="N74" s="59"/>
      <c r="O74" s="59"/>
      <c r="P74" s="24"/>
      <c r="Q74" s="139"/>
      <c r="Y74" s="2"/>
    </row>
    <row r="75" spans="1:25" customFormat="1" ht="18.75" customHeight="1">
      <c r="A75" s="2"/>
      <c r="B75" s="1674"/>
      <c r="C75" s="1675"/>
      <c r="D75" s="1675"/>
      <c r="E75" s="1675"/>
      <c r="F75" s="1675"/>
      <c r="G75" s="1676"/>
      <c r="H75" s="255"/>
      <c r="I75" s="57"/>
      <c r="J75" s="59"/>
      <c r="K75" s="59"/>
      <c r="L75" s="59"/>
      <c r="M75" s="59"/>
      <c r="N75" s="59"/>
      <c r="O75" s="59"/>
      <c r="P75" s="24"/>
      <c r="Q75" s="139"/>
      <c r="Y75" s="2"/>
    </row>
    <row r="76" spans="1:25" customFormat="1" ht="18.75" customHeight="1" thickBot="1">
      <c r="A76" s="2"/>
      <c r="B76" s="1674"/>
      <c r="C76" s="1675"/>
      <c r="D76" s="1675"/>
      <c r="E76" s="1675"/>
      <c r="F76" s="1675"/>
      <c r="G76" s="1676"/>
      <c r="H76" s="255"/>
      <c r="I76" s="56"/>
      <c r="J76" s="54"/>
      <c r="K76" s="54"/>
      <c r="L76" s="54"/>
      <c r="M76" s="54"/>
      <c r="N76" s="54"/>
      <c r="O76" s="54"/>
      <c r="P76" s="24"/>
      <c r="Q76" s="139"/>
      <c r="Y76" s="2"/>
    </row>
    <row r="77" spans="1:25" customFormat="1" ht="18.75" customHeight="1" thickBot="1">
      <c r="A77" s="2"/>
      <c r="B77" s="289"/>
      <c r="C77" s="290"/>
      <c r="D77" s="269" t="s">
        <v>231</v>
      </c>
      <c r="E77" s="266" t="s">
        <v>232</v>
      </c>
      <c r="F77" s="267" t="s">
        <v>233</v>
      </c>
      <c r="G77" s="268" t="s">
        <v>234</v>
      </c>
      <c r="H77" s="263"/>
      <c r="I77" s="56"/>
      <c r="J77" s="54"/>
      <c r="K77" s="54"/>
      <c r="L77" s="54"/>
      <c r="M77" s="54"/>
      <c r="N77" s="54"/>
      <c r="O77" s="54"/>
      <c r="P77" s="24"/>
      <c r="Q77" s="139"/>
      <c r="Y77" s="2"/>
    </row>
    <row r="78" spans="1:25" customFormat="1" ht="18.75" customHeight="1">
      <c r="A78" s="2"/>
      <c r="B78" s="194"/>
      <c r="C78" s="251"/>
      <c r="D78" s="270" t="s">
        <v>106</v>
      </c>
      <c r="E78" s="224">
        <v>32</v>
      </c>
      <c r="F78" s="264">
        <f>+G59</f>
        <v>1050.62716</v>
      </c>
      <c r="G78" s="265">
        <f>+F78*E78</f>
        <v>33620.06912</v>
      </c>
      <c r="H78" s="158"/>
      <c r="I78" s="158"/>
      <c r="J78" s="54"/>
      <c r="K78" s="54"/>
      <c r="L78" s="54"/>
      <c r="M78" s="54"/>
      <c r="N78" s="54"/>
      <c r="O78" s="54"/>
      <c r="P78" s="24"/>
      <c r="Q78" s="139"/>
      <c r="Y78" s="2"/>
    </row>
    <row r="79" spans="1:25" customFormat="1" ht="18.75" customHeight="1">
      <c r="A79" s="2"/>
      <c r="B79" s="194"/>
      <c r="C79" s="251"/>
      <c r="D79" s="173" t="s">
        <v>107</v>
      </c>
      <c r="E79" s="7">
        <v>10</v>
      </c>
      <c r="F79" s="108">
        <f>+G63</f>
        <v>100</v>
      </c>
      <c r="G79" s="111">
        <f>+F79*E79</f>
        <v>1000</v>
      </c>
      <c r="H79" s="158"/>
      <c r="I79" s="158"/>
      <c r="J79" s="54"/>
      <c r="K79" s="54"/>
      <c r="L79" s="54"/>
      <c r="M79" s="54"/>
      <c r="N79" s="54"/>
      <c r="O79" s="54"/>
      <c r="P79" s="24"/>
      <c r="Q79" s="139"/>
      <c r="Y79" s="2"/>
    </row>
    <row r="80" spans="1:25" customFormat="1" ht="18.75" customHeight="1">
      <c r="A80" s="2"/>
      <c r="B80" s="194"/>
      <c r="C80" s="251"/>
      <c r="D80" s="173" t="s">
        <v>108</v>
      </c>
      <c r="E80" s="7">
        <v>2</v>
      </c>
      <c r="F80" s="108">
        <f>+G69</f>
        <v>544</v>
      </c>
      <c r="G80" s="111">
        <f>+F80*E80</f>
        <v>1088</v>
      </c>
      <c r="H80" s="158"/>
      <c r="I80" s="158"/>
      <c r="J80" s="54"/>
      <c r="K80" s="54"/>
      <c r="L80" s="54"/>
      <c r="M80" s="54"/>
      <c r="N80" s="54"/>
      <c r="O80" s="54"/>
      <c r="P80" s="24"/>
      <c r="Q80" s="139"/>
      <c r="Y80" s="2"/>
    </row>
    <row r="81" spans="1:25" s="24" customFormat="1" ht="18.75" customHeight="1">
      <c r="A81" s="2"/>
      <c r="B81" s="194"/>
      <c r="C81" s="251"/>
      <c r="D81" s="271" t="s">
        <v>105</v>
      </c>
      <c r="E81" s="9"/>
      <c r="F81" s="118"/>
      <c r="G81" s="119">
        <v>360</v>
      </c>
      <c r="H81" s="158"/>
      <c r="I81" s="158"/>
      <c r="J81" s="54"/>
      <c r="K81" s="54"/>
      <c r="L81" s="54"/>
      <c r="M81" s="54"/>
      <c r="N81" s="54"/>
      <c r="O81" s="54"/>
      <c r="Q81" s="139"/>
      <c r="R81"/>
      <c r="S81"/>
      <c r="T81"/>
      <c r="U81"/>
      <c r="V81"/>
      <c r="W81"/>
      <c r="X81"/>
      <c r="Y81" s="2"/>
    </row>
    <row r="82" spans="1:25" s="24" customFormat="1" ht="18.75" customHeight="1" thickBot="1">
      <c r="A82" s="2"/>
      <c r="B82" s="194"/>
      <c r="C82" s="251"/>
      <c r="D82" s="174" t="s">
        <v>3</v>
      </c>
      <c r="E82" s="112">
        <v>0.12</v>
      </c>
      <c r="F82" s="113"/>
      <c r="G82" s="114">
        <f>+G78*E82</f>
        <v>4034.4082943999997</v>
      </c>
      <c r="H82" s="158"/>
      <c r="I82" s="158"/>
      <c r="J82" s="54"/>
      <c r="K82" s="54"/>
      <c r="L82" s="54"/>
      <c r="M82" s="54"/>
      <c r="N82" s="54"/>
      <c r="O82" s="54"/>
      <c r="Q82" s="139"/>
      <c r="R82"/>
      <c r="S82"/>
      <c r="T82"/>
      <c r="U82"/>
      <c r="V82"/>
      <c r="W82"/>
      <c r="X82"/>
      <c r="Y82" s="2"/>
    </row>
    <row r="83" spans="1:25" s="24" customFormat="1" ht="18.75" customHeight="1" thickBot="1">
      <c r="A83" s="2"/>
      <c r="B83" s="150"/>
      <c r="C83" s="252"/>
      <c r="D83" s="272" t="s">
        <v>104</v>
      </c>
      <c r="E83" s="115"/>
      <c r="F83" s="116"/>
      <c r="G83" s="117">
        <f>SUM(G78:G82)</f>
        <v>40102.477414399997</v>
      </c>
      <c r="H83" s="159"/>
      <c r="I83" s="159"/>
      <c r="J83" s="54"/>
      <c r="K83" s="54"/>
      <c r="L83" s="54"/>
      <c r="M83" s="54"/>
      <c r="N83" s="54"/>
      <c r="O83" s="54"/>
      <c r="Q83" s="139"/>
      <c r="R83"/>
      <c r="S83"/>
      <c r="T83"/>
      <c r="U83"/>
      <c r="V83"/>
      <c r="W83"/>
      <c r="X83"/>
      <c r="Y83" s="2"/>
    </row>
    <row r="84" spans="1:25" s="24" customFormat="1" ht="18.75" customHeight="1" thickBot="1">
      <c r="A84" s="2"/>
      <c r="B84" s="6"/>
      <c r="C84" s="5"/>
      <c r="D84" s="6"/>
      <c r="E84" s="6"/>
      <c r="F84" s="5"/>
      <c r="G84"/>
      <c r="H84" s="60"/>
      <c r="I84" s="81"/>
      <c r="J84" s="60"/>
      <c r="K84" s="60"/>
      <c r="L84" s="60"/>
      <c r="M84" s="60"/>
      <c r="N84" s="60"/>
      <c r="O84" s="60"/>
      <c r="Q84" s="139"/>
      <c r="R84"/>
      <c r="S84"/>
      <c r="T84"/>
      <c r="U84"/>
      <c r="V84"/>
      <c r="W84"/>
      <c r="X84"/>
      <c r="Y84" s="2"/>
    </row>
    <row r="85" spans="1:25" s="24" customFormat="1" ht="18.75" hidden="1" customHeight="1" thickBot="1">
      <c r="A85" s="2"/>
      <c r="B85" s="6"/>
      <c r="C85" s="5"/>
      <c r="D85" s="214" t="s">
        <v>218</v>
      </c>
      <c r="E85" s="92"/>
      <c r="F85" s="31"/>
      <c r="G85" s="215"/>
      <c r="H85" s="81"/>
      <c r="I85" s="81"/>
      <c r="J85" s="60"/>
      <c r="K85" s="183"/>
      <c r="L85" s="60"/>
      <c r="M85" s="60"/>
      <c r="N85" s="60"/>
      <c r="O85" s="60"/>
      <c r="Q85" s="139"/>
      <c r="R85"/>
      <c r="S85"/>
      <c r="T85"/>
      <c r="U85"/>
      <c r="V85"/>
      <c r="W85"/>
      <c r="X85"/>
      <c r="Y85" s="2"/>
    </row>
    <row r="86" spans="1:25" s="24" customFormat="1" ht="18.75" hidden="1" customHeight="1">
      <c r="A86" s="2"/>
      <c r="B86" s="6"/>
      <c r="C86" s="5"/>
      <c r="D86" s="191" t="s">
        <v>186</v>
      </c>
      <c r="E86" s="192"/>
      <c r="F86" s="193"/>
      <c r="G86" s="212">
        <f>+G24+G25+G26+G28+G29+G30+G31+G32+G35+G37+G39+G40+G41+G51+G21+G22+G23+G34+G38+G54</f>
        <v>710.15999999999985</v>
      </c>
      <c r="H86" s="259"/>
      <c r="I86" s="81"/>
      <c r="J86" s="60"/>
      <c r="K86" s="60"/>
      <c r="L86" s="183"/>
      <c r="M86" s="183"/>
      <c r="N86" s="60"/>
      <c r="O86" s="60"/>
      <c r="Q86" s="139"/>
      <c r="R86"/>
      <c r="S86"/>
      <c r="T86"/>
      <c r="U86"/>
      <c r="V86"/>
      <c r="W86"/>
      <c r="X86"/>
      <c r="Y86" s="2"/>
    </row>
    <row r="87" spans="1:25" s="24" customFormat="1" ht="18.75" hidden="1" customHeight="1">
      <c r="A87" s="2"/>
      <c r="B87" s="6"/>
      <c r="C87" s="5"/>
      <c r="D87" s="194" t="s">
        <v>190</v>
      </c>
      <c r="E87" s="12"/>
      <c r="F87" s="45"/>
      <c r="G87" s="213">
        <f>G86*0.18</f>
        <v>127.82879999999997</v>
      </c>
      <c r="H87" s="259"/>
      <c r="I87" s="81"/>
      <c r="J87" s="60"/>
      <c r="K87" s="60"/>
      <c r="L87" s="60"/>
      <c r="M87" s="60"/>
      <c r="N87" s="60"/>
      <c r="O87" s="60"/>
      <c r="Q87" s="139"/>
      <c r="R87"/>
      <c r="S87"/>
      <c r="T87"/>
      <c r="U87"/>
      <c r="V87"/>
      <c r="W87"/>
      <c r="X87"/>
      <c r="Y87" s="2"/>
    </row>
    <row r="88" spans="1:25" s="24" customFormat="1" ht="18.75" hidden="1" customHeight="1">
      <c r="A88" s="2"/>
      <c r="B88" s="6"/>
      <c r="C88" s="5"/>
      <c r="D88" s="194" t="s">
        <v>191</v>
      </c>
      <c r="E88" s="12"/>
      <c r="F88" s="45"/>
      <c r="G88" s="213">
        <f>+G87+G86</f>
        <v>837.98879999999986</v>
      </c>
      <c r="H88" s="259"/>
      <c r="I88" s="81"/>
      <c r="J88" s="60"/>
      <c r="K88" s="60"/>
      <c r="L88" s="60"/>
      <c r="M88" s="60"/>
      <c r="N88" s="60"/>
      <c r="O88" s="60"/>
      <c r="Q88" s="139"/>
      <c r="R88"/>
      <c r="S88"/>
      <c r="T88"/>
      <c r="U88"/>
      <c r="V88"/>
      <c r="W88"/>
      <c r="X88"/>
      <c r="Y88" s="2"/>
    </row>
    <row r="89" spans="1:25" s="24" customFormat="1" ht="18.75" hidden="1" customHeight="1" thickBot="1">
      <c r="A89" s="2"/>
      <c r="B89" s="6"/>
      <c r="C89" s="5"/>
      <c r="D89" s="194" t="s">
        <v>136</v>
      </c>
      <c r="E89" s="12"/>
      <c r="F89" s="45"/>
      <c r="G89" s="213">
        <f>+G88*0.1</f>
        <v>83.798879999999997</v>
      </c>
      <c r="H89" s="259"/>
      <c r="I89" s="81"/>
      <c r="J89" s="183">
        <f>+J90*G97/K90</f>
        <v>12.263101974253168</v>
      </c>
      <c r="K89" s="60"/>
      <c r="L89" s="60"/>
      <c r="M89" s="60"/>
      <c r="N89" s="60"/>
      <c r="O89" s="60"/>
      <c r="Q89" s="139"/>
      <c r="R89"/>
      <c r="S89"/>
      <c r="T89"/>
      <c r="U89"/>
      <c r="V89"/>
      <c r="W89"/>
      <c r="X89"/>
      <c r="Y89" s="2"/>
    </row>
    <row r="90" spans="1:25" s="24" customFormat="1" ht="18.75" hidden="1" customHeight="1" thickBot="1">
      <c r="A90" s="2"/>
      <c r="B90" s="6"/>
      <c r="C90" s="5"/>
      <c r="D90" s="91" t="s">
        <v>192</v>
      </c>
      <c r="E90" s="92"/>
      <c r="F90" s="31"/>
      <c r="G90" s="189">
        <f>+G89+G88</f>
        <v>921.78767999999991</v>
      </c>
      <c r="H90" s="259"/>
      <c r="J90" s="60">
        <v>100</v>
      </c>
      <c r="K90" s="259">
        <f>+G90+G97</f>
        <v>1050.62716</v>
      </c>
      <c r="L90" s="183"/>
      <c r="M90" s="183"/>
      <c r="N90" s="60"/>
      <c r="O90" s="60"/>
      <c r="Q90" s="139"/>
      <c r="R90"/>
      <c r="S90"/>
      <c r="T90"/>
      <c r="U90"/>
      <c r="V90"/>
      <c r="W90"/>
      <c r="X90"/>
      <c r="Y90" s="2"/>
    </row>
    <row r="91" spans="1:25" s="24" customFormat="1" ht="18.75" hidden="1" customHeight="1" thickBot="1">
      <c r="A91" s="2"/>
      <c r="B91" s="6"/>
      <c r="C91" s="5"/>
      <c r="D91" s="91" t="s">
        <v>193</v>
      </c>
      <c r="E91" s="92"/>
      <c r="F91" s="31"/>
      <c r="G91" s="189">
        <f>+G65+G66+G67+G68+G61+G64</f>
        <v>620</v>
      </c>
      <c r="H91" s="259"/>
      <c r="I91" s="81"/>
      <c r="J91" s="60"/>
      <c r="K91" s="183"/>
      <c r="L91" s="60"/>
      <c r="M91" s="60"/>
      <c r="N91" s="60"/>
      <c r="O91" s="60"/>
      <c r="Q91" s="139"/>
      <c r="R91"/>
      <c r="S91"/>
      <c r="T91"/>
      <c r="U91"/>
      <c r="V91"/>
      <c r="W91"/>
      <c r="X91"/>
      <c r="Y91" s="2"/>
    </row>
    <row r="92" spans="1:25" s="24" customFormat="1" ht="18.75" hidden="1" customHeight="1" thickBot="1">
      <c r="A92" s="2"/>
      <c r="B92" s="6"/>
      <c r="C92" s="5"/>
      <c r="D92" s="91" t="s">
        <v>195</v>
      </c>
      <c r="E92" s="92"/>
      <c r="F92" s="31"/>
      <c r="G92" s="189">
        <f>+G91+G90</f>
        <v>1541.7876799999999</v>
      </c>
      <c r="H92" s="259"/>
      <c r="I92" s="81"/>
      <c r="J92" s="60"/>
      <c r="K92" s="183"/>
      <c r="L92" s="60"/>
      <c r="M92" s="60"/>
      <c r="N92" s="60"/>
      <c r="O92" s="60"/>
      <c r="Q92" s="139"/>
      <c r="R92"/>
      <c r="S92"/>
      <c r="T92"/>
      <c r="U92"/>
      <c r="V92"/>
      <c r="W92"/>
      <c r="X92"/>
      <c r="Y92" s="2"/>
    </row>
    <row r="93" spans="1:25" s="24" customFormat="1" ht="18.75" hidden="1" customHeight="1">
      <c r="A93" s="2"/>
      <c r="B93" s="6"/>
      <c r="C93" s="5"/>
      <c r="D93" s="194" t="s">
        <v>189</v>
      </c>
      <c r="E93" s="12"/>
      <c r="F93" s="45"/>
      <c r="G93" s="213">
        <f>G17+G18+G20+G33+G19+G36+G55</f>
        <v>99.259999999999991</v>
      </c>
      <c r="H93" s="259"/>
      <c r="I93" s="81"/>
      <c r="J93" s="60"/>
      <c r="K93" s="60"/>
      <c r="L93" s="60"/>
      <c r="M93" s="60"/>
      <c r="N93" s="60"/>
      <c r="O93" s="60"/>
      <c r="Q93" s="139"/>
      <c r="R93"/>
      <c r="S93"/>
      <c r="T93"/>
      <c r="U93"/>
      <c r="V93"/>
      <c r="W93"/>
      <c r="X93"/>
      <c r="Y93" s="2"/>
    </row>
    <row r="94" spans="1:25" s="60" customFormat="1" ht="18.75" hidden="1" customHeight="1">
      <c r="A94" s="2"/>
      <c r="B94" s="6"/>
      <c r="C94" s="5"/>
      <c r="D94" s="194" t="s">
        <v>190</v>
      </c>
      <c r="E94" s="12"/>
      <c r="F94" s="45"/>
      <c r="G94" s="213">
        <f>G93*0.18</f>
        <v>17.866799999999998</v>
      </c>
      <c r="H94" s="259"/>
      <c r="I94" s="81"/>
      <c r="P94" s="24"/>
      <c r="Q94" s="139"/>
      <c r="R94"/>
      <c r="S94"/>
      <c r="T94"/>
      <c r="U94"/>
      <c r="V94"/>
      <c r="W94"/>
      <c r="X94"/>
      <c r="Y94" s="2"/>
    </row>
    <row r="95" spans="1:25" s="60" customFormat="1" ht="18.75" hidden="1" customHeight="1">
      <c r="A95" s="2"/>
      <c r="B95" s="6"/>
      <c r="C95" s="5"/>
      <c r="D95" s="194" t="s">
        <v>191</v>
      </c>
      <c r="E95" s="12"/>
      <c r="F95" s="45"/>
      <c r="G95" s="213">
        <f>+G94+G93</f>
        <v>117.12679999999999</v>
      </c>
      <c r="H95" s="259"/>
      <c r="I95" s="81"/>
      <c r="P95" s="24"/>
      <c r="Q95" s="139"/>
      <c r="R95"/>
      <c r="S95"/>
      <c r="T95"/>
      <c r="U95"/>
      <c r="V95"/>
      <c r="W95"/>
      <c r="X95"/>
      <c r="Y95" s="2"/>
    </row>
    <row r="96" spans="1:25" s="60" customFormat="1" ht="18.75" hidden="1" customHeight="1" thickBot="1">
      <c r="A96" s="2"/>
      <c r="B96" s="6"/>
      <c r="C96" s="5"/>
      <c r="D96" s="194" t="s">
        <v>136</v>
      </c>
      <c r="E96" s="12"/>
      <c r="F96" s="45"/>
      <c r="G96" s="213">
        <f>+G95*0.1</f>
        <v>11.712679999999999</v>
      </c>
      <c r="H96" s="259"/>
      <c r="I96" s="81"/>
      <c r="P96" s="24"/>
      <c r="Q96" s="139"/>
      <c r="R96"/>
      <c r="S96"/>
      <c r="T96"/>
      <c r="U96"/>
      <c r="V96"/>
      <c r="W96"/>
      <c r="X96"/>
      <c r="Y96" s="2"/>
    </row>
    <row r="97" spans="1:25" s="60" customFormat="1" ht="18.75" hidden="1" customHeight="1" thickBot="1">
      <c r="A97" s="2"/>
      <c r="B97" s="6"/>
      <c r="C97" s="5"/>
      <c r="D97" s="91" t="s">
        <v>194</v>
      </c>
      <c r="E97" s="92"/>
      <c r="F97" s="31"/>
      <c r="G97" s="189">
        <f>+G96+G95</f>
        <v>128.83947999999998</v>
      </c>
      <c r="H97" s="259"/>
      <c r="I97" s="81"/>
      <c r="J97" s="183">
        <f>SQRT(G97+G98)</f>
        <v>12.362826537649065</v>
      </c>
      <c r="K97" s="60" t="s">
        <v>197</v>
      </c>
      <c r="P97" s="24"/>
      <c r="Q97" s="139"/>
      <c r="R97"/>
      <c r="S97"/>
      <c r="T97"/>
      <c r="U97"/>
      <c r="V97"/>
      <c r="W97"/>
      <c r="X97"/>
      <c r="Y97" s="2"/>
    </row>
    <row r="98" spans="1:25" s="60" customFormat="1" ht="18.75" hidden="1" customHeight="1" thickBot="1">
      <c r="A98" s="2"/>
      <c r="B98" s="6"/>
      <c r="C98" s="5"/>
      <c r="D98" s="91" t="s">
        <v>208</v>
      </c>
      <c r="E98" s="92"/>
      <c r="F98" s="31"/>
      <c r="G98" s="189">
        <f>G62</f>
        <v>24</v>
      </c>
      <c r="H98" s="259"/>
      <c r="I98" s="81"/>
      <c r="P98" s="24"/>
      <c r="Q98" s="139"/>
      <c r="R98"/>
      <c r="S98"/>
      <c r="T98"/>
      <c r="U98"/>
      <c r="V98"/>
      <c r="W98"/>
      <c r="X98"/>
      <c r="Y98" s="2"/>
    </row>
    <row r="99" spans="1:25" s="60" customFormat="1" ht="18.75" hidden="1" customHeight="1" thickBot="1">
      <c r="A99" s="2"/>
      <c r="B99" s="6"/>
      <c r="C99" s="5"/>
      <c r="D99" s="91" t="s">
        <v>196</v>
      </c>
      <c r="E99" s="92"/>
      <c r="F99" s="31"/>
      <c r="G99" s="189">
        <f>+G98+G97</f>
        <v>152.83947999999998</v>
      </c>
      <c r="H99" s="259"/>
      <c r="I99" s="81"/>
      <c r="P99" s="24"/>
      <c r="Q99" s="139"/>
      <c r="R99"/>
      <c r="S99"/>
      <c r="T99"/>
      <c r="U99"/>
      <c r="V99"/>
      <c r="W99"/>
      <c r="X99"/>
      <c r="Y99" s="2"/>
    </row>
    <row r="100" spans="1:25" s="81" customFormat="1" ht="18.75" hidden="1" customHeight="1" thickBot="1">
      <c r="A100" s="218"/>
      <c r="B100" s="12"/>
      <c r="C100" s="45"/>
      <c r="D100" s="12"/>
      <c r="E100" s="12"/>
      <c r="F100" s="45"/>
      <c r="G100" s="259"/>
      <c r="H100" s="259"/>
      <c r="P100" s="328"/>
      <c r="Q100" s="329"/>
      <c r="R100" s="310"/>
      <c r="S100" s="310"/>
      <c r="T100" s="310"/>
      <c r="U100" s="310"/>
      <c r="V100" s="310"/>
      <c r="W100" s="310"/>
      <c r="X100" s="310"/>
      <c r="Y100" s="218"/>
    </row>
    <row r="101" spans="1:25" s="60" customFormat="1" ht="18.75" customHeight="1">
      <c r="A101" s="2"/>
      <c r="B101" s="1671" t="s">
        <v>285</v>
      </c>
      <c r="C101" s="1672"/>
      <c r="D101" s="1672"/>
      <c r="E101" s="1672"/>
      <c r="F101" s="1672"/>
      <c r="G101" s="1673"/>
      <c r="H101" s="255"/>
      <c r="I101" s="81"/>
      <c r="P101" s="24"/>
      <c r="Q101" s="139"/>
      <c r="R101"/>
      <c r="S101"/>
      <c r="T101"/>
      <c r="U101"/>
      <c r="V101"/>
      <c r="W101"/>
      <c r="X101"/>
      <c r="Y101" s="2"/>
    </row>
    <row r="102" spans="1:25" s="60" customFormat="1" ht="18.75" customHeight="1">
      <c r="A102" s="2"/>
      <c r="B102" s="1674"/>
      <c r="C102" s="1675"/>
      <c r="D102" s="1675"/>
      <c r="E102" s="1675"/>
      <c r="F102" s="1675"/>
      <c r="G102" s="1676"/>
      <c r="H102" s="255"/>
      <c r="I102" s="81"/>
      <c r="P102" s="24"/>
      <c r="Q102" s="139"/>
      <c r="R102"/>
      <c r="S102"/>
      <c r="T102"/>
      <c r="U102"/>
      <c r="V102"/>
      <c r="W102"/>
      <c r="X102"/>
      <c r="Y102" s="2"/>
    </row>
    <row r="103" spans="1:25" s="60" customFormat="1" ht="18.75" customHeight="1" thickBot="1">
      <c r="A103" s="2"/>
      <c r="B103" s="1674"/>
      <c r="C103" s="1675"/>
      <c r="D103" s="1675"/>
      <c r="E103" s="1675"/>
      <c r="F103" s="1675"/>
      <c r="G103" s="1676"/>
      <c r="H103" s="255"/>
      <c r="I103" s="81"/>
      <c r="P103" s="24"/>
      <c r="Q103" s="139"/>
      <c r="R103"/>
      <c r="S103"/>
      <c r="T103"/>
      <c r="U103"/>
      <c r="V103"/>
      <c r="W103"/>
      <c r="X103"/>
      <c r="Y103" s="2"/>
    </row>
    <row r="104" spans="1:25" s="60" customFormat="1" ht="18.75" customHeight="1" thickBot="1">
      <c r="A104" s="2"/>
      <c r="B104" s="339" t="s">
        <v>280</v>
      </c>
      <c r="C104" s="31"/>
      <c r="D104" s="92"/>
      <c r="E104" s="92"/>
      <c r="F104" s="31"/>
      <c r="G104" s="215"/>
      <c r="H104" s="81"/>
      <c r="I104" s="81"/>
      <c r="P104" s="24"/>
      <c r="Q104" s="139"/>
      <c r="R104"/>
      <c r="S104"/>
      <c r="T104"/>
      <c r="U104"/>
      <c r="V104"/>
      <c r="W104"/>
      <c r="X104"/>
      <c r="Y104" s="2"/>
    </row>
    <row r="105" spans="1:25" s="60" customFormat="1" ht="18.75" customHeight="1">
      <c r="A105" s="2"/>
      <c r="B105" s="1668"/>
      <c r="C105" s="1631" t="s">
        <v>210</v>
      </c>
      <c r="D105" s="312" t="s">
        <v>269</v>
      </c>
      <c r="E105" s="314"/>
      <c r="F105" s="315"/>
      <c r="G105" s="316">
        <f>G117</f>
        <v>1541.7876799999999</v>
      </c>
      <c r="H105" s="259"/>
      <c r="I105" s="291"/>
      <c r="P105" s="24"/>
      <c r="Q105" s="139"/>
      <c r="R105"/>
      <c r="S105"/>
      <c r="T105"/>
      <c r="U105"/>
      <c r="V105"/>
      <c r="W105"/>
      <c r="X105"/>
      <c r="Y105" s="2"/>
    </row>
    <row r="106" spans="1:25" s="60" customFormat="1" ht="18.75" customHeight="1">
      <c r="A106" s="2"/>
      <c r="B106" s="1661"/>
      <c r="C106" s="1663"/>
      <c r="D106" s="206" t="s">
        <v>268</v>
      </c>
      <c r="E106" s="313"/>
      <c r="F106" s="129"/>
      <c r="G106" s="208">
        <f>+G90</f>
        <v>921.78767999999991</v>
      </c>
      <c r="H106" s="260"/>
      <c r="I106" s="291"/>
      <c r="J106" s="183">
        <f>+G106*100/(G106+G107)</f>
        <v>87.736898025746825</v>
      </c>
      <c r="K106" s="183" t="s">
        <v>276</v>
      </c>
      <c r="P106" s="24"/>
      <c r="Q106" s="139"/>
      <c r="R106"/>
      <c r="S106"/>
      <c r="T106"/>
      <c r="U106"/>
      <c r="V106"/>
      <c r="W106"/>
      <c r="X106"/>
      <c r="Y106" s="2"/>
    </row>
    <row r="107" spans="1:25" s="60" customFormat="1" ht="18.75" customHeight="1">
      <c r="A107" s="2"/>
      <c r="B107" s="1661"/>
      <c r="C107" s="1663"/>
      <c r="D107" s="206" t="s">
        <v>275</v>
      </c>
      <c r="E107" s="313"/>
      <c r="F107" s="129"/>
      <c r="G107" s="208">
        <f>+G97</f>
        <v>128.83947999999998</v>
      </c>
      <c r="H107" s="260"/>
      <c r="I107" s="291"/>
      <c r="J107" s="183">
        <f>+G107*100/(G106+G107)</f>
        <v>12.263101974253168</v>
      </c>
      <c r="K107" s="183" t="s">
        <v>276</v>
      </c>
      <c r="P107" s="24"/>
      <c r="Q107" s="139"/>
      <c r="R107"/>
      <c r="S107"/>
      <c r="T107"/>
      <c r="U107"/>
      <c r="V107"/>
      <c r="W107"/>
      <c r="X107"/>
      <c r="Y107" s="2"/>
    </row>
    <row r="108" spans="1:25" s="60" customFormat="1" ht="18.75" customHeight="1">
      <c r="A108" s="2"/>
      <c r="B108" s="1661"/>
      <c r="C108" s="1663"/>
      <c r="D108" s="206" t="s">
        <v>277</v>
      </c>
      <c r="E108" s="313"/>
      <c r="F108" s="129"/>
      <c r="G108" s="208">
        <f>+G64+G65</f>
        <v>204</v>
      </c>
      <c r="H108" s="259"/>
      <c r="I108" s="291"/>
      <c r="J108" s="183">
        <f>SQRT(G108)</f>
        <v>14.282856857085701</v>
      </c>
      <c r="P108" s="24"/>
      <c r="Q108" s="139"/>
      <c r="R108"/>
      <c r="S108"/>
      <c r="T108"/>
      <c r="U108"/>
      <c r="V108"/>
      <c r="W108"/>
      <c r="X108"/>
      <c r="Y108" s="2"/>
    </row>
    <row r="109" spans="1:25" s="60" customFormat="1" ht="18.75" customHeight="1" thickBot="1">
      <c r="A109" s="2"/>
      <c r="B109" s="1661"/>
      <c r="C109" s="1663"/>
      <c r="D109" s="206" t="s">
        <v>272</v>
      </c>
      <c r="E109" s="313"/>
      <c r="F109" s="129"/>
      <c r="G109" s="208">
        <f>+G108+G106</f>
        <v>1125.7876799999999</v>
      </c>
      <c r="H109" s="259"/>
      <c r="I109" s="291"/>
      <c r="P109" s="24"/>
      <c r="Q109" s="139"/>
      <c r="R109"/>
      <c r="S109"/>
      <c r="T109"/>
      <c r="U109"/>
      <c r="V109"/>
      <c r="W109"/>
      <c r="X109"/>
      <c r="Y109" s="2"/>
    </row>
    <row r="110" spans="1:25" s="60" customFormat="1" ht="18.75" hidden="1" customHeight="1">
      <c r="A110" s="2"/>
      <c r="B110" s="1661"/>
      <c r="C110" s="1663"/>
      <c r="D110" s="324" t="s">
        <v>273</v>
      </c>
      <c r="E110" s="313"/>
      <c r="F110" s="129"/>
      <c r="G110" s="208">
        <f>SQRT(G109)</f>
        <v>33.552759648052792</v>
      </c>
      <c r="H110" s="259"/>
      <c r="I110" s="291"/>
      <c r="P110" s="24"/>
      <c r="Q110" s="139"/>
      <c r="R110"/>
      <c r="S110"/>
      <c r="T110"/>
      <c r="U110"/>
      <c r="V110"/>
      <c r="W110"/>
      <c r="X110"/>
      <c r="Y110" s="2"/>
    </row>
    <row r="111" spans="1:25" s="60" customFormat="1" ht="18.75" hidden="1" customHeight="1">
      <c r="A111" s="2"/>
      <c r="B111" s="1661"/>
      <c r="C111" s="1663"/>
      <c r="D111" s="324" t="s">
        <v>266</v>
      </c>
      <c r="E111" s="313"/>
      <c r="F111" s="129"/>
      <c r="G111" s="208">
        <f>G110+6</f>
        <v>39.552759648052792</v>
      </c>
      <c r="H111" s="259"/>
      <c r="I111" s="291"/>
      <c r="P111" s="24"/>
      <c r="Q111" s="139"/>
      <c r="R111"/>
      <c r="S111"/>
      <c r="T111"/>
      <c r="U111"/>
      <c r="V111"/>
      <c r="W111"/>
      <c r="X111"/>
      <c r="Y111" s="2"/>
    </row>
    <row r="112" spans="1:25" s="60" customFormat="1" ht="18.75" hidden="1" customHeight="1" thickBot="1">
      <c r="A112" s="2"/>
      <c r="B112" s="1661"/>
      <c r="C112" s="1663"/>
      <c r="D112" s="325" t="s">
        <v>267</v>
      </c>
      <c r="E112" s="320"/>
      <c r="F112" s="190"/>
      <c r="G112" s="195">
        <f>+G110+8</f>
        <v>41.552759648052792</v>
      </c>
      <c r="H112" s="259"/>
      <c r="I112" s="291"/>
      <c r="P112" s="24"/>
      <c r="Q112" s="139"/>
      <c r="R112"/>
      <c r="S112"/>
      <c r="T112"/>
      <c r="U112"/>
      <c r="V112"/>
      <c r="W112"/>
      <c r="X112"/>
      <c r="Y112" s="2"/>
    </row>
    <row r="113" spans="1:25" s="60" customFormat="1" ht="18.75" customHeight="1" thickBot="1">
      <c r="A113" s="2"/>
      <c r="B113" s="1661"/>
      <c r="C113" s="1663"/>
      <c r="D113" s="214" t="s">
        <v>198</v>
      </c>
      <c r="E113" s="323"/>
      <c r="F113" s="31"/>
      <c r="G113" s="330">
        <f>+G112*G111</f>
        <v>1643.5263150727387</v>
      </c>
      <c r="H113" s="261"/>
      <c r="I113" s="291"/>
      <c r="J113" s="196">
        <f>+G113-G106</f>
        <v>721.73863507273882</v>
      </c>
      <c r="K113" s="60" t="s">
        <v>199</v>
      </c>
      <c r="P113" s="24"/>
      <c r="Q113" s="139"/>
      <c r="R113"/>
      <c r="S113"/>
      <c r="T113"/>
      <c r="U113"/>
      <c r="V113"/>
      <c r="W113"/>
      <c r="X113"/>
      <c r="Y113" s="2"/>
    </row>
    <row r="114" spans="1:25" s="60" customFormat="1" ht="18.75" customHeight="1">
      <c r="A114" s="2"/>
      <c r="B114" s="1661"/>
      <c r="C114" s="1663"/>
      <c r="D114" s="326" t="s">
        <v>187</v>
      </c>
      <c r="E114" s="321"/>
      <c r="F114" s="248"/>
      <c r="G114" s="322">
        <f>+G106/G113</f>
        <v>0.56085970242539362</v>
      </c>
      <c r="H114" s="259"/>
      <c r="I114" s="291"/>
      <c r="P114" s="24"/>
      <c r="Q114" s="139"/>
      <c r="R114"/>
      <c r="S114"/>
      <c r="T114"/>
      <c r="U114"/>
      <c r="V114"/>
      <c r="W114"/>
      <c r="X114"/>
      <c r="Y114" s="2"/>
    </row>
    <row r="115" spans="1:25" s="60" customFormat="1" ht="18.75" customHeight="1" thickBot="1">
      <c r="A115" s="2"/>
      <c r="B115" s="1662"/>
      <c r="C115" s="1664"/>
      <c r="D115" s="327" t="s">
        <v>188</v>
      </c>
      <c r="E115" s="318"/>
      <c r="F115" s="247"/>
      <c r="G115" s="319">
        <f>+G106/G113</f>
        <v>0.56085970242539362</v>
      </c>
      <c r="H115" s="259"/>
      <c r="I115" s="291"/>
      <c r="P115" s="24"/>
      <c r="Q115" s="139"/>
      <c r="R115"/>
      <c r="S115"/>
      <c r="T115"/>
      <c r="U115"/>
      <c r="V115"/>
      <c r="W115"/>
      <c r="X115"/>
      <c r="Y115" s="2"/>
    </row>
    <row r="116" spans="1:25" s="60" customFormat="1" ht="18.75" hidden="1" customHeight="1" thickBot="1">
      <c r="A116" s="2"/>
      <c r="B116" s="339" t="s">
        <v>282</v>
      </c>
      <c r="C116" s="307"/>
      <c r="D116" s="307"/>
      <c r="E116" s="307"/>
      <c r="F116" s="307"/>
      <c r="G116" s="308"/>
      <c r="H116" s="307"/>
      <c r="I116" s="81"/>
      <c r="P116" s="24"/>
      <c r="Q116" s="139"/>
      <c r="R116"/>
      <c r="S116"/>
      <c r="T116"/>
      <c r="U116"/>
      <c r="V116"/>
      <c r="W116"/>
      <c r="X116"/>
      <c r="Y116" s="2"/>
    </row>
    <row r="117" spans="1:25" s="60" customFormat="1" ht="18.75" hidden="1" customHeight="1">
      <c r="A117" s="2"/>
      <c r="B117" s="1668"/>
      <c r="C117" s="1631" t="s">
        <v>209</v>
      </c>
      <c r="D117" s="312" t="s">
        <v>269</v>
      </c>
      <c r="E117" s="314"/>
      <c r="F117" s="315"/>
      <c r="G117" s="316">
        <f>G92</f>
        <v>1541.7876799999999</v>
      </c>
      <c r="H117" s="259"/>
      <c r="I117" s="291"/>
      <c r="P117" s="24"/>
      <c r="Q117" s="139"/>
      <c r="R117"/>
      <c r="S117"/>
      <c r="T117"/>
      <c r="U117"/>
      <c r="V117"/>
      <c r="W117"/>
      <c r="X117"/>
      <c r="Y117" s="2"/>
    </row>
    <row r="118" spans="1:25" s="60" customFormat="1" ht="18.75" hidden="1" customHeight="1">
      <c r="A118" s="2"/>
      <c r="B118" s="1661"/>
      <c r="C118" s="1663"/>
      <c r="D118" s="206" t="s">
        <v>268</v>
      </c>
      <c r="E118" s="313"/>
      <c r="F118" s="129"/>
      <c r="G118" s="208">
        <f>+G90</f>
        <v>921.78767999999991</v>
      </c>
      <c r="H118" s="259"/>
      <c r="I118" s="291"/>
      <c r="J118" s="183">
        <f>+G118*100/(G118+G119)</f>
        <v>87.736898025746825</v>
      </c>
      <c r="K118" s="183" t="s">
        <v>276</v>
      </c>
      <c r="P118" s="24"/>
      <c r="Q118" s="139"/>
      <c r="R118"/>
      <c r="S118"/>
      <c r="T118"/>
      <c r="U118"/>
      <c r="V118"/>
      <c r="W118"/>
      <c r="X118"/>
      <c r="Y118" s="2"/>
    </row>
    <row r="119" spans="1:25" s="60" customFormat="1" ht="18.75" hidden="1" customHeight="1" thickBot="1">
      <c r="A119" s="2"/>
      <c r="B119" s="1661"/>
      <c r="C119" s="1663"/>
      <c r="D119" s="206" t="s">
        <v>275</v>
      </c>
      <c r="E119" s="313"/>
      <c r="F119" s="129"/>
      <c r="G119" s="208">
        <f>+G97</f>
        <v>128.83947999999998</v>
      </c>
      <c r="H119" s="259"/>
      <c r="J119" s="183">
        <f>+G119*100/(G118+G119)</f>
        <v>12.263101974253168</v>
      </c>
      <c r="K119" s="183" t="s">
        <v>276</v>
      </c>
      <c r="L119" s="183">
        <f>SQRT(G119)</f>
        <v>11.350747992973854</v>
      </c>
      <c r="P119" s="24"/>
      <c r="Q119" s="139"/>
      <c r="R119"/>
      <c r="S119"/>
      <c r="T119"/>
      <c r="U119"/>
      <c r="V119"/>
      <c r="W119"/>
      <c r="X119"/>
      <c r="Y119" s="2"/>
    </row>
    <row r="120" spans="1:25" s="60" customFormat="1" ht="18.75" hidden="1" customHeight="1">
      <c r="A120" s="2"/>
      <c r="B120" s="1661"/>
      <c r="C120" s="1663"/>
      <c r="D120" s="324" t="s">
        <v>265</v>
      </c>
      <c r="E120" s="313"/>
      <c r="F120" s="129"/>
      <c r="G120" s="208">
        <f>SQRT(G118)</f>
        <v>30.360956506671524</v>
      </c>
      <c r="H120" s="259"/>
      <c r="I120" s="291"/>
      <c r="J120" s="183"/>
      <c r="P120" s="24"/>
      <c r="Q120" s="139"/>
      <c r="R120"/>
      <c r="S120"/>
      <c r="T120"/>
      <c r="U120"/>
      <c r="V120"/>
      <c r="W120"/>
      <c r="X120"/>
      <c r="Y120" s="2"/>
    </row>
    <row r="121" spans="1:25" s="60" customFormat="1" ht="18.75" hidden="1" customHeight="1">
      <c r="A121" s="2"/>
      <c r="B121" s="1661"/>
      <c r="C121" s="1663"/>
      <c r="D121" s="324" t="s">
        <v>266</v>
      </c>
      <c r="E121" s="313"/>
      <c r="F121" s="129"/>
      <c r="G121" s="208">
        <f>+IF(G10=132,(G120+8),IF(G10&lt;108,(G120+6),(G120+7)))</f>
        <v>37.360956506671528</v>
      </c>
      <c r="H121" s="259"/>
      <c r="I121" s="291"/>
      <c r="P121" s="24"/>
      <c r="Q121" s="139"/>
      <c r="R121"/>
      <c r="S121"/>
      <c r="T121"/>
      <c r="U121"/>
      <c r="V121"/>
      <c r="W121"/>
      <c r="X121"/>
      <c r="Y121" s="2"/>
    </row>
    <row r="122" spans="1:25" s="60" customFormat="1" ht="18.75" hidden="1" customHeight="1" thickBot="1">
      <c r="A122" s="2"/>
      <c r="B122" s="1661"/>
      <c r="C122" s="1663"/>
      <c r="D122" s="325" t="s">
        <v>267</v>
      </c>
      <c r="E122" s="320"/>
      <c r="F122" s="190"/>
      <c r="G122" s="195">
        <f>+IF(G10=132,(G120+8.64),IF(G10&lt;108,(G120+8),IF(G10=112,(G120+8.21),(G120+8.03))))</f>
        <v>38.390956506671522</v>
      </c>
      <c r="H122" s="259"/>
      <c r="I122" s="291"/>
      <c r="P122" s="24"/>
      <c r="Q122" s="139"/>
      <c r="R122"/>
      <c r="S122"/>
      <c r="T122"/>
      <c r="U122"/>
      <c r="V122"/>
      <c r="W122"/>
      <c r="X122"/>
      <c r="Y122" s="2"/>
    </row>
    <row r="123" spans="1:25" s="60" customFormat="1" ht="18.75" hidden="1" customHeight="1" thickBot="1">
      <c r="A123" s="2"/>
      <c r="B123" s="1661"/>
      <c r="C123" s="1663"/>
      <c r="D123" s="214" t="s">
        <v>270</v>
      </c>
      <c r="E123" s="323"/>
      <c r="F123" s="31"/>
      <c r="G123" s="330">
        <f>+G122*G121</f>
        <v>1434.3228562952729</v>
      </c>
      <c r="H123" s="261"/>
      <c r="I123" s="291"/>
      <c r="J123" s="196">
        <f>+G123-G118</f>
        <v>512.535176295273</v>
      </c>
      <c r="K123" s="60" t="s">
        <v>199</v>
      </c>
      <c r="P123" s="24"/>
      <c r="Q123" s="139"/>
      <c r="R123"/>
      <c r="S123"/>
      <c r="T123"/>
      <c r="U123"/>
      <c r="V123"/>
      <c r="W123"/>
      <c r="X123"/>
      <c r="Y123" s="2"/>
    </row>
    <row r="124" spans="1:25" s="60" customFormat="1" ht="18.75" hidden="1" customHeight="1" thickBot="1">
      <c r="A124" s="2"/>
      <c r="B124" s="1661"/>
      <c r="C124" s="1663"/>
      <c r="D124" s="336" t="s">
        <v>902</v>
      </c>
      <c r="E124" s="320"/>
      <c r="F124" s="190"/>
      <c r="G124" s="337">
        <f>+J127-G123</f>
        <v>870.14634370472709</v>
      </c>
      <c r="H124" s="261"/>
      <c r="I124" s="291"/>
      <c r="J124" s="196"/>
      <c r="P124" s="24"/>
      <c r="Q124" s="139"/>
      <c r="R124"/>
      <c r="S124"/>
      <c r="T124"/>
      <c r="U124"/>
      <c r="V124"/>
      <c r="W124"/>
      <c r="X124"/>
      <c r="Y124" s="2"/>
    </row>
    <row r="125" spans="1:25" s="60" customFormat="1" ht="18.75" hidden="1" customHeight="1" thickBot="1">
      <c r="A125" s="2"/>
      <c r="B125" s="1661"/>
      <c r="C125" s="1663"/>
      <c r="D125" s="214" t="s">
        <v>278</v>
      </c>
      <c r="E125" s="323"/>
      <c r="F125" s="31"/>
      <c r="G125" s="330">
        <f>+G124+G123</f>
        <v>2304.4692</v>
      </c>
      <c r="H125" s="261"/>
      <c r="I125" s="291"/>
      <c r="J125" s="196"/>
      <c r="P125" s="24"/>
      <c r="Q125" s="139"/>
      <c r="R125"/>
      <c r="S125"/>
      <c r="T125"/>
      <c r="U125"/>
      <c r="V125"/>
      <c r="W125"/>
      <c r="X125"/>
      <c r="Y125" s="2"/>
    </row>
    <row r="126" spans="1:25" s="60" customFormat="1" ht="18.75" hidden="1" customHeight="1">
      <c r="A126" s="2"/>
      <c r="B126" s="1661"/>
      <c r="C126" s="1663"/>
      <c r="D126" s="326" t="s">
        <v>187</v>
      </c>
      <c r="E126" s="321"/>
      <c r="F126" s="248"/>
      <c r="G126" s="322">
        <f>+G118/G123</f>
        <v>0.64266401107271953</v>
      </c>
      <c r="H126" s="259"/>
      <c r="I126" s="291"/>
      <c r="P126" s="24"/>
      <c r="Q126" s="139"/>
      <c r="R126"/>
      <c r="S126"/>
      <c r="T126"/>
      <c r="U126"/>
      <c r="V126"/>
      <c r="W126"/>
      <c r="X126"/>
      <c r="Y126" s="2"/>
    </row>
    <row r="127" spans="1:25" s="60" customFormat="1" ht="18.75" hidden="1" customHeight="1" thickBot="1">
      <c r="A127" s="2"/>
      <c r="B127" s="1662"/>
      <c r="C127" s="1664"/>
      <c r="D127" s="327" t="s">
        <v>188</v>
      </c>
      <c r="E127" s="318"/>
      <c r="F127" s="247"/>
      <c r="G127" s="319">
        <f>+G118/G123</f>
        <v>0.64266401107271953</v>
      </c>
      <c r="H127" s="259"/>
      <c r="I127" s="291"/>
      <c r="J127" s="183">
        <f>+(G118*100)/40</f>
        <v>2304.4692</v>
      </c>
      <c r="P127" s="24"/>
      <c r="Q127" s="139"/>
      <c r="R127"/>
      <c r="S127"/>
      <c r="T127"/>
      <c r="U127"/>
      <c r="V127"/>
      <c r="W127"/>
      <c r="X127"/>
      <c r="Y127" s="2"/>
    </row>
    <row r="128" spans="1:25" ht="18.75" customHeight="1" thickBot="1"/>
    <row r="129" spans="2:10" ht="78" customHeight="1" thickBot="1">
      <c r="B129" s="1649" t="s">
        <v>903</v>
      </c>
      <c r="C129" s="1650"/>
      <c r="D129" s="1650"/>
      <c r="E129" s="1650"/>
      <c r="F129" s="1650"/>
      <c r="G129" s="582">
        <f>+G4*13</f>
        <v>1976</v>
      </c>
      <c r="H129" s="81"/>
      <c r="I129" s="60"/>
      <c r="J129" s="183"/>
    </row>
    <row r="130" spans="2:10" ht="21.5" customHeight="1">
      <c r="B130" s="583"/>
      <c r="C130" s="583"/>
      <c r="D130" s="583"/>
      <c r="E130" s="583"/>
      <c r="F130" s="583"/>
      <c r="G130" s="584"/>
      <c r="H130" s="81"/>
      <c r="I130" s="60"/>
      <c r="J130" s="183"/>
    </row>
    <row r="131" spans="2:10" ht="45" customHeight="1" thickBot="1">
      <c r="B131" s="1657" t="s">
        <v>274</v>
      </c>
      <c r="C131" s="1657"/>
      <c r="D131" s="1657"/>
      <c r="E131" s="1657"/>
      <c r="F131" s="1657"/>
      <c r="G131" s="1657"/>
    </row>
    <row r="132" spans="2:10" ht="18.75" customHeight="1" thickBot="1">
      <c r="B132" s="1651" t="s">
        <v>286</v>
      </c>
      <c r="C132" s="1652"/>
      <c r="D132" s="1652"/>
      <c r="E132" s="1652"/>
      <c r="F132" s="193"/>
      <c r="G132" s="340"/>
    </row>
    <row r="133" spans="2:10" ht="18.75" customHeight="1">
      <c r="B133" s="1653" t="s">
        <v>287</v>
      </c>
      <c r="C133" s="1654"/>
      <c r="D133" s="1654"/>
      <c r="E133" s="1654"/>
      <c r="F133" s="315"/>
      <c r="G133" s="347"/>
    </row>
    <row r="134" spans="2:10" ht="18.75" customHeight="1">
      <c r="B134" s="1655" t="s">
        <v>1080</v>
      </c>
      <c r="C134" s="1656"/>
      <c r="D134" s="1656"/>
      <c r="E134" s="1656"/>
      <c r="F134" s="129"/>
      <c r="G134" s="348"/>
    </row>
    <row r="135" spans="2:10" ht="18.75" customHeight="1">
      <c r="B135" s="1725" t="s">
        <v>288</v>
      </c>
      <c r="C135" s="1726"/>
      <c r="D135" s="1726"/>
      <c r="E135" s="1726"/>
      <c r="F135" s="45"/>
      <c r="G135" s="341"/>
    </row>
    <row r="136" spans="2:10" ht="18.75" customHeight="1">
      <c r="B136" s="194" t="s">
        <v>289</v>
      </c>
      <c r="C136" s="331"/>
      <c r="D136" s="331"/>
      <c r="E136" s="331"/>
      <c r="F136" s="45"/>
      <c r="G136" s="341"/>
    </row>
    <row r="137" spans="2:10" ht="18.75" customHeight="1">
      <c r="B137" s="342" t="s">
        <v>290</v>
      </c>
      <c r="C137" s="12"/>
      <c r="D137" s="45"/>
      <c r="E137" s="343"/>
      <c r="F137" s="45"/>
      <c r="G137" s="341"/>
    </row>
    <row r="138" spans="2:10" ht="18.75" customHeight="1">
      <c r="B138" s="342" t="s">
        <v>291</v>
      </c>
      <c r="C138" s="12"/>
      <c r="D138" s="45"/>
      <c r="E138" s="343"/>
      <c r="F138" s="45"/>
      <c r="G138" s="341"/>
    </row>
    <row r="139" spans="2:10" ht="18.75" customHeight="1">
      <c r="B139" s="342" t="s">
        <v>1082</v>
      </c>
      <c r="C139" s="12"/>
      <c r="D139" s="45"/>
      <c r="E139" s="343"/>
      <c r="F139" s="45"/>
      <c r="G139" s="341"/>
    </row>
    <row r="140" spans="2:10" ht="18.75" customHeight="1" thickBot="1">
      <c r="B140" s="344" t="s">
        <v>292</v>
      </c>
      <c r="C140" s="151"/>
      <c r="D140" s="154"/>
      <c r="E140" s="345"/>
      <c r="F140" s="154"/>
      <c r="G140" s="346"/>
    </row>
  </sheetData>
  <mergeCells count="38">
    <mergeCell ref="B132:E132"/>
    <mergeCell ref="B133:E133"/>
    <mergeCell ref="B134:E134"/>
    <mergeCell ref="B135:E135"/>
    <mergeCell ref="B4:B5"/>
    <mergeCell ref="C4:C5"/>
    <mergeCell ref="D4:D5"/>
    <mergeCell ref="B105:B115"/>
    <mergeCell ref="C105:C115"/>
    <mergeCell ref="B117:B127"/>
    <mergeCell ref="C117:C127"/>
    <mergeCell ref="B131:G131"/>
    <mergeCell ref="E56:F56"/>
    <mergeCell ref="B17:B26"/>
    <mergeCell ref="B129:F129"/>
    <mergeCell ref="G4:G5"/>
    <mergeCell ref="B12:G14"/>
    <mergeCell ref="B15:G15"/>
    <mergeCell ref="B74:G76"/>
    <mergeCell ref="B101:G103"/>
    <mergeCell ref="B60:B62"/>
    <mergeCell ref="E60:F60"/>
    <mergeCell ref="E61:F61"/>
    <mergeCell ref="E62:F62"/>
    <mergeCell ref="B64:B68"/>
    <mergeCell ref="B28:B41"/>
    <mergeCell ref="B53:B57"/>
    <mergeCell ref="E53:F53"/>
    <mergeCell ref="E54:F54"/>
    <mergeCell ref="E55:F55"/>
    <mergeCell ref="B43:B50"/>
    <mergeCell ref="H17:H20"/>
    <mergeCell ref="N17:N20"/>
    <mergeCell ref="M24:M26"/>
    <mergeCell ref="N24:N26"/>
    <mergeCell ref="M21:M23"/>
    <mergeCell ref="N21:N23"/>
    <mergeCell ref="M17:M20"/>
  </mergeCells>
  <pageMargins left="0.74803149606299213" right="0.74803149606299213" top="2.0360629921259843" bottom="0.98425196850393704" header="0.19685039370078741" footer="0.51181102362204722"/>
  <pageSetup paperSize="126" scale="46" fitToHeight="2" orientation="portrait"/>
  <headerFooter>
    <oddHeader xml:space="preserve">&amp;L&amp;G
</oddHeader>
  </headerFooter>
  <drawing r:id="rId1"/>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rgb="FFFFC000"/>
    <pageSetUpPr fitToPage="1"/>
  </sheetPr>
  <dimension ref="A1:M89"/>
  <sheetViews>
    <sheetView zoomScale="80" zoomScaleNormal="80" zoomScalePageLayoutView="80" workbookViewId="0">
      <selection activeCell="K8" sqref="K8:K14"/>
    </sheetView>
  </sheetViews>
  <sheetFormatPr baseColWidth="10" defaultColWidth="11.5" defaultRowHeight="14" x14ac:dyDescent="0"/>
  <cols>
    <col min="1" max="1" width="2.83203125" style="310" customWidth="1"/>
    <col min="2" max="2" width="32.83203125" style="504" customWidth="1"/>
    <col min="3" max="3" width="30.33203125" style="463" customWidth="1"/>
    <col min="4" max="4" width="55.6640625" style="487" customWidth="1"/>
    <col min="5" max="7" width="3.6640625" style="487" bestFit="1" customWidth="1"/>
    <col min="8" max="8" width="3.83203125" style="463" bestFit="1" customWidth="1"/>
    <col min="9" max="9" width="3.6640625" style="487" bestFit="1" customWidth="1"/>
    <col min="10" max="10" width="11.5" style="310"/>
    <col min="11" max="11" width="36.5" style="310" customWidth="1"/>
    <col min="12" max="12" width="4.1640625" style="310" customWidth="1"/>
    <col min="13" max="16384" width="11.5" style="310"/>
  </cols>
  <sheetData>
    <row r="1" spans="1:12" s="81" customFormat="1" ht="12.5" customHeight="1" thickBot="1">
      <c r="B1" s="382"/>
      <c r="C1" s="507"/>
      <c r="D1" s="362"/>
      <c r="E1" s="362"/>
      <c r="F1" s="362"/>
      <c r="G1" s="362"/>
      <c r="H1" s="362"/>
      <c r="I1" s="362"/>
      <c r="J1" s="362"/>
      <c r="K1" s="507"/>
      <c r="L1" s="362"/>
    </row>
    <row r="2" spans="1:12" s="81" customFormat="1" ht="69" customHeight="1" thickBot="1">
      <c r="B2" s="1743"/>
      <c r="C2" s="1744"/>
      <c r="D2" s="1744"/>
      <c r="E2" s="1744"/>
      <c r="F2" s="1744"/>
      <c r="G2" s="1744"/>
      <c r="H2" s="1744"/>
      <c r="I2" s="1745"/>
      <c r="J2" s="382"/>
      <c r="K2" s="507"/>
      <c r="L2" s="362"/>
    </row>
    <row r="3" spans="1:12" s="81" customFormat="1" ht="25.25" customHeight="1" thickBot="1">
      <c r="B3" s="820" t="s">
        <v>1385</v>
      </c>
      <c r="C3" s="821"/>
      <c r="D3" s="822"/>
      <c r="E3" s="1746" t="str">
        <f>+'PROGRAMA ARQ.'!E4</f>
        <v>2 SALAS CUNAS</v>
      </c>
      <c r="F3" s="1747"/>
      <c r="G3" s="1747"/>
      <c r="H3" s="1747"/>
      <c r="I3" s="1748"/>
      <c r="J3" s="382"/>
      <c r="K3" s="507"/>
      <c r="L3" s="362"/>
    </row>
    <row r="4" spans="1:12" s="81" customFormat="1" ht="25.25" customHeight="1" thickBot="1">
      <c r="B4" s="823">
        <f>+'PROGRAMA ARQ.'!I4:I5</f>
        <v>152</v>
      </c>
      <c r="C4" s="505"/>
      <c r="D4" s="661"/>
      <c r="E4" s="1737" t="str">
        <f>+'PROGRAMA ARQ.'!E5</f>
        <v>4 NIVELES MEDIOS</v>
      </c>
      <c r="F4" s="1738"/>
      <c r="G4" s="1738"/>
      <c r="H4" s="1738"/>
      <c r="I4" s="1739"/>
      <c r="J4" s="382"/>
      <c r="K4" s="507"/>
      <c r="L4" s="362"/>
    </row>
    <row r="5" spans="1:12" s="81" customFormat="1" ht="15" thickBot="1">
      <c r="B5" s="818" t="s">
        <v>1374</v>
      </c>
      <c r="C5" s="819" t="s">
        <v>1375</v>
      </c>
      <c r="D5" s="819" t="s">
        <v>1376</v>
      </c>
      <c r="E5" s="1740" t="s">
        <v>1377</v>
      </c>
      <c r="F5" s="1741"/>
      <c r="G5" s="1741"/>
      <c r="H5" s="1741"/>
      <c r="I5" s="1742"/>
      <c r="J5" s="675"/>
      <c r="K5" s="507"/>
      <c r="L5" s="362"/>
    </row>
    <row r="6" spans="1:12" s="507" customFormat="1" ht="79.25" customHeight="1" thickBot="1">
      <c r="B6" s="662"/>
      <c r="C6" s="662" t="s">
        <v>1298</v>
      </c>
      <c r="D6" s="824"/>
      <c r="E6" s="679" t="s">
        <v>366</v>
      </c>
      <c r="F6" s="516" t="s">
        <v>544</v>
      </c>
      <c r="G6" s="516" t="s">
        <v>2</v>
      </c>
      <c r="H6" s="515" t="s">
        <v>171</v>
      </c>
      <c r="I6" s="576" t="s">
        <v>172</v>
      </c>
      <c r="J6" s="595"/>
      <c r="K6" s="1240" t="s">
        <v>293</v>
      </c>
      <c r="L6" s="446" t="s">
        <v>178</v>
      </c>
    </row>
    <row r="7" spans="1:12" s="367" customFormat="1" ht="16" thickBot="1">
      <c r="B7" s="667" t="s">
        <v>1378</v>
      </c>
      <c r="C7" s="667" t="s">
        <v>1379</v>
      </c>
      <c r="D7" s="670" t="s">
        <v>1380</v>
      </c>
      <c r="E7" s="671"/>
      <c r="F7" s="672"/>
      <c r="G7" s="672"/>
      <c r="H7" s="671"/>
      <c r="I7" s="673"/>
      <c r="J7" s="595"/>
      <c r="K7" s="695"/>
      <c r="L7" s="697"/>
    </row>
    <row r="8" spans="1:12" ht="198.5" customHeight="1" thickBot="1">
      <c r="A8" s="1764" t="s">
        <v>455</v>
      </c>
      <c r="B8" s="1092" t="s">
        <v>1373</v>
      </c>
      <c r="C8" s="1093"/>
      <c r="D8" s="856" t="s">
        <v>1381</v>
      </c>
      <c r="E8" s="395"/>
      <c r="F8" s="395"/>
      <c r="G8" s="395"/>
      <c r="H8" s="354"/>
      <c r="I8" s="857"/>
      <c r="K8" s="1768" t="s">
        <v>1393</v>
      </c>
      <c r="L8" s="463"/>
    </row>
    <row r="9" spans="1:12" ht="28">
      <c r="A9" s="1765"/>
      <c r="B9" s="1755" t="s">
        <v>1360</v>
      </c>
      <c r="C9" s="1096" t="s">
        <v>1365</v>
      </c>
      <c r="D9" s="1115" t="s">
        <v>1366</v>
      </c>
      <c r="E9" s="589"/>
      <c r="F9" s="589"/>
      <c r="G9" s="589"/>
      <c r="H9" s="762"/>
      <c r="I9" s="805"/>
      <c r="K9" s="1769"/>
      <c r="L9" s="463"/>
    </row>
    <row r="10" spans="1:12" ht="28">
      <c r="A10" s="1765"/>
      <c r="B10" s="1756"/>
      <c r="C10" s="1754" t="s">
        <v>1363</v>
      </c>
      <c r="D10" s="1112" t="s">
        <v>1367</v>
      </c>
      <c r="E10" s="513"/>
      <c r="F10" s="513"/>
      <c r="G10" s="513"/>
      <c r="H10" s="642"/>
      <c r="I10" s="791"/>
      <c r="K10" s="1769"/>
      <c r="L10" s="463"/>
    </row>
    <row r="11" spans="1:12" ht="28">
      <c r="A11" s="1765"/>
      <c r="B11" s="1756"/>
      <c r="C11" s="1754"/>
      <c r="D11" s="1112" t="s">
        <v>1368</v>
      </c>
      <c r="E11" s="513"/>
      <c r="F11" s="513"/>
      <c r="G11" s="513"/>
      <c r="H11" s="642"/>
      <c r="I11" s="791"/>
      <c r="K11" s="1769"/>
      <c r="L11" s="463"/>
    </row>
    <row r="12" spans="1:12" ht="28">
      <c r="A12" s="1765"/>
      <c r="B12" s="1756"/>
      <c r="C12" s="1754"/>
      <c r="D12" s="1112" t="s">
        <v>1372</v>
      </c>
      <c r="E12" s="513"/>
      <c r="F12" s="513"/>
      <c r="G12" s="513"/>
      <c r="H12" s="642"/>
      <c r="I12" s="791"/>
      <c r="K12" s="1769"/>
      <c r="L12" s="463"/>
    </row>
    <row r="13" spans="1:12" ht="46.25" customHeight="1">
      <c r="A13" s="1765"/>
      <c r="B13" s="1756"/>
      <c r="C13" s="1754"/>
      <c r="D13" s="1112" t="s">
        <v>1371</v>
      </c>
      <c r="E13" s="513"/>
      <c r="F13" s="513"/>
      <c r="G13" s="513"/>
      <c r="H13" s="642"/>
      <c r="I13" s="791"/>
      <c r="K13" s="1769"/>
      <c r="L13" s="463"/>
    </row>
    <row r="14" spans="1:12" ht="29" thickBot="1">
      <c r="A14" s="1765"/>
      <c r="B14" s="1759"/>
      <c r="C14" s="922" t="s">
        <v>1369</v>
      </c>
      <c r="D14" s="1122" t="s">
        <v>1370</v>
      </c>
      <c r="E14" s="917"/>
      <c r="F14" s="917"/>
      <c r="G14" s="917"/>
      <c r="H14" s="938"/>
      <c r="I14" s="965"/>
      <c r="K14" s="1769"/>
      <c r="L14" s="463"/>
    </row>
    <row r="15" spans="1:12" s="1165" customFormat="1" ht="28">
      <c r="A15" s="1765"/>
      <c r="B15" s="1770" t="s">
        <v>449</v>
      </c>
      <c r="C15" s="1252" t="s">
        <v>1402</v>
      </c>
      <c r="D15" s="1253" t="s">
        <v>1588</v>
      </c>
      <c r="E15" s="1162"/>
      <c r="F15" s="1162"/>
      <c r="G15" s="1162"/>
      <c r="H15" s="1236"/>
      <c r="I15" s="1254"/>
      <c r="K15" s="1255" t="s">
        <v>1397</v>
      </c>
      <c r="L15" s="1176"/>
    </row>
    <row r="16" spans="1:12" s="1165" customFormat="1" ht="42">
      <c r="A16" s="1765"/>
      <c r="B16" s="1771"/>
      <c r="C16" s="1749" t="s">
        <v>452</v>
      </c>
      <c r="D16" s="1256" t="s">
        <v>1305</v>
      </c>
      <c r="E16" s="1256"/>
      <c r="F16" s="1181"/>
      <c r="G16" s="1181"/>
      <c r="H16" s="1257"/>
      <c r="I16" s="1258"/>
      <c r="K16" s="1255" t="s">
        <v>1398</v>
      </c>
      <c r="L16" s="1259"/>
    </row>
    <row r="17" spans="1:12" s="1165" customFormat="1">
      <c r="A17" s="1765"/>
      <c r="B17" s="1771"/>
      <c r="C17" s="1750"/>
      <c r="D17" s="1260" t="s">
        <v>1313</v>
      </c>
      <c r="E17" s="1261"/>
      <c r="F17" s="1167"/>
      <c r="G17" s="1167"/>
      <c r="H17" s="1262"/>
      <c r="I17" s="1263"/>
      <c r="K17" s="1255" t="s">
        <v>1399</v>
      </c>
      <c r="L17" s="1259"/>
    </row>
    <row r="18" spans="1:12" s="1165" customFormat="1">
      <c r="A18" s="1765"/>
      <c r="B18" s="1771"/>
      <c r="C18" s="1750"/>
      <c r="D18" s="1260" t="s">
        <v>1321</v>
      </c>
      <c r="E18" s="1261"/>
      <c r="F18" s="1167"/>
      <c r="G18" s="1167"/>
      <c r="H18" s="1262"/>
      <c r="I18" s="1263"/>
      <c r="K18" s="1255" t="s">
        <v>1400</v>
      </c>
      <c r="L18" s="1259"/>
    </row>
    <row r="19" spans="1:12" s="1165" customFormat="1">
      <c r="A19" s="1765"/>
      <c r="B19" s="1771"/>
      <c r="C19" s="1750"/>
      <c r="D19" s="1260" t="s">
        <v>1319</v>
      </c>
      <c r="E19" s="1261"/>
      <c r="F19" s="1167"/>
      <c r="G19" s="1167"/>
      <c r="H19" s="1262"/>
      <c r="I19" s="1263"/>
      <c r="K19" s="1255" t="s">
        <v>1400</v>
      </c>
      <c r="L19" s="1259"/>
    </row>
    <row r="20" spans="1:12" s="1165" customFormat="1" ht="28">
      <c r="A20" s="1765"/>
      <c r="B20" s="1771"/>
      <c r="C20" s="1750"/>
      <c r="D20" s="1261" t="s">
        <v>1304</v>
      </c>
      <c r="E20" s="1261"/>
      <c r="F20" s="1167"/>
      <c r="G20" s="1167"/>
      <c r="H20" s="1262"/>
      <c r="I20" s="1263"/>
      <c r="K20" s="1255" t="s">
        <v>1400</v>
      </c>
      <c r="L20" s="1259"/>
    </row>
    <row r="21" spans="1:12" s="1165" customFormat="1">
      <c r="A21" s="1765"/>
      <c r="B21" s="1771"/>
      <c r="C21" s="1750"/>
      <c r="D21" s="1260" t="s">
        <v>1318</v>
      </c>
      <c r="E21" s="1261"/>
      <c r="F21" s="1167"/>
      <c r="G21" s="1167"/>
      <c r="H21" s="1262"/>
      <c r="I21" s="1263"/>
      <c r="K21" s="1255" t="s">
        <v>1400</v>
      </c>
      <c r="L21" s="1259"/>
    </row>
    <row r="22" spans="1:12" s="1165" customFormat="1">
      <c r="A22" s="1765"/>
      <c r="B22" s="1771"/>
      <c r="C22" s="1750"/>
      <c r="D22" s="1260" t="s">
        <v>1320</v>
      </c>
      <c r="E22" s="1261"/>
      <c r="F22" s="1167"/>
      <c r="G22" s="1167"/>
      <c r="H22" s="1262"/>
      <c r="I22" s="1263"/>
      <c r="K22" s="1255" t="s">
        <v>1401</v>
      </c>
      <c r="L22" s="1259"/>
    </row>
    <row r="23" spans="1:12" s="1165" customFormat="1">
      <c r="A23" s="1765"/>
      <c r="B23" s="1771"/>
      <c r="C23" s="1750"/>
      <c r="D23" s="1264" t="s">
        <v>1300</v>
      </c>
      <c r="E23" s="1167"/>
      <c r="F23" s="1167"/>
      <c r="G23" s="1167"/>
      <c r="H23" s="1262"/>
      <c r="I23" s="1263"/>
      <c r="K23" s="1265" t="s">
        <v>1397</v>
      </c>
      <c r="L23" s="1259"/>
    </row>
    <row r="24" spans="1:12" s="1165" customFormat="1">
      <c r="A24" s="1765"/>
      <c r="B24" s="1771"/>
      <c r="C24" s="1750"/>
      <c r="D24" s="1266" t="s">
        <v>1308</v>
      </c>
      <c r="E24" s="1167"/>
      <c r="F24" s="1167"/>
      <c r="G24" s="1167"/>
      <c r="H24" s="1262"/>
      <c r="I24" s="1263"/>
      <c r="K24" s="1255" t="s">
        <v>1396</v>
      </c>
      <c r="L24" s="1259"/>
    </row>
    <row r="25" spans="1:12" s="1165" customFormat="1">
      <c r="A25" s="1765"/>
      <c r="B25" s="1771"/>
      <c r="C25" s="1750"/>
      <c r="D25" s="1266" t="s">
        <v>1306</v>
      </c>
      <c r="E25" s="1167"/>
      <c r="F25" s="1167"/>
      <c r="G25" s="1167"/>
      <c r="H25" s="1262"/>
      <c r="I25" s="1263"/>
      <c r="K25" s="1255" t="s">
        <v>1394</v>
      </c>
      <c r="L25" s="1259"/>
    </row>
    <row r="26" spans="1:12" s="1165" customFormat="1">
      <c r="A26" s="1765"/>
      <c r="B26" s="1771"/>
      <c r="C26" s="1750"/>
      <c r="D26" s="1266" t="s">
        <v>1307</v>
      </c>
      <c r="E26" s="1167"/>
      <c r="F26" s="1167"/>
      <c r="G26" s="1167"/>
      <c r="H26" s="1262"/>
      <c r="I26" s="1263"/>
      <c r="K26" s="1265" t="s">
        <v>1395</v>
      </c>
      <c r="L26" s="1259"/>
    </row>
    <row r="27" spans="1:12" s="1165" customFormat="1" ht="28">
      <c r="A27" s="1765"/>
      <c r="B27" s="1771"/>
      <c r="C27" s="1750"/>
      <c r="D27" s="1266" t="s">
        <v>1309</v>
      </c>
      <c r="E27" s="1167"/>
      <c r="F27" s="1167"/>
      <c r="G27" s="1167"/>
      <c r="H27" s="1262"/>
      <c r="I27" s="1263"/>
      <c r="K27" s="1265" t="s">
        <v>1395</v>
      </c>
      <c r="L27" s="1259"/>
    </row>
    <row r="28" spans="1:12" s="1165" customFormat="1">
      <c r="A28" s="1765"/>
      <c r="B28" s="1771"/>
      <c r="C28" s="1750"/>
      <c r="D28" s="1264" t="s">
        <v>1312</v>
      </c>
      <c r="E28" s="1167"/>
      <c r="F28" s="1167"/>
      <c r="G28" s="1167"/>
      <c r="H28" s="1262"/>
      <c r="I28" s="1263"/>
      <c r="K28" s="1255" t="s">
        <v>1394</v>
      </c>
      <c r="L28" s="1259"/>
    </row>
    <row r="29" spans="1:12" s="1165" customFormat="1">
      <c r="A29" s="1765"/>
      <c r="B29" s="1771"/>
      <c r="C29" s="1750"/>
      <c r="D29" s="1266" t="s">
        <v>1313</v>
      </c>
      <c r="E29" s="1167"/>
      <c r="F29" s="1167"/>
      <c r="G29" s="1167"/>
      <c r="H29" s="1262"/>
      <c r="I29" s="1263"/>
      <c r="K29" s="1255" t="s">
        <v>1394</v>
      </c>
      <c r="L29" s="1259"/>
    </row>
    <row r="30" spans="1:12" s="1165" customFormat="1">
      <c r="A30" s="1765"/>
      <c r="B30" s="1771"/>
      <c r="C30" s="1750"/>
      <c r="D30" s="1266" t="s">
        <v>1310</v>
      </c>
      <c r="E30" s="1167"/>
      <c r="F30" s="1167"/>
      <c r="G30" s="1167"/>
      <c r="H30" s="1262"/>
      <c r="I30" s="1263"/>
      <c r="K30" s="1255" t="s">
        <v>1394</v>
      </c>
      <c r="L30" s="1259"/>
    </row>
    <row r="31" spans="1:12" s="1165" customFormat="1">
      <c r="A31" s="1765"/>
      <c r="B31" s="1771"/>
      <c r="C31" s="1750"/>
      <c r="D31" s="1266" t="s">
        <v>1311</v>
      </c>
      <c r="E31" s="1167"/>
      <c r="F31" s="1167"/>
      <c r="G31" s="1167"/>
      <c r="H31" s="1262"/>
      <c r="I31" s="1263"/>
      <c r="K31" s="1255" t="s">
        <v>1394</v>
      </c>
      <c r="L31" s="1259"/>
    </row>
    <row r="32" spans="1:12" s="1165" customFormat="1" ht="28">
      <c r="A32" s="1765"/>
      <c r="B32" s="1771"/>
      <c r="C32" s="1750" t="s">
        <v>450</v>
      </c>
      <c r="D32" s="1261" t="s">
        <v>1299</v>
      </c>
      <c r="E32" s="1261"/>
      <c r="F32" s="1167"/>
      <c r="G32" s="1167"/>
      <c r="H32" s="1262"/>
      <c r="I32" s="1263"/>
      <c r="K32" s="1265" t="s">
        <v>451</v>
      </c>
      <c r="L32" s="1259"/>
    </row>
    <row r="33" spans="1:12" s="1165" customFormat="1">
      <c r="A33" s="1765"/>
      <c r="B33" s="1771"/>
      <c r="C33" s="1750"/>
      <c r="D33" s="1260" t="s">
        <v>1314</v>
      </c>
      <c r="E33" s="1261"/>
      <c r="F33" s="1167"/>
      <c r="G33" s="1167"/>
      <c r="H33" s="1262"/>
      <c r="I33" s="1263"/>
      <c r="K33" s="1265" t="s">
        <v>451</v>
      </c>
      <c r="L33" s="1259"/>
    </row>
    <row r="34" spans="1:12" s="1165" customFormat="1">
      <c r="A34" s="1765"/>
      <c r="B34" s="1771"/>
      <c r="C34" s="1750"/>
      <c r="D34" s="1260" t="s">
        <v>1315</v>
      </c>
      <c r="E34" s="1261"/>
      <c r="F34" s="1167"/>
      <c r="G34" s="1167"/>
      <c r="H34" s="1262"/>
      <c r="I34" s="1263"/>
      <c r="K34" s="1265" t="s">
        <v>451</v>
      </c>
      <c r="L34" s="1259"/>
    </row>
    <row r="35" spans="1:12" s="1165" customFormat="1">
      <c r="A35" s="1765"/>
      <c r="B35" s="1771"/>
      <c r="C35" s="1750"/>
      <c r="D35" s="1260" t="s">
        <v>1316</v>
      </c>
      <c r="E35" s="1261"/>
      <c r="F35" s="1167"/>
      <c r="G35" s="1167"/>
      <c r="H35" s="1262"/>
      <c r="I35" s="1263"/>
      <c r="K35" s="1265" t="s">
        <v>451</v>
      </c>
      <c r="L35" s="1259"/>
    </row>
    <row r="36" spans="1:12" s="1165" customFormat="1">
      <c r="A36" s="1765"/>
      <c r="B36" s="1771"/>
      <c r="C36" s="1750"/>
      <c r="D36" s="1260" t="s">
        <v>1317</v>
      </c>
      <c r="E36" s="1261"/>
      <c r="F36" s="1167"/>
      <c r="G36" s="1167"/>
      <c r="H36" s="1262"/>
      <c r="I36" s="1263"/>
      <c r="K36" s="1265" t="s">
        <v>451</v>
      </c>
      <c r="L36" s="1259"/>
    </row>
    <row r="37" spans="1:12" s="1165" customFormat="1">
      <c r="A37" s="1765"/>
      <c r="B37" s="1771"/>
      <c r="C37" s="1750"/>
      <c r="D37" s="1260" t="s">
        <v>1323</v>
      </c>
      <c r="E37" s="1261"/>
      <c r="F37" s="1167"/>
      <c r="G37" s="1167"/>
      <c r="H37" s="1262"/>
      <c r="I37" s="1263"/>
      <c r="K37" s="1265" t="s">
        <v>1403</v>
      </c>
      <c r="L37" s="1259"/>
    </row>
    <row r="38" spans="1:12" s="1165" customFormat="1" ht="15" thickBot="1">
      <c r="A38" s="1765"/>
      <c r="B38" s="1772"/>
      <c r="C38" s="1773"/>
      <c r="D38" s="1267" t="s">
        <v>1322</v>
      </c>
      <c r="E38" s="1268"/>
      <c r="F38" s="1210"/>
      <c r="G38" s="1210"/>
      <c r="H38" s="1269"/>
      <c r="I38" s="1270"/>
      <c r="K38" s="1265" t="s">
        <v>1403</v>
      </c>
      <c r="L38" s="1259"/>
    </row>
    <row r="39" spans="1:12" s="1165" customFormat="1" ht="57" thickBot="1">
      <c r="A39" s="1765"/>
      <c r="B39" s="1271"/>
      <c r="C39" s="1272"/>
      <c r="D39" s="1273" t="s">
        <v>1589</v>
      </c>
      <c r="E39" s="1274"/>
      <c r="F39" s="1275"/>
      <c r="G39" s="1275"/>
      <c r="H39" s="1276"/>
      <c r="I39" s="1277"/>
      <c r="K39" s="1265" t="s">
        <v>1404</v>
      </c>
      <c r="L39" s="1259"/>
    </row>
    <row r="40" spans="1:12" ht="28">
      <c r="A40" s="1765"/>
      <c r="B40" s="1755" t="s">
        <v>1333</v>
      </c>
      <c r="C40" s="1761"/>
      <c r="D40" s="1117" t="s">
        <v>1302</v>
      </c>
      <c r="E40" s="588"/>
      <c r="F40" s="589"/>
      <c r="G40" s="589"/>
      <c r="H40" s="762"/>
      <c r="I40" s="805"/>
      <c r="K40" s="1767" t="s">
        <v>1405</v>
      </c>
      <c r="L40" s="352"/>
    </row>
    <row r="41" spans="1:12">
      <c r="A41" s="1765"/>
      <c r="B41" s="1756"/>
      <c r="C41" s="1762"/>
      <c r="D41" s="1114" t="s">
        <v>1324</v>
      </c>
      <c r="E41" s="513"/>
      <c r="F41" s="513"/>
      <c r="G41" s="513"/>
      <c r="H41" s="642"/>
      <c r="I41" s="791"/>
      <c r="K41" s="1767"/>
      <c r="L41" s="463"/>
    </row>
    <row r="42" spans="1:12">
      <c r="A42" s="1765"/>
      <c r="B42" s="1756"/>
      <c r="C42" s="1762"/>
      <c r="D42" s="1114" t="s">
        <v>1325</v>
      </c>
      <c r="E42" s="513"/>
      <c r="F42" s="513"/>
      <c r="G42" s="513"/>
      <c r="H42" s="642"/>
      <c r="I42" s="791"/>
      <c r="K42" s="1767"/>
      <c r="L42" s="463"/>
    </row>
    <row r="43" spans="1:12" ht="28">
      <c r="A43" s="1765"/>
      <c r="B43" s="1756"/>
      <c r="C43" s="1762"/>
      <c r="D43" s="1112" t="s">
        <v>1362</v>
      </c>
      <c r="E43" s="513"/>
      <c r="F43" s="513"/>
      <c r="G43" s="513"/>
      <c r="H43" s="642"/>
      <c r="I43" s="791"/>
      <c r="K43" s="1767"/>
      <c r="L43" s="463"/>
    </row>
    <row r="44" spans="1:12" ht="29" thickBot="1">
      <c r="A44" s="1765"/>
      <c r="B44" s="1757"/>
      <c r="C44" s="1763"/>
      <c r="D44" s="1116" t="s">
        <v>1382</v>
      </c>
      <c r="E44" s="552"/>
      <c r="F44" s="552"/>
      <c r="G44" s="552"/>
      <c r="H44" s="759"/>
      <c r="I44" s="592"/>
      <c r="K44" s="1767"/>
      <c r="L44" s="463"/>
    </row>
    <row r="45" spans="1:12" ht="56">
      <c r="A45" s="1765"/>
      <c r="B45" s="1755" t="s">
        <v>1361</v>
      </c>
      <c r="C45" s="1571"/>
      <c r="D45" s="809" t="s">
        <v>1347</v>
      </c>
      <c r="E45" s="762"/>
      <c r="F45" s="762"/>
      <c r="G45" s="762"/>
      <c r="H45" s="762"/>
      <c r="I45" s="805"/>
      <c r="K45" s="1570" t="s">
        <v>1406</v>
      </c>
      <c r="L45" s="463"/>
    </row>
    <row r="46" spans="1:12" s="1165" customFormat="1" ht="42">
      <c r="A46" s="1765"/>
      <c r="B46" s="1756"/>
      <c r="C46" s="1754" t="s">
        <v>456</v>
      </c>
      <c r="D46" s="1278" t="s">
        <v>457</v>
      </c>
      <c r="E46" s="1167"/>
      <c r="F46" s="1167"/>
      <c r="G46" s="1167"/>
      <c r="H46" s="1262"/>
      <c r="I46" s="1263"/>
      <c r="K46" s="1265" t="s">
        <v>453</v>
      </c>
      <c r="L46" s="1176"/>
    </row>
    <row r="47" spans="1:12" s="1165" customFormat="1" ht="56">
      <c r="A47" s="1765"/>
      <c r="B47" s="1756"/>
      <c r="C47" s="1754"/>
      <c r="D47" s="1279" t="s">
        <v>949</v>
      </c>
      <c r="E47" s="1262"/>
      <c r="F47" s="1262"/>
      <c r="G47" s="1262"/>
      <c r="H47" s="1262"/>
      <c r="I47" s="1263"/>
      <c r="K47" s="1176" t="s">
        <v>950</v>
      </c>
    </row>
    <row r="48" spans="1:12" ht="44.5" customHeight="1">
      <c r="A48" s="1765"/>
      <c r="B48" s="1756"/>
      <c r="C48" s="1754"/>
      <c r="D48" s="1113" t="s">
        <v>1336</v>
      </c>
      <c r="E48" s="513"/>
      <c r="F48" s="513"/>
      <c r="G48" s="513"/>
      <c r="H48" s="642"/>
      <c r="I48" s="791"/>
      <c r="K48" s="463" t="s">
        <v>303</v>
      </c>
      <c r="L48" s="463"/>
    </row>
    <row r="49" spans="1:13" s="1165" customFormat="1" ht="28">
      <c r="A49" s="1765"/>
      <c r="B49" s="1756"/>
      <c r="C49" s="1754"/>
      <c r="D49" s="1278" t="s">
        <v>458</v>
      </c>
      <c r="E49" s="1167"/>
      <c r="F49" s="1167"/>
      <c r="G49" s="1167"/>
      <c r="H49" s="1262"/>
      <c r="I49" s="1263"/>
      <c r="K49" s="1176" t="s">
        <v>1407</v>
      </c>
      <c r="L49" s="1176"/>
      <c r="M49" s="1165" t="s">
        <v>1408</v>
      </c>
    </row>
    <row r="50" spans="1:13" ht="57" thickBot="1">
      <c r="A50" s="1766"/>
      <c r="B50" s="1757"/>
      <c r="C50" s="1760"/>
      <c r="D50" s="1118" t="s">
        <v>1346</v>
      </c>
      <c r="E50" s="552"/>
      <c r="F50" s="552"/>
      <c r="G50" s="552"/>
      <c r="H50" s="759"/>
      <c r="I50" s="592"/>
      <c r="K50" s="463" t="s">
        <v>501</v>
      </c>
      <c r="L50" s="463"/>
    </row>
    <row r="51" spans="1:13" ht="56">
      <c r="A51" s="660"/>
      <c r="B51" s="1755" t="s">
        <v>143</v>
      </c>
      <c r="C51" s="1096" t="s">
        <v>442</v>
      </c>
      <c r="D51" s="1117" t="s">
        <v>1331</v>
      </c>
      <c r="E51" s="589"/>
      <c r="F51" s="589"/>
      <c r="G51" s="589"/>
      <c r="H51" s="762"/>
      <c r="I51" s="805"/>
      <c r="K51" s="1767" t="s">
        <v>1406</v>
      </c>
      <c r="L51" s="463"/>
    </row>
    <row r="52" spans="1:13" ht="28">
      <c r="A52" s="660"/>
      <c r="B52" s="1756"/>
      <c r="C52" s="1097" t="s">
        <v>241</v>
      </c>
      <c r="D52" s="1113" t="s">
        <v>1332</v>
      </c>
      <c r="E52" s="513"/>
      <c r="F52" s="513"/>
      <c r="G52" s="513"/>
      <c r="H52" s="642"/>
      <c r="I52" s="791"/>
      <c r="K52" s="1767"/>
      <c r="L52" s="463"/>
    </row>
    <row r="53" spans="1:13" ht="28">
      <c r="A53" s="660"/>
      <c r="B53" s="1756"/>
      <c r="C53" s="1097"/>
      <c r="D53" s="1113" t="s">
        <v>1358</v>
      </c>
      <c r="E53" s="513"/>
      <c r="F53" s="513"/>
      <c r="G53" s="513"/>
      <c r="H53" s="642"/>
      <c r="I53" s="791"/>
      <c r="K53" s="1767"/>
      <c r="L53" s="463"/>
    </row>
    <row r="54" spans="1:13" ht="28">
      <c r="A54" s="660"/>
      <c r="B54" s="1756"/>
      <c r="C54" s="1094" t="s">
        <v>1329</v>
      </c>
      <c r="D54" s="1112" t="s">
        <v>1335</v>
      </c>
      <c r="E54" s="513"/>
      <c r="F54" s="513"/>
      <c r="G54" s="513"/>
      <c r="H54" s="642"/>
      <c r="I54" s="791"/>
      <c r="K54" s="1767"/>
      <c r="L54" s="463"/>
    </row>
    <row r="55" spans="1:13" ht="42">
      <c r="A55" s="660"/>
      <c r="B55" s="1756"/>
      <c r="C55" s="1097" t="s">
        <v>243</v>
      </c>
      <c r="D55" s="1112" t="s">
        <v>1328</v>
      </c>
      <c r="E55" s="513"/>
      <c r="F55" s="513"/>
      <c r="G55" s="513"/>
      <c r="H55" s="642"/>
      <c r="I55" s="791"/>
      <c r="K55" s="1767"/>
      <c r="L55" s="463"/>
    </row>
    <row r="56" spans="1:13" ht="42">
      <c r="A56" s="660"/>
      <c r="B56" s="1756"/>
      <c r="C56" s="1754" t="s">
        <v>1330</v>
      </c>
      <c r="D56" s="1112" t="s">
        <v>1303</v>
      </c>
      <c r="E56" s="513"/>
      <c r="F56" s="513"/>
      <c r="G56" s="513"/>
      <c r="H56" s="642"/>
      <c r="I56" s="791"/>
      <c r="K56" s="1767"/>
      <c r="L56" s="463"/>
    </row>
    <row r="57" spans="1:13" ht="43" thickBot="1">
      <c r="A57" s="660"/>
      <c r="B57" s="1757"/>
      <c r="C57" s="1760"/>
      <c r="D57" s="1116" t="s">
        <v>1344</v>
      </c>
      <c r="E57" s="552"/>
      <c r="F57" s="552"/>
      <c r="G57" s="552"/>
      <c r="H57" s="759"/>
      <c r="I57" s="592"/>
      <c r="K57" s="1767"/>
      <c r="L57" s="463"/>
    </row>
    <row r="58" spans="1:13" ht="56.5" customHeight="1">
      <c r="A58" s="660"/>
      <c r="B58" s="1755" t="s">
        <v>1334</v>
      </c>
      <c r="C58" s="1761"/>
      <c r="D58" s="726" t="s">
        <v>1340</v>
      </c>
      <c r="E58" s="589"/>
      <c r="F58" s="589"/>
      <c r="G58" s="589"/>
      <c r="H58" s="762"/>
      <c r="I58" s="805"/>
      <c r="K58" s="463" t="s">
        <v>1406</v>
      </c>
      <c r="L58" s="487"/>
    </row>
    <row r="59" spans="1:13" s="1165" customFormat="1" ht="42">
      <c r="A59" s="1280"/>
      <c r="B59" s="1756"/>
      <c r="C59" s="1762"/>
      <c r="D59" s="1217" t="s">
        <v>1342</v>
      </c>
      <c r="E59" s="1167"/>
      <c r="F59" s="1167"/>
      <c r="G59" s="1167"/>
      <c r="H59" s="1262"/>
      <c r="I59" s="1263"/>
      <c r="K59" s="1255" t="s">
        <v>415</v>
      </c>
      <c r="L59" s="1176"/>
    </row>
    <row r="60" spans="1:13" ht="102" customHeight="1">
      <c r="A60" s="660"/>
      <c r="B60" s="1756"/>
      <c r="C60" s="1762"/>
      <c r="D60" s="590" t="s">
        <v>1341</v>
      </c>
      <c r="E60" s="513"/>
      <c r="F60" s="513"/>
      <c r="G60" s="513"/>
      <c r="H60" s="642"/>
      <c r="I60" s="791"/>
      <c r="K60" s="1767" t="s">
        <v>1406</v>
      </c>
      <c r="L60" s="463"/>
    </row>
    <row r="61" spans="1:13">
      <c r="A61" s="660"/>
      <c r="B61" s="1756"/>
      <c r="C61" s="1762"/>
      <c r="D61" s="590" t="s">
        <v>263</v>
      </c>
      <c r="E61" s="513"/>
      <c r="F61" s="513"/>
      <c r="G61" s="513"/>
      <c r="H61" s="642"/>
      <c r="I61" s="791"/>
      <c r="K61" s="1767"/>
      <c r="L61" s="487"/>
    </row>
    <row r="62" spans="1:13" ht="56">
      <c r="A62" s="309"/>
      <c r="B62" s="1756"/>
      <c r="C62" s="1762"/>
      <c r="D62" s="590" t="s">
        <v>1345</v>
      </c>
      <c r="E62" s="513"/>
      <c r="F62" s="513"/>
      <c r="G62" s="513"/>
      <c r="H62" s="642"/>
      <c r="I62" s="791"/>
      <c r="K62" s="1767"/>
      <c r="L62" s="487"/>
    </row>
    <row r="63" spans="1:13" ht="43" thickBot="1">
      <c r="A63" s="309"/>
      <c r="B63" s="1757"/>
      <c r="C63" s="1763"/>
      <c r="D63" s="727" t="s">
        <v>1343</v>
      </c>
      <c r="E63" s="552"/>
      <c r="F63" s="552"/>
      <c r="G63" s="552"/>
      <c r="H63" s="759"/>
      <c r="I63" s="592"/>
      <c r="K63" s="1767"/>
      <c r="L63" s="487"/>
    </row>
    <row r="64" spans="1:13" ht="30" customHeight="1">
      <c r="A64" s="860"/>
      <c r="B64" s="1755" t="s">
        <v>140</v>
      </c>
      <c r="C64" s="1096" t="s">
        <v>247</v>
      </c>
      <c r="D64" s="1117" t="s">
        <v>1337</v>
      </c>
      <c r="E64" s="589"/>
      <c r="F64" s="589"/>
      <c r="G64" s="589"/>
      <c r="H64" s="762"/>
      <c r="I64" s="805"/>
      <c r="K64" s="463" t="s">
        <v>303</v>
      </c>
      <c r="L64" s="463"/>
    </row>
    <row r="65" spans="1:12" ht="42">
      <c r="A65" s="470"/>
      <c r="B65" s="1756"/>
      <c r="C65" s="1754" t="s">
        <v>1348</v>
      </c>
      <c r="D65" s="591" t="s">
        <v>417</v>
      </c>
      <c r="E65" s="513"/>
      <c r="F65" s="513"/>
      <c r="G65" s="513"/>
      <c r="H65" s="642"/>
      <c r="I65" s="791"/>
      <c r="K65" s="463" t="s">
        <v>303</v>
      </c>
      <c r="L65" s="463"/>
    </row>
    <row r="66" spans="1:12" ht="28">
      <c r="A66" s="470"/>
      <c r="B66" s="1756"/>
      <c r="C66" s="1754"/>
      <c r="D66" s="591" t="s">
        <v>1349</v>
      </c>
      <c r="E66" s="513"/>
      <c r="F66" s="513"/>
      <c r="G66" s="513"/>
      <c r="H66" s="642"/>
      <c r="I66" s="791"/>
      <c r="K66" s="463" t="s">
        <v>1406</v>
      </c>
      <c r="L66" s="585"/>
    </row>
    <row r="67" spans="1:12" s="1165" customFormat="1" ht="28">
      <c r="A67" s="1281"/>
      <c r="B67" s="1756"/>
      <c r="C67" s="1754"/>
      <c r="D67" s="1261" t="s">
        <v>1056</v>
      </c>
      <c r="E67" s="1167"/>
      <c r="F67" s="1167"/>
      <c r="G67" s="1167"/>
      <c r="H67" s="1262"/>
      <c r="I67" s="1263"/>
      <c r="K67" s="1176" t="s">
        <v>416</v>
      </c>
      <c r="L67" s="1164"/>
    </row>
    <row r="68" spans="1:12" ht="60" customHeight="1">
      <c r="A68" s="470"/>
      <c r="B68" s="1756"/>
      <c r="C68" s="1754"/>
      <c r="D68" s="591" t="s">
        <v>459</v>
      </c>
      <c r="E68" s="513"/>
      <c r="F68" s="513"/>
      <c r="G68" s="513"/>
      <c r="H68" s="642"/>
      <c r="I68" s="791"/>
      <c r="K68" s="463" t="s">
        <v>303</v>
      </c>
      <c r="L68" s="487"/>
    </row>
    <row r="69" spans="1:12" ht="86.5" customHeight="1">
      <c r="A69" s="470"/>
      <c r="B69" s="1756"/>
      <c r="C69" s="1412" t="s">
        <v>1495</v>
      </c>
      <c r="D69" s="1413" t="s">
        <v>1586</v>
      </c>
      <c r="E69" s="658"/>
      <c r="F69" s="658"/>
      <c r="G69" s="658"/>
      <c r="H69" s="1407"/>
      <c r="I69" s="1414"/>
      <c r="J69" s="484"/>
      <c r="K69" s="392" t="s">
        <v>1406</v>
      </c>
      <c r="L69" s="487"/>
    </row>
    <row r="70" spans="1:12" ht="42">
      <c r="A70" s="470"/>
      <c r="B70" s="1756"/>
      <c r="C70" s="1754" t="s">
        <v>413</v>
      </c>
      <c r="D70" s="591" t="s">
        <v>412</v>
      </c>
      <c r="E70" s="513"/>
      <c r="F70" s="513"/>
      <c r="G70" s="513"/>
      <c r="H70" s="642"/>
      <c r="I70" s="791"/>
      <c r="K70" s="463" t="s">
        <v>303</v>
      </c>
      <c r="L70" s="487"/>
    </row>
    <row r="71" spans="1:12" ht="28">
      <c r="A71" s="470"/>
      <c r="B71" s="1756"/>
      <c r="C71" s="1754"/>
      <c r="D71" s="591" t="s">
        <v>1350</v>
      </c>
      <c r="E71" s="513"/>
      <c r="F71" s="513"/>
      <c r="G71" s="513"/>
      <c r="H71" s="642"/>
      <c r="I71" s="791"/>
      <c r="K71" s="463"/>
      <c r="L71" s="487"/>
    </row>
    <row r="72" spans="1:12" ht="43.25" customHeight="1">
      <c r="A72" s="470"/>
      <c r="B72" s="1756"/>
      <c r="C72" s="1754"/>
      <c r="D72" s="591" t="s">
        <v>1338</v>
      </c>
      <c r="E72" s="513"/>
      <c r="F72" s="513"/>
      <c r="G72" s="513"/>
      <c r="H72" s="642"/>
      <c r="I72" s="791"/>
      <c r="K72" s="463" t="s">
        <v>303</v>
      </c>
      <c r="L72" s="487"/>
    </row>
    <row r="73" spans="1:12" ht="56">
      <c r="A73" s="470"/>
      <c r="B73" s="1756"/>
      <c r="C73" s="1098" t="s">
        <v>460</v>
      </c>
      <c r="D73" s="628" t="s">
        <v>1383</v>
      </c>
      <c r="E73" s="513"/>
      <c r="F73" s="513"/>
      <c r="G73" s="513"/>
      <c r="H73" s="642"/>
      <c r="I73" s="791"/>
      <c r="K73" s="463" t="s">
        <v>1406</v>
      </c>
      <c r="L73" s="463"/>
    </row>
    <row r="74" spans="1:12">
      <c r="A74" s="470"/>
      <c r="B74" s="1756"/>
      <c r="C74" s="1754" t="s">
        <v>411</v>
      </c>
      <c r="D74" s="513" t="s">
        <v>1410</v>
      </c>
      <c r="E74" s="513"/>
      <c r="F74" s="513"/>
      <c r="G74" s="513"/>
      <c r="H74" s="642"/>
      <c r="I74" s="791"/>
      <c r="K74" s="463" t="s">
        <v>1409</v>
      </c>
      <c r="L74" s="487"/>
    </row>
    <row r="75" spans="1:12" s="1165" customFormat="1">
      <c r="A75" s="1281"/>
      <c r="B75" s="1756"/>
      <c r="C75" s="1754"/>
      <c r="D75" s="1167" t="s">
        <v>1359</v>
      </c>
      <c r="E75" s="1167"/>
      <c r="F75" s="1167"/>
      <c r="G75" s="1167"/>
      <c r="H75" s="1262"/>
      <c r="I75" s="1263"/>
      <c r="K75" s="1176" t="s">
        <v>1587</v>
      </c>
      <c r="L75" s="1164"/>
    </row>
    <row r="76" spans="1:12" s="1165" customFormat="1" ht="101" customHeight="1" thickBot="1">
      <c r="A76" s="1282"/>
      <c r="B76" s="1757"/>
      <c r="C76" s="1283" t="s">
        <v>462</v>
      </c>
      <c r="D76" s="1284" t="s">
        <v>463</v>
      </c>
      <c r="E76" s="1210"/>
      <c r="F76" s="1210"/>
      <c r="G76" s="1285"/>
      <c r="H76" s="1269"/>
      <c r="I76" s="1270"/>
      <c r="K76" s="1176" t="s">
        <v>1411</v>
      </c>
    </row>
    <row r="77" spans="1:12" ht="45" customHeight="1">
      <c r="A77" s="1751" t="s">
        <v>137</v>
      </c>
      <c r="B77" s="1755" t="s">
        <v>464</v>
      </c>
      <c r="C77" s="1753" t="s">
        <v>402</v>
      </c>
      <c r="D77" s="1117" t="s">
        <v>1339</v>
      </c>
      <c r="E77" s="589"/>
      <c r="F77" s="589"/>
      <c r="G77" s="589"/>
      <c r="H77" s="762"/>
      <c r="I77" s="805"/>
      <c r="K77" s="463" t="s">
        <v>1406</v>
      </c>
      <c r="L77" s="463"/>
    </row>
    <row r="78" spans="1:12" ht="45" customHeight="1">
      <c r="A78" s="1752"/>
      <c r="B78" s="1756"/>
      <c r="C78" s="1754"/>
      <c r="D78" s="1113" t="s">
        <v>465</v>
      </c>
      <c r="E78" s="513"/>
      <c r="F78" s="513"/>
      <c r="G78" s="513"/>
      <c r="H78" s="642"/>
      <c r="I78" s="791"/>
      <c r="K78" s="463" t="s">
        <v>1406</v>
      </c>
      <c r="L78" s="463"/>
    </row>
    <row r="79" spans="1:12" ht="30.5" customHeight="1">
      <c r="A79" s="1752"/>
      <c r="B79" s="1756"/>
      <c r="C79" s="1758" t="s">
        <v>438</v>
      </c>
      <c r="D79" s="1113" t="s">
        <v>1351</v>
      </c>
      <c r="E79" s="513"/>
      <c r="F79" s="513"/>
      <c r="G79" s="513"/>
      <c r="H79" s="642"/>
      <c r="I79" s="791"/>
      <c r="K79" s="463" t="s">
        <v>501</v>
      </c>
      <c r="L79" s="463"/>
    </row>
    <row r="80" spans="1:12" ht="70">
      <c r="A80" s="1752"/>
      <c r="B80" s="1756"/>
      <c r="C80" s="1758"/>
      <c r="D80" s="1113" t="s">
        <v>1384</v>
      </c>
      <c r="E80" s="513"/>
      <c r="F80" s="513"/>
      <c r="G80" s="513"/>
      <c r="H80" s="642"/>
      <c r="I80" s="791"/>
      <c r="K80" s="463" t="s">
        <v>1406</v>
      </c>
      <c r="L80" s="463"/>
    </row>
    <row r="81" spans="1:12" ht="28">
      <c r="A81" s="1752"/>
      <c r="B81" s="1756"/>
      <c r="C81" s="1758"/>
      <c r="D81" s="1113" t="s">
        <v>1352</v>
      </c>
      <c r="E81" s="513"/>
      <c r="F81" s="513"/>
      <c r="G81" s="513"/>
      <c r="H81" s="642"/>
      <c r="I81" s="791"/>
      <c r="K81" s="463" t="s">
        <v>1406</v>
      </c>
      <c r="L81" s="463"/>
    </row>
    <row r="82" spans="1:12" s="1165" customFormat="1" ht="28">
      <c r="A82" s="1752"/>
      <c r="B82" s="1756"/>
      <c r="C82" s="1228" t="s">
        <v>960</v>
      </c>
      <c r="D82" s="1278" t="s">
        <v>944</v>
      </c>
      <c r="E82" s="1167"/>
      <c r="F82" s="1167"/>
      <c r="G82" s="1167"/>
      <c r="H82" s="1262"/>
      <c r="I82" s="1263"/>
      <c r="K82" s="1265" t="s">
        <v>400</v>
      </c>
      <c r="L82" s="1176"/>
    </row>
    <row r="83" spans="1:12" ht="14" customHeight="1">
      <c r="A83" s="1752"/>
      <c r="B83" s="1756"/>
      <c r="C83" s="1097" t="s">
        <v>466</v>
      </c>
      <c r="D83" s="1113" t="s">
        <v>461</v>
      </c>
      <c r="E83" s="513"/>
      <c r="F83" s="513"/>
      <c r="G83" s="513"/>
      <c r="H83" s="642"/>
      <c r="I83" s="791"/>
      <c r="K83" s="463" t="str">
        <f>K74</f>
        <v>RIDAA Art. 53-a)</v>
      </c>
      <c r="L83" s="463"/>
    </row>
    <row r="84" spans="1:12" ht="28">
      <c r="A84" s="1752"/>
      <c r="B84" s="1756"/>
      <c r="C84" s="1097" t="s">
        <v>1353</v>
      </c>
      <c r="D84" s="1113" t="s">
        <v>1354</v>
      </c>
      <c r="E84" s="513"/>
      <c r="F84" s="513"/>
      <c r="G84" s="513"/>
      <c r="H84" s="642"/>
      <c r="I84" s="791"/>
      <c r="K84" s="463" t="s">
        <v>1406</v>
      </c>
      <c r="L84" s="463"/>
    </row>
    <row r="85" spans="1:12" ht="42">
      <c r="A85" s="1752"/>
      <c r="B85" s="1756"/>
      <c r="C85" s="1097" t="s">
        <v>1355</v>
      </c>
      <c r="D85" s="1113" t="s">
        <v>1356</v>
      </c>
      <c r="E85" s="513"/>
      <c r="F85" s="513"/>
      <c r="G85" s="513"/>
      <c r="H85" s="642"/>
      <c r="I85" s="791"/>
      <c r="K85" s="463" t="s">
        <v>1406</v>
      </c>
      <c r="L85" s="463"/>
    </row>
    <row r="86" spans="1:12" ht="101" customHeight="1" thickBot="1">
      <c r="A86" s="1752"/>
      <c r="B86" s="1757"/>
      <c r="C86" s="1107" t="s">
        <v>467</v>
      </c>
      <c r="D86" s="1119" t="s">
        <v>1357</v>
      </c>
      <c r="E86" s="552"/>
      <c r="F86" s="552"/>
      <c r="G86" s="552"/>
      <c r="H86" s="759"/>
      <c r="I86" s="592"/>
      <c r="K86" s="463" t="s">
        <v>303</v>
      </c>
      <c r="L86" s="463"/>
    </row>
    <row r="87" spans="1:12">
      <c r="B87" s="623"/>
    </row>
    <row r="88" spans="1:12">
      <c r="B88" s="623"/>
    </row>
    <row r="89" spans="1:12">
      <c r="B89" s="624"/>
      <c r="C89" s="617"/>
      <c r="D89" s="616"/>
      <c r="E89" s="310"/>
      <c r="F89" s="310"/>
      <c r="G89" s="310"/>
      <c r="I89" s="310"/>
    </row>
  </sheetData>
  <mergeCells count="28">
    <mergeCell ref="K51:K57"/>
    <mergeCell ref="K60:K63"/>
    <mergeCell ref="K8:K14"/>
    <mergeCell ref="B15:B38"/>
    <mergeCell ref="K40:K44"/>
    <mergeCell ref="C46:C50"/>
    <mergeCell ref="C32:C38"/>
    <mergeCell ref="A77:A86"/>
    <mergeCell ref="C77:C78"/>
    <mergeCell ref="B77:B86"/>
    <mergeCell ref="C79:C81"/>
    <mergeCell ref="B9:B14"/>
    <mergeCell ref="C10:C13"/>
    <mergeCell ref="B51:B57"/>
    <mergeCell ref="C56:C57"/>
    <mergeCell ref="B58:C63"/>
    <mergeCell ref="B64:B76"/>
    <mergeCell ref="C65:C68"/>
    <mergeCell ref="C70:C72"/>
    <mergeCell ref="C74:C75"/>
    <mergeCell ref="A8:A50"/>
    <mergeCell ref="B40:C44"/>
    <mergeCell ref="B45:B50"/>
    <mergeCell ref="E4:I4"/>
    <mergeCell ref="E5:I5"/>
    <mergeCell ref="B2:I2"/>
    <mergeCell ref="E3:I3"/>
    <mergeCell ref="C16:C31"/>
  </mergeCells>
  <pageMargins left="0.70866141732283472" right="0.70866141732283472" top="0.74803149606299213" bottom="0.74803149606299213" header="0.31496062992125984" footer="0.31496062992125984"/>
  <pageSetup scale="63" fitToHeight="4" orientation="portrait"/>
  <rowBreaks count="1" manualBreakCount="1">
    <brk id="76" min="1" max="8"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3" tint="0.79998168889431442"/>
    <pageSetUpPr fitToPage="1"/>
  </sheetPr>
  <dimension ref="A1:N105"/>
  <sheetViews>
    <sheetView topLeftCell="A49" zoomScale="80" zoomScaleNormal="80" zoomScaleSheetLayoutView="80" zoomScalePageLayoutView="80" workbookViewId="0">
      <selection activeCell="D54" sqref="D54"/>
    </sheetView>
  </sheetViews>
  <sheetFormatPr baseColWidth="10" defaultColWidth="11.5" defaultRowHeight="14" x14ac:dyDescent="0"/>
  <cols>
    <col min="1" max="1" width="3.33203125" style="81" customWidth="1"/>
    <col min="2" max="2" width="30.6640625" style="382" customWidth="1"/>
    <col min="3" max="3" width="30.6640625" style="376" customWidth="1"/>
    <col min="4" max="4" width="55.33203125" style="362" customWidth="1"/>
    <col min="5" max="9" width="3.6640625" style="362" customWidth="1"/>
    <col min="10" max="10" width="7.5" style="362" customWidth="1"/>
    <col min="11" max="11" width="50.6640625" style="376" customWidth="1"/>
    <col min="12" max="12" width="44.1640625" style="507" customWidth="1"/>
    <col min="13" max="13" width="3.6640625" style="362" customWidth="1"/>
    <col min="14" max="16384" width="11.5" style="81"/>
  </cols>
  <sheetData>
    <row r="1" spans="2:13" ht="12.5" customHeight="1" thickBot="1">
      <c r="C1" s="507"/>
      <c r="K1" s="507"/>
    </row>
    <row r="2" spans="2:13" ht="69" customHeight="1" thickBot="1">
      <c r="B2" s="1743"/>
      <c r="C2" s="1744"/>
      <c r="D2" s="1744"/>
      <c r="E2" s="1744"/>
      <c r="F2" s="1744"/>
      <c r="G2" s="1744"/>
      <c r="H2" s="1744"/>
      <c r="I2" s="1745"/>
      <c r="J2" s="382"/>
      <c r="K2" s="507"/>
    </row>
    <row r="3" spans="2:13" ht="25.25" customHeight="1" thickBot="1">
      <c r="B3" s="820" t="s">
        <v>1385</v>
      </c>
      <c r="C3" s="821"/>
      <c r="D3" s="822"/>
      <c r="E3" s="1746" t="str">
        <f>+'PROGRAMA ARQ.'!E4</f>
        <v>2 SALAS CUNAS</v>
      </c>
      <c r="F3" s="1747"/>
      <c r="G3" s="1747"/>
      <c r="H3" s="1747"/>
      <c r="I3" s="1748"/>
      <c r="J3" s="382"/>
      <c r="K3" s="507"/>
    </row>
    <row r="4" spans="2:13" ht="25.25" customHeight="1" thickBot="1">
      <c r="B4" s="823">
        <f>+'PROGRAMA ARQ.'!I4:I5</f>
        <v>152</v>
      </c>
      <c r="C4" s="505"/>
      <c r="D4" s="661"/>
      <c r="E4" s="1737" t="str">
        <f>+'PROGRAMA ARQ.'!E5</f>
        <v>4 NIVELES MEDIOS</v>
      </c>
      <c r="F4" s="1738"/>
      <c r="G4" s="1738"/>
      <c r="H4" s="1738"/>
      <c r="I4" s="1739"/>
      <c r="J4" s="382"/>
      <c r="K4" s="507"/>
    </row>
    <row r="5" spans="2:13" ht="15" customHeight="1" thickBot="1">
      <c r="B5" s="818" t="s">
        <v>1374</v>
      </c>
      <c r="C5" s="819" t="s">
        <v>1375</v>
      </c>
      <c r="D5" s="819" t="s">
        <v>1376</v>
      </c>
      <c r="E5" s="1740" t="s">
        <v>1377</v>
      </c>
      <c r="F5" s="1741"/>
      <c r="G5" s="1741"/>
      <c r="H5" s="1741"/>
      <c r="I5" s="1742"/>
      <c r="J5" s="675"/>
    </row>
    <row r="6" spans="2:13" s="621" customFormat="1" ht="71" thickBot="1">
      <c r="B6" s="835" t="str">
        <f>+'PROGRAMA ARQ.'!C18</f>
        <v>1.1</v>
      </c>
      <c r="C6" s="835" t="str">
        <f>+'PROGRAMA ARQ.'!D18</f>
        <v>SALA DE ACTIVIDADES SALA CUNA</v>
      </c>
      <c r="D6" s="836">
        <f>+'PROGRAMA ARQ.'!F18</f>
        <v>62</v>
      </c>
      <c r="E6" s="837" t="s">
        <v>366</v>
      </c>
      <c r="F6" s="838" t="s">
        <v>544</v>
      </c>
      <c r="G6" s="838" t="s">
        <v>2</v>
      </c>
      <c r="H6" s="839" t="s">
        <v>171</v>
      </c>
      <c r="I6" s="840" t="s">
        <v>172</v>
      </c>
      <c r="J6" s="608"/>
      <c r="K6" s="841" t="s">
        <v>120</v>
      </c>
      <c r="L6" s="1334" t="s">
        <v>293</v>
      </c>
      <c r="M6" s="842" t="s">
        <v>178</v>
      </c>
    </row>
    <row r="7" spans="2:13" s="367" customFormat="1" ht="16.25" customHeight="1" thickBot="1">
      <c r="B7" s="667" t="s">
        <v>1378</v>
      </c>
      <c r="C7" s="667" t="s">
        <v>1379</v>
      </c>
      <c r="D7" s="670" t="s">
        <v>1380</v>
      </c>
      <c r="E7" s="671"/>
      <c r="F7" s="672"/>
      <c r="G7" s="672"/>
      <c r="H7" s="671"/>
      <c r="I7" s="673"/>
      <c r="J7" s="595"/>
      <c r="K7" s="235"/>
      <c r="L7" s="714"/>
      <c r="M7" s="697"/>
    </row>
    <row r="8" spans="2:13" ht="146.5" customHeight="1">
      <c r="B8" s="1780" t="s">
        <v>122</v>
      </c>
      <c r="C8" s="1778"/>
      <c r="D8" s="1776" t="s">
        <v>1381</v>
      </c>
      <c r="E8" s="1777"/>
      <c r="F8" s="1777"/>
      <c r="G8" s="1777"/>
      <c r="H8" s="668"/>
      <c r="I8" s="669"/>
      <c r="J8" s="363"/>
      <c r="K8" s="569"/>
      <c r="L8" s="1774" t="s">
        <v>1406</v>
      </c>
      <c r="M8" s="418"/>
    </row>
    <row r="9" spans="2:13" ht="14.5" customHeight="1">
      <c r="B9" s="1780"/>
      <c r="C9" s="1778"/>
      <c r="D9" s="530" t="s">
        <v>880</v>
      </c>
      <c r="E9" s="512"/>
      <c r="F9" s="512"/>
      <c r="G9" s="512"/>
      <c r="H9" s="512"/>
      <c r="I9" s="518"/>
      <c r="K9" s="522" t="s">
        <v>432</v>
      </c>
      <c r="L9" s="1774"/>
      <c r="M9" s="422"/>
    </row>
    <row r="10" spans="2:13" ht="14.5" customHeight="1">
      <c r="B10" s="1780"/>
      <c r="C10" s="1778"/>
      <c r="D10" s="542" t="s">
        <v>1367</v>
      </c>
      <c r="E10" s="512"/>
      <c r="F10" s="512"/>
      <c r="G10" s="512"/>
      <c r="H10" s="512"/>
      <c r="I10" s="518"/>
      <c r="K10" s="522"/>
      <c r="L10" s="1774"/>
      <c r="M10" s="418"/>
    </row>
    <row r="11" spans="2:13" ht="15" customHeight="1" thickBot="1">
      <c r="B11" s="1781"/>
      <c r="C11" s="1779"/>
      <c r="D11" s="543" t="s">
        <v>431</v>
      </c>
      <c r="E11" s="519"/>
      <c r="F11" s="519"/>
      <c r="G11" s="519"/>
      <c r="H11" s="519"/>
      <c r="I11" s="520"/>
      <c r="K11" s="523"/>
      <c r="L11" s="1775"/>
      <c r="M11" s="423"/>
    </row>
    <row r="12" spans="2:13" ht="43.25" customHeight="1">
      <c r="B12" s="1786" t="s">
        <v>125</v>
      </c>
      <c r="C12" s="1797"/>
      <c r="D12" s="541" t="s">
        <v>491</v>
      </c>
      <c r="E12" s="528"/>
      <c r="F12" s="528"/>
      <c r="G12" s="528"/>
      <c r="H12" s="544"/>
      <c r="I12" s="529"/>
      <c r="K12" s="521" t="s">
        <v>430</v>
      </c>
      <c r="L12" s="1782" t="s">
        <v>1406</v>
      </c>
      <c r="M12" s="418"/>
    </row>
    <row r="13" spans="2:13" ht="29" customHeight="1">
      <c r="B13" s="1780"/>
      <c r="C13" s="1798"/>
      <c r="D13" s="524" t="s">
        <v>1554</v>
      </c>
      <c r="E13" s="512"/>
      <c r="F13" s="512"/>
      <c r="G13" s="512"/>
      <c r="H13" s="514"/>
      <c r="I13" s="518"/>
      <c r="K13" s="522"/>
      <c r="L13" s="1774"/>
      <c r="M13" s="418"/>
    </row>
    <row r="14" spans="2:13" ht="29.5" customHeight="1" thickBot="1">
      <c r="B14" s="1781"/>
      <c r="C14" s="1799"/>
      <c r="D14" s="547" t="s">
        <v>492</v>
      </c>
      <c r="E14" s="532"/>
      <c r="F14" s="532"/>
      <c r="G14" s="532"/>
      <c r="H14" s="548"/>
      <c r="I14" s="533"/>
      <c r="K14" s="531" t="s">
        <v>430</v>
      </c>
      <c r="L14" s="1774"/>
      <c r="M14" s="418"/>
    </row>
    <row r="15" spans="2:13" ht="28.25" customHeight="1">
      <c r="B15" s="1786" t="s">
        <v>143</v>
      </c>
      <c r="C15" s="1790" t="s">
        <v>241</v>
      </c>
      <c r="D15" s="1309" t="s">
        <v>1059</v>
      </c>
      <c r="E15" s="528"/>
      <c r="F15" s="528"/>
      <c r="G15" s="528"/>
      <c r="H15" s="528"/>
      <c r="I15" s="529"/>
      <c r="K15" s="574" t="s">
        <v>674</v>
      </c>
      <c r="L15" s="715"/>
      <c r="M15" s="575">
        <v>1</v>
      </c>
    </row>
    <row r="16" spans="2:13" s="1165" customFormat="1">
      <c r="B16" s="1780"/>
      <c r="C16" s="1791"/>
      <c r="D16" s="1166">
        <f>+'PROGRAMA ARQ.'!L18</f>
        <v>10.540000000000001</v>
      </c>
      <c r="E16" s="1167" t="s">
        <v>258</v>
      </c>
      <c r="F16" s="1167"/>
      <c r="G16" s="1167"/>
      <c r="H16" s="1167"/>
      <c r="I16" s="1168"/>
      <c r="J16" s="1164"/>
      <c r="K16" s="1169" t="e">
        <f>IF(INICIO!D3=INICIO!M8,"14% de la superficie útil del recinto, mínimo",IF(INICIO!D3=INICIO!#REF!,"14% de la superficie útil del recinto, mínimo",IF(INICIO!D3=INICIO!#REF!,"14% de la superficie útil del recinto, mínimo",IF(INICIO!D3=INICIO!M4,"14% de la superficie útil del recinto, mínimo",IF(INICIO!D3=INICIO!M5,"14% de la superficie útil del recinto, mínimo",IF(INICIO!D3=INICIO!M11,"17% de la superficie útil del recinto, mínimo",IF(INICIO!D3=INICIO!M6,"17% de la superficie útil del recinto, mínimo",IF(INICIO!D3=INICIO!M7,"17% de la superficie útil del recinto, mínimo",IF(INICIO!D3=INICIO!M12,"17% de la superficie útil del recinto, mínimo","20% de la superficie útil del recinto, mínimo")))))))))</f>
        <v>#REF!</v>
      </c>
      <c r="L16" s="1170" t="s">
        <v>1412</v>
      </c>
      <c r="M16" s="1171"/>
    </row>
    <row r="17" spans="2:14" s="1165" customFormat="1" ht="29" thickBot="1">
      <c r="B17" s="1780"/>
      <c r="C17" s="1791"/>
      <c r="D17" s="1172" t="s">
        <v>429</v>
      </c>
      <c r="E17" s="1167"/>
      <c r="F17" s="1167"/>
      <c r="G17" s="1167"/>
      <c r="H17" s="1167"/>
      <c r="I17" s="1168"/>
      <c r="J17" s="1164"/>
      <c r="K17" s="1173"/>
      <c r="L17" s="1174" t="s">
        <v>1412</v>
      </c>
      <c r="M17" s="1175"/>
      <c r="N17" s="1176"/>
    </row>
    <row r="18" spans="2:14" ht="44" customHeight="1">
      <c r="B18" s="1780"/>
      <c r="C18" s="1791"/>
      <c r="D18" s="549" t="s">
        <v>493</v>
      </c>
      <c r="E18" s="512"/>
      <c r="F18" s="512"/>
      <c r="G18" s="512"/>
      <c r="H18" s="512"/>
      <c r="I18" s="518"/>
      <c r="K18" s="1135"/>
      <c r="L18" s="1136" t="s">
        <v>303</v>
      </c>
      <c r="M18" s="1132"/>
    </row>
    <row r="19" spans="2:14" ht="29" customHeight="1">
      <c r="B19" s="1780"/>
      <c r="C19" s="1791"/>
      <c r="D19" s="550" t="s">
        <v>615</v>
      </c>
      <c r="E19" s="512"/>
      <c r="F19" s="512"/>
      <c r="G19" s="512"/>
      <c r="H19" s="512"/>
      <c r="I19" s="518"/>
      <c r="K19" s="165" t="s">
        <v>428</v>
      </c>
      <c r="L19" s="1129" t="s">
        <v>1406</v>
      </c>
      <c r="M19" s="1132"/>
    </row>
    <row r="20" spans="2:14" ht="29" customHeight="1">
      <c r="B20" s="1780"/>
      <c r="C20" s="1791"/>
      <c r="D20" s="550" t="s">
        <v>494</v>
      </c>
      <c r="E20" s="512"/>
      <c r="F20" s="512"/>
      <c r="G20" s="512"/>
      <c r="H20" s="512"/>
      <c r="I20" s="518"/>
      <c r="K20" s="165" t="s">
        <v>427</v>
      </c>
      <c r="L20" s="1129"/>
      <c r="M20" s="1132"/>
    </row>
    <row r="21" spans="2:14" s="1165" customFormat="1" ht="28">
      <c r="B21" s="1780"/>
      <c r="C21" s="1791" t="s">
        <v>242</v>
      </c>
      <c r="D21" s="1177" t="s">
        <v>1058</v>
      </c>
      <c r="E21" s="1167"/>
      <c r="F21" s="1167"/>
      <c r="G21" s="1167"/>
      <c r="H21" s="1167"/>
      <c r="I21" s="1168"/>
      <c r="J21" s="1164"/>
      <c r="K21" s="1178"/>
      <c r="L21" s="1187" t="s">
        <v>1412</v>
      </c>
      <c r="M21" s="1179"/>
    </row>
    <row r="22" spans="2:14" s="1165" customFormat="1" ht="16.25" customHeight="1">
      <c r="B22" s="1780"/>
      <c r="C22" s="1791"/>
      <c r="D22" s="1180">
        <f>+'PROGRAMA ARQ.'!M18</f>
        <v>4.96</v>
      </c>
      <c r="E22" s="1181" t="s">
        <v>258</v>
      </c>
      <c r="F22" s="1181"/>
      <c r="G22" s="1181"/>
      <c r="H22" s="1181"/>
      <c r="I22" s="1182"/>
      <c r="J22" s="1164"/>
      <c r="K22" s="1183" t="s">
        <v>259</v>
      </c>
      <c r="L22" s="1187"/>
      <c r="M22" s="1184"/>
    </row>
    <row r="23" spans="2:14" ht="14.5" customHeight="1">
      <c r="B23" s="1780"/>
      <c r="C23" s="1791"/>
      <c r="D23" s="551" t="s">
        <v>496</v>
      </c>
      <c r="E23" s="512"/>
      <c r="F23" s="512"/>
      <c r="G23" s="512"/>
      <c r="H23" s="512"/>
      <c r="I23" s="518"/>
      <c r="K23" s="1127" t="s">
        <v>881</v>
      </c>
      <c r="L23" s="1129" t="s">
        <v>1406</v>
      </c>
      <c r="M23" s="401"/>
    </row>
    <row r="24" spans="2:14" ht="14.5" customHeight="1">
      <c r="B24" s="1780"/>
      <c r="C24" s="1791"/>
      <c r="D24" s="524" t="s">
        <v>551</v>
      </c>
      <c r="E24" s="512"/>
      <c r="F24" s="512"/>
      <c r="G24" s="512"/>
      <c r="H24" s="512"/>
      <c r="I24" s="518"/>
      <c r="K24" s="1137" t="s">
        <v>554</v>
      </c>
      <c r="L24" s="1138" t="s">
        <v>303</v>
      </c>
      <c r="M24" s="401"/>
    </row>
    <row r="25" spans="2:14" s="1165" customFormat="1">
      <c r="B25" s="1780"/>
      <c r="C25" s="1791" t="s">
        <v>426</v>
      </c>
      <c r="D25" s="1185">
        <f>+'PROGRAMA ARQ.'!K18</f>
        <v>155</v>
      </c>
      <c r="E25" s="1167" t="s">
        <v>498</v>
      </c>
      <c r="F25" s="1167"/>
      <c r="G25" s="1167"/>
      <c r="H25" s="1167"/>
      <c r="I25" s="1168"/>
      <c r="J25" s="1164"/>
      <c r="K25" s="1186" t="s">
        <v>499</v>
      </c>
      <c r="L25" s="1187" t="s">
        <v>1412</v>
      </c>
      <c r="M25" s="1184"/>
    </row>
    <row r="26" spans="2:14" ht="27" customHeight="1">
      <c r="B26" s="1780"/>
      <c r="C26" s="1791"/>
      <c r="D26" s="524" t="s">
        <v>1386</v>
      </c>
      <c r="E26" s="512"/>
      <c r="F26" s="512"/>
      <c r="G26" s="512"/>
      <c r="H26" s="512"/>
      <c r="I26" s="518"/>
      <c r="K26" s="1127"/>
      <c r="L26" s="1128" t="s">
        <v>1406</v>
      </c>
      <c r="M26" s="1133"/>
    </row>
    <row r="27" spans="2:14" ht="27.5" customHeight="1">
      <c r="B27" s="1780"/>
      <c r="C27" s="1791" t="s">
        <v>243</v>
      </c>
      <c r="D27" s="524" t="s">
        <v>1387</v>
      </c>
      <c r="E27" s="512"/>
      <c r="F27" s="512"/>
      <c r="G27" s="512"/>
      <c r="H27" s="512"/>
      <c r="I27" s="518"/>
      <c r="K27" s="1139" t="s">
        <v>500</v>
      </c>
      <c r="L27" s="1129" t="s">
        <v>1406</v>
      </c>
      <c r="M27" s="416"/>
    </row>
    <row r="28" spans="2:14" ht="22.25" customHeight="1">
      <c r="B28" s="1780"/>
      <c r="C28" s="1791"/>
      <c r="D28" s="546" t="s">
        <v>425</v>
      </c>
      <c r="E28" s="512"/>
      <c r="F28" s="512"/>
      <c r="G28" s="512"/>
      <c r="H28" s="512"/>
      <c r="I28" s="518"/>
      <c r="K28" s="1137"/>
      <c r="L28" s="1129" t="s">
        <v>1406</v>
      </c>
      <c r="M28" s="416"/>
    </row>
    <row r="29" spans="2:14" ht="29" customHeight="1">
      <c r="B29" s="1780"/>
      <c r="C29" s="1791"/>
      <c r="D29" s="546" t="s">
        <v>576</v>
      </c>
      <c r="E29" s="512"/>
      <c r="F29" s="512"/>
      <c r="G29" s="512"/>
      <c r="H29" s="512"/>
      <c r="I29" s="518"/>
      <c r="K29" s="1137"/>
      <c r="L29" s="1129" t="s">
        <v>1406</v>
      </c>
      <c r="M29" s="416"/>
    </row>
    <row r="30" spans="2:14" ht="29" customHeight="1">
      <c r="B30" s="1780"/>
      <c r="C30" s="1791"/>
      <c r="D30" s="546" t="s">
        <v>873</v>
      </c>
      <c r="E30" s="512"/>
      <c r="F30" s="512"/>
      <c r="G30" s="512"/>
      <c r="H30" s="512"/>
      <c r="I30" s="518"/>
      <c r="K30" s="1137"/>
      <c r="L30" s="1129" t="s">
        <v>1406</v>
      </c>
      <c r="M30" s="416"/>
    </row>
    <row r="31" spans="2:14" ht="29" customHeight="1">
      <c r="B31" s="1780"/>
      <c r="C31" s="1791"/>
      <c r="D31" s="546" t="s">
        <v>874</v>
      </c>
      <c r="E31" s="512"/>
      <c r="F31" s="512"/>
      <c r="G31" s="512"/>
      <c r="H31" s="512"/>
      <c r="I31" s="518"/>
      <c r="K31" s="1127" t="s">
        <v>424</v>
      </c>
      <c r="L31" s="1129" t="s">
        <v>1406</v>
      </c>
      <c r="M31" s="416"/>
    </row>
    <row r="32" spans="2:14" s="1165" customFormat="1" ht="28">
      <c r="B32" s="1780"/>
      <c r="C32" s="1791" t="s">
        <v>244</v>
      </c>
      <c r="D32" s="1188" t="s">
        <v>502</v>
      </c>
      <c r="E32" s="1167"/>
      <c r="F32" s="1167"/>
      <c r="G32" s="1167"/>
      <c r="H32" s="1167"/>
      <c r="I32" s="1168"/>
      <c r="J32" s="1164"/>
      <c r="K32" s="1189"/>
      <c r="L32" s="1190" t="s">
        <v>261</v>
      </c>
      <c r="M32" s="1191"/>
    </row>
    <row r="33" spans="2:13" ht="29.5" customHeight="1" thickBot="1">
      <c r="B33" s="1781"/>
      <c r="C33" s="1794"/>
      <c r="D33" s="553" t="s">
        <v>639</v>
      </c>
      <c r="E33" s="519"/>
      <c r="F33" s="519"/>
      <c r="G33" s="519"/>
      <c r="H33" s="519"/>
      <c r="I33" s="520"/>
      <c r="K33" s="1140"/>
      <c r="L33" s="1141" t="s">
        <v>1406</v>
      </c>
      <c r="M33" s="1134"/>
    </row>
    <row r="34" spans="2:13" ht="14.5" customHeight="1">
      <c r="B34" s="1786" t="s">
        <v>144</v>
      </c>
      <c r="C34" s="613" t="s">
        <v>245</v>
      </c>
      <c r="D34" s="557" t="s">
        <v>1062</v>
      </c>
      <c r="E34" s="528"/>
      <c r="F34" s="528"/>
      <c r="G34" s="528"/>
      <c r="H34" s="528"/>
      <c r="I34" s="529"/>
      <c r="K34" s="1783" t="s">
        <v>671</v>
      </c>
      <c r="L34" s="1787" t="s">
        <v>1406</v>
      </c>
      <c r="M34" s="417"/>
    </row>
    <row r="35" spans="2:13" ht="14.5" customHeight="1">
      <c r="B35" s="1780"/>
      <c r="C35" s="1792" t="s">
        <v>246</v>
      </c>
      <c r="D35" s="546" t="s">
        <v>441</v>
      </c>
      <c r="E35" s="512"/>
      <c r="F35" s="512"/>
      <c r="G35" s="512"/>
      <c r="H35" s="512"/>
      <c r="I35" s="518"/>
      <c r="K35" s="1784"/>
      <c r="L35" s="1787"/>
      <c r="M35" s="418"/>
    </row>
    <row r="36" spans="2:13" ht="14.5" customHeight="1">
      <c r="B36" s="1780"/>
      <c r="C36" s="1792"/>
      <c r="D36" s="546" t="s">
        <v>422</v>
      </c>
      <c r="E36" s="512"/>
      <c r="F36" s="512"/>
      <c r="G36" s="512"/>
      <c r="H36" s="512"/>
      <c r="I36" s="518"/>
      <c r="K36" s="1784"/>
      <c r="L36" s="1787"/>
      <c r="M36" s="418"/>
    </row>
    <row r="37" spans="2:13" ht="14.5" customHeight="1">
      <c r="B37" s="1780"/>
      <c r="C37" s="1792"/>
      <c r="D37" s="546" t="s">
        <v>421</v>
      </c>
      <c r="E37" s="512"/>
      <c r="F37" s="512"/>
      <c r="G37" s="512"/>
      <c r="H37" s="512"/>
      <c r="I37" s="518"/>
      <c r="K37" s="1784"/>
      <c r="L37" s="1787"/>
      <c r="M37" s="418"/>
    </row>
    <row r="38" spans="2:13" ht="15" customHeight="1" thickBot="1">
      <c r="B38" s="1781"/>
      <c r="C38" s="1793"/>
      <c r="D38" s="553" t="s">
        <v>420</v>
      </c>
      <c r="E38" s="519"/>
      <c r="F38" s="519"/>
      <c r="G38" s="519"/>
      <c r="H38" s="519"/>
      <c r="I38" s="520"/>
      <c r="K38" s="1785"/>
      <c r="L38" s="1788"/>
      <c r="M38" s="419"/>
    </row>
    <row r="39" spans="2:13" ht="14.5" customHeight="1">
      <c r="B39" s="1786" t="s">
        <v>141</v>
      </c>
      <c r="C39" s="1795"/>
      <c r="D39" s="557" t="s">
        <v>419</v>
      </c>
      <c r="E39" s="528"/>
      <c r="F39" s="528"/>
      <c r="G39" s="528"/>
      <c r="H39" s="528"/>
      <c r="I39" s="529"/>
      <c r="K39" s="521"/>
      <c r="L39" s="1789" t="s">
        <v>1406</v>
      </c>
      <c r="M39" s="417"/>
    </row>
    <row r="40" spans="2:13" ht="29.5" customHeight="1" thickBot="1">
      <c r="B40" s="1781"/>
      <c r="C40" s="1796"/>
      <c r="D40" s="553" t="s">
        <v>418</v>
      </c>
      <c r="E40" s="519"/>
      <c r="F40" s="519"/>
      <c r="G40" s="519"/>
      <c r="H40" s="519"/>
      <c r="I40" s="520"/>
      <c r="K40" s="531"/>
      <c r="L40" s="1787"/>
      <c r="M40" s="419"/>
    </row>
    <row r="41" spans="2:13" s="1165" customFormat="1">
      <c r="B41" s="1786" t="s">
        <v>140</v>
      </c>
      <c r="C41" s="1801" t="s">
        <v>504</v>
      </c>
      <c r="D41" s="1192" t="s">
        <v>507</v>
      </c>
      <c r="E41" s="1162"/>
      <c r="F41" s="1162"/>
      <c r="G41" s="1162"/>
      <c r="H41" s="1162"/>
      <c r="I41" s="1163"/>
      <c r="J41" s="1164"/>
      <c r="K41" s="1193"/>
      <c r="L41" s="1194" t="s">
        <v>1413</v>
      </c>
      <c r="M41" s="1195"/>
    </row>
    <row r="42" spans="2:13" ht="29" customHeight="1">
      <c r="B42" s="1780"/>
      <c r="C42" s="1802"/>
      <c r="D42" s="551" t="s">
        <v>508</v>
      </c>
      <c r="E42" s="512"/>
      <c r="F42" s="512"/>
      <c r="G42" s="512"/>
      <c r="H42" s="512"/>
      <c r="I42" s="518"/>
      <c r="K42" s="1127"/>
      <c r="L42" s="1128" t="s">
        <v>303</v>
      </c>
      <c r="M42" s="401"/>
    </row>
    <row r="43" spans="2:13" s="1165" customFormat="1" ht="27" customHeight="1">
      <c r="B43" s="1780"/>
      <c r="C43" s="1802"/>
      <c r="D43" s="1196" t="s">
        <v>506</v>
      </c>
      <c r="E43" s="1167"/>
      <c r="F43" s="1167"/>
      <c r="G43" s="1167"/>
      <c r="H43" s="1167"/>
      <c r="I43" s="1168"/>
      <c r="J43" s="1164"/>
      <c r="K43" s="1183"/>
      <c r="L43" s="1190" t="s">
        <v>1413</v>
      </c>
      <c r="M43" s="1197"/>
    </row>
    <row r="44" spans="2:13" ht="29" customHeight="1">
      <c r="B44" s="1780"/>
      <c r="C44" s="1802"/>
      <c r="D44" s="524" t="s">
        <v>505</v>
      </c>
      <c r="E44" s="512"/>
      <c r="F44" s="512"/>
      <c r="G44" s="512"/>
      <c r="H44" s="512"/>
      <c r="I44" s="518"/>
      <c r="K44" s="1127"/>
      <c r="L44" s="1128" t="s">
        <v>1406</v>
      </c>
      <c r="M44" s="401"/>
    </row>
    <row r="45" spans="2:13" s="1165" customFormat="1">
      <c r="B45" s="1780"/>
      <c r="C45" s="1803"/>
      <c r="D45" s="1198" t="s">
        <v>1468</v>
      </c>
      <c r="E45" s="1167"/>
      <c r="F45" s="1167"/>
      <c r="G45" s="1167"/>
      <c r="H45" s="1167"/>
      <c r="I45" s="1168"/>
      <c r="J45" s="1164"/>
      <c r="K45" s="1183"/>
      <c r="L45" s="1199" t="s">
        <v>1413</v>
      </c>
      <c r="M45" s="1197"/>
    </row>
    <row r="46" spans="2:13" s="1165" customFormat="1" ht="28">
      <c r="B46" s="1780"/>
      <c r="C46" s="1800" t="s">
        <v>414</v>
      </c>
      <c r="D46" s="1198" t="s">
        <v>515</v>
      </c>
      <c r="E46" s="1167"/>
      <c r="F46" s="1167"/>
      <c r="G46" s="1167"/>
      <c r="H46" s="1167"/>
      <c r="I46" s="1168"/>
      <c r="J46" s="1164"/>
      <c r="K46" s="1183"/>
      <c r="L46" s="1200" t="s">
        <v>1417</v>
      </c>
      <c r="M46" s="1197"/>
    </row>
    <row r="47" spans="2:13" ht="43.25" customHeight="1">
      <c r="B47" s="1780"/>
      <c r="C47" s="1800"/>
      <c r="D47" s="524" t="s">
        <v>444</v>
      </c>
      <c r="E47" s="512"/>
      <c r="F47" s="512"/>
      <c r="G47" s="512"/>
      <c r="H47" s="512"/>
      <c r="I47" s="518"/>
      <c r="K47" s="1127"/>
      <c r="L47" s="1128" t="s">
        <v>1406</v>
      </c>
      <c r="M47" s="401"/>
    </row>
    <row r="48" spans="2:13" ht="29" customHeight="1">
      <c r="B48" s="1780"/>
      <c r="C48" s="1800"/>
      <c r="D48" s="551" t="s">
        <v>403</v>
      </c>
      <c r="E48" s="512"/>
      <c r="F48" s="512"/>
      <c r="G48" s="512"/>
      <c r="H48" s="512"/>
      <c r="I48" s="518"/>
      <c r="K48" s="1127"/>
      <c r="L48" s="1129" t="s">
        <v>303</v>
      </c>
      <c r="M48" s="401"/>
    </row>
    <row r="49" spans="2:13" ht="14.5" customHeight="1">
      <c r="B49" s="1780"/>
      <c r="C49" s="1800" t="s">
        <v>256</v>
      </c>
      <c r="D49" s="527" t="s">
        <v>559</v>
      </c>
      <c r="E49" s="512"/>
      <c r="F49" s="512"/>
      <c r="G49" s="512"/>
      <c r="H49" s="512"/>
      <c r="I49" s="518"/>
      <c r="K49" s="1127"/>
      <c r="L49" s="1128" t="s">
        <v>1406</v>
      </c>
      <c r="M49" s="401"/>
    </row>
    <row r="50" spans="2:13" ht="14.5" customHeight="1">
      <c r="B50" s="1780"/>
      <c r="C50" s="1800"/>
      <c r="D50" s="524" t="s">
        <v>560</v>
      </c>
      <c r="E50" s="512"/>
      <c r="F50" s="512"/>
      <c r="G50" s="512"/>
      <c r="H50" s="512"/>
      <c r="I50" s="518"/>
      <c r="K50" s="1127"/>
      <c r="L50" s="1128" t="s">
        <v>1406</v>
      </c>
      <c r="M50" s="401"/>
    </row>
    <row r="51" spans="2:13" ht="15" customHeight="1" thickBot="1">
      <c r="B51" s="1780"/>
      <c r="C51" s="1800" t="s">
        <v>629</v>
      </c>
      <c r="D51" s="524" t="s">
        <v>630</v>
      </c>
      <c r="E51" s="512"/>
      <c r="F51" s="512"/>
      <c r="G51" s="512"/>
      <c r="H51" s="512"/>
      <c r="I51" s="518"/>
      <c r="K51" s="1127"/>
      <c r="L51" s="1131" t="s">
        <v>303</v>
      </c>
      <c r="M51" s="401"/>
    </row>
    <row r="52" spans="2:13" s="1165" customFormat="1" ht="28">
      <c r="B52" s="1780"/>
      <c r="C52" s="1800"/>
      <c r="D52" s="1198" t="s">
        <v>631</v>
      </c>
      <c r="E52" s="1167"/>
      <c r="F52" s="1167"/>
      <c r="G52" s="1167"/>
      <c r="H52" s="1167"/>
      <c r="I52" s="1168"/>
      <c r="J52" s="1164"/>
      <c r="K52" s="1183"/>
      <c r="L52" s="1200" t="s">
        <v>416</v>
      </c>
      <c r="M52" s="1197"/>
    </row>
    <row r="53" spans="2:13" ht="29.5" customHeight="1" thickBot="1">
      <c r="B53" s="1781"/>
      <c r="C53" s="538" t="s">
        <v>410</v>
      </c>
      <c r="D53" s="537" t="s">
        <v>514</v>
      </c>
      <c r="E53" s="519"/>
      <c r="F53" s="519"/>
      <c r="G53" s="519"/>
      <c r="H53" s="519"/>
      <c r="I53" s="520"/>
      <c r="K53" s="1130"/>
      <c r="L53" s="1131" t="s">
        <v>303</v>
      </c>
      <c r="M53" s="414"/>
    </row>
    <row r="54" spans="2:13" ht="29" customHeight="1">
      <c r="B54" s="1786" t="s">
        <v>123</v>
      </c>
      <c r="C54" s="614" t="s">
        <v>596</v>
      </c>
      <c r="D54" s="541" t="s">
        <v>882</v>
      </c>
      <c r="E54" s="528"/>
      <c r="F54" s="528">
        <v>1</v>
      </c>
      <c r="G54" s="528">
        <f>+F54*'PROGRAMA ARQ.'!$E$18</f>
        <v>2</v>
      </c>
      <c r="H54" s="528"/>
      <c r="I54" s="529"/>
      <c r="K54" s="569"/>
      <c r="L54" s="1787" t="s">
        <v>303</v>
      </c>
      <c r="M54" s="417"/>
    </row>
    <row r="55" spans="2:13" ht="29" customHeight="1">
      <c r="B55" s="1780"/>
      <c r="C55" s="615" t="s">
        <v>597</v>
      </c>
      <c r="D55" s="524" t="s">
        <v>518</v>
      </c>
      <c r="E55" s="512"/>
      <c r="F55" s="512">
        <v>1</v>
      </c>
      <c r="G55" s="512">
        <f>+F55*'PROGRAMA ARQ.'!$E$18</f>
        <v>2</v>
      </c>
      <c r="H55" s="512"/>
      <c r="I55" s="518"/>
      <c r="K55" s="522"/>
      <c r="L55" s="1787"/>
      <c r="M55" s="418"/>
    </row>
    <row r="56" spans="2:13" ht="29" customHeight="1">
      <c r="B56" s="1780"/>
      <c r="C56" s="615" t="s">
        <v>594</v>
      </c>
      <c r="D56" s="524" t="s">
        <v>519</v>
      </c>
      <c r="E56" s="512"/>
      <c r="F56" s="512">
        <v>1</v>
      </c>
      <c r="G56" s="512">
        <f>+F56*'PROGRAMA ARQ.'!$E$18</f>
        <v>2</v>
      </c>
      <c r="H56" s="512"/>
      <c r="I56" s="518"/>
      <c r="K56" s="522"/>
      <c r="L56" s="1787"/>
      <c r="M56" s="418"/>
    </row>
    <row r="57" spans="2:13" ht="29" customHeight="1">
      <c r="B57" s="1780"/>
      <c r="C57" s="615" t="s">
        <v>343</v>
      </c>
      <c r="D57" s="524" t="s">
        <v>517</v>
      </c>
      <c r="E57" s="512"/>
      <c r="F57" s="512">
        <v>1</v>
      </c>
      <c r="G57" s="512">
        <f>+F57*'PROGRAMA ARQ.'!$E$18</f>
        <v>2</v>
      </c>
      <c r="H57" s="512"/>
      <c r="I57" s="518"/>
      <c r="K57" s="522" t="s">
        <v>471</v>
      </c>
      <c r="L57" s="1787"/>
      <c r="M57" s="418"/>
    </row>
    <row r="58" spans="2:13" ht="29" customHeight="1">
      <c r="B58" s="1780"/>
      <c r="C58" s="615" t="s">
        <v>598</v>
      </c>
      <c r="D58" s="524" t="s">
        <v>516</v>
      </c>
      <c r="E58" s="512"/>
      <c r="F58" s="512">
        <v>1</v>
      </c>
      <c r="G58" s="512">
        <f>+F58*'PROGRAMA ARQ.'!$E$18</f>
        <v>2</v>
      </c>
      <c r="H58" s="512"/>
      <c r="I58" s="518"/>
      <c r="K58" s="522"/>
      <c r="L58" s="1787"/>
      <c r="M58" s="418"/>
    </row>
    <row r="59" spans="2:13" ht="31.25" customHeight="1" thickBot="1">
      <c r="B59" s="1781"/>
      <c r="C59" s="610" t="s">
        <v>731</v>
      </c>
      <c r="D59" s="559" t="s">
        <v>807</v>
      </c>
      <c r="E59" s="554"/>
      <c r="F59" s="554"/>
      <c r="G59" s="554"/>
      <c r="H59" s="554"/>
      <c r="I59" s="560"/>
      <c r="J59" s="81"/>
      <c r="K59" s="523" t="s">
        <v>808</v>
      </c>
      <c r="L59" s="1788"/>
      <c r="M59" s="419"/>
    </row>
    <row r="60" spans="2:13" ht="44" customHeight="1" thickBot="1">
      <c r="B60" s="427" t="s">
        <v>124</v>
      </c>
      <c r="C60" s="539"/>
      <c r="D60" s="561" t="s">
        <v>520</v>
      </c>
      <c r="E60" s="555"/>
      <c r="F60" s="555"/>
      <c r="G60" s="555"/>
      <c r="H60" s="555"/>
      <c r="I60" s="562"/>
      <c r="K60" s="571" t="s">
        <v>471</v>
      </c>
      <c r="L60" s="718" t="s">
        <v>303</v>
      </c>
      <c r="M60" s="429"/>
    </row>
    <row r="61" spans="2:13" ht="15" customHeight="1" thickBot="1">
      <c r="B61" s="611" t="s">
        <v>132</v>
      </c>
      <c r="C61" s="556"/>
      <c r="D61" s="674" t="s">
        <v>521</v>
      </c>
      <c r="E61" s="535"/>
      <c r="F61" s="535"/>
      <c r="G61" s="535"/>
      <c r="H61" s="535"/>
      <c r="I61" s="536"/>
      <c r="K61" s="572"/>
      <c r="L61" s="716" t="s">
        <v>1406</v>
      </c>
      <c r="M61" s="422"/>
    </row>
    <row r="62" spans="2:13" s="1165" customFormat="1" ht="42">
      <c r="B62" s="1786" t="s">
        <v>133</v>
      </c>
      <c r="C62" s="1809" t="s">
        <v>409</v>
      </c>
      <c r="D62" s="1192" t="s">
        <v>1425</v>
      </c>
      <c r="E62" s="1162"/>
      <c r="F62" s="1162"/>
      <c r="G62" s="1162"/>
      <c r="H62" s="1162"/>
      <c r="I62" s="1163"/>
      <c r="J62" s="1164"/>
      <c r="K62" s="1201" t="s">
        <v>408</v>
      </c>
      <c r="L62" s="1202" t="s">
        <v>1414</v>
      </c>
      <c r="M62" s="1203" t="s">
        <v>523</v>
      </c>
    </row>
    <row r="63" spans="2:13" ht="29" customHeight="1">
      <c r="B63" s="1780"/>
      <c r="C63" s="1792"/>
      <c r="D63" s="551" t="s">
        <v>531</v>
      </c>
      <c r="E63" s="512"/>
      <c r="F63" s="512"/>
      <c r="G63" s="512"/>
      <c r="H63" s="512"/>
      <c r="I63" s="518"/>
      <c r="K63" s="522"/>
      <c r="L63" s="716" t="s">
        <v>1406</v>
      </c>
      <c r="M63" s="426"/>
    </row>
    <row r="64" spans="2:13" s="1165" customFormat="1" ht="28">
      <c r="B64" s="1780"/>
      <c r="C64" s="1204" t="s">
        <v>407</v>
      </c>
      <c r="D64" s="1205" t="s">
        <v>875</v>
      </c>
      <c r="E64" s="1167"/>
      <c r="F64" s="1167"/>
      <c r="G64" s="1167"/>
      <c r="H64" s="1167"/>
      <c r="I64" s="1168"/>
      <c r="J64" s="1164"/>
      <c r="K64" s="1206"/>
      <c r="L64" s="1207" t="s">
        <v>1416</v>
      </c>
      <c r="M64" s="1208"/>
    </row>
    <row r="65" spans="2:13" s="1165" customFormat="1" ht="28">
      <c r="B65" s="1780"/>
      <c r="C65" s="1792" t="s">
        <v>484</v>
      </c>
      <c r="D65" s="1205" t="s">
        <v>527</v>
      </c>
      <c r="E65" s="1167"/>
      <c r="F65" s="1167"/>
      <c r="G65" s="1167"/>
      <c r="H65" s="1167"/>
      <c r="I65" s="1168"/>
      <c r="J65" s="1164"/>
      <c r="K65" s="1206"/>
      <c r="L65" s="1207" t="s">
        <v>406</v>
      </c>
      <c r="M65" s="1208"/>
    </row>
    <row r="66" spans="2:13" ht="14.5" customHeight="1">
      <c r="B66" s="1780"/>
      <c r="C66" s="1792"/>
      <c r="D66" s="551" t="s">
        <v>528</v>
      </c>
      <c r="E66" s="512"/>
      <c r="F66" s="512"/>
      <c r="G66" s="512"/>
      <c r="H66" s="512"/>
      <c r="I66" s="518"/>
      <c r="K66" s="522"/>
      <c r="L66" s="716" t="s">
        <v>1406</v>
      </c>
      <c r="M66" s="418"/>
    </row>
    <row r="67" spans="2:13" ht="14.5" customHeight="1">
      <c r="B67" s="1780"/>
      <c r="C67" s="1792"/>
      <c r="D67" s="551" t="s">
        <v>529</v>
      </c>
      <c r="E67" s="512"/>
      <c r="F67" s="512"/>
      <c r="G67" s="512"/>
      <c r="H67" s="512"/>
      <c r="I67" s="518"/>
      <c r="K67" s="522"/>
      <c r="L67" s="716" t="s">
        <v>1406</v>
      </c>
      <c r="M67" s="418"/>
    </row>
    <row r="68" spans="2:13" ht="14.5" customHeight="1">
      <c r="B68" s="1780"/>
      <c r="C68" s="1792"/>
      <c r="D68" s="551" t="s">
        <v>526</v>
      </c>
      <c r="E68" s="512"/>
      <c r="F68" s="512"/>
      <c r="G68" s="512"/>
      <c r="H68" s="512"/>
      <c r="I68" s="518"/>
      <c r="K68" s="522"/>
      <c r="L68" s="716" t="s">
        <v>1406</v>
      </c>
      <c r="M68" s="418"/>
    </row>
    <row r="69" spans="2:13" ht="29" customHeight="1">
      <c r="B69" s="1780"/>
      <c r="C69" s="1792"/>
      <c r="D69" s="551" t="s">
        <v>530</v>
      </c>
      <c r="E69" s="512"/>
      <c r="F69" s="512"/>
      <c r="G69" s="512"/>
      <c r="H69" s="512"/>
      <c r="I69" s="518"/>
      <c r="K69" s="522"/>
      <c r="L69" s="716" t="s">
        <v>1406</v>
      </c>
      <c r="M69" s="418"/>
    </row>
    <row r="70" spans="2:13" ht="14.5" customHeight="1">
      <c r="B70" s="1780"/>
      <c r="C70" s="1792"/>
      <c r="D70" s="551" t="s">
        <v>635</v>
      </c>
      <c r="E70" s="512"/>
      <c r="F70" s="512"/>
      <c r="G70" s="512"/>
      <c r="H70" s="512"/>
      <c r="I70" s="518"/>
      <c r="K70" s="522"/>
      <c r="L70" s="716" t="s">
        <v>1406</v>
      </c>
      <c r="M70" s="418"/>
    </row>
    <row r="71" spans="2:13" s="1165" customFormat="1" ht="15" thickBot="1">
      <c r="B71" s="1781"/>
      <c r="C71" s="1793"/>
      <c r="D71" s="1209" t="s">
        <v>522</v>
      </c>
      <c r="E71" s="1210"/>
      <c r="F71" s="1210"/>
      <c r="G71" s="1210"/>
      <c r="H71" s="1210"/>
      <c r="I71" s="1211"/>
      <c r="J71" s="1164"/>
      <c r="K71" s="1212"/>
      <c r="L71" s="1213" t="s">
        <v>1415</v>
      </c>
      <c r="M71" s="1214"/>
    </row>
    <row r="72" spans="2:13" ht="47.5" customHeight="1">
      <c r="B72" s="1816" t="s">
        <v>134</v>
      </c>
      <c r="C72" s="612" t="s">
        <v>404</v>
      </c>
      <c r="D72" s="558" t="s">
        <v>675</v>
      </c>
      <c r="E72" s="528"/>
      <c r="F72" s="528"/>
      <c r="G72" s="528"/>
      <c r="H72" s="528"/>
      <c r="I72" s="529"/>
      <c r="K72" s="521"/>
      <c r="L72" s="715" t="s">
        <v>303</v>
      </c>
      <c r="M72" s="417"/>
    </row>
    <row r="73" spans="2:13" ht="29.5" customHeight="1" thickBot="1">
      <c r="B73" s="1817"/>
      <c r="C73" s="540"/>
      <c r="D73" s="563" t="s">
        <v>623</v>
      </c>
      <c r="E73" s="519"/>
      <c r="F73" s="519"/>
      <c r="G73" s="519"/>
      <c r="H73" s="519"/>
      <c r="I73" s="520"/>
      <c r="K73" s="523"/>
      <c r="L73" s="716" t="s">
        <v>1406</v>
      </c>
      <c r="M73" s="419"/>
    </row>
    <row r="74" spans="2:13" ht="14.5" customHeight="1">
      <c r="B74" s="1810" t="s">
        <v>135</v>
      </c>
      <c r="C74" s="1813" t="s">
        <v>248</v>
      </c>
      <c r="D74" s="558" t="s">
        <v>323</v>
      </c>
      <c r="E74" s="528"/>
      <c r="F74" s="528"/>
      <c r="G74" s="528"/>
      <c r="H74" s="528"/>
      <c r="I74" s="529"/>
      <c r="K74" s="521"/>
      <c r="L74" s="716" t="s">
        <v>1406</v>
      </c>
      <c r="M74" s="417"/>
    </row>
    <row r="75" spans="2:13" ht="14.5" customHeight="1">
      <c r="B75" s="1811"/>
      <c r="C75" s="1814"/>
      <c r="D75" s="551" t="s">
        <v>535</v>
      </c>
      <c r="E75" s="512"/>
      <c r="F75" s="512"/>
      <c r="G75" s="512"/>
      <c r="H75" s="512"/>
      <c r="I75" s="518"/>
      <c r="K75" s="522"/>
      <c r="L75" s="716" t="s">
        <v>1406</v>
      </c>
      <c r="M75" s="418"/>
    </row>
    <row r="76" spans="2:13" ht="14.5" customHeight="1">
      <c r="B76" s="1811"/>
      <c r="C76" s="1814"/>
      <c r="D76" s="551" t="s">
        <v>534</v>
      </c>
      <c r="E76" s="512"/>
      <c r="F76" s="512"/>
      <c r="G76" s="512"/>
      <c r="H76" s="512"/>
      <c r="I76" s="518"/>
      <c r="K76" s="522"/>
      <c r="L76" s="716" t="s">
        <v>1406</v>
      </c>
      <c r="M76" s="418"/>
    </row>
    <row r="77" spans="2:13" s="1165" customFormat="1">
      <c r="B77" s="1811"/>
      <c r="C77" s="1814"/>
      <c r="D77" s="1215" t="s">
        <v>536</v>
      </c>
      <c r="E77" s="1167"/>
      <c r="F77" s="1167"/>
      <c r="G77" s="1167"/>
      <c r="H77" s="1167"/>
      <c r="I77" s="1168"/>
      <c r="J77" s="1164"/>
      <c r="K77" s="1206"/>
      <c r="L77" s="1207" t="s">
        <v>392</v>
      </c>
      <c r="M77" s="1208"/>
    </row>
    <row r="78" spans="2:13" ht="14.5" customHeight="1">
      <c r="B78" s="1811"/>
      <c r="C78" s="1814"/>
      <c r="D78" s="551" t="s">
        <v>624</v>
      </c>
      <c r="E78" s="512"/>
      <c r="F78" s="512"/>
      <c r="G78" s="512"/>
      <c r="H78" s="512"/>
      <c r="I78" s="518"/>
      <c r="K78" s="522"/>
      <c r="L78" s="716" t="s">
        <v>1406</v>
      </c>
      <c r="M78" s="418"/>
    </row>
    <row r="79" spans="2:13" s="1165" customFormat="1">
      <c r="B79" s="1811"/>
      <c r="C79" s="1792" t="s">
        <v>249</v>
      </c>
      <c r="D79" s="1215" t="s">
        <v>532</v>
      </c>
      <c r="E79" s="1167"/>
      <c r="F79" s="1167"/>
      <c r="G79" s="1167"/>
      <c r="H79" s="1167"/>
      <c r="I79" s="1168"/>
      <c r="J79" s="1164"/>
      <c r="K79" s="1206"/>
      <c r="L79" s="1207" t="s">
        <v>401</v>
      </c>
      <c r="M79" s="1208"/>
    </row>
    <row r="80" spans="2:13" ht="14.5" customHeight="1">
      <c r="B80" s="1811"/>
      <c r="C80" s="1792"/>
      <c r="D80" s="564" t="s">
        <v>322</v>
      </c>
      <c r="E80" s="512"/>
      <c r="F80" s="512"/>
      <c r="G80" s="512"/>
      <c r="H80" s="512"/>
      <c r="I80" s="518"/>
      <c r="K80" s="522"/>
      <c r="L80" s="716" t="s">
        <v>1406</v>
      </c>
      <c r="M80" s="418"/>
    </row>
    <row r="81" spans="1:13" ht="14.5" customHeight="1">
      <c r="B81" s="1811"/>
      <c r="C81" s="1792"/>
      <c r="D81" s="564" t="s">
        <v>533</v>
      </c>
      <c r="E81" s="512"/>
      <c r="F81" s="512"/>
      <c r="G81" s="512"/>
      <c r="H81" s="512"/>
      <c r="I81" s="518"/>
      <c r="K81" s="522"/>
      <c r="L81" s="716" t="s">
        <v>1406</v>
      </c>
      <c r="M81" s="418"/>
    </row>
    <row r="82" spans="1:13" ht="14.5" customHeight="1">
      <c r="B82" s="1811"/>
      <c r="C82" s="1792" t="s">
        <v>250</v>
      </c>
      <c r="D82" s="564" t="s">
        <v>326</v>
      </c>
      <c r="E82" s="512"/>
      <c r="F82" s="512"/>
      <c r="G82" s="512"/>
      <c r="H82" s="512"/>
      <c r="I82" s="518"/>
      <c r="K82" s="522"/>
      <c r="L82" s="678" t="s">
        <v>303</v>
      </c>
      <c r="M82" s="418"/>
    </row>
    <row r="83" spans="1:13" ht="14.5" customHeight="1">
      <c r="B83" s="1811"/>
      <c r="C83" s="1792"/>
      <c r="D83" s="564" t="s">
        <v>537</v>
      </c>
      <c r="E83" s="512"/>
      <c r="F83" s="512"/>
      <c r="G83" s="512"/>
      <c r="H83" s="512"/>
      <c r="I83" s="518"/>
      <c r="K83" s="522"/>
      <c r="L83" s="716" t="s">
        <v>1406</v>
      </c>
      <c r="M83" s="418"/>
    </row>
    <row r="84" spans="1:13" ht="15" customHeight="1" thickBot="1">
      <c r="B84" s="1812"/>
      <c r="C84" s="1793"/>
      <c r="D84" s="563" t="s">
        <v>325</v>
      </c>
      <c r="E84" s="519"/>
      <c r="F84" s="519"/>
      <c r="G84" s="519"/>
      <c r="H84" s="519"/>
      <c r="I84" s="520"/>
      <c r="K84" s="523"/>
      <c r="L84" s="717" t="s">
        <v>303</v>
      </c>
      <c r="M84" s="419"/>
    </row>
    <row r="85" spans="1:13" ht="14.5" customHeight="1">
      <c r="A85" s="1804" t="s">
        <v>137</v>
      </c>
      <c r="B85" s="1786" t="s">
        <v>138</v>
      </c>
      <c r="C85" s="1808" t="s">
        <v>438</v>
      </c>
      <c r="D85" s="558" t="s">
        <v>626</v>
      </c>
      <c r="E85" s="528"/>
      <c r="F85" s="528"/>
      <c r="G85" s="528"/>
      <c r="H85" s="528"/>
      <c r="I85" s="529"/>
      <c r="K85" s="521"/>
      <c r="L85" s="715"/>
      <c r="M85" s="417"/>
    </row>
    <row r="86" spans="1:13" ht="30" customHeight="1">
      <c r="A86" s="1805"/>
      <c r="B86" s="1780"/>
      <c r="C86" s="1807"/>
      <c r="D86" s="524" t="s">
        <v>1583</v>
      </c>
      <c r="E86" s="512"/>
      <c r="F86" s="512"/>
      <c r="G86" s="512"/>
      <c r="H86" s="512"/>
      <c r="I86" s="518"/>
      <c r="K86" s="570" t="s">
        <v>398</v>
      </c>
      <c r="L86" s="678" t="s">
        <v>501</v>
      </c>
      <c r="M86" s="418"/>
    </row>
    <row r="87" spans="1:13" ht="30" customHeight="1">
      <c r="A87" s="1805"/>
      <c r="B87" s="1780"/>
      <c r="C87" s="1807"/>
      <c r="D87" s="524" t="s">
        <v>542</v>
      </c>
      <c r="E87" s="512"/>
      <c r="F87" s="512"/>
      <c r="G87" s="512"/>
      <c r="H87" s="512"/>
      <c r="I87" s="518"/>
      <c r="K87" s="570"/>
      <c r="L87" s="678" t="s">
        <v>501</v>
      </c>
      <c r="M87" s="418"/>
    </row>
    <row r="88" spans="1:13" ht="43.25" customHeight="1">
      <c r="A88" s="1805"/>
      <c r="B88" s="1780"/>
      <c r="C88" s="1807"/>
      <c r="D88" s="524" t="s">
        <v>636</v>
      </c>
      <c r="E88" s="512"/>
      <c r="F88" s="512"/>
      <c r="G88" s="512"/>
      <c r="H88" s="512"/>
      <c r="I88" s="518"/>
      <c r="K88" s="570"/>
      <c r="L88" s="678" t="s">
        <v>303</v>
      </c>
      <c r="M88" s="418"/>
    </row>
    <row r="89" spans="1:13" s="1165" customFormat="1">
      <c r="A89" s="1805"/>
      <c r="B89" s="1780"/>
      <c r="C89" s="1807" t="s">
        <v>251</v>
      </c>
      <c r="D89" s="1216" t="s">
        <v>543</v>
      </c>
      <c r="E89" s="1167"/>
      <c r="F89" s="1167"/>
      <c r="G89" s="1167"/>
      <c r="H89" s="1167"/>
      <c r="I89" s="1168"/>
      <c r="J89" s="1164"/>
      <c r="K89" s="1206"/>
      <c r="L89" s="1207" t="s">
        <v>400</v>
      </c>
      <c r="M89" s="1208"/>
    </row>
    <row r="90" spans="1:13" ht="14.5" customHeight="1">
      <c r="A90" s="1805"/>
      <c r="B90" s="1780"/>
      <c r="C90" s="1807" t="s">
        <v>252</v>
      </c>
      <c r="D90" s="565" t="s">
        <v>541</v>
      </c>
      <c r="E90" s="512"/>
      <c r="F90" s="512"/>
      <c r="G90" s="512"/>
      <c r="H90" s="512"/>
      <c r="I90" s="518"/>
      <c r="K90" s="570" t="s">
        <v>398</v>
      </c>
      <c r="L90" s="716" t="s">
        <v>303</v>
      </c>
      <c r="M90" s="418"/>
    </row>
    <row r="91" spans="1:13" ht="14.5" customHeight="1">
      <c r="A91" s="1805"/>
      <c r="B91" s="1780"/>
      <c r="C91" s="609" t="s">
        <v>253</v>
      </c>
      <c r="D91" s="525" t="s">
        <v>397</v>
      </c>
      <c r="E91" s="512"/>
      <c r="F91" s="512"/>
      <c r="G91" s="512"/>
      <c r="H91" s="512"/>
      <c r="I91" s="518"/>
      <c r="K91" s="522"/>
      <c r="L91" s="716" t="str">
        <f>D91</f>
        <v>No contempla</v>
      </c>
      <c r="M91" s="418"/>
    </row>
    <row r="92" spans="1:13" ht="15" customHeight="1" thickBot="1">
      <c r="A92" s="1805"/>
      <c r="B92" s="1781"/>
      <c r="C92" s="540" t="s">
        <v>255</v>
      </c>
      <c r="D92" s="526" t="s">
        <v>540</v>
      </c>
      <c r="E92" s="519"/>
      <c r="F92" s="519"/>
      <c r="G92" s="519"/>
      <c r="H92" s="519"/>
      <c r="I92" s="520"/>
      <c r="K92" s="573" t="s">
        <v>398</v>
      </c>
      <c r="L92" s="716" t="s">
        <v>1406</v>
      </c>
      <c r="M92" s="419"/>
    </row>
    <row r="93" spans="1:13" ht="14.5" customHeight="1">
      <c r="A93" s="1805"/>
      <c r="B93" s="1786" t="s">
        <v>139</v>
      </c>
      <c r="C93" s="613" t="s">
        <v>256</v>
      </c>
      <c r="D93" s="566" t="s">
        <v>539</v>
      </c>
      <c r="E93" s="528"/>
      <c r="F93" s="528"/>
      <c r="G93" s="528"/>
      <c r="H93" s="528"/>
      <c r="I93" s="529"/>
      <c r="K93" s="574" t="s">
        <v>398</v>
      </c>
      <c r="L93" s="716" t="s">
        <v>1406</v>
      </c>
      <c r="M93" s="417"/>
    </row>
    <row r="94" spans="1:13" ht="15" customHeight="1" thickBot="1">
      <c r="A94" s="1805"/>
      <c r="B94" s="1781"/>
      <c r="C94" s="610" t="s">
        <v>257</v>
      </c>
      <c r="D94" s="526" t="str">
        <f>IF('PROGRAMA ARQ.'!D6="ZONA SUR","Debe considerar ventilación forzada para los meses de invierno","No contempla")</f>
        <v>No contempla</v>
      </c>
      <c r="E94" s="519"/>
      <c r="F94" s="519"/>
      <c r="G94" s="519"/>
      <c r="H94" s="519"/>
      <c r="I94" s="520"/>
      <c r="K94" s="523"/>
      <c r="L94" s="717" t="str">
        <f>+L93</f>
        <v>RECOMENDACIÓN META JUNJI</v>
      </c>
      <c r="M94" s="419"/>
    </row>
    <row r="95" spans="1:13" ht="15" customHeight="1" thickBot="1">
      <c r="A95" s="1805"/>
      <c r="B95" s="427" t="s">
        <v>142</v>
      </c>
      <c r="C95" s="539"/>
      <c r="D95" s="435" t="s">
        <v>397</v>
      </c>
      <c r="E95" s="555"/>
      <c r="F95" s="555"/>
      <c r="G95" s="555"/>
      <c r="H95" s="555"/>
      <c r="I95" s="562"/>
      <c r="K95" s="571"/>
      <c r="L95" s="717" t="str">
        <f>D95</f>
        <v>No contempla</v>
      </c>
      <c r="M95" s="429"/>
    </row>
    <row r="96" spans="1:13" ht="14.5" customHeight="1">
      <c r="A96" s="1805"/>
      <c r="B96" s="1786" t="s">
        <v>264</v>
      </c>
      <c r="C96" s="1795"/>
      <c r="D96" s="567" t="s">
        <v>868</v>
      </c>
      <c r="E96" s="528"/>
      <c r="F96" s="528"/>
      <c r="G96" s="528"/>
      <c r="H96" s="528"/>
      <c r="I96" s="529"/>
      <c r="K96" s="521" t="s">
        <v>538</v>
      </c>
      <c r="L96" s="1789" t="s">
        <v>1406</v>
      </c>
      <c r="M96" s="417"/>
    </row>
    <row r="97" spans="1:13" ht="14.5" customHeight="1">
      <c r="A97" s="1805"/>
      <c r="B97" s="1780"/>
      <c r="C97" s="1815"/>
      <c r="D97" s="565" t="s">
        <v>607</v>
      </c>
      <c r="E97" s="512"/>
      <c r="F97" s="512"/>
      <c r="G97" s="512"/>
      <c r="H97" s="512"/>
      <c r="I97" s="518"/>
      <c r="K97" s="522"/>
      <c r="L97" s="1787"/>
      <c r="M97" s="418"/>
    </row>
    <row r="98" spans="1:13" ht="15" customHeight="1" thickBot="1">
      <c r="A98" s="1806"/>
      <c r="B98" s="1781"/>
      <c r="C98" s="1796"/>
      <c r="D98" s="526" t="s">
        <v>13</v>
      </c>
      <c r="E98" s="519"/>
      <c r="F98" s="519"/>
      <c r="G98" s="519"/>
      <c r="H98" s="519"/>
      <c r="I98" s="520"/>
      <c r="K98" s="523"/>
      <c r="L98" s="1788"/>
      <c r="M98" s="419"/>
    </row>
    <row r="99" spans="1:13" ht="14.5" customHeight="1">
      <c r="C99" s="393"/>
    </row>
    <row r="100" spans="1:13" ht="14.5" customHeight="1">
      <c r="C100" s="393"/>
    </row>
    <row r="101" spans="1:13" ht="14.5" customHeight="1">
      <c r="C101" s="393"/>
    </row>
    <row r="102" spans="1:13" ht="14.5" customHeight="1">
      <c r="C102" s="393"/>
    </row>
    <row r="103" spans="1:13" ht="14.5" customHeight="1">
      <c r="C103" s="393"/>
    </row>
    <row r="104" spans="1:13" ht="14.5" customHeight="1">
      <c r="C104" s="393"/>
    </row>
    <row r="105" spans="1:13" ht="14.5" customHeight="1">
      <c r="C105" s="393"/>
    </row>
  </sheetData>
  <autoFilter ref="A1:N105"/>
  <mergeCells count="47">
    <mergeCell ref="L96:L98"/>
    <mergeCell ref="L54:L59"/>
    <mergeCell ref="C41:C45"/>
    <mergeCell ref="A85:A98"/>
    <mergeCell ref="B62:B71"/>
    <mergeCell ref="C89:C90"/>
    <mergeCell ref="B93:B94"/>
    <mergeCell ref="B85:B92"/>
    <mergeCell ref="C85:C88"/>
    <mergeCell ref="C62:C63"/>
    <mergeCell ref="B74:B84"/>
    <mergeCell ref="C82:C84"/>
    <mergeCell ref="C79:C81"/>
    <mergeCell ref="C74:C78"/>
    <mergeCell ref="C96:C98"/>
    <mergeCell ref="B72:B73"/>
    <mergeCell ref="B96:B98"/>
    <mergeCell ref="C65:C71"/>
    <mergeCell ref="C49:C50"/>
    <mergeCell ref="B12:B14"/>
    <mergeCell ref="B39:B40"/>
    <mergeCell ref="C21:C24"/>
    <mergeCell ref="C27:C31"/>
    <mergeCell ref="B34:B38"/>
    <mergeCell ref="C51:C52"/>
    <mergeCell ref="C46:C48"/>
    <mergeCell ref="L12:L14"/>
    <mergeCell ref="K34:K38"/>
    <mergeCell ref="B54:B59"/>
    <mergeCell ref="L34:L38"/>
    <mergeCell ref="L39:L40"/>
    <mergeCell ref="C15:C20"/>
    <mergeCell ref="C35:C38"/>
    <mergeCell ref="C25:C26"/>
    <mergeCell ref="B15:B33"/>
    <mergeCell ref="C32:C33"/>
    <mergeCell ref="B41:B53"/>
    <mergeCell ref="C39:C40"/>
    <mergeCell ref="C12:C14"/>
    <mergeCell ref="E5:I5"/>
    <mergeCell ref="B2:I2"/>
    <mergeCell ref="E3:I3"/>
    <mergeCell ref="E4:I4"/>
    <mergeCell ref="L8:L11"/>
    <mergeCell ref="D8:G8"/>
    <mergeCell ref="C8:C11"/>
    <mergeCell ref="B8:B11"/>
  </mergeCells>
  <pageMargins left="0.70866141732283472" right="0.70866141732283472" top="0.74803149606299213" bottom="0.74803149606299213" header="0.31496062992125984" footer="0.31496062992125984"/>
  <pageSetup scale="67" fitToHeight="0" orientation="portrait"/>
  <rowBreaks count="2" manualBreakCount="2">
    <brk id="33" max="8" man="1"/>
    <brk id="61" max="8" man="1"/>
  </rowBreaks>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3" tint="0.79998168889431442"/>
    <pageSetUpPr fitToPage="1"/>
  </sheetPr>
  <dimension ref="A1:CZ81"/>
  <sheetViews>
    <sheetView zoomScale="80" zoomScaleNormal="80" zoomScaleSheetLayoutView="90" zoomScalePageLayoutView="80" workbookViewId="0">
      <selection activeCell="O39" sqref="O39"/>
    </sheetView>
  </sheetViews>
  <sheetFormatPr baseColWidth="10" defaultColWidth="11.5" defaultRowHeight="14" x14ac:dyDescent="0"/>
  <cols>
    <col min="1" max="1" width="2.83203125" style="310" customWidth="1"/>
    <col min="2" max="2" width="30.6640625" style="377" customWidth="1"/>
    <col min="3" max="3" width="30.6640625" style="351" customWidth="1"/>
    <col min="4" max="4" width="50.6640625" style="350" customWidth="1"/>
    <col min="5" max="9" width="3.6640625" style="350" customWidth="1"/>
    <col min="10" max="10" width="7.5" style="362" customWidth="1"/>
    <col min="11" max="11" width="50.6640625" style="496" customWidth="1"/>
    <col min="12" max="12" width="30.6640625" style="351" customWidth="1"/>
    <col min="13" max="13" width="3.6640625" style="350" customWidth="1"/>
    <col min="14" max="16384" width="11.5" style="310"/>
  </cols>
  <sheetData>
    <row r="1" spans="2:13" ht="15" thickBot="1"/>
    <row r="2" spans="2:13" s="81" customFormat="1" ht="69" customHeight="1" thickBot="1">
      <c r="B2" s="1743"/>
      <c r="C2" s="1744"/>
      <c r="D2" s="1744"/>
      <c r="E2" s="1744"/>
      <c r="F2" s="1744"/>
      <c r="G2" s="1744"/>
      <c r="H2" s="1744"/>
      <c r="I2" s="1745"/>
      <c r="J2" s="382"/>
      <c r="K2" s="597"/>
      <c r="L2" s="507"/>
      <c r="M2" s="362"/>
    </row>
    <row r="3" spans="2:13" s="81" customFormat="1" ht="25.25" customHeight="1" thickBot="1">
      <c r="B3" s="820" t="s">
        <v>1385</v>
      </c>
      <c r="C3" s="821"/>
      <c r="D3" s="822"/>
      <c r="E3" s="1746" t="str">
        <f>+'PROGRAMA ARQ.'!E4</f>
        <v>2 SALAS CUNAS</v>
      </c>
      <c r="F3" s="1747"/>
      <c r="G3" s="1747"/>
      <c r="H3" s="1747"/>
      <c r="I3" s="1748"/>
      <c r="J3" s="382"/>
      <c r="K3" s="597"/>
      <c r="L3" s="507"/>
      <c r="M3" s="362"/>
    </row>
    <row r="4" spans="2:13" s="81" customFormat="1" ht="25.25" customHeight="1" thickBot="1">
      <c r="B4" s="823">
        <f>+'PROGRAMA ARQ.'!I4:I5</f>
        <v>152</v>
      </c>
      <c r="C4" s="505"/>
      <c r="D4" s="661"/>
      <c r="E4" s="1737" t="str">
        <f>+'PROGRAMA ARQ.'!E5</f>
        <v>4 NIVELES MEDIOS</v>
      </c>
      <c r="F4" s="1738"/>
      <c r="G4" s="1738"/>
      <c r="H4" s="1738"/>
      <c r="I4" s="1739"/>
      <c r="J4" s="382"/>
      <c r="K4" s="597"/>
      <c r="L4" s="507"/>
      <c r="M4" s="362"/>
    </row>
    <row r="5" spans="2:13" s="81" customFormat="1" ht="15" thickBot="1">
      <c r="B5" s="695" t="s">
        <v>1374</v>
      </c>
      <c r="C5" s="235" t="s">
        <v>1375</v>
      </c>
      <c r="D5" s="235" t="s">
        <v>1376</v>
      </c>
      <c r="E5" s="1818" t="s">
        <v>1377</v>
      </c>
      <c r="F5" s="1819"/>
      <c r="G5" s="1819"/>
      <c r="H5" s="1819"/>
      <c r="I5" s="1820"/>
      <c r="J5" s="675"/>
      <c r="K5" s="597"/>
      <c r="L5" s="507"/>
      <c r="M5" s="362"/>
    </row>
    <row r="6" spans="2:13" s="616" customFormat="1" ht="73.25" customHeight="1" thickBot="1">
      <c r="B6" s="851" t="str">
        <f>IF(D6=0,0,'PROGRAMA ARQ.'!C19)</f>
        <v>1.2</v>
      </c>
      <c r="C6" s="851" t="str">
        <f>IF(D6=0,0,'PROGRAMA ARQ.'!D19)</f>
        <v xml:space="preserve">SALA DE MUDAS Y HH.HH </v>
      </c>
      <c r="D6" s="852">
        <f>+'PROGRAMA ARQ.'!F19</f>
        <v>11.3</v>
      </c>
      <c r="E6" s="837" t="s">
        <v>366</v>
      </c>
      <c r="F6" s="839" t="s">
        <v>544</v>
      </c>
      <c r="G6" s="839" t="s">
        <v>2</v>
      </c>
      <c r="H6" s="839" t="s">
        <v>171</v>
      </c>
      <c r="I6" s="840" t="s">
        <v>172</v>
      </c>
      <c r="J6" s="608"/>
      <c r="K6" s="1146" t="s">
        <v>293</v>
      </c>
      <c r="L6" s="853" t="s">
        <v>120</v>
      </c>
      <c r="M6" s="842" t="s">
        <v>178</v>
      </c>
    </row>
    <row r="7" spans="2:13" s="367" customFormat="1" ht="16" thickBot="1">
      <c r="B7" s="719" t="s">
        <v>1378</v>
      </c>
      <c r="C7" s="719" t="s">
        <v>1379</v>
      </c>
      <c r="D7" s="666" t="s">
        <v>1380</v>
      </c>
      <c r="E7" s="663"/>
      <c r="F7" s="664"/>
      <c r="G7" s="664"/>
      <c r="H7" s="663"/>
      <c r="I7" s="665"/>
      <c r="J7" s="595"/>
      <c r="K7" s="1145"/>
      <c r="L7" s="696"/>
      <c r="M7" s="697"/>
    </row>
    <row r="8" spans="2:13" ht="29" customHeight="1">
      <c r="B8" s="1827" t="s">
        <v>122</v>
      </c>
      <c r="C8" s="1828"/>
      <c r="D8" s="1821" t="s">
        <v>1381</v>
      </c>
      <c r="E8" s="1822"/>
      <c r="F8" s="1822"/>
      <c r="G8" s="1822"/>
      <c r="H8" s="395"/>
      <c r="I8" s="399"/>
      <c r="K8" s="1833" t="s">
        <v>303</v>
      </c>
      <c r="L8" s="463"/>
      <c r="M8" s="437"/>
    </row>
    <row r="9" spans="2:13" ht="103.25" customHeight="1">
      <c r="B9" s="1829"/>
      <c r="C9" s="1830"/>
      <c r="D9" s="1823" t="s">
        <v>583</v>
      </c>
      <c r="E9" s="1824"/>
      <c r="F9" s="1824"/>
      <c r="G9" s="1824"/>
      <c r="H9" s="488"/>
      <c r="I9" s="400"/>
      <c r="K9" s="1834"/>
      <c r="L9" s="463"/>
      <c r="M9" s="437"/>
    </row>
    <row r="10" spans="2:13" ht="29.5" customHeight="1" thickBot="1">
      <c r="B10" s="1831"/>
      <c r="C10" s="1832"/>
      <c r="D10" s="1825" t="s">
        <v>1367</v>
      </c>
      <c r="E10" s="1826"/>
      <c r="F10" s="1826"/>
      <c r="G10" s="1826"/>
      <c r="H10" s="397"/>
      <c r="I10" s="405"/>
      <c r="K10" s="1857"/>
      <c r="L10" s="398"/>
      <c r="M10" s="438"/>
    </row>
    <row r="11" spans="2:13" ht="29" thickBot="1">
      <c r="B11" s="1848" t="s">
        <v>125</v>
      </c>
      <c r="C11" s="1849"/>
      <c r="D11" s="772" t="s">
        <v>586</v>
      </c>
      <c r="E11" s="737"/>
      <c r="F11" s="737"/>
      <c r="G11" s="737"/>
      <c r="H11" s="737"/>
      <c r="I11" s="738"/>
      <c r="K11" s="1147" t="s">
        <v>303</v>
      </c>
      <c r="L11" s="355" t="s">
        <v>430</v>
      </c>
      <c r="M11" s="439"/>
    </row>
    <row r="12" spans="2:13" ht="28">
      <c r="B12" s="1840" t="s">
        <v>143</v>
      </c>
      <c r="C12" s="1845" t="s">
        <v>241</v>
      </c>
      <c r="D12" s="722" t="s">
        <v>545</v>
      </c>
      <c r="E12" s="589"/>
      <c r="F12" s="589"/>
      <c r="G12" s="589"/>
      <c r="H12" s="589"/>
      <c r="I12" s="723"/>
      <c r="K12" s="1148" t="s">
        <v>303</v>
      </c>
      <c r="L12" s="396"/>
      <c r="M12" s="440"/>
    </row>
    <row r="13" spans="2:13">
      <c r="B13" s="1841"/>
      <c r="C13" s="1846"/>
      <c r="D13" s="648">
        <f>+'PROGRAMA ARQ.'!L19</f>
        <v>0.90400000000000003</v>
      </c>
      <c r="E13" s="513" t="s">
        <v>258</v>
      </c>
      <c r="F13" s="513"/>
      <c r="G13" s="513"/>
      <c r="H13" s="513"/>
      <c r="I13" s="545"/>
      <c r="K13" s="1149" t="s">
        <v>303</v>
      </c>
      <c r="L13" s="463" t="s">
        <v>547</v>
      </c>
      <c r="M13" s="441"/>
    </row>
    <row r="14" spans="2:13" ht="28.5" customHeight="1">
      <c r="B14" s="1841"/>
      <c r="C14" s="1843" t="s">
        <v>242</v>
      </c>
      <c r="D14" s="640" t="s">
        <v>546</v>
      </c>
      <c r="E14" s="513"/>
      <c r="F14" s="513"/>
      <c r="G14" s="513"/>
      <c r="H14" s="513"/>
      <c r="I14" s="545"/>
      <c r="K14" s="1149" t="s">
        <v>303</v>
      </c>
      <c r="L14" s="82"/>
      <c r="M14" s="441"/>
    </row>
    <row r="15" spans="2:13" s="81" customFormat="1" ht="21" customHeight="1">
      <c r="B15" s="1841"/>
      <c r="C15" s="1847"/>
      <c r="D15" s="631">
        <f>+'PROGRAMA ARQ.'!M19</f>
        <v>0.45200000000000001</v>
      </c>
      <c r="E15" s="512" t="s">
        <v>258</v>
      </c>
      <c r="F15" s="512"/>
      <c r="G15" s="512"/>
      <c r="H15" s="512"/>
      <c r="I15" s="518"/>
      <c r="J15" s="362"/>
      <c r="K15" s="1125" t="s">
        <v>303</v>
      </c>
      <c r="L15" s="507" t="s">
        <v>548</v>
      </c>
      <c r="M15" s="418"/>
    </row>
    <row r="16" spans="2:13">
      <c r="B16" s="1841"/>
      <c r="C16" s="1847"/>
      <c r="D16" s="653" t="s">
        <v>550</v>
      </c>
      <c r="E16" s="513"/>
      <c r="F16" s="513"/>
      <c r="G16" s="513"/>
      <c r="H16" s="513"/>
      <c r="I16" s="545"/>
      <c r="K16" s="1149" t="s">
        <v>303</v>
      </c>
      <c r="L16" s="507"/>
      <c r="M16" s="441"/>
    </row>
    <row r="17" spans="2:13">
      <c r="B17" s="1841"/>
      <c r="C17" s="1846"/>
      <c r="D17" s="628" t="s">
        <v>551</v>
      </c>
      <c r="E17" s="513"/>
      <c r="F17" s="513"/>
      <c r="G17" s="513"/>
      <c r="H17" s="513"/>
      <c r="I17" s="545"/>
      <c r="K17" s="1149" t="s">
        <v>303</v>
      </c>
      <c r="L17" s="585"/>
      <c r="M17" s="441"/>
    </row>
    <row r="18" spans="2:13">
      <c r="B18" s="1841"/>
      <c r="C18" s="740" t="s">
        <v>426</v>
      </c>
      <c r="D18" s="591" t="s">
        <v>552</v>
      </c>
      <c r="E18" s="513"/>
      <c r="F18" s="513"/>
      <c r="G18" s="513"/>
      <c r="H18" s="513"/>
      <c r="I18" s="545"/>
      <c r="K18" s="1150" t="s">
        <v>303</v>
      </c>
      <c r="L18" s="463"/>
      <c r="M18" s="437"/>
    </row>
    <row r="19" spans="2:13">
      <c r="B19" s="1841"/>
      <c r="C19" s="740" t="s">
        <v>243</v>
      </c>
      <c r="D19" s="628" t="s">
        <v>552</v>
      </c>
      <c r="E19" s="513"/>
      <c r="F19" s="513"/>
      <c r="G19" s="513"/>
      <c r="H19" s="513"/>
      <c r="I19" s="545"/>
      <c r="K19" s="1149" t="s">
        <v>303</v>
      </c>
      <c r="L19" s="504"/>
      <c r="M19" s="442"/>
    </row>
    <row r="20" spans="2:13" s="1165" customFormat="1" ht="28">
      <c r="B20" s="1841"/>
      <c r="C20" s="1843" t="s">
        <v>244</v>
      </c>
      <c r="D20" s="1217" t="s">
        <v>502</v>
      </c>
      <c r="E20" s="1167"/>
      <c r="F20" s="1167"/>
      <c r="G20" s="1167"/>
      <c r="H20" s="1167"/>
      <c r="I20" s="1168"/>
      <c r="J20" s="1164"/>
      <c r="K20" s="1218" t="s">
        <v>261</v>
      </c>
      <c r="L20" s="1219"/>
      <c r="M20" s="1208"/>
    </row>
    <row r="21" spans="2:13" ht="29" thickBot="1">
      <c r="B21" s="1842"/>
      <c r="C21" s="1844"/>
      <c r="D21" s="724" t="s">
        <v>553</v>
      </c>
      <c r="E21" s="552"/>
      <c r="F21" s="552"/>
      <c r="G21" s="552"/>
      <c r="H21" s="552"/>
      <c r="I21" s="725"/>
      <c r="K21" s="1152" t="s">
        <v>501</v>
      </c>
      <c r="L21" s="402"/>
      <c r="M21" s="443"/>
    </row>
    <row r="22" spans="2:13">
      <c r="B22" s="1840" t="s">
        <v>144</v>
      </c>
      <c r="C22" s="741" t="s">
        <v>245</v>
      </c>
      <c r="D22" s="726" t="s">
        <v>552</v>
      </c>
      <c r="E22" s="589"/>
      <c r="F22" s="589"/>
      <c r="G22" s="589"/>
      <c r="H22" s="589"/>
      <c r="I22" s="723"/>
      <c r="K22" s="1148" t="s">
        <v>303</v>
      </c>
      <c r="L22" s="403"/>
      <c r="M22" s="440"/>
    </row>
    <row r="23" spans="2:13" ht="15" thickBot="1">
      <c r="B23" s="1842"/>
      <c r="C23" s="742" t="s">
        <v>246</v>
      </c>
      <c r="D23" s="739" t="s">
        <v>552</v>
      </c>
      <c r="E23" s="737"/>
      <c r="F23" s="737"/>
      <c r="G23" s="737"/>
      <c r="H23" s="737"/>
      <c r="I23" s="738"/>
      <c r="K23" s="1153" t="s">
        <v>303</v>
      </c>
      <c r="L23" s="404"/>
      <c r="M23" s="444"/>
    </row>
    <row r="24" spans="2:13">
      <c r="B24" s="1840" t="s">
        <v>141</v>
      </c>
      <c r="C24" s="1854"/>
      <c r="D24" s="726" t="s">
        <v>479</v>
      </c>
      <c r="E24" s="589"/>
      <c r="F24" s="589"/>
      <c r="G24" s="589"/>
      <c r="H24" s="589"/>
      <c r="I24" s="723"/>
      <c r="K24" s="1148" t="s">
        <v>303</v>
      </c>
      <c r="L24" s="396"/>
      <c r="M24" s="440"/>
    </row>
    <row r="25" spans="2:13">
      <c r="B25" s="1841"/>
      <c r="C25" s="1855"/>
      <c r="D25" s="513" t="s">
        <v>876</v>
      </c>
      <c r="E25" s="513"/>
      <c r="F25" s="513"/>
      <c r="G25" s="513"/>
      <c r="H25" s="513"/>
      <c r="I25" s="545"/>
      <c r="K25" s="1150" t="s">
        <v>501</v>
      </c>
      <c r="L25" s="463"/>
      <c r="M25" s="441"/>
    </row>
    <row r="26" spans="2:13">
      <c r="B26" s="1841"/>
      <c r="C26" s="1855"/>
      <c r="D26" s="590" t="s">
        <v>555</v>
      </c>
      <c r="E26" s="513"/>
      <c r="F26" s="513"/>
      <c r="G26" s="513"/>
      <c r="H26" s="513"/>
      <c r="I26" s="545"/>
      <c r="K26" s="1149" t="s">
        <v>303</v>
      </c>
      <c r="L26" s="463"/>
      <c r="M26" s="441"/>
    </row>
    <row r="27" spans="2:13" ht="28">
      <c r="B27" s="1841"/>
      <c r="C27" s="1855"/>
      <c r="D27" s="590" t="s">
        <v>641</v>
      </c>
      <c r="E27" s="513"/>
      <c r="F27" s="513"/>
      <c r="G27" s="513"/>
      <c r="H27" s="513"/>
      <c r="I27" s="545"/>
      <c r="K27" s="1834" t="s">
        <v>501</v>
      </c>
      <c r="L27" s="463"/>
      <c r="M27" s="441"/>
    </row>
    <row r="28" spans="2:13">
      <c r="B28" s="1841"/>
      <c r="C28" s="1855"/>
      <c r="D28" s="590" t="s">
        <v>572</v>
      </c>
      <c r="E28" s="513"/>
      <c r="F28" s="513"/>
      <c r="G28" s="513"/>
      <c r="H28" s="513"/>
      <c r="I28" s="545"/>
      <c r="K28" s="1834"/>
      <c r="L28" s="463"/>
      <c r="M28" s="441"/>
    </row>
    <row r="29" spans="2:13">
      <c r="B29" s="1841"/>
      <c r="C29" s="1855"/>
      <c r="D29" s="590" t="s">
        <v>556</v>
      </c>
      <c r="E29" s="513"/>
      <c r="F29" s="513"/>
      <c r="G29" s="513"/>
      <c r="H29" s="513"/>
      <c r="I29" s="545"/>
      <c r="K29" s="1149" t="s">
        <v>303</v>
      </c>
      <c r="L29" s="463"/>
      <c r="M29" s="441"/>
    </row>
    <row r="30" spans="2:13" ht="29" thickBot="1">
      <c r="B30" s="1842"/>
      <c r="C30" s="1856"/>
      <c r="D30" s="727" t="s">
        <v>476</v>
      </c>
      <c r="E30" s="552"/>
      <c r="F30" s="552"/>
      <c r="G30" s="552"/>
      <c r="H30" s="552"/>
      <c r="I30" s="725"/>
      <c r="K30" s="1153" t="s">
        <v>501</v>
      </c>
      <c r="L30" s="398"/>
      <c r="M30" s="444"/>
    </row>
    <row r="31" spans="2:13" s="1165" customFormat="1" ht="28">
      <c r="B31" s="1840" t="s">
        <v>140</v>
      </c>
      <c r="C31" s="1852" t="s">
        <v>877</v>
      </c>
      <c r="D31" s="1220" t="s">
        <v>878</v>
      </c>
      <c r="E31" s="1162"/>
      <c r="F31" s="1162"/>
      <c r="G31" s="1162"/>
      <c r="H31" s="1162"/>
      <c r="I31" s="1163"/>
      <c r="J31" s="1164"/>
      <c r="K31" s="1221" t="s">
        <v>1418</v>
      </c>
      <c r="L31" s="1222"/>
      <c r="M31" s="1223"/>
    </row>
    <row r="32" spans="2:13" s="1165" customFormat="1">
      <c r="B32" s="1841"/>
      <c r="C32" s="1853"/>
      <c r="D32" s="1217" t="s">
        <v>478</v>
      </c>
      <c r="E32" s="1167"/>
      <c r="F32" s="1167"/>
      <c r="G32" s="1167"/>
      <c r="H32" s="1167"/>
      <c r="I32" s="1168"/>
      <c r="J32" s="1164"/>
      <c r="K32" s="1218" t="s">
        <v>477</v>
      </c>
      <c r="L32" s="1176"/>
      <c r="M32" s="1208"/>
    </row>
    <row r="33" spans="2:104">
      <c r="B33" s="1841"/>
      <c r="C33" s="743" t="s">
        <v>413</v>
      </c>
      <c r="D33" s="643" t="s">
        <v>558</v>
      </c>
      <c r="E33" s="513"/>
      <c r="F33" s="513"/>
      <c r="G33" s="513"/>
      <c r="H33" s="513"/>
      <c r="I33" s="545"/>
      <c r="K33" s="1150" t="s">
        <v>1419</v>
      </c>
      <c r="L33" s="463"/>
      <c r="M33" s="441"/>
    </row>
    <row r="34" spans="2:104">
      <c r="B34" s="1841"/>
      <c r="C34" s="1850" t="s">
        <v>256</v>
      </c>
      <c r="D34" s="628" t="s">
        <v>559</v>
      </c>
      <c r="E34" s="513"/>
      <c r="F34" s="513"/>
      <c r="G34" s="513"/>
      <c r="H34" s="513"/>
      <c r="I34" s="545"/>
      <c r="K34" s="1150"/>
      <c r="L34" s="352"/>
      <c r="M34" s="441"/>
    </row>
    <row r="35" spans="2:104">
      <c r="B35" s="1841"/>
      <c r="C35" s="1851"/>
      <c r="D35" s="628" t="s">
        <v>560</v>
      </c>
      <c r="E35" s="513"/>
      <c r="F35" s="513"/>
      <c r="G35" s="513"/>
      <c r="H35" s="513"/>
      <c r="I35" s="545"/>
      <c r="K35" s="1150"/>
      <c r="L35" s="352"/>
      <c r="M35" s="441"/>
    </row>
    <row r="36" spans="2:104" ht="42">
      <c r="B36" s="1841"/>
      <c r="C36" s="743" t="s">
        <v>595</v>
      </c>
      <c r="D36" s="591" t="s">
        <v>562</v>
      </c>
      <c r="E36" s="513"/>
      <c r="F36" s="513"/>
      <c r="G36" s="513"/>
      <c r="H36" s="513"/>
      <c r="I36" s="545"/>
      <c r="K36" s="1150"/>
      <c r="L36" s="352"/>
      <c r="M36" s="441"/>
    </row>
    <row r="37" spans="2:104" ht="29" thickBot="1">
      <c r="B37" s="1842"/>
      <c r="C37" s="744" t="s">
        <v>561</v>
      </c>
      <c r="D37" s="729" t="s">
        <v>563</v>
      </c>
      <c r="E37" s="552"/>
      <c r="F37" s="552"/>
      <c r="G37" s="552"/>
      <c r="H37" s="552"/>
      <c r="I37" s="725"/>
      <c r="K37" s="1152"/>
      <c r="L37" s="406"/>
      <c r="M37" s="444"/>
    </row>
    <row r="38" spans="2:104">
      <c r="B38" s="1827" t="s">
        <v>123</v>
      </c>
      <c r="C38" s="745" t="s">
        <v>567</v>
      </c>
      <c r="D38" s="589" t="s">
        <v>566</v>
      </c>
      <c r="E38" s="589"/>
      <c r="F38" s="730">
        <v>1</v>
      </c>
      <c r="G38" s="730">
        <f>+F38*'PROGRAMA ARQ.'!$E$19</f>
        <v>2</v>
      </c>
      <c r="H38" s="528"/>
      <c r="I38" s="529"/>
      <c r="K38" s="1148"/>
      <c r="L38" s="384"/>
      <c r="M38" s="440"/>
    </row>
    <row r="39" spans="2:104">
      <c r="B39" s="1829"/>
      <c r="C39" s="746" t="s">
        <v>341</v>
      </c>
      <c r="D39" s="659" t="s">
        <v>582</v>
      </c>
      <c r="E39" s="513"/>
      <c r="F39" s="627">
        <v>1</v>
      </c>
      <c r="G39" s="627">
        <f>+F39*'PROGRAMA ARQ.'!$E$19</f>
        <v>2</v>
      </c>
      <c r="H39" s="512"/>
      <c r="I39" s="518"/>
      <c r="K39" s="1149"/>
      <c r="L39" s="352"/>
      <c r="M39" s="441"/>
    </row>
    <row r="40" spans="2:104">
      <c r="B40" s="1829"/>
      <c r="C40" s="746" t="s">
        <v>78</v>
      </c>
      <c r="D40" s="659" t="s">
        <v>584</v>
      </c>
      <c r="E40" s="513"/>
      <c r="F40" s="627">
        <v>1</v>
      </c>
      <c r="G40" s="627">
        <f>+F40*'PROGRAMA ARQ.'!$E$19</f>
        <v>2</v>
      </c>
      <c r="H40" s="512"/>
      <c r="I40" s="518"/>
      <c r="K40" s="1149"/>
      <c r="L40" s="352"/>
      <c r="M40" s="441"/>
    </row>
    <row r="41" spans="2:104" s="484" customFormat="1">
      <c r="B41" s="1829"/>
      <c r="C41" s="1438" t="s">
        <v>568</v>
      </c>
      <c r="D41" s="634" t="s">
        <v>585</v>
      </c>
      <c r="E41" s="512"/>
      <c r="F41" s="627">
        <v>2</v>
      </c>
      <c r="G41" s="627">
        <f>+F41*'PROGRAMA ARQ.'!$E$19</f>
        <v>4</v>
      </c>
      <c r="H41" s="512"/>
      <c r="I41" s="518"/>
      <c r="J41" s="362"/>
      <c r="K41" s="1437"/>
      <c r="L41" s="367"/>
      <c r="M41" s="418"/>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row>
    <row r="42" spans="2:104">
      <c r="B42" s="1829"/>
      <c r="C42" s="746" t="s">
        <v>577</v>
      </c>
      <c r="D42" s="653" t="s">
        <v>580</v>
      </c>
      <c r="E42" s="513"/>
      <c r="F42" s="627">
        <v>1</v>
      </c>
      <c r="G42" s="627">
        <f>+F42*'PROGRAMA ARQ.'!$E$19</f>
        <v>2</v>
      </c>
      <c r="H42" s="512"/>
      <c r="I42" s="518"/>
      <c r="K42" s="1149"/>
      <c r="L42" s="352"/>
      <c r="M42" s="441"/>
    </row>
    <row r="43" spans="2:104">
      <c r="B43" s="1829"/>
      <c r="C43" s="746" t="s">
        <v>578</v>
      </c>
      <c r="D43" s="653" t="s">
        <v>580</v>
      </c>
      <c r="E43" s="513"/>
      <c r="F43" s="627">
        <v>2</v>
      </c>
      <c r="G43" s="627">
        <f>+F43*'PROGRAMA ARQ.'!$E$19</f>
        <v>4</v>
      </c>
      <c r="H43" s="512"/>
      <c r="I43" s="518"/>
      <c r="K43" s="1149"/>
      <c r="L43" s="352"/>
      <c r="M43" s="441"/>
    </row>
    <row r="44" spans="2:104">
      <c r="B44" s="1829"/>
      <c r="C44" s="746" t="s">
        <v>579</v>
      </c>
      <c r="D44" s="653" t="s">
        <v>581</v>
      </c>
      <c r="E44" s="513"/>
      <c r="F44" s="627">
        <v>1</v>
      </c>
      <c r="G44" s="627">
        <f>+F44*'PROGRAMA ARQ.'!$E$19</f>
        <v>2</v>
      </c>
      <c r="H44" s="512"/>
      <c r="I44" s="518"/>
      <c r="K44" s="1149"/>
      <c r="L44" s="352"/>
      <c r="M44" s="441"/>
    </row>
    <row r="45" spans="2:104">
      <c r="B45" s="1829"/>
      <c r="C45" s="746" t="s">
        <v>342</v>
      </c>
      <c r="D45" s="653" t="s">
        <v>573</v>
      </c>
      <c r="E45" s="513"/>
      <c r="F45" s="627">
        <v>1</v>
      </c>
      <c r="G45" s="627">
        <f>+F45*'PROGRAMA ARQ.'!$E$19</f>
        <v>2</v>
      </c>
      <c r="H45" s="512"/>
      <c r="I45" s="518"/>
      <c r="K45" s="1149"/>
      <c r="L45" s="352"/>
      <c r="M45" s="441"/>
    </row>
    <row r="46" spans="2:104">
      <c r="B46" s="1829"/>
      <c r="C46" s="746" t="s">
        <v>571</v>
      </c>
      <c r="D46" s="653" t="s">
        <v>574</v>
      </c>
      <c r="E46" s="513"/>
      <c r="F46" s="627">
        <v>1</v>
      </c>
      <c r="G46" s="627">
        <f>+F46*'PROGRAMA ARQ.'!$E$19</f>
        <v>2</v>
      </c>
      <c r="H46" s="512"/>
      <c r="I46" s="518"/>
      <c r="K46" s="1149"/>
      <c r="L46" s="352"/>
      <c r="M46" s="441"/>
    </row>
    <row r="47" spans="2:104" ht="15" thickBot="1">
      <c r="B47" s="1831"/>
      <c r="C47" s="747" t="s">
        <v>347</v>
      </c>
      <c r="D47" s="729" t="s">
        <v>609</v>
      </c>
      <c r="E47" s="552"/>
      <c r="F47" s="731">
        <v>3</v>
      </c>
      <c r="G47" s="732">
        <f>+F47*'PROGRAMA ARQ.'!$E$19</f>
        <v>6</v>
      </c>
      <c r="H47" s="519"/>
      <c r="I47" s="520"/>
      <c r="K47" s="1153"/>
      <c r="L47" s="406"/>
      <c r="M47" s="444"/>
    </row>
    <row r="48" spans="2:104" ht="29" customHeight="1">
      <c r="B48" s="1827" t="s">
        <v>124</v>
      </c>
      <c r="C48" s="1865" t="s">
        <v>569</v>
      </c>
      <c r="D48" s="733" t="s">
        <v>564</v>
      </c>
      <c r="E48" s="589"/>
      <c r="F48" s="734">
        <v>2</v>
      </c>
      <c r="G48" s="734">
        <f>+F48*'PROGRAMA ARQ.'!$E$19</f>
        <v>4</v>
      </c>
      <c r="H48" s="589"/>
      <c r="I48" s="723"/>
      <c r="K48" s="1148" t="s">
        <v>303</v>
      </c>
      <c r="L48" s="407"/>
      <c r="M48" s="1837" t="s">
        <v>176</v>
      </c>
    </row>
    <row r="49" spans="2:13" ht="28">
      <c r="B49" s="1829"/>
      <c r="C49" s="1866"/>
      <c r="D49" s="659" t="s">
        <v>565</v>
      </c>
      <c r="E49" s="513"/>
      <c r="F49" s="647"/>
      <c r="G49" s="657"/>
      <c r="H49" s="513"/>
      <c r="I49" s="545"/>
      <c r="K49" s="1149"/>
      <c r="L49" s="367"/>
      <c r="M49" s="1838"/>
    </row>
    <row r="50" spans="2:13">
      <c r="B50" s="1829"/>
      <c r="C50" s="1866"/>
      <c r="D50" s="634" t="s">
        <v>570</v>
      </c>
      <c r="E50" s="513"/>
      <c r="F50" s="647"/>
      <c r="G50" s="657"/>
      <c r="H50" s="513"/>
      <c r="I50" s="545"/>
      <c r="K50" s="1149"/>
      <c r="L50" s="367"/>
      <c r="M50" s="1838"/>
    </row>
    <row r="51" spans="2:13" ht="28">
      <c r="B51" s="1829"/>
      <c r="C51" s="1866"/>
      <c r="D51" s="591" t="s">
        <v>1482</v>
      </c>
      <c r="E51" s="513"/>
      <c r="F51" s="647">
        <v>2</v>
      </c>
      <c r="G51" s="647">
        <f>+F51*'PROGRAMA ARQ.'!$E$19</f>
        <v>4</v>
      </c>
      <c r="H51" s="513"/>
      <c r="I51" s="545"/>
      <c r="K51" s="1149"/>
      <c r="L51" s="367"/>
      <c r="M51" s="1838"/>
    </row>
    <row r="52" spans="2:13" ht="28">
      <c r="B52" s="1829"/>
      <c r="C52" s="1867" t="s">
        <v>587</v>
      </c>
      <c r="D52" s="653" t="s">
        <v>591</v>
      </c>
      <c r="E52" s="513"/>
      <c r="F52" s="647">
        <v>20</v>
      </c>
      <c r="G52" s="647">
        <f>+F52*'PROGRAMA ARQ.'!$E$19</f>
        <v>40</v>
      </c>
      <c r="H52" s="513"/>
      <c r="I52" s="545"/>
      <c r="K52" s="1149" t="s">
        <v>303</v>
      </c>
      <c r="L52" s="352"/>
      <c r="M52" s="1839" t="s">
        <v>593</v>
      </c>
    </row>
    <row r="53" spans="2:13" ht="28">
      <c r="B53" s="1829"/>
      <c r="C53" s="1867"/>
      <c r="D53" s="653" t="s">
        <v>590</v>
      </c>
      <c r="E53" s="513"/>
      <c r="F53" s="647"/>
      <c r="G53" s="657"/>
      <c r="H53" s="513"/>
      <c r="I53" s="545"/>
      <c r="K53" s="1149"/>
      <c r="L53" s="352"/>
      <c r="M53" s="1839"/>
    </row>
    <row r="54" spans="2:13" ht="60" customHeight="1" thickBot="1">
      <c r="B54" s="1831"/>
      <c r="C54" s="748" t="s">
        <v>588</v>
      </c>
      <c r="D54" s="729" t="s">
        <v>1066</v>
      </c>
      <c r="E54" s="552"/>
      <c r="F54" s="735">
        <v>1</v>
      </c>
      <c r="G54" s="735">
        <f>+F54*'PROGRAMA ARQ.'!$E$19</f>
        <v>2</v>
      </c>
      <c r="H54" s="552"/>
      <c r="I54" s="725"/>
      <c r="K54" s="1153"/>
      <c r="L54" s="406"/>
      <c r="M54" s="445" t="s">
        <v>594</v>
      </c>
    </row>
    <row r="55" spans="2:13" ht="15" thickBot="1">
      <c r="B55" s="1848" t="s">
        <v>132</v>
      </c>
      <c r="C55" s="1849"/>
      <c r="D55" s="749" t="s">
        <v>589</v>
      </c>
      <c r="E55" s="593"/>
      <c r="F55" s="593"/>
      <c r="G55" s="750"/>
      <c r="H55" s="593"/>
      <c r="I55" s="721"/>
      <c r="K55" s="1148" t="s">
        <v>303</v>
      </c>
      <c r="L55" s="396"/>
      <c r="M55" s="440"/>
    </row>
    <row r="56" spans="2:13" ht="14.5" customHeight="1">
      <c r="B56" s="1840" t="s">
        <v>133</v>
      </c>
      <c r="C56" s="1868"/>
      <c r="D56" s="751" t="s">
        <v>474</v>
      </c>
      <c r="E56" s="589"/>
      <c r="F56" s="589">
        <v>1</v>
      </c>
      <c r="G56" s="734">
        <f>+F56*'PROGRAMA ARQ.'!$E$19</f>
        <v>2</v>
      </c>
      <c r="H56" s="589"/>
      <c r="I56" s="723"/>
      <c r="K56" s="1833" t="s">
        <v>303</v>
      </c>
      <c r="L56" s="475"/>
      <c r="M56" s="1837" t="s">
        <v>600</v>
      </c>
    </row>
    <row r="57" spans="2:13" s="81" customFormat="1">
      <c r="B57" s="1841"/>
      <c r="C57" s="1869"/>
      <c r="D57" s="634" t="s">
        <v>529</v>
      </c>
      <c r="E57" s="512"/>
      <c r="F57" s="512"/>
      <c r="G57" s="512"/>
      <c r="H57" s="512"/>
      <c r="I57" s="518"/>
      <c r="J57" s="362"/>
      <c r="K57" s="1834"/>
      <c r="L57" s="478"/>
      <c r="M57" s="1838"/>
    </row>
    <row r="58" spans="2:13" s="81" customFormat="1" ht="28">
      <c r="B58" s="1841"/>
      <c r="C58" s="1869"/>
      <c r="D58" s="634" t="s">
        <v>530</v>
      </c>
      <c r="E58" s="512"/>
      <c r="F58" s="512"/>
      <c r="G58" s="512"/>
      <c r="H58" s="512"/>
      <c r="I58" s="518"/>
      <c r="J58" s="362"/>
      <c r="K58" s="1834"/>
      <c r="L58" s="478"/>
      <c r="M58" s="1838"/>
    </row>
    <row r="59" spans="2:13" s="81" customFormat="1">
      <c r="B59" s="1841"/>
      <c r="C59" s="1869"/>
      <c r="D59" s="634" t="s">
        <v>635</v>
      </c>
      <c r="E59" s="512"/>
      <c r="F59" s="512"/>
      <c r="G59" s="512"/>
      <c r="H59" s="512"/>
      <c r="I59" s="518"/>
      <c r="J59" s="362"/>
      <c r="K59" s="1834"/>
      <c r="L59" s="478"/>
      <c r="M59" s="1838"/>
    </row>
    <row r="60" spans="2:13" ht="21.5" customHeight="1">
      <c r="B60" s="1841"/>
      <c r="C60" s="1869"/>
      <c r="D60" s="653" t="s">
        <v>592</v>
      </c>
      <c r="E60" s="513"/>
      <c r="F60" s="513"/>
      <c r="G60" s="513"/>
      <c r="H60" s="513"/>
      <c r="I60" s="545"/>
      <c r="K60" s="1834"/>
      <c r="L60" s="476"/>
      <c r="M60" s="1838"/>
    </row>
    <row r="61" spans="2:13" ht="15" thickBot="1">
      <c r="B61" s="1842"/>
      <c r="C61" s="1870"/>
      <c r="D61" s="752" t="s">
        <v>599</v>
      </c>
      <c r="E61" s="552"/>
      <c r="F61" s="552"/>
      <c r="G61" s="552"/>
      <c r="H61" s="552"/>
      <c r="I61" s="725"/>
      <c r="K61" s="1153"/>
      <c r="L61" s="477"/>
      <c r="M61" s="445"/>
    </row>
    <row r="62" spans="2:13">
      <c r="B62" s="1829" t="s">
        <v>134</v>
      </c>
      <c r="C62" s="753" t="s">
        <v>404</v>
      </c>
      <c r="D62" s="751" t="s">
        <v>601</v>
      </c>
      <c r="E62" s="589"/>
      <c r="F62" s="589"/>
      <c r="G62" s="589"/>
      <c r="H62" s="589"/>
      <c r="I62" s="723"/>
      <c r="K62" s="1835"/>
      <c r="L62" s="474"/>
      <c r="M62" s="441"/>
    </row>
    <row r="63" spans="2:13" ht="15" thickBot="1">
      <c r="B63" s="1831"/>
      <c r="C63" s="754" t="s">
        <v>602</v>
      </c>
      <c r="D63" s="755" t="s">
        <v>473</v>
      </c>
      <c r="E63" s="552"/>
      <c r="F63" s="552"/>
      <c r="G63" s="552"/>
      <c r="H63" s="552"/>
      <c r="I63" s="725"/>
      <c r="K63" s="1836"/>
      <c r="L63" s="398" t="s">
        <v>472</v>
      </c>
      <c r="M63" s="444"/>
    </row>
    <row r="64" spans="2:13" ht="48" customHeight="1">
      <c r="B64" s="1827" t="s">
        <v>135</v>
      </c>
      <c r="C64" s="753" t="s">
        <v>603</v>
      </c>
      <c r="D64" s="726" t="s">
        <v>549</v>
      </c>
      <c r="E64" s="589"/>
      <c r="F64" s="589"/>
      <c r="G64" s="589"/>
      <c r="H64" s="589"/>
      <c r="I64" s="723"/>
      <c r="K64" s="1148" t="s">
        <v>303</v>
      </c>
      <c r="L64" s="410" t="s">
        <v>428</v>
      </c>
      <c r="M64" s="440"/>
    </row>
    <row r="65" spans="1:13" s="1165" customFormat="1">
      <c r="B65" s="1829"/>
      <c r="C65" s="1224" t="s">
        <v>248</v>
      </c>
      <c r="D65" s="1225" t="s">
        <v>322</v>
      </c>
      <c r="E65" s="1167"/>
      <c r="F65" s="1167"/>
      <c r="G65" s="1167"/>
      <c r="H65" s="1167"/>
      <c r="I65" s="1168"/>
      <c r="J65" s="1164"/>
      <c r="K65" s="1218" t="s">
        <v>718</v>
      </c>
      <c r="L65" s="1176"/>
      <c r="M65" s="1208"/>
    </row>
    <row r="66" spans="1:13" s="1165" customFormat="1">
      <c r="B66" s="1829"/>
      <c r="C66" s="1224" t="s">
        <v>249</v>
      </c>
      <c r="D66" s="1226" t="s">
        <v>322</v>
      </c>
      <c r="E66" s="1167"/>
      <c r="F66" s="1167"/>
      <c r="G66" s="1167"/>
      <c r="H66" s="1167"/>
      <c r="I66" s="1168"/>
      <c r="J66" s="1164"/>
      <c r="K66" s="1218" t="s">
        <v>718</v>
      </c>
      <c r="L66" s="1176"/>
      <c r="M66" s="1208"/>
    </row>
    <row r="67" spans="1:13">
      <c r="B67" s="1829"/>
      <c r="C67" s="1861" t="s">
        <v>250</v>
      </c>
      <c r="D67" s="634" t="s">
        <v>325</v>
      </c>
      <c r="E67" s="513"/>
      <c r="F67" s="513"/>
      <c r="G67" s="513"/>
      <c r="H67" s="513"/>
      <c r="I67" s="545"/>
      <c r="K67" s="1150"/>
      <c r="L67" s="463"/>
      <c r="M67" s="441"/>
    </row>
    <row r="68" spans="1:13">
      <c r="B68" s="1829"/>
      <c r="C68" s="1861"/>
      <c r="D68" s="634" t="s">
        <v>537</v>
      </c>
      <c r="E68" s="513"/>
      <c r="F68" s="513"/>
      <c r="G68" s="513"/>
      <c r="H68" s="513"/>
      <c r="I68" s="545"/>
      <c r="K68" s="1150"/>
      <c r="L68" s="463"/>
      <c r="M68" s="441"/>
    </row>
    <row r="69" spans="1:13" ht="15" thickBot="1">
      <c r="B69" s="1831"/>
      <c r="C69" s="1862"/>
      <c r="D69" s="755" t="s">
        <v>326</v>
      </c>
      <c r="E69" s="552"/>
      <c r="F69" s="552"/>
      <c r="G69" s="552"/>
      <c r="H69" s="552"/>
      <c r="I69" s="725"/>
      <c r="K69" s="1153" t="s">
        <v>303</v>
      </c>
      <c r="L69" s="398"/>
      <c r="M69" s="444"/>
    </row>
    <row r="70" spans="1:13" ht="14.5" customHeight="1">
      <c r="A70" s="1858" t="s">
        <v>137</v>
      </c>
      <c r="B70" s="1827" t="s">
        <v>138</v>
      </c>
      <c r="C70" s="1863" t="s">
        <v>438</v>
      </c>
      <c r="D70" s="756" t="s">
        <v>605</v>
      </c>
      <c r="E70" s="589"/>
      <c r="F70" s="589"/>
      <c r="G70" s="589"/>
      <c r="H70" s="589"/>
      <c r="I70" s="723"/>
      <c r="K70" s="1148"/>
      <c r="L70" s="396"/>
      <c r="M70" s="440"/>
    </row>
    <row r="71" spans="1:13" ht="29.25" customHeight="1">
      <c r="A71" s="1859"/>
      <c r="B71" s="1829"/>
      <c r="C71" s="1864"/>
      <c r="D71" s="590" t="s">
        <v>1582</v>
      </c>
      <c r="E71" s="513"/>
      <c r="F71" s="513">
        <v>2</v>
      </c>
      <c r="G71" s="513">
        <f>+F71*'PROGRAMA ARQ.'!$E$19</f>
        <v>4</v>
      </c>
      <c r="H71" s="513"/>
      <c r="I71" s="545"/>
      <c r="K71" s="1150" t="s">
        <v>303</v>
      </c>
      <c r="L71" s="504" t="s">
        <v>398</v>
      </c>
      <c r="M71" s="441"/>
    </row>
    <row r="72" spans="1:13" ht="28">
      <c r="A72" s="1859"/>
      <c r="B72" s="1829"/>
      <c r="C72" s="1864"/>
      <c r="D72" s="591" t="s">
        <v>883</v>
      </c>
      <c r="E72" s="513"/>
      <c r="F72" s="513">
        <v>2</v>
      </c>
      <c r="G72" s="513">
        <f>+F72*'PROGRAMA ARQ.'!$E$19</f>
        <v>4</v>
      </c>
      <c r="H72" s="513"/>
      <c r="I72" s="545"/>
      <c r="K72" s="1150" t="s">
        <v>303</v>
      </c>
      <c r="L72" s="504" t="s">
        <v>398</v>
      </c>
      <c r="M72" s="441"/>
    </row>
    <row r="73" spans="1:13">
      <c r="A73" s="1859"/>
      <c r="B73" s="1829"/>
      <c r="C73" s="757" t="s">
        <v>251</v>
      </c>
      <c r="D73" s="591" t="s">
        <v>604</v>
      </c>
      <c r="E73" s="513"/>
      <c r="F73" s="513">
        <v>1</v>
      </c>
      <c r="G73" s="513">
        <f>+F73*'PROGRAMA ARQ.'!$E$19</f>
        <v>2</v>
      </c>
      <c r="H73" s="513"/>
      <c r="I73" s="545"/>
      <c r="K73" s="1150" t="s">
        <v>303</v>
      </c>
      <c r="L73" s="504" t="s">
        <v>398</v>
      </c>
      <c r="M73" s="441"/>
    </row>
    <row r="74" spans="1:13">
      <c r="A74" s="1859"/>
      <c r="B74" s="1829"/>
      <c r="C74" s="757" t="s">
        <v>253</v>
      </c>
      <c r="D74" s="513" t="s">
        <v>298</v>
      </c>
      <c r="E74" s="513"/>
      <c r="F74" s="513"/>
      <c r="G74" s="642"/>
      <c r="H74" s="513"/>
      <c r="I74" s="545"/>
      <c r="K74" s="1149"/>
      <c r="L74" s="463"/>
      <c r="M74" s="441"/>
    </row>
    <row r="75" spans="1:13" ht="15" thickBot="1">
      <c r="A75" s="1859"/>
      <c r="B75" s="1831"/>
      <c r="C75" s="758" t="s">
        <v>255</v>
      </c>
      <c r="D75" s="552" t="s">
        <v>298</v>
      </c>
      <c r="E75" s="552"/>
      <c r="F75" s="552"/>
      <c r="G75" s="759"/>
      <c r="H75" s="552"/>
      <c r="I75" s="725"/>
      <c r="K75" s="1153"/>
      <c r="L75" s="411" t="s">
        <v>398</v>
      </c>
      <c r="M75" s="444"/>
    </row>
    <row r="76" spans="1:13" ht="28">
      <c r="A76" s="1859"/>
      <c r="B76" s="1827" t="s">
        <v>139</v>
      </c>
      <c r="C76" s="760" t="s">
        <v>256</v>
      </c>
      <c r="D76" s="761" t="s">
        <v>606</v>
      </c>
      <c r="E76" s="589"/>
      <c r="F76" s="589"/>
      <c r="G76" s="762"/>
      <c r="H76" s="589"/>
      <c r="I76" s="723"/>
      <c r="K76" s="1148"/>
      <c r="L76" s="412" t="s">
        <v>398</v>
      </c>
      <c r="M76" s="440"/>
    </row>
    <row r="77" spans="1:13" ht="29" thickBot="1">
      <c r="A77" s="1859"/>
      <c r="B77" s="1831"/>
      <c r="C77" s="763" t="s">
        <v>257</v>
      </c>
      <c r="D77" s="752" t="s">
        <v>333</v>
      </c>
      <c r="E77" s="552"/>
      <c r="F77" s="552"/>
      <c r="G77" s="759"/>
      <c r="H77" s="552"/>
      <c r="I77" s="725"/>
      <c r="K77" s="1153"/>
      <c r="L77" s="398"/>
      <c r="M77" s="444"/>
    </row>
    <row r="78" spans="1:13" ht="28">
      <c r="A78" s="1859"/>
      <c r="B78" s="1827" t="s">
        <v>142</v>
      </c>
      <c r="C78" s="1828"/>
      <c r="D78" s="764" t="s">
        <v>610</v>
      </c>
      <c r="E78" s="589"/>
      <c r="F78" s="589"/>
      <c r="G78" s="762"/>
      <c r="H78" s="589"/>
      <c r="I78" s="723"/>
      <c r="K78" s="1148"/>
      <c r="L78" s="396"/>
      <c r="M78" s="440"/>
    </row>
    <row r="79" spans="1:13">
      <c r="A79" s="1859"/>
      <c r="B79" s="1829"/>
      <c r="C79" s="1830"/>
      <c r="D79" s="652" t="s">
        <v>1485</v>
      </c>
      <c r="E79" s="513"/>
      <c r="F79" s="513"/>
      <c r="G79" s="642"/>
      <c r="H79" s="513"/>
      <c r="I79" s="545"/>
      <c r="K79" s="1149"/>
      <c r="L79" s="463"/>
      <c r="M79" s="441"/>
    </row>
    <row r="80" spans="1:13" ht="30.5" customHeight="1" thickBot="1">
      <c r="A80" s="1859"/>
      <c r="B80" s="1831"/>
      <c r="C80" s="1832"/>
      <c r="D80" s="752" t="s">
        <v>611</v>
      </c>
      <c r="E80" s="552"/>
      <c r="F80" s="552"/>
      <c r="G80" s="759"/>
      <c r="H80" s="552"/>
      <c r="I80" s="725"/>
      <c r="K80" s="1153"/>
      <c r="L80" s="398"/>
      <c r="M80" s="444"/>
    </row>
    <row r="81" spans="1:13" ht="15" thickBot="1">
      <c r="A81" s="1860"/>
      <c r="B81" s="1848" t="s">
        <v>264</v>
      </c>
      <c r="C81" s="1849"/>
      <c r="D81" s="765" t="s">
        <v>608</v>
      </c>
      <c r="E81" s="593"/>
      <c r="F81" s="593"/>
      <c r="G81" s="593"/>
      <c r="H81" s="593"/>
      <c r="I81" s="721"/>
      <c r="K81" s="1147"/>
      <c r="L81" s="355" t="s">
        <v>396</v>
      </c>
      <c r="M81" s="439"/>
    </row>
  </sheetData>
  <autoFilter ref="A1:M81"/>
  <mergeCells count="42">
    <mergeCell ref="K8:K10"/>
    <mergeCell ref="K27:K28"/>
    <mergeCell ref="A70:A81"/>
    <mergeCell ref="B64:B69"/>
    <mergeCell ref="B76:B77"/>
    <mergeCell ref="C67:C69"/>
    <mergeCell ref="C70:C72"/>
    <mergeCell ref="B70:B75"/>
    <mergeCell ref="B78:C80"/>
    <mergeCell ref="B81:C81"/>
    <mergeCell ref="B62:B63"/>
    <mergeCell ref="C48:C51"/>
    <mergeCell ref="B38:B47"/>
    <mergeCell ref="B48:B54"/>
    <mergeCell ref="C52:C53"/>
    <mergeCell ref="C56:C61"/>
    <mergeCell ref="B56:B61"/>
    <mergeCell ref="B55:C55"/>
    <mergeCell ref="B22:B23"/>
    <mergeCell ref="B31:B37"/>
    <mergeCell ref="C34:C35"/>
    <mergeCell ref="C31:C32"/>
    <mergeCell ref="B24:B30"/>
    <mergeCell ref="C24:C30"/>
    <mergeCell ref="B12:B21"/>
    <mergeCell ref="C20:C21"/>
    <mergeCell ref="C12:C13"/>
    <mergeCell ref="C14:C17"/>
    <mergeCell ref="B11:C11"/>
    <mergeCell ref="K56:K60"/>
    <mergeCell ref="K62:K63"/>
    <mergeCell ref="M48:M51"/>
    <mergeCell ref="M52:M53"/>
    <mergeCell ref="M56:M60"/>
    <mergeCell ref="B2:I2"/>
    <mergeCell ref="E5:I5"/>
    <mergeCell ref="D8:G8"/>
    <mergeCell ref="D9:G9"/>
    <mergeCell ref="D10:G10"/>
    <mergeCell ref="E3:I3"/>
    <mergeCell ref="E4:I4"/>
    <mergeCell ref="B8:C10"/>
  </mergeCells>
  <conditionalFormatting sqref="B6:M7">
    <cfRule type="containsText" dxfId="65" priority="1" operator="containsText" text="0">
      <formula>NOT(ISERROR(SEARCH("0",B6)))</formula>
    </cfRule>
  </conditionalFormatting>
  <pageMargins left="0.70866141732283472" right="0.70866141732283472" top="0.74803149606299213" bottom="0.74803149606299213" header="0.31496062992125984" footer="0.31496062992125984"/>
  <pageSetup scale="67" fitToHeight="0" orientation="portrait"/>
  <rowBreaks count="2" manualBreakCount="2">
    <brk id="37" max="8" man="1"/>
    <brk id="69" max="8" man="1"/>
  </rowBreaks>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theme="3" tint="0.79998168889431442"/>
    <pageSetUpPr fitToPage="1"/>
  </sheetPr>
  <dimension ref="A1:N89"/>
  <sheetViews>
    <sheetView zoomScale="80" zoomScaleNormal="80" zoomScaleSheetLayoutView="100" zoomScalePageLayoutView="80" workbookViewId="0">
      <selection activeCell="K8" sqref="K8:K14"/>
    </sheetView>
  </sheetViews>
  <sheetFormatPr baseColWidth="10" defaultColWidth="11.5" defaultRowHeight="14" x14ac:dyDescent="0"/>
  <cols>
    <col min="1" max="1" width="2.83203125" style="310" customWidth="1"/>
    <col min="2" max="2" width="30.6640625" style="377" customWidth="1"/>
    <col min="3" max="3" width="30.6640625" style="351" customWidth="1"/>
    <col min="4" max="4" width="63.5" style="350" bestFit="1" customWidth="1"/>
    <col min="5" max="9" width="3.6640625" style="350" customWidth="1"/>
    <col min="10" max="10" width="7.5" style="362" customWidth="1"/>
    <col min="11" max="11" width="50.6640625" style="1123" customWidth="1"/>
    <col min="12" max="12" width="30.6640625" style="351" customWidth="1"/>
    <col min="13" max="13" width="3.6640625" style="350" customWidth="1"/>
    <col min="14" max="16384" width="11.5" style="310"/>
  </cols>
  <sheetData>
    <row r="1" spans="2:13" ht="15" thickBot="1"/>
    <row r="2" spans="2:13" s="81" customFormat="1" ht="69" customHeight="1" thickBot="1">
      <c r="B2" s="1743"/>
      <c r="C2" s="1744"/>
      <c r="D2" s="1744"/>
      <c r="E2" s="1744"/>
      <c r="F2" s="1744"/>
      <c r="G2" s="1744"/>
      <c r="H2" s="1744"/>
      <c r="I2" s="1745"/>
      <c r="J2" s="382"/>
      <c r="K2" s="507"/>
      <c r="L2" s="507"/>
      <c r="M2" s="362"/>
    </row>
    <row r="3" spans="2:13" s="81" customFormat="1" ht="25.25" customHeight="1" thickBot="1">
      <c r="B3" s="820" t="s">
        <v>1385</v>
      </c>
      <c r="C3" s="821"/>
      <c r="D3" s="822"/>
      <c r="E3" s="1746" t="str">
        <f>+'PROGRAMA ARQ.'!E4</f>
        <v>2 SALAS CUNAS</v>
      </c>
      <c r="F3" s="1747"/>
      <c r="G3" s="1747"/>
      <c r="H3" s="1747"/>
      <c r="I3" s="1748"/>
      <c r="J3" s="382"/>
      <c r="K3" s="507"/>
      <c r="L3" s="507"/>
      <c r="M3" s="362"/>
    </row>
    <row r="4" spans="2:13" s="81" customFormat="1" ht="25.25" customHeight="1" thickBot="1">
      <c r="B4" s="823">
        <f>+'PROGRAMA ARQ.'!I4:I5</f>
        <v>152</v>
      </c>
      <c r="C4" s="505"/>
      <c r="D4" s="661"/>
      <c r="E4" s="1737" t="str">
        <f>+'PROGRAMA ARQ.'!E5</f>
        <v>4 NIVELES MEDIOS</v>
      </c>
      <c r="F4" s="1738"/>
      <c r="G4" s="1738"/>
      <c r="H4" s="1738"/>
      <c r="I4" s="1739"/>
      <c r="J4" s="382"/>
      <c r="K4" s="507"/>
      <c r="L4" s="507"/>
      <c r="M4" s="362"/>
    </row>
    <row r="5" spans="2:13" s="81" customFormat="1" ht="15" thickBot="1">
      <c r="B5" s="695" t="s">
        <v>1374</v>
      </c>
      <c r="C5" s="235" t="s">
        <v>1375</v>
      </c>
      <c r="D5" s="235" t="s">
        <v>1376</v>
      </c>
      <c r="E5" s="1818" t="s">
        <v>1377</v>
      </c>
      <c r="F5" s="1819"/>
      <c r="G5" s="1819"/>
      <c r="H5" s="1819"/>
      <c r="I5" s="1820"/>
      <c r="J5" s="675"/>
      <c r="K5" s="507"/>
      <c r="L5" s="507"/>
      <c r="M5" s="362"/>
    </row>
    <row r="6" spans="2:13" s="616" customFormat="1" ht="75" customHeight="1" thickBot="1">
      <c r="B6" s="835" t="str">
        <f>+'PROGRAMA ARQ.'!C20</f>
        <v>1.3</v>
      </c>
      <c r="C6" s="835" t="str">
        <f>+'PROGRAMA ARQ.'!D20</f>
        <v>SALA EXPANSIÓN SALA CUNA</v>
      </c>
      <c r="D6" s="836">
        <f>+'PROGRAMA ARQ.'!F20</f>
        <v>20</v>
      </c>
      <c r="E6" s="848" t="s">
        <v>366</v>
      </c>
      <c r="F6" s="838" t="s">
        <v>544</v>
      </c>
      <c r="G6" s="838" t="s">
        <v>2</v>
      </c>
      <c r="H6" s="838" t="s">
        <v>171</v>
      </c>
      <c r="I6" s="840" t="s">
        <v>172</v>
      </c>
      <c r="J6" s="608"/>
      <c r="K6" s="1240" t="s">
        <v>293</v>
      </c>
      <c r="L6" s="849" t="s">
        <v>120</v>
      </c>
      <c r="M6" s="850" t="s">
        <v>178</v>
      </c>
    </row>
    <row r="7" spans="2:13" s="367" customFormat="1" ht="16" thickBot="1">
      <c r="B7" s="719" t="s">
        <v>1378</v>
      </c>
      <c r="C7" s="719" t="s">
        <v>1379</v>
      </c>
      <c r="D7" s="666" t="s">
        <v>1380</v>
      </c>
      <c r="E7" s="663"/>
      <c r="F7" s="664"/>
      <c r="G7" s="664"/>
      <c r="H7" s="663"/>
      <c r="I7" s="665"/>
      <c r="J7" s="595"/>
      <c r="K7" s="235"/>
      <c r="L7" s="696"/>
      <c r="M7" s="697"/>
    </row>
    <row r="8" spans="2:13" ht="72" customHeight="1">
      <c r="B8" s="1889" t="s">
        <v>122</v>
      </c>
      <c r="C8" s="1884"/>
      <c r="D8" s="1887" t="s">
        <v>1381</v>
      </c>
      <c r="E8" s="1887"/>
      <c r="F8" s="1887"/>
      <c r="G8" s="1887"/>
      <c r="H8" s="395"/>
      <c r="I8" s="399"/>
      <c r="K8" s="1873" t="s">
        <v>1421</v>
      </c>
      <c r="L8" s="456" t="s">
        <v>482</v>
      </c>
      <c r="M8" s="437"/>
    </row>
    <row r="9" spans="2:13">
      <c r="B9" s="1890"/>
      <c r="C9" s="1885"/>
      <c r="D9" s="1888" t="s">
        <v>613</v>
      </c>
      <c r="E9" s="1888"/>
      <c r="F9" s="1888"/>
      <c r="G9" s="1888"/>
      <c r="H9" s="487"/>
      <c r="I9" s="400"/>
      <c r="K9" s="1874"/>
      <c r="L9" s="389"/>
      <c r="M9" s="437"/>
    </row>
    <row r="10" spans="2:13">
      <c r="B10" s="1890"/>
      <c r="C10" s="1885"/>
      <c r="D10" s="1888" t="s">
        <v>1367</v>
      </c>
      <c r="E10" s="1888"/>
      <c r="F10" s="1888"/>
      <c r="G10" s="1888"/>
      <c r="H10" s="487"/>
      <c r="I10" s="400"/>
      <c r="K10" s="1874"/>
      <c r="L10" s="463"/>
      <c r="M10" s="437"/>
    </row>
    <row r="11" spans="2:13">
      <c r="B11" s="1890"/>
      <c r="C11" s="1885"/>
      <c r="D11" s="1888" t="s">
        <v>869</v>
      </c>
      <c r="E11" s="1888"/>
      <c r="F11" s="1888"/>
      <c r="G11" s="1888"/>
      <c r="H11" s="487"/>
      <c r="I11" s="400"/>
      <c r="K11" s="1874"/>
      <c r="L11" s="454"/>
      <c r="M11" s="437"/>
    </row>
    <row r="12" spans="2:13" ht="15" thickBot="1">
      <c r="B12" s="1891"/>
      <c r="C12" s="1886"/>
      <c r="D12" s="1826" t="s">
        <v>870</v>
      </c>
      <c r="E12" s="1826"/>
      <c r="F12" s="1826"/>
      <c r="G12" s="1826"/>
      <c r="H12" s="397"/>
      <c r="I12" s="405"/>
      <c r="K12" s="1875"/>
      <c r="L12" s="455"/>
      <c r="M12" s="438"/>
    </row>
    <row r="13" spans="2:13" ht="84">
      <c r="B13" s="1827" t="s">
        <v>125</v>
      </c>
      <c r="C13" s="1900"/>
      <c r="D13" s="773" t="s">
        <v>619</v>
      </c>
      <c r="E13" s="589"/>
      <c r="F13" s="589"/>
      <c r="G13" s="589"/>
      <c r="H13" s="589"/>
      <c r="I13" s="723"/>
      <c r="K13" s="1142" t="s">
        <v>1421</v>
      </c>
      <c r="L13" s="357" t="s">
        <v>430</v>
      </c>
      <c r="M13" s="440"/>
    </row>
    <row r="14" spans="2:13" s="81" customFormat="1" ht="29" thickBot="1">
      <c r="B14" s="1831"/>
      <c r="C14" s="1901"/>
      <c r="D14" s="774" t="s">
        <v>492</v>
      </c>
      <c r="E14" s="519"/>
      <c r="F14" s="519"/>
      <c r="G14" s="519"/>
      <c r="H14" s="519"/>
      <c r="I14" s="520"/>
      <c r="J14" s="362"/>
      <c r="K14" s="448" t="s">
        <v>1406</v>
      </c>
      <c r="L14" s="448"/>
      <c r="M14" s="419"/>
    </row>
    <row r="15" spans="2:13" ht="28">
      <c r="B15" s="1827" t="s">
        <v>143</v>
      </c>
      <c r="C15" s="1892" t="s">
        <v>241</v>
      </c>
      <c r="D15" s="722" t="s">
        <v>488</v>
      </c>
      <c r="E15" s="589"/>
      <c r="F15" s="589"/>
      <c r="G15" s="589"/>
      <c r="H15" s="589"/>
      <c r="I15" s="723"/>
      <c r="K15" s="1876" t="s">
        <v>1406</v>
      </c>
      <c r="L15" s="473" t="s">
        <v>674</v>
      </c>
      <c r="M15" s="441"/>
    </row>
    <row r="16" spans="2:13">
      <c r="B16" s="1829"/>
      <c r="C16" s="1893"/>
      <c r="D16" s="631">
        <f>+'PROGRAMA ARQ.'!L20</f>
        <v>3.4000000000000004</v>
      </c>
      <c r="E16" s="513" t="s">
        <v>258</v>
      </c>
      <c r="F16" s="513"/>
      <c r="G16" s="513"/>
      <c r="H16" s="513"/>
      <c r="I16" s="545"/>
      <c r="K16" s="1877"/>
      <c r="L16" s="457" t="s">
        <v>627</v>
      </c>
      <c r="M16" s="441"/>
    </row>
    <row r="17" spans="2:14" s="1165" customFormat="1" ht="28">
      <c r="B17" s="1829"/>
      <c r="C17" s="1893"/>
      <c r="D17" s="1243" t="s">
        <v>429</v>
      </c>
      <c r="E17" s="1167"/>
      <c r="F17" s="1167"/>
      <c r="G17" s="1167"/>
      <c r="H17" s="1167"/>
      <c r="I17" s="1168"/>
      <c r="J17" s="1164"/>
      <c r="K17" s="1234" t="s">
        <v>871</v>
      </c>
      <c r="L17" s="1244"/>
      <c r="M17" s="1245"/>
      <c r="N17" s="1176"/>
    </row>
    <row r="18" spans="2:14" ht="28">
      <c r="B18" s="1829"/>
      <c r="C18" s="1893"/>
      <c r="D18" s="633" t="s">
        <v>615</v>
      </c>
      <c r="E18" s="513"/>
      <c r="F18" s="513"/>
      <c r="G18" s="513"/>
      <c r="H18" s="513"/>
      <c r="I18" s="545"/>
      <c r="K18" s="1142" t="s">
        <v>1406</v>
      </c>
      <c r="L18" s="457" t="s">
        <v>428</v>
      </c>
      <c r="M18" s="441"/>
    </row>
    <row r="19" spans="2:14">
      <c r="B19" s="1829"/>
      <c r="C19" s="1893"/>
      <c r="D19" s="590" t="s">
        <v>872</v>
      </c>
      <c r="E19" s="513"/>
      <c r="F19" s="513"/>
      <c r="G19" s="513"/>
      <c r="H19" s="513"/>
      <c r="I19" s="545"/>
      <c r="K19" s="1142" t="s">
        <v>1421</v>
      </c>
      <c r="L19" s="457" t="s">
        <v>427</v>
      </c>
      <c r="M19" s="441"/>
    </row>
    <row r="20" spans="2:14">
      <c r="B20" s="1829"/>
      <c r="C20" s="1893" t="s">
        <v>242</v>
      </c>
      <c r="D20" s="640" t="s">
        <v>489</v>
      </c>
      <c r="E20" s="513"/>
      <c r="F20" s="513"/>
      <c r="G20" s="513"/>
      <c r="H20" s="513"/>
      <c r="I20" s="545"/>
      <c r="K20" s="1142" t="s">
        <v>1421</v>
      </c>
      <c r="L20" s="458"/>
      <c r="M20" s="441"/>
    </row>
    <row r="21" spans="2:14">
      <c r="B21" s="1829"/>
      <c r="C21" s="1893"/>
      <c r="D21" s="590">
        <f>+'PROGRAMA ARQ.'!M20</f>
        <v>1.6</v>
      </c>
      <c r="E21" s="513" t="s">
        <v>258</v>
      </c>
      <c r="F21" s="513"/>
      <c r="G21" s="513"/>
      <c r="H21" s="513"/>
      <c r="I21" s="545"/>
      <c r="K21" s="1142" t="s">
        <v>1406</v>
      </c>
      <c r="L21" s="389" t="s">
        <v>259</v>
      </c>
      <c r="M21" s="437"/>
    </row>
    <row r="22" spans="2:14" s="81" customFormat="1">
      <c r="B22" s="1829"/>
      <c r="C22" s="1893"/>
      <c r="D22" s="634" t="s">
        <v>496</v>
      </c>
      <c r="E22" s="512"/>
      <c r="F22" s="512"/>
      <c r="G22" s="512"/>
      <c r="H22" s="512"/>
      <c r="I22" s="518"/>
      <c r="J22" s="362"/>
      <c r="K22" s="1142" t="s">
        <v>1421</v>
      </c>
      <c r="L22" s="449" t="s">
        <v>628</v>
      </c>
      <c r="M22" s="418"/>
    </row>
    <row r="23" spans="2:14">
      <c r="B23" s="1829"/>
      <c r="C23" s="1893"/>
      <c r="D23" s="628" t="s">
        <v>551</v>
      </c>
      <c r="E23" s="513"/>
      <c r="F23" s="513"/>
      <c r="G23" s="513"/>
      <c r="H23" s="513"/>
      <c r="I23" s="545"/>
      <c r="K23" s="1142" t="s">
        <v>1421</v>
      </c>
      <c r="L23" s="585" t="s">
        <v>554</v>
      </c>
      <c r="M23" s="441"/>
    </row>
    <row r="24" spans="2:14">
      <c r="B24" s="1829"/>
      <c r="C24" s="641" t="s">
        <v>426</v>
      </c>
      <c r="D24" s="628" t="s">
        <v>634</v>
      </c>
      <c r="E24" s="513"/>
      <c r="F24" s="513"/>
      <c r="G24" s="513"/>
      <c r="H24" s="513"/>
      <c r="I24" s="545"/>
      <c r="K24" s="1142" t="s">
        <v>1421</v>
      </c>
      <c r="L24" s="389"/>
      <c r="M24" s="437"/>
    </row>
    <row r="25" spans="2:14" s="81" customFormat="1" ht="28">
      <c r="B25" s="1829"/>
      <c r="C25" s="1882" t="s">
        <v>243</v>
      </c>
      <c r="D25" s="628" t="s">
        <v>575</v>
      </c>
      <c r="E25" s="512"/>
      <c r="F25" s="512"/>
      <c r="G25" s="512"/>
      <c r="H25" s="512"/>
      <c r="I25" s="518"/>
      <c r="J25" s="362"/>
      <c r="K25" s="449" t="s">
        <v>1406</v>
      </c>
      <c r="L25" s="459" t="s">
        <v>500</v>
      </c>
      <c r="M25" s="424"/>
    </row>
    <row r="26" spans="2:14" s="81" customFormat="1">
      <c r="B26" s="1829"/>
      <c r="C26" s="1882"/>
      <c r="D26" s="633" t="s">
        <v>425</v>
      </c>
      <c r="E26" s="512"/>
      <c r="F26" s="512"/>
      <c r="G26" s="512"/>
      <c r="H26" s="512"/>
      <c r="I26" s="518"/>
      <c r="J26" s="362"/>
      <c r="K26" s="449" t="s">
        <v>1406</v>
      </c>
      <c r="L26" s="458"/>
      <c r="M26" s="424"/>
    </row>
    <row r="27" spans="2:14" s="81" customFormat="1" ht="28">
      <c r="B27" s="1829"/>
      <c r="C27" s="1882"/>
      <c r="D27" s="633" t="s">
        <v>576</v>
      </c>
      <c r="E27" s="512"/>
      <c r="F27" s="512"/>
      <c r="G27" s="512"/>
      <c r="H27" s="512"/>
      <c r="I27" s="518"/>
      <c r="J27" s="362"/>
      <c r="K27" s="449" t="s">
        <v>1406</v>
      </c>
      <c r="L27" s="458"/>
      <c r="M27" s="424"/>
    </row>
    <row r="28" spans="2:14" s="81" customFormat="1">
      <c r="B28" s="1829"/>
      <c r="C28" s="1882"/>
      <c r="D28" s="633" t="s">
        <v>873</v>
      </c>
      <c r="E28" s="512"/>
      <c r="F28" s="512"/>
      <c r="G28" s="512"/>
      <c r="H28" s="512"/>
      <c r="I28" s="518"/>
      <c r="J28" s="362"/>
      <c r="K28" s="449" t="s">
        <v>1406</v>
      </c>
      <c r="L28" s="458"/>
      <c r="M28" s="424"/>
    </row>
    <row r="29" spans="2:14" s="81" customFormat="1">
      <c r="B29" s="1829"/>
      <c r="C29" s="1882"/>
      <c r="D29" s="633" t="s">
        <v>874</v>
      </c>
      <c r="E29" s="512"/>
      <c r="F29" s="512"/>
      <c r="G29" s="512"/>
      <c r="H29" s="512"/>
      <c r="I29" s="518"/>
      <c r="J29" s="362"/>
      <c r="K29" s="449" t="s">
        <v>1406</v>
      </c>
      <c r="L29" s="449" t="s">
        <v>424</v>
      </c>
      <c r="M29" s="424"/>
    </row>
    <row r="30" spans="2:14" s="1165" customFormat="1" ht="28">
      <c r="B30" s="1829"/>
      <c r="C30" s="1882" t="s">
        <v>244</v>
      </c>
      <c r="D30" s="1217" t="s">
        <v>502</v>
      </c>
      <c r="E30" s="1167"/>
      <c r="F30" s="1167"/>
      <c r="G30" s="1167"/>
      <c r="H30" s="1167"/>
      <c r="I30" s="1168"/>
      <c r="J30" s="1164"/>
      <c r="K30" s="1234" t="s">
        <v>261</v>
      </c>
      <c r="L30" s="1246"/>
      <c r="M30" s="1247"/>
    </row>
    <row r="31" spans="2:14" s="81" customFormat="1" ht="15" thickBot="1">
      <c r="B31" s="1831"/>
      <c r="C31" s="1883"/>
      <c r="D31" s="724" t="s">
        <v>503</v>
      </c>
      <c r="E31" s="519"/>
      <c r="F31" s="519"/>
      <c r="G31" s="519"/>
      <c r="H31" s="519"/>
      <c r="I31" s="520"/>
      <c r="J31" s="362"/>
      <c r="K31" s="1241" t="s">
        <v>1406</v>
      </c>
      <c r="L31" s="460"/>
      <c r="M31" s="425"/>
    </row>
    <row r="32" spans="2:14" s="81" customFormat="1">
      <c r="B32" s="1786" t="s">
        <v>144</v>
      </c>
      <c r="C32" s="775" t="s">
        <v>245</v>
      </c>
      <c r="D32" s="776" t="s">
        <v>423</v>
      </c>
      <c r="E32" s="528"/>
      <c r="F32" s="528"/>
      <c r="G32" s="528"/>
      <c r="H32" s="528"/>
      <c r="I32" s="529"/>
      <c r="J32" s="362"/>
      <c r="K32" s="1878" t="s">
        <v>1406</v>
      </c>
      <c r="L32" s="1896" t="s">
        <v>670</v>
      </c>
      <c r="M32" s="417"/>
    </row>
    <row r="33" spans="2:13" s="81" customFormat="1">
      <c r="B33" s="1780"/>
      <c r="C33" s="1882" t="s">
        <v>246</v>
      </c>
      <c r="D33" s="633" t="s">
        <v>441</v>
      </c>
      <c r="E33" s="512"/>
      <c r="F33" s="512"/>
      <c r="G33" s="512"/>
      <c r="H33" s="512"/>
      <c r="I33" s="518"/>
      <c r="J33" s="362"/>
      <c r="K33" s="1879"/>
      <c r="L33" s="1897"/>
      <c r="M33" s="418"/>
    </row>
    <row r="34" spans="2:13" s="81" customFormat="1">
      <c r="B34" s="1780"/>
      <c r="C34" s="1882"/>
      <c r="D34" s="633" t="s">
        <v>422</v>
      </c>
      <c r="E34" s="512"/>
      <c r="F34" s="512"/>
      <c r="G34" s="512"/>
      <c r="H34" s="512"/>
      <c r="I34" s="518"/>
      <c r="J34" s="362"/>
      <c r="K34" s="1879"/>
      <c r="L34" s="1897"/>
      <c r="M34" s="418"/>
    </row>
    <row r="35" spans="2:13" s="81" customFormat="1">
      <c r="B35" s="1780"/>
      <c r="C35" s="1882"/>
      <c r="D35" s="633" t="s">
        <v>421</v>
      </c>
      <c r="E35" s="512"/>
      <c r="F35" s="512"/>
      <c r="G35" s="512"/>
      <c r="H35" s="512"/>
      <c r="I35" s="518"/>
      <c r="J35" s="362"/>
      <c r="K35" s="1879"/>
      <c r="L35" s="1897"/>
      <c r="M35" s="418"/>
    </row>
    <row r="36" spans="2:13" s="81" customFormat="1" ht="15" thickBot="1">
      <c r="B36" s="1781"/>
      <c r="C36" s="1883"/>
      <c r="D36" s="724" t="s">
        <v>420</v>
      </c>
      <c r="E36" s="519"/>
      <c r="F36" s="519"/>
      <c r="G36" s="519"/>
      <c r="H36" s="519"/>
      <c r="I36" s="520"/>
      <c r="J36" s="362"/>
      <c r="K36" s="1879"/>
      <c r="L36" s="1898"/>
      <c r="M36" s="419"/>
    </row>
    <row r="37" spans="2:13">
      <c r="B37" s="1827" t="s">
        <v>141</v>
      </c>
      <c r="C37" s="1828"/>
      <c r="D37" s="726" t="s">
        <v>481</v>
      </c>
      <c r="E37" s="589"/>
      <c r="F37" s="589"/>
      <c r="G37" s="589"/>
      <c r="H37" s="589"/>
      <c r="I37" s="723"/>
      <c r="K37" s="1880" t="s">
        <v>1406</v>
      </c>
      <c r="L37" s="357"/>
      <c r="M37" s="440"/>
    </row>
    <row r="38" spans="2:13" ht="15" thickBot="1">
      <c r="B38" s="1831"/>
      <c r="C38" s="1832"/>
      <c r="D38" s="724" t="s">
        <v>418</v>
      </c>
      <c r="E38" s="552"/>
      <c r="F38" s="552"/>
      <c r="G38" s="552"/>
      <c r="H38" s="552"/>
      <c r="I38" s="725"/>
      <c r="K38" s="1881"/>
      <c r="L38" s="390"/>
      <c r="M38" s="444"/>
    </row>
    <row r="39" spans="2:13" s="81" customFormat="1">
      <c r="B39" s="1786" t="s">
        <v>140</v>
      </c>
      <c r="C39" s="1899" t="s">
        <v>504</v>
      </c>
      <c r="D39" s="756" t="s">
        <v>1437</v>
      </c>
      <c r="E39" s="528"/>
      <c r="F39" s="528"/>
      <c r="G39" s="528"/>
      <c r="H39" s="528"/>
      <c r="I39" s="529"/>
      <c r="J39" s="362"/>
      <c r="K39" s="1142" t="s">
        <v>1421</v>
      </c>
      <c r="L39" s="384"/>
      <c r="M39" s="417"/>
    </row>
    <row r="40" spans="2:13" s="81" customFormat="1" ht="28">
      <c r="B40" s="1780"/>
      <c r="C40" s="1758"/>
      <c r="D40" s="634" t="s">
        <v>620</v>
      </c>
      <c r="E40" s="512"/>
      <c r="F40" s="512"/>
      <c r="G40" s="512"/>
      <c r="H40" s="512"/>
      <c r="I40" s="518"/>
      <c r="J40" s="362"/>
      <c r="K40" s="1142" t="s">
        <v>1426</v>
      </c>
      <c r="L40" s="507"/>
      <c r="M40" s="418"/>
    </row>
    <row r="41" spans="2:13" s="81" customFormat="1" ht="31.25" customHeight="1">
      <c r="B41" s="1780"/>
      <c r="C41" s="1758"/>
      <c r="D41" s="634" t="s">
        <v>506</v>
      </c>
      <c r="E41" s="512"/>
      <c r="F41" s="512"/>
      <c r="G41" s="512"/>
      <c r="H41" s="512"/>
      <c r="I41" s="518"/>
      <c r="J41" s="362"/>
      <c r="K41" s="1142" t="s">
        <v>1421</v>
      </c>
      <c r="L41" s="507"/>
      <c r="M41" s="418"/>
    </row>
    <row r="42" spans="2:13" s="81" customFormat="1">
      <c r="B42" s="1780"/>
      <c r="C42" s="1758"/>
      <c r="D42" s="628" t="s">
        <v>505</v>
      </c>
      <c r="E42" s="512"/>
      <c r="F42" s="512"/>
      <c r="G42" s="512"/>
      <c r="H42" s="512"/>
      <c r="I42" s="518"/>
      <c r="J42" s="362"/>
      <c r="K42" s="1142" t="s">
        <v>1421</v>
      </c>
      <c r="L42" s="507"/>
      <c r="M42" s="418"/>
    </row>
    <row r="43" spans="2:13" s="81" customFormat="1" ht="28">
      <c r="B43" s="1780"/>
      <c r="C43" s="1758" t="s">
        <v>414</v>
      </c>
      <c r="D43" s="628" t="s">
        <v>515</v>
      </c>
      <c r="E43" s="512"/>
      <c r="F43" s="512"/>
      <c r="G43" s="512"/>
      <c r="H43" s="512"/>
      <c r="I43" s="518"/>
      <c r="J43" s="362"/>
      <c r="K43" s="459" t="s">
        <v>1406</v>
      </c>
      <c r="L43" s="507"/>
      <c r="M43" s="418"/>
    </row>
    <row r="44" spans="2:13" s="81" customFormat="1" ht="28">
      <c r="B44" s="1780"/>
      <c r="C44" s="1758"/>
      <c r="D44" s="628" t="s">
        <v>444</v>
      </c>
      <c r="E44" s="512"/>
      <c r="F44" s="512"/>
      <c r="G44" s="512"/>
      <c r="H44" s="512"/>
      <c r="I44" s="518"/>
      <c r="J44" s="362"/>
      <c r="K44" s="449" t="s">
        <v>1406</v>
      </c>
      <c r="L44" s="507"/>
      <c r="M44" s="418"/>
    </row>
    <row r="45" spans="2:13" s="81" customFormat="1">
      <c r="B45" s="1780"/>
      <c r="C45" s="1758" t="s">
        <v>256</v>
      </c>
      <c r="D45" s="628" t="s">
        <v>559</v>
      </c>
      <c r="E45" s="512"/>
      <c r="F45" s="512"/>
      <c r="G45" s="512"/>
      <c r="H45" s="512"/>
      <c r="I45" s="518"/>
      <c r="J45" s="362"/>
      <c r="K45" s="449" t="s">
        <v>1406</v>
      </c>
      <c r="L45" s="507"/>
      <c r="M45" s="418"/>
    </row>
    <row r="46" spans="2:13" s="81" customFormat="1">
      <c r="B46" s="1780"/>
      <c r="C46" s="1758"/>
      <c r="D46" s="628" t="s">
        <v>560</v>
      </c>
      <c r="E46" s="512"/>
      <c r="F46" s="512"/>
      <c r="G46" s="512"/>
      <c r="H46" s="512"/>
      <c r="I46" s="518"/>
      <c r="J46" s="362"/>
      <c r="K46" s="449" t="s">
        <v>1406</v>
      </c>
      <c r="L46" s="507"/>
      <c r="M46" s="418"/>
    </row>
    <row r="47" spans="2:13" s="81" customFormat="1" ht="15" thickBot="1">
      <c r="B47" s="1781"/>
      <c r="C47" s="777" t="s">
        <v>410</v>
      </c>
      <c r="D47" s="778" t="s">
        <v>514</v>
      </c>
      <c r="E47" s="519"/>
      <c r="F47" s="519"/>
      <c r="G47" s="519"/>
      <c r="H47" s="519"/>
      <c r="I47" s="520"/>
      <c r="J47" s="362"/>
      <c r="K47" s="1142" t="s">
        <v>1421</v>
      </c>
      <c r="L47" s="385"/>
      <c r="M47" s="419"/>
    </row>
    <row r="48" spans="2:13">
      <c r="B48" s="1889" t="s">
        <v>123</v>
      </c>
      <c r="C48" s="779" t="s">
        <v>177</v>
      </c>
      <c r="D48" s="589" t="s">
        <v>616</v>
      </c>
      <c r="E48" s="589"/>
      <c r="F48" s="589">
        <v>1</v>
      </c>
      <c r="G48" s="589">
        <f>+F48*'PROGRAMA ARQ.'!E20</f>
        <v>1</v>
      </c>
      <c r="H48" s="589"/>
      <c r="I48" s="723"/>
      <c r="K48" s="1143" t="s">
        <v>1406</v>
      </c>
      <c r="L48" s="451"/>
      <c r="M48" s="440"/>
    </row>
    <row r="49" spans="2:13" s="81" customFormat="1" ht="31.25" customHeight="1" thickBot="1">
      <c r="B49" s="1891"/>
      <c r="C49" s="780" t="s">
        <v>731</v>
      </c>
      <c r="D49" s="781" t="s">
        <v>807</v>
      </c>
      <c r="E49" s="554"/>
      <c r="F49" s="554"/>
      <c r="G49" s="554"/>
      <c r="H49" s="554"/>
      <c r="I49" s="560"/>
      <c r="K49" s="448" t="s">
        <v>1406</v>
      </c>
      <c r="L49" s="385" t="s">
        <v>808</v>
      </c>
      <c r="M49" s="419"/>
    </row>
    <row r="50" spans="2:13" ht="15" thickBot="1">
      <c r="B50" s="452" t="s">
        <v>124</v>
      </c>
      <c r="C50" s="766"/>
      <c r="D50" s="765" t="s">
        <v>617</v>
      </c>
      <c r="E50" s="593"/>
      <c r="F50" s="593">
        <v>1</v>
      </c>
      <c r="G50" s="593">
        <f>+F50*'PROGRAMA ARQ.'!E20</f>
        <v>1</v>
      </c>
      <c r="H50" s="593"/>
      <c r="I50" s="721"/>
      <c r="K50" s="1142" t="s">
        <v>1421</v>
      </c>
      <c r="L50" s="450"/>
      <c r="M50" s="439"/>
    </row>
    <row r="51" spans="2:13" ht="15" thickBot="1">
      <c r="B51" s="1894" t="s">
        <v>132</v>
      </c>
      <c r="C51" s="1895"/>
      <c r="D51" s="555" t="s">
        <v>618</v>
      </c>
      <c r="E51" s="593"/>
      <c r="F51" s="593"/>
      <c r="G51" s="593"/>
      <c r="H51" s="593"/>
      <c r="I51" s="721"/>
      <c r="K51" s="1155" t="s">
        <v>1421</v>
      </c>
      <c r="L51" s="450"/>
      <c r="M51" s="453"/>
    </row>
    <row r="52" spans="2:13" ht="28">
      <c r="B52" s="1827" t="s">
        <v>133</v>
      </c>
      <c r="C52" s="1892" t="s">
        <v>409</v>
      </c>
      <c r="D52" s="1242" t="s">
        <v>1422</v>
      </c>
      <c r="E52" s="589"/>
      <c r="F52" s="589"/>
      <c r="G52" s="589"/>
      <c r="H52" s="589"/>
      <c r="I52" s="723"/>
      <c r="K52" s="1156" t="s">
        <v>1406</v>
      </c>
      <c r="L52" s="388"/>
      <c r="M52" s="436"/>
    </row>
    <row r="53" spans="2:13" ht="42">
      <c r="B53" s="1829"/>
      <c r="C53" s="1893"/>
      <c r="D53" s="653" t="s">
        <v>621</v>
      </c>
      <c r="E53" s="513"/>
      <c r="F53" s="513"/>
      <c r="G53" s="513"/>
      <c r="H53" s="513"/>
      <c r="I53" s="545"/>
      <c r="K53" s="1157" t="s">
        <v>1406</v>
      </c>
      <c r="L53" s="391"/>
      <c r="M53" s="437"/>
    </row>
    <row r="54" spans="2:13">
      <c r="B54" s="1829"/>
      <c r="C54" s="1893"/>
      <c r="D54" s="634" t="s">
        <v>531</v>
      </c>
      <c r="E54" s="513"/>
      <c r="F54" s="513"/>
      <c r="G54" s="513"/>
      <c r="H54" s="513"/>
      <c r="I54" s="545"/>
      <c r="K54" s="1157" t="s">
        <v>1406</v>
      </c>
      <c r="L54" s="391"/>
      <c r="M54" s="437"/>
    </row>
    <row r="55" spans="2:13" s="1165" customFormat="1">
      <c r="B55" s="1829"/>
      <c r="C55" s="1233" t="s">
        <v>407</v>
      </c>
      <c r="D55" s="1226" t="s">
        <v>1423</v>
      </c>
      <c r="E55" s="1167"/>
      <c r="F55" s="1167"/>
      <c r="G55" s="1167"/>
      <c r="H55" s="1167"/>
      <c r="I55" s="1168"/>
      <c r="J55" s="1164"/>
      <c r="K55" s="1234" t="s">
        <v>622</v>
      </c>
      <c r="L55" s="1248"/>
      <c r="M55" s="1208"/>
    </row>
    <row r="56" spans="2:13" s="1165" customFormat="1" ht="28">
      <c r="B56" s="1829"/>
      <c r="C56" s="1882" t="s">
        <v>484</v>
      </c>
      <c r="D56" s="1226" t="s">
        <v>527</v>
      </c>
      <c r="E56" s="1167"/>
      <c r="F56" s="1167"/>
      <c r="G56" s="1167"/>
      <c r="H56" s="1167"/>
      <c r="I56" s="1168"/>
      <c r="J56" s="1164"/>
      <c r="K56" s="1234" t="s">
        <v>1424</v>
      </c>
      <c r="L56" s="1248"/>
      <c r="M56" s="1208"/>
    </row>
    <row r="57" spans="2:13" s="81" customFormat="1">
      <c r="B57" s="1829"/>
      <c r="C57" s="1882"/>
      <c r="D57" s="634" t="s">
        <v>528</v>
      </c>
      <c r="E57" s="512"/>
      <c r="F57" s="512"/>
      <c r="G57" s="512"/>
      <c r="H57" s="512"/>
      <c r="I57" s="518"/>
      <c r="J57" s="362"/>
      <c r="K57" s="1871" t="s">
        <v>1406</v>
      </c>
      <c r="L57" s="449"/>
      <c r="M57" s="418"/>
    </row>
    <row r="58" spans="2:13" s="81" customFormat="1">
      <c r="B58" s="1829"/>
      <c r="C58" s="1882"/>
      <c r="D58" s="634" t="s">
        <v>529</v>
      </c>
      <c r="E58" s="512"/>
      <c r="F58" s="512"/>
      <c r="G58" s="512"/>
      <c r="H58" s="512"/>
      <c r="I58" s="518"/>
      <c r="J58" s="362"/>
      <c r="K58" s="1871"/>
      <c r="L58" s="449"/>
      <c r="M58" s="418"/>
    </row>
    <row r="59" spans="2:13" s="81" customFormat="1">
      <c r="B59" s="1829"/>
      <c r="C59" s="1882"/>
      <c r="D59" s="634" t="s">
        <v>526</v>
      </c>
      <c r="E59" s="512"/>
      <c r="F59" s="512"/>
      <c r="G59" s="512"/>
      <c r="H59" s="512"/>
      <c r="I59" s="518"/>
      <c r="J59" s="362"/>
      <c r="K59" s="1871"/>
      <c r="L59" s="449"/>
      <c r="M59" s="418"/>
    </row>
    <row r="60" spans="2:13" s="81" customFormat="1">
      <c r="B60" s="1829"/>
      <c r="C60" s="1882"/>
      <c r="D60" s="634" t="s">
        <v>530</v>
      </c>
      <c r="E60" s="512"/>
      <c r="F60" s="512"/>
      <c r="G60" s="512"/>
      <c r="H60" s="512"/>
      <c r="I60" s="518"/>
      <c r="J60" s="362"/>
      <c r="K60" s="1871"/>
      <c r="L60" s="449"/>
      <c r="M60" s="418"/>
    </row>
    <row r="61" spans="2:13" s="81" customFormat="1" ht="15" thickBot="1">
      <c r="B61" s="1831"/>
      <c r="C61" s="1883"/>
      <c r="D61" s="755" t="s">
        <v>635</v>
      </c>
      <c r="E61" s="519"/>
      <c r="F61" s="519"/>
      <c r="G61" s="519"/>
      <c r="H61" s="519"/>
      <c r="I61" s="520"/>
      <c r="J61" s="362"/>
      <c r="K61" s="1872"/>
      <c r="L61" s="449"/>
      <c r="M61" s="418"/>
    </row>
    <row r="62" spans="2:13" s="81" customFormat="1" ht="47.5" customHeight="1">
      <c r="B62" s="1786" t="s">
        <v>134</v>
      </c>
      <c r="C62" s="1907"/>
      <c r="D62" s="756" t="s">
        <v>675</v>
      </c>
      <c r="E62" s="528"/>
      <c r="F62" s="528"/>
      <c r="G62" s="528"/>
      <c r="H62" s="528"/>
      <c r="I62" s="529"/>
      <c r="J62" s="362"/>
      <c r="K62" s="1142" t="s">
        <v>1421</v>
      </c>
      <c r="L62" s="356"/>
      <c r="M62" s="417"/>
    </row>
    <row r="63" spans="2:13" s="81" customFormat="1" ht="15" thickBot="1">
      <c r="B63" s="1781"/>
      <c r="C63" s="1909"/>
      <c r="D63" s="755" t="s">
        <v>623</v>
      </c>
      <c r="E63" s="519"/>
      <c r="F63" s="519"/>
      <c r="G63" s="519"/>
      <c r="H63" s="519"/>
      <c r="I63" s="520"/>
      <c r="J63" s="362"/>
      <c r="K63" s="448" t="s">
        <v>1406</v>
      </c>
      <c r="L63" s="448"/>
      <c r="M63" s="419"/>
    </row>
    <row r="64" spans="2:13" s="81" customFormat="1" ht="15" thickBot="1">
      <c r="B64" s="1810" t="s">
        <v>135</v>
      </c>
      <c r="C64" s="1910" t="s">
        <v>248</v>
      </c>
      <c r="D64" s="756" t="s">
        <v>323</v>
      </c>
      <c r="E64" s="528"/>
      <c r="F64" s="528"/>
      <c r="G64" s="528"/>
      <c r="H64" s="528"/>
      <c r="I64" s="529"/>
      <c r="J64" s="362"/>
      <c r="K64" s="448" t="s">
        <v>1406</v>
      </c>
      <c r="L64" s="507"/>
      <c r="M64" s="418"/>
    </row>
    <row r="65" spans="1:13" s="81" customFormat="1" ht="15" thickBot="1">
      <c r="B65" s="1811"/>
      <c r="C65" s="1911"/>
      <c r="D65" s="634" t="s">
        <v>535</v>
      </c>
      <c r="E65" s="512"/>
      <c r="F65" s="512"/>
      <c r="G65" s="512"/>
      <c r="H65" s="512"/>
      <c r="I65" s="518"/>
      <c r="J65" s="362"/>
      <c r="K65" s="448" t="s">
        <v>1406</v>
      </c>
      <c r="L65" s="507"/>
      <c r="M65" s="418"/>
    </row>
    <row r="66" spans="1:13" s="81" customFormat="1" ht="15" thickBot="1">
      <c r="B66" s="1811"/>
      <c r="C66" s="1911"/>
      <c r="D66" s="634" t="s">
        <v>534</v>
      </c>
      <c r="E66" s="512"/>
      <c r="F66" s="512"/>
      <c r="G66" s="512"/>
      <c r="H66" s="512"/>
      <c r="I66" s="518"/>
      <c r="J66" s="362"/>
      <c r="K66" s="448" t="s">
        <v>1406</v>
      </c>
      <c r="L66" s="507"/>
      <c r="M66" s="418"/>
    </row>
    <row r="67" spans="1:13" s="1165" customFormat="1">
      <c r="B67" s="1811"/>
      <c r="C67" s="1911"/>
      <c r="D67" s="1225" t="s">
        <v>536</v>
      </c>
      <c r="E67" s="1167"/>
      <c r="F67" s="1167"/>
      <c r="G67" s="1167"/>
      <c r="H67" s="1167"/>
      <c r="I67" s="1168"/>
      <c r="J67" s="1164"/>
      <c r="K67" s="1234" t="s">
        <v>1429</v>
      </c>
      <c r="L67" s="1176"/>
      <c r="M67" s="1208"/>
    </row>
    <row r="68" spans="1:13" s="81" customFormat="1" ht="15" thickBot="1">
      <c r="B68" s="1811"/>
      <c r="C68" s="1911"/>
      <c r="D68" s="634" t="s">
        <v>624</v>
      </c>
      <c r="E68" s="512"/>
      <c r="F68" s="512"/>
      <c r="G68" s="512"/>
      <c r="H68" s="512"/>
      <c r="I68" s="518"/>
      <c r="J68" s="362"/>
      <c r="K68" s="448" t="s">
        <v>1406</v>
      </c>
      <c r="L68" s="507"/>
      <c r="M68" s="418"/>
    </row>
    <row r="69" spans="1:13" s="1165" customFormat="1">
      <c r="B69" s="1811"/>
      <c r="C69" s="1882" t="s">
        <v>249</v>
      </c>
      <c r="D69" s="1225" t="s">
        <v>532</v>
      </c>
      <c r="E69" s="1167"/>
      <c r="F69" s="1167"/>
      <c r="G69" s="1167"/>
      <c r="H69" s="1167"/>
      <c r="I69" s="1168"/>
      <c r="J69" s="1164"/>
      <c r="K69" s="1234" t="s">
        <v>1428</v>
      </c>
      <c r="L69" s="1176"/>
      <c r="M69" s="1208"/>
    </row>
    <row r="70" spans="1:13" s="81" customFormat="1" ht="15" thickBot="1">
      <c r="B70" s="1811"/>
      <c r="C70" s="1882"/>
      <c r="D70" s="639" t="s">
        <v>322</v>
      </c>
      <c r="E70" s="512"/>
      <c r="F70" s="512"/>
      <c r="G70" s="512"/>
      <c r="H70" s="512"/>
      <c r="I70" s="518"/>
      <c r="J70" s="362"/>
      <c r="K70" s="448" t="s">
        <v>1406</v>
      </c>
      <c r="L70" s="507"/>
      <c r="M70" s="418"/>
    </row>
    <row r="71" spans="1:13" s="81" customFormat="1" ht="15" thickBot="1">
      <c r="B71" s="1811"/>
      <c r="C71" s="1882"/>
      <c r="D71" s="639" t="s">
        <v>533</v>
      </c>
      <c r="E71" s="512"/>
      <c r="F71" s="512"/>
      <c r="G71" s="512"/>
      <c r="H71" s="512"/>
      <c r="I71" s="518"/>
      <c r="J71" s="362"/>
      <c r="K71" s="448" t="s">
        <v>1406</v>
      </c>
      <c r="L71" s="507"/>
      <c r="M71" s="418"/>
    </row>
    <row r="72" spans="1:13" s="81" customFormat="1" ht="15" thickBot="1">
      <c r="B72" s="1811"/>
      <c r="C72" s="1882" t="s">
        <v>250</v>
      </c>
      <c r="D72" s="639" t="s">
        <v>326</v>
      </c>
      <c r="E72" s="512"/>
      <c r="F72" s="512"/>
      <c r="G72" s="512"/>
      <c r="H72" s="512"/>
      <c r="I72" s="518"/>
      <c r="J72" s="362"/>
      <c r="K72" s="448" t="s">
        <v>1406</v>
      </c>
      <c r="L72" s="507"/>
      <c r="M72" s="418"/>
    </row>
    <row r="73" spans="1:13" s="81" customFormat="1" ht="15" thickBot="1">
      <c r="B73" s="1811"/>
      <c r="C73" s="1882"/>
      <c r="D73" s="639" t="s">
        <v>537</v>
      </c>
      <c r="E73" s="512"/>
      <c r="F73" s="512"/>
      <c r="G73" s="512"/>
      <c r="H73" s="512"/>
      <c r="I73" s="518"/>
      <c r="J73" s="362"/>
      <c r="K73" s="448" t="s">
        <v>1406</v>
      </c>
      <c r="L73" s="507"/>
      <c r="M73" s="418"/>
    </row>
    <row r="74" spans="1:13" s="81" customFormat="1" ht="15" thickBot="1">
      <c r="B74" s="1812"/>
      <c r="C74" s="1883"/>
      <c r="D74" s="755" t="s">
        <v>325</v>
      </c>
      <c r="E74" s="519"/>
      <c r="F74" s="519"/>
      <c r="G74" s="519"/>
      <c r="H74" s="519"/>
      <c r="I74" s="520"/>
      <c r="J74" s="362"/>
      <c r="K74" s="1142" t="s">
        <v>1421</v>
      </c>
      <c r="L74" s="385"/>
      <c r="M74" s="419"/>
    </row>
    <row r="75" spans="1:13" s="1165" customFormat="1">
      <c r="A75" s="1902" t="s">
        <v>137</v>
      </c>
      <c r="B75" s="1786" t="s">
        <v>138</v>
      </c>
      <c r="C75" s="1906" t="s">
        <v>438</v>
      </c>
      <c r="D75" s="1249" t="s">
        <v>1427</v>
      </c>
      <c r="E75" s="1162"/>
      <c r="F75" s="1162"/>
      <c r="G75" s="1162"/>
      <c r="H75" s="1162"/>
      <c r="I75" s="1163"/>
      <c r="J75" s="1164"/>
      <c r="K75" s="1237" t="s">
        <v>669</v>
      </c>
      <c r="L75" s="1238"/>
      <c r="M75" s="1223"/>
    </row>
    <row r="76" spans="1:13" s="81" customFormat="1" ht="30" customHeight="1">
      <c r="A76" s="1903"/>
      <c r="B76" s="1780"/>
      <c r="C76" s="1905"/>
      <c r="D76" s="628" t="s">
        <v>1584</v>
      </c>
      <c r="E76" s="512"/>
      <c r="F76" s="512"/>
      <c r="G76" s="512"/>
      <c r="H76" s="512"/>
      <c r="I76" s="518"/>
      <c r="J76" s="362"/>
      <c r="K76" s="459" t="s">
        <v>1406</v>
      </c>
      <c r="L76" s="382" t="s">
        <v>398</v>
      </c>
      <c r="M76" s="418"/>
    </row>
    <row r="77" spans="1:13" s="81" customFormat="1" ht="30" customHeight="1">
      <c r="A77" s="1903"/>
      <c r="B77" s="1780"/>
      <c r="C77" s="1905"/>
      <c r="D77" s="628" t="s">
        <v>542</v>
      </c>
      <c r="E77" s="512"/>
      <c r="F77" s="512"/>
      <c r="G77" s="512"/>
      <c r="H77" s="512"/>
      <c r="I77" s="518"/>
      <c r="J77" s="362"/>
      <c r="K77" s="459" t="s">
        <v>1406</v>
      </c>
      <c r="L77" s="382"/>
      <c r="M77" s="418"/>
    </row>
    <row r="78" spans="1:13" s="81" customFormat="1" ht="28">
      <c r="A78" s="1903"/>
      <c r="B78" s="1780"/>
      <c r="C78" s="1905"/>
      <c r="D78" s="628" t="s">
        <v>636</v>
      </c>
      <c r="E78" s="512"/>
      <c r="F78" s="512"/>
      <c r="G78" s="512"/>
      <c r="H78" s="512"/>
      <c r="I78" s="518"/>
      <c r="J78" s="362"/>
      <c r="K78" s="1142" t="s">
        <v>1421</v>
      </c>
      <c r="L78" s="382"/>
      <c r="M78" s="418"/>
    </row>
    <row r="79" spans="1:13" s="1165" customFormat="1">
      <c r="A79" s="1903"/>
      <c r="B79" s="1780"/>
      <c r="C79" s="1905" t="s">
        <v>251</v>
      </c>
      <c r="D79" s="1167" t="s">
        <v>543</v>
      </c>
      <c r="E79" s="1167"/>
      <c r="F79" s="1167"/>
      <c r="G79" s="1167"/>
      <c r="H79" s="1167"/>
      <c r="I79" s="1168"/>
      <c r="J79" s="1164"/>
      <c r="K79" s="1234" t="s">
        <v>400</v>
      </c>
      <c r="L79" s="1176"/>
      <c r="M79" s="1208"/>
    </row>
    <row r="80" spans="1:13" s="81" customFormat="1">
      <c r="A80" s="1903"/>
      <c r="B80" s="1780"/>
      <c r="C80" s="1905" t="s">
        <v>252</v>
      </c>
      <c r="D80" s="632" t="s">
        <v>541</v>
      </c>
      <c r="E80" s="512"/>
      <c r="F80" s="512"/>
      <c r="G80" s="512"/>
      <c r="H80" s="512"/>
      <c r="I80" s="518"/>
      <c r="J80" s="362"/>
      <c r="K80" s="1142" t="s">
        <v>1421</v>
      </c>
      <c r="L80" s="382" t="s">
        <v>398</v>
      </c>
      <c r="M80" s="418"/>
    </row>
    <row r="81" spans="1:13" s="81" customFormat="1">
      <c r="A81" s="1903"/>
      <c r="B81" s="1780"/>
      <c r="C81" s="637" t="s">
        <v>253</v>
      </c>
      <c r="D81" s="512" t="s">
        <v>397</v>
      </c>
      <c r="E81" s="512"/>
      <c r="F81" s="512"/>
      <c r="G81" s="512"/>
      <c r="H81" s="512"/>
      <c r="I81" s="518"/>
      <c r="J81" s="362"/>
      <c r="K81" s="449" t="s">
        <v>935</v>
      </c>
      <c r="L81" s="507"/>
      <c r="M81" s="418"/>
    </row>
    <row r="82" spans="1:13" s="81" customFormat="1" ht="15" thickBot="1">
      <c r="A82" s="1903"/>
      <c r="B82" s="1781"/>
      <c r="C82" s="783" t="s">
        <v>255</v>
      </c>
      <c r="D82" s="519" t="s">
        <v>540</v>
      </c>
      <c r="E82" s="519"/>
      <c r="F82" s="519"/>
      <c r="G82" s="519"/>
      <c r="H82" s="519"/>
      <c r="I82" s="520"/>
      <c r="J82" s="362"/>
      <c r="K82" s="449" t="s">
        <v>935</v>
      </c>
      <c r="L82" s="415" t="s">
        <v>398</v>
      </c>
      <c r="M82" s="419"/>
    </row>
    <row r="83" spans="1:13" s="81" customFormat="1">
      <c r="A83" s="1903"/>
      <c r="B83" s="1786" t="s">
        <v>139</v>
      </c>
      <c r="C83" s="775" t="s">
        <v>256</v>
      </c>
      <c r="D83" s="528" t="s">
        <v>539</v>
      </c>
      <c r="E83" s="528"/>
      <c r="F83" s="528"/>
      <c r="G83" s="528"/>
      <c r="H83" s="528"/>
      <c r="I83" s="529"/>
      <c r="J83" s="362"/>
      <c r="K83" s="459" t="s">
        <v>1406</v>
      </c>
      <c r="L83" s="420" t="s">
        <v>398</v>
      </c>
      <c r="M83" s="417"/>
    </row>
    <row r="84" spans="1:13" s="81" customFormat="1" ht="15" thickBot="1">
      <c r="A84" s="1903"/>
      <c r="B84" s="1781"/>
      <c r="C84" s="780" t="s">
        <v>257</v>
      </c>
      <c r="D84" s="526" t="str">
        <f>IF('PROGRAMA ARQ.'!D6="ZONA SUR","Debe considerar ventilación forzada para los meses de invierno","No contempla")</f>
        <v>No contempla</v>
      </c>
      <c r="E84" s="519"/>
      <c r="F84" s="519"/>
      <c r="G84" s="519"/>
      <c r="H84" s="519"/>
      <c r="I84" s="520"/>
      <c r="J84" s="362"/>
      <c r="K84" s="1386" t="s">
        <v>1406</v>
      </c>
      <c r="L84" s="385"/>
      <c r="M84" s="419"/>
    </row>
    <row r="85" spans="1:13">
      <c r="A85" s="1903"/>
      <c r="B85" s="1827" t="s">
        <v>142</v>
      </c>
      <c r="C85" s="1828"/>
      <c r="D85" s="528" t="s">
        <v>1486</v>
      </c>
      <c r="E85" s="589"/>
      <c r="F85" s="589"/>
      <c r="G85" s="589"/>
      <c r="H85" s="589"/>
      <c r="I85" s="723"/>
      <c r="K85" s="459" t="s">
        <v>1406</v>
      </c>
      <c r="L85" s="357"/>
      <c r="M85" s="440"/>
    </row>
    <row r="86" spans="1:13" ht="15" thickBot="1">
      <c r="A86" s="1903"/>
      <c r="B86" s="1831"/>
      <c r="C86" s="1832"/>
      <c r="D86" s="552" t="s">
        <v>625</v>
      </c>
      <c r="E86" s="552"/>
      <c r="F86" s="552"/>
      <c r="G86" s="552"/>
      <c r="H86" s="552"/>
      <c r="I86" s="725"/>
      <c r="K86" s="459" t="s">
        <v>1406</v>
      </c>
      <c r="L86" s="390"/>
      <c r="M86" s="444"/>
    </row>
    <row r="87" spans="1:13" s="81" customFormat="1">
      <c r="A87" s="1903"/>
      <c r="B87" s="1786" t="s">
        <v>264</v>
      </c>
      <c r="C87" s="1907"/>
      <c r="D87" s="784" t="s">
        <v>868</v>
      </c>
      <c r="E87" s="528"/>
      <c r="F87" s="528"/>
      <c r="G87" s="528"/>
      <c r="H87" s="528"/>
      <c r="I87" s="529"/>
      <c r="J87" s="362"/>
      <c r="K87" s="459" t="s">
        <v>1406</v>
      </c>
      <c r="L87" s="384" t="s">
        <v>538</v>
      </c>
      <c r="M87" s="417"/>
    </row>
    <row r="88" spans="1:13" s="81" customFormat="1">
      <c r="A88" s="1903"/>
      <c r="B88" s="1780"/>
      <c r="C88" s="1908"/>
      <c r="D88" s="632" t="s">
        <v>607</v>
      </c>
      <c r="E88" s="512"/>
      <c r="F88" s="512"/>
      <c r="G88" s="512"/>
      <c r="H88" s="512"/>
      <c r="I88" s="518"/>
      <c r="J88" s="362"/>
      <c r="K88" s="459" t="s">
        <v>1406</v>
      </c>
      <c r="L88" s="507"/>
      <c r="M88" s="418"/>
    </row>
    <row r="89" spans="1:13" s="81" customFormat="1" ht="15" thickBot="1">
      <c r="A89" s="1904"/>
      <c r="B89" s="1781"/>
      <c r="C89" s="1909"/>
      <c r="D89" s="519" t="s">
        <v>1430</v>
      </c>
      <c r="E89" s="519"/>
      <c r="F89" s="519"/>
      <c r="G89" s="519"/>
      <c r="H89" s="519"/>
      <c r="I89" s="520"/>
      <c r="J89" s="362"/>
      <c r="K89" s="459" t="s">
        <v>1406</v>
      </c>
      <c r="L89" s="385"/>
      <c r="M89" s="419"/>
    </row>
  </sheetData>
  <autoFilter ref="A1:N89"/>
  <mergeCells count="47">
    <mergeCell ref="B13:C14"/>
    <mergeCell ref="A75:A89"/>
    <mergeCell ref="B75:B82"/>
    <mergeCell ref="C79:C80"/>
    <mergeCell ref="B83:B84"/>
    <mergeCell ref="C75:C78"/>
    <mergeCell ref="C20:C23"/>
    <mergeCell ref="B15:B31"/>
    <mergeCell ref="C15:C19"/>
    <mergeCell ref="B87:C89"/>
    <mergeCell ref="B85:C86"/>
    <mergeCell ref="B62:C63"/>
    <mergeCell ref="B64:B74"/>
    <mergeCell ref="C64:C68"/>
    <mergeCell ref="C25:C29"/>
    <mergeCell ref="C30:C31"/>
    <mergeCell ref="B48:B49"/>
    <mergeCell ref="B51:C51"/>
    <mergeCell ref="L32:L36"/>
    <mergeCell ref="C33:C36"/>
    <mergeCell ref="B39:B47"/>
    <mergeCell ref="C39:C42"/>
    <mergeCell ref="C43:C44"/>
    <mergeCell ref="C45:C46"/>
    <mergeCell ref="B32:B36"/>
    <mergeCell ref="B37:C38"/>
    <mergeCell ref="C69:C71"/>
    <mergeCell ref="C72:C74"/>
    <mergeCell ref="B2:I2"/>
    <mergeCell ref="E5:I5"/>
    <mergeCell ref="C8:C12"/>
    <mergeCell ref="D8:G8"/>
    <mergeCell ref="D9:G9"/>
    <mergeCell ref="D10:G10"/>
    <mergeCell ref="D11:G11"/>
    <mergeCell ref="D12:G12"/>
    <mergeCell ref="E3:I3"/>
    <mergeCell ref="E4:I4"/>
    <mergeCell ref="B8:B12"/>
    <mergeCell ref="B52:B61"/>
    <mergeCell ref="C52:C54"/>
    <mergeCell ref="C56:C61"/>
    <mergeCell ref="K57:K61"/>
    <mergeCell ref="K8:K12"/>
    <mergeCell ref="K15:K16"/>
    <mergeCell ref="K32:K36"/>
    <mergeCell ref="K37:K38"/>
  </mergeCells>
  <pageMargins left="0.70866141732283472" right="0.70866141732283472" top="0.74803149606299213" bottom="0.74803149606299213" header="0.31496062992125984" footer="0.31496062992125984"/>
  <pageSetup scale="67" fitToHeight="0" orientation="portrait"/>
  <rowBreaks count="2" manualBreakCount="2">
    <brk id="31" max="8" man="1"/>
    <brk id="63"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E6E630F1-AF8E-4ECB-AA08-0E4A4A75D3D2}">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01" operator="containsText" text="0" id="{E6E630F1-AF8E-4ECB-AA08-0E4A4A75D3D2}">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theme="3" tint="0.79998168889431442"/>
    <pageSetUpPr fitToPage="1"/>
  </sheetPr>
  <dimension ref="A1:N104"/>
  <sheetViews>
    <sheetView zoomScale="80" zoomScaleNormal="80" zoomScaleSheetLayoutView="90" zoomScalePageLayoutView="80" workbookViewId="0">
      <selection activeCell="K8" sqref="K8:K14"/>
    </sheetView>
  </sheetViews>
  <sheetFormatPr baseColWidth="10" defaultColWidth="11.5" defaultRowHeight="14" x14ac:dyDescent="0"/>
  <cols>
    <col min="1" max="1" width="2.83203125" style="81" customWidth="1"/>
    <col min="2" max="2" width="30.6640625" style="382" customWidth="1"/>
    <col min="3" max="3" width="30.6640625" style="376" customWidth="1"/>
    <col min="4" max="4" width="63.5" style="362" bestFit="1" customWidth="1"/>
    <col min="5" max="9" width="3.6640625" style="362" customWidth="1"/>
    <col min="10" max="10" width="7.5" style="362" customWidth="1"/>
    <col min="11" max="11" width="50.6640625" style="507" customWidth="1"/>
    <col min="12" max="12" width="30.6640625" style="376" customWidth="1"/>
    <col min="13" max="13" width="3.6640625" style="362" customWidth="1"/>
    <col min="14" max="16384" width="11.5" style="81"/>
  </cols>
  <sheetData>
    <row r="1" spans="2:13" ht="8.5" customHeight="1" thickBot="1"/>
    <row r="2" spans="2:13" ht="69" customHeight="1" thickBot="1">
      <c r="B2" s="1743"/>
      <c r="C2" s="1744"/>
      <c r="D2" s="1744"/>
      <c r="E2" s="1744"/>
      <c r="F2" s="1744"/>
      <c r="G2" s="1744"/>
      <c r="H2" s="1744"/>
      <c r="I2" s="1745"/>
      <c r="J2" s="382"/>
      <c r="L2" s="507"/>
    </row>
    <row r="3" spans="2:13" ht="25.25" customHeight="1" thickBot="1">
      <c r="B3" s="820" t="s">
        <v>1385</v>
      </c>
      <c r="C3" s="821"/>
      <c r="D3" s="822"/>
      <c r="E3" s="1746" t="str">
        <f>+'PROGRAMA ARQ.'!E4</f>
        <v>2 SALAS CUNAS</v>
      </c>
      <c r="F3" s="1747"/>
      <c r="G3" s="1747"/>
      <c r="H3" s="1747"/>
      <c r="I3" s="1748"/>
      <c r="J3" s="382"/>
      <c r="L3" s="507"/>
    </row>
    <row r="4" spans="2:13" ht="25.25" customHeight="1" thickBot="1">
      <c r="B4" s="823">
        <f>+'PROGRAMA ARQ.'!I4:I5</f>
        <v>152</v>
      </c>
      <c r="C4" s="505"/>
      <c r="D4" s="661"/>
      <c r="E4" s="1737" t="str">
        <f>+'PROGRAMA ARQ.'!E5</f>
        <v>4 NIVELES MEDIOS</v>
      </c>
      <c r="F4" s="1738"/>
      <c r="G4" s="1738"/>
      <c r="H4" s="1738"/>
      <c r="I4" s="1739"/>
      <c r="J4" s="382"/>
      <c r="L4" s="507"/>
    </row>
    <row r="5" spans="2:13" ht="15" thickBot="1">
      <c r="B5" s="695" t="s">
        <v>1374</v>
      </c>
      <c r="C5" s="235" t="s">
        <v>1375</v>
      </c>
      <c r="D5" s="235" t="s">
        <v>1376</v>
      </c>
      <c r="E5" s="1818" t="s">
        <v>1377</v>
      </c>
      <c r="F5" s="1819"/>
      <c r="G5" s="1819"/>
      <c r="H5" s="1819"/>
      <c r="I5" s="1820"/>
      <c r="J5" s="675"/>
      <c r="L5" s="507"/>
    </row>
    <row r="6" spans="2:13" s="621" customFormat="1" ht="88.25" customHeight="1" thickBot="1">
      <c r="B6" s="835" t="str">
        <f>+'PROGRAMA ARQ.'!C21</f>
        <v>1.4</v>
      </c>
      <c r="C6" s="835" t="str">
        <f>+'PROGRAMA ARQ.'!D21</f>
        <v>SALA DE ACTIVIDADES NIVEL MEDIO</v>
      </c>
      <c r="D6" s="836">
        <f>+'PROGRAMA ARQ.'!F21</f>
        <v>64.399999999999991</v>
      </c>
      <c r="E6" s="837" t="s">
        <v>366</v>
      </c>
      <c r="F6" s="838" t="s">
        <v>544</v>
      </c>
      <c r="G6" s="838" t="s">
        <v>2</v>
      </c>
      <c r="H6" s="839" t="s">
        <v>171</v>
      </c>
      <c r="I6" s="840" t="s">
        <v>172</v>
      </c>
      <c r="J6" s="608"/>
      <c r="K6" s="1240" t="s">
        <v>293</v>
      </c>
      <c r="L6" s="854" t="s">
        <v>120</v>
      </c>
      <c r="M6" s="855" t="s">
        <v>178</v>
      </c>
    </row>
    <row r="7" spans="2:13" s="367" customFormat="1" ht="16" thickBot="1">
      <c r="B7" s="719" t="s">
        <v>1378</v>
      </c>
      <c r="C7" s="719" t="s">
        <v>1379</v>
      </c>
      <c r="D7" s="666" t="s">
        <v>1380</v>
      </c>
      <c r="E7" s="663"/>
      <c r="F7" s="664"/>
      <c r="G7" s="664"/>
      <c r="H7" s="663"/>
      <c r="I7" s="665"/>
      <c r="J7" s="595"/>
      <c r="K7" s="235"/>
      <c r="L7" s="696"/>
      <c r="M7" s="697"/>
    </row>
    <row r="8" spans="2:13" ht="143.5" customHeight="1">
      <c r="B8" s="1816" t="s">
        <v>122</v>
      </c>
      <c r="C8" s="1921"/>
      <c r="D8" s="1920" t="s">
        <v>1381</v>
      </c>
      <c r="E8" s="1777"/>
      <c r="F8" s="1777"/>
      <c r="G8" s="1777"/>
      <c r="H8" s="790"/>
      <c r="I8" s="677"/>
      <c r="K8" s="1142" t="s">
        <v>1421</v>
      </c>
      <c r="L8" s="507"/>
      <c r="M8" s="418"/>
    </row>
    <row r="9" spans="2:13">
      <c r="B9" s="1924"/>
      <c r="C9" s="1922"/>
      <c r="D9" s="1911" t="s">
        <v>880</v>
      </c>
      <c r="E9" s="1911"/>
      <c r="F9" s="1911"/>
      <c r="G9" s="1911"/>
      <c r="H9" s="512"/>
      <c r="I9" s="518"/>
      <c r="K9" s="1142" t="s">
        <v>1421</v>
      </c>
      <c r="L9" s="507" t="s">
        <v>432</v>
      </c>
      <c r="M9" s="422"/>
    </row>
    <row r="10" spans="2:13">
      <c r="B10" s="1924"/>
      <c r="C10" s="1922"/>
      <c r="D10" s="1882" t="s">
        <v>1367</v>
      </c>
      <c r="E10" s="1882"/>
      <c r="F10" s="1882"/>
      <c r="G10" s="1882"/>
      <c r="H10" s="512"/>
      <c r="I10" s="518"/>
      <c r="K10" s="1142" t="s">
        <v>1421</v>
      </c>
      <c r="L10" s="507"/>
      <c r="M10" s="418"/>
    </row>
    <row r="11" spans="2:13" ht="15" thickBot="1">
      <c r="B11" s="1817"/>
      <c r="C11" s="1923"/>
      <c r="D11" s="1883" t="s">
        <v>431</v>
      </c>
      <c r="E11" s="1883"/>
      <c r="F11" s="1883"/>
      <c r="G11" s="1883"/>
      <c r="H11" s="519"/>
      <c r="I11" s="520"/>
      <c r="K11" s="1142" t="s">
        <v>1421</v>
      </c>
      <c r="L11" s="385"/>
      <c r="M11" s="423"/>
    </row>
    <row r="12" spans="2:13" ht="28">
      <c r="B12" s="1780" t="s">
        <v>125</v>
      </c>
      <c r="C12" s="1929"/>
      <c r="D12" s="736" t="s">
        <v>632</v>
      </c>
      <c r="E12" s="517"/>
      <c r="F12" s="517"/>
      <c r="G12" s="517"/>
      <c r="H12" s="517"/>
      <c r="I12" s="534"/>
      <c r="K12" s="1142" t="s">
        <v>1421</v>
      </c>
      <c r="L12" s="384" t="s">
        <v>430</v>
      </c>
      <c r="M12" s="417"/>
    </row>
    <row r="13" spans="2:13" ht="45" customHeight="1">
      <c r="B13" s="1780"/>
      <c r="C13" s="1930"/>
      <c r="D13" s="628" t="s">
        <v>633</v>
      </c>
      <c r="E13" s="512"/>
      <c r="F13" s="512"/>
      <c r="G13" s="512"/>
      <c r="H13" s="512"/>
      <c r="I13" s="518"/>
      <c r="K13" s="1142" t="s">
        <v>1421</v>
      </c>
      <c r="L13" s="507"/>
      <c r="M13" s="418"/>
    </row>
    <row r="14" spans="2:13" ht="29" thickBot="1">
      <c r="B14" s="1781"/>
      <c r="C14" s="1931"/>
      <c r="D14" s="778" t="s">
        <v>492</v>
      </c>
      <c r="E14" s="519"/>
      <c r="F14" s="519"/>
      <c r="G14" s="519"/>
      <c r="H14" s="519"/>
      <c r="I14" s="520"/>
      <c r="K14" s="1142" t="s">
        <v>1421</v>
      </c>
      <c r="L14" s="385" t="s">
        <v>430</v>
      </c>
      <c r="M14" s="419"/>
    </row>
    <row r="15" spans="2:13" ht="28">
      <c r="B15" s="1786" t="s">
        <v>143</v>
      </c>
      <c r="C15" s="1928" t="s">
        <v>241</v>
      </c>
      <c r="D15" s="787" t="s">
        <v>487</v>
      </c>
      <c r="E15" s="528"/>
      <c r="F15" s="528"/>
      <c r="G15" s="528"/>
      <c r="H15" s="528"/>
      <c r="I15" s="529"/>
      <c r="K15" s="356"/>
      <c r="L15" s="473" t="s">
        <v>674</v>
      </c>
      <c r="M15" s="417"/>
    </row>
    <row r="16" spans="2:13" s="1165" customFormat="1">
      <c r="B16" s="1780"/>
      <c r="C16" s="1882"/>
      <c r="D16" s="1286">
        <f>+'PROGRAMA ARQ.'!L21</f>
        <v>10.947999999999999</v>
      </c>
      <c r="E16" s="1167" t="s">
        <v>258</v>
      </c>
      <c r="F16" s="1167"/>
      <c r="G16" s="1167"/>
      <c r="H16" s="1167"/>
      <c r="I16" s="1168"/>
      <c r="J16" s="1164"/>
      <c r="K16" s="1234" t="s">
        <v>490</v>
      </c>
      <c r="L16" s="1287" t="e">
        <f>IF(INICIO!D3=INICIO!M8,"14% de la superficie útil del recinto, mínimo",IF(INICIO!D3=INICIO!#REF!,"14% de la superficie útil del recinto, mínimo",IF(INICIO!D3=INICIO!#REF!,"14% de la superficie útil del recinto, mínimo",IF(INICIO!D3=INICIO!M4,"14% de la superficie útil del recinto, mínimo",IF(INICIO!D3=INICIO!M5,"14% de la superficie útil del recinto, mínimo",IF(INICIO!D3=INICIO!M11,"17% de la superficie útil del recinto, mínimo",IF(INICIO!D3=INICIO!M6,"17% de la superficie útil del recinto, mínimo",IF(INICIO!D3=INICIO!M7,"17% de la superficie útil del recinto, mínimo",IF(INICIO!D3=INICIO!M12,"17% de la superficie útil del recinto, mínimo","20% de la superficie útil del recinto, mínimo")))))))))</f>
        <v>#REF!</v>
      </c>
      <c r="M16" s="1208"/>
    </row>
    <row r="17" spans="2:14" s="1165" customFormat="1" ht="28">
      <c r="B17" s="1780"/>
      <c r="C17" s="1882"/>
      <c r="D17" s="1243" t="s">
        <v>429</v>
      </c>
      <c r="E17" s="1167"/>
      <c r="F17" s="1167"/>
      <c r="G17" s="1167"/>
      <c r="H17" s="1167"/>
      <c r="I17" s="1168"/>
      <c r="J17" s="1164"/>
      <c r="K17" s="1234" t="s">
        <v>871</v>
      </c>
      <c r="L17" s="1244"/>
      <c r="M17" s="1245"/>
      <c r="N17" s="1176"/>
    </row>
    <row r="18" spans="2:14" ht="49.25" customHeight="1">
      <c r="B18" s="1780"/>
      <c r="C18" s="1882"/>
      <c r="D18" s="629" t="s">
        <v>493</v>
      </c>
      <c r="E18" s="512"/>
      <c r="F18" s="512"/>
      <c r="G18" s="512"/>
      <c r="H18" s="512"/>
      <c r="I18" s="518"/>
      <c r="K18" s="1142" t="s">
        <v>1421</v>
      </c>
      <c r="L18" s="82"/>
      <c r="M18" s="418"/>
    </row>
    <row r="19" spans="2:14" s="310" customFormat="1" ht="28">
      <c r="B19" s="1780"/>
      <c r="C19" s="1882"/>
      <c r="D19" s="633" t="s">
        <v>615</v>
      </c>
      <c r="E19" s="512"/>
      <c r="F19" s="512"/>
      <c r="G19" s="512"/>
      <c r="H19" s="512"/>
      <c r="I19" s="518"/>
      <c r="J19" s="362"/>
      <c r="K19" s="459" t="s">
        <v>1406</v>
      </c>
      <c r="L19" s="82" t="s">
        <v>428</v>
      </c>
      <c r="M19" s="418"/>
    </row>
    <row r="20" spans="2:14">
      <c r="B20" s="1780"/>
      <c r="C20" s="1882"/>
      <c r="D20" s="633" t="s">
        <v>494</v>
      </c>
      <c r="E20" s="512"/>
      <c r="F20" s="512"/>
      <c r="G20" s="512"/>
      <c r="H20" s="512"/>
      <c r="I20" s="518"/>
      <c r="K20" s="1142" t="s">
        <v>1421</v>
      </c>
      <c r="L20" s="82" t="s">
        <v>427</v>
      </c>
      <c r="M20" s="418"/>
    </row>
    <row r="21" spans="2:14" ht="28">
      <c r="B21" s="1780"/>
      <c r="C21" s="1882" t="s">
        <v>242</v>
      </c>
      <c r="D21" s="633" t="s">
        <v>497</v>
      </c>
      <c r="E21" s="512"/>
      <c r="F21" s="512"/>
      <c r="G21" s="512"/>
      <c r="H21" s="512"/>
      <c r="I21" s="518"/>
      <c r="K21" s="449"/>
      <c r="L21" s="82"/>
      <c r="M21" s="418"/>
    </row>
    <row r="22" spans="2:14" s="1165" customFormat="1" ht="19.25" customHeight="1">
      <c r="B22" s="1780"/>
      <c r="C22" s="1882"/>
      <c r="D22" s="1217">
        <f>+'PROGRAMA ARQ.'!M21</f>
        <v>5.1519999999999992</v>
      </c>
      <c r="E22" s="1167" t="s">
        <v>258</v>
      </c>
      <c r="F22" s="1167"/>
      <c r="G22" s="1167"/>
      <c r="H22" s="1167"/>
      <c r="I22" s="1168"/>
      <c r="J22" s="1164"/>
      <c r="K22" s="1234" t="s">
        <v>495</v>
      </c>
      <c r="L22" s="1176" t="s">
        <v>259</v>
      </c>
      <c r="M22" s="1288"/>
    </row>
    <row r="23" spans="2:14">
      <c r="B23" s="1780"/>
      <c r="C23" s="1882"/>
      <c r="D23" s="634" t="s">
        <v>496</v>
      </c>
      <c r="E23" s="512"/>
      <c r="F23" s="512"/>
      <c r="G23" s="512"/>
      <c r="H23" s="512"/>
      <c r="I23" s="518"/>
      <c r="K23" s="1142" t="s">
        <v>1421</v>
      </c>
      <c r="L23" s="507" t="s">
        <v>881</v>
      </c>
      <c r="M23" s="418"/>
    </row>
    <row r="24" spans="2:14" s="310" customFormat="1" ht="14.5" customHeight="1">
      <c r="B24" s="1780"/>
      <c r="C24" s="1882"/>
      <c r="D24" s="628" t="s">
        <v>551</v>
      </c>
      <c r="E24" s="513"/>
      <c r="F24" s="513"/>
      <c r="G24" s="513"/>
      <c r="H24" s="513"/>
      <c r="I24" s="545"/>
      <c r="J24" s="362"/>
      <c r="K24" s="1142" t="s">
        <v>1421</v>
      </c>
      <c r="L24" s="618" t="s">
        <v>554</v>
      </c>
      <c r="M24" s="441"/>
    </row>
    <row r="25" spans="2:14" s="1165" customFormat="1" ht="28">
      <c r="B25" s="1780"/>
      <c r="C25" s="1882" t="s">
        <v>426</v>
      </c>
      <c r="D25" s="1286">
        <f>+'PROGRAMA ARQ.'!K21</f>
        <v>160.99999999999997</v>
      </c>
      <c r="E25" s="1167" t="s">
        <v>498</v>
      </c>
      <c r="F25" s="1167"/>
      <c r="G25" s="1167"/>
      <c r="H25" s="1167"/>
      <c r="I25" s="1168"/>
      <c r="J25" s="1164"/>
      <c r="K25" s="1234" t="s">
        <v>490</v>
      </c>
      <c r="L25" s="1289" t="s">
        <v>499</v>
      </c>
      <c r="M25" s="1288"/>
    </row>
    <row r="26" spans="2:14">
      <c r="B26" s="1780"/>
      <c r="C26" s="1882"/>
      <c r="D26" s="628" t="s">
        <v>634</v>
      </c>
      <c r="E26" s="512"/>
      <c r="F26" s="512"/>
      <c r="G26" s="512"/>
      <c r="H26" s="512"/>
      <c r="I26" s="518"/>
      <c r="K26" s="459" t="s">
        <v>1406</v>
      </c>
      <c r="L26" s="507"/>
      <c r="M26" s="422"/>
    </row>
    <row r="27" spans="2:14" ht="28">
      <c r="B27" s="1780"/>
      <c r="C27" s="1882" t="s">
        <v>243</v>
      </c>
      <c r="D27" s="628" t="s">
        <v>575</v>
      </c>
      <c r="E27" s="512"/>
      <c r="F27" s="512"/>
      <c r="G27" s="512"/>
      <c r="H27" s="512"/>
      <c r="I27" s="518"/>
      <c r="K27" s="459" t="s">
        <v>1406</v>
      </c>
      <c r="L27" s="382" t="s">
        <v>500</v>
      </c>
      <c r="M27" s="424"/>
    </row>
    <row r="28" spans="2:14">
      <c r="B28" s="1780"/>
      <c r="C28" s="1882"/>
      <c r="D28" s="633" t="s">
        <v>425</v>
      </c>
      <c r="E28" s="512"/>
      <c r="F28" s="512"/>
      <c r="G28" s="512"/>
      <c r="H28" s="512"/>
      <c r="I28" s="518"/>
      <c r="K28" s="459" t="s">
        <v>1406</v>
      </c>
      <c r="L28" s="585"/>
      <c r="M28" s="424"/>
    </row>
    <row r="29" spans="2:14" ht="28">
      <c r="B29" s="1780"/>
      <c r="C29" s="1882"/>
      <c r="D29" s="633" t="s">
        <v>576</v>
      </c>
      <c r="E29" s="512"/>
      <c r="F29" s="512"/>
      <c r="G29" s="512"/>
      <c r="H29" s="512"/>
      <c r="I29" s="518"/>
      <c r="K29" s="459" t="s">
        <v>1406</v>
      </c>
      <c r="L29" s="585"/>
      <c r="M29" s="424"/>
    </row>
    <row r="30" spans="2:14">
      <c r="B30" s="1780"/>
      <c r="C30" s="1882"/>
      <c r="D30" s="633" t="s">
        <v>873</v>
      </c>
      <c r="E30" s="512"/>
      <c r="F30" s="512"/>
      <c r="G30" s="512"/>
      <c r="H30" s="512"/>
      <c r="I30" s="518"/>
      <c r="K30" s="459" t="s">
        <v>1406</v>
      </c>
      <c r="L30" s="585"/>
      <c r="M30" s="424"/>
    </row>
    <row r="31" spans="2:14">
      <c r="B31" s="1780"/>
      <c r="C31" s="1882"/>
      <c r="D31" s="633" t="s">
        <v>874</v>
      </c>
      <c r="E31" s="512"/>
      <c r="F31" s="512"/>
      <c r="G31" s="512"/>
      <c r="H31" s="512"/>
      <c r="I31" s="518"/>
      <c r="K31" s="459" t="s">
        <v>1406</v>
      </c>
      <c r="L31" s="507" t="s">
        <v>424</v>
      </c>
      <c r="M31" s="424"/>
    </row>
    <row r="32" spans="2:14" s="1165" customFormat="1" ht="28">
      <c r="B32" s="1780"/>
      <c r="C32" s="1882" t="s">
        <v>244</v>
      </c>
      <c r="D32" s="1217" t="s">
        <v>502</v>
      </c>
      <c r="E32" s="1167"/>
      <c r="F32" s="1167"/>
      <c r="G32" s="1167"/>
      <c r="H32" s="1167"/>
      <c r="I32" s="1168"/>
      <c r="J32" s="1164"/>
      <c r="K32" s="1234" t="s">
        <v>261</v>
      </c>
      <c r="L32" s="1219"/>
      <c r="M32" s="1247"/>
    </row>
    <row r="33" spans="2:13" ht="29" thickBot="1">
      <c r="B33" s="1781"/>
      <c r="C33" s="1883"/>
      <c r="D33" s="724" t="s">
        <v>638</v>
      </c>
      <c r="E33" s="519"/>
      <c r="F33" s="519"/>
      <c r="G33" s="519"/>
      <c r="H33" s="519"/>
      <c r="I33" s="520"/>
      <c r="K33" s="459" t="s">
        <v>1406</v>
      </c>
      <c r="L33" s="421"/>
      <c r="M33" s="425"/>
    </row>
    <row r="34" spans="2:13" ht="14.5" customHeight="1">
      <c r="B34" s="1786" t="s">
        <v>144</v>
      </c>
      <c r="C34" s="775" t="s">
        <v>245</v>
      </c>
      <c r="D34" s="776" t="s">
        <v>1063</v>
      </c>
      <c r="E34" s="528"/>
      <c r="F34" s="528"/>
      <c r="G34" s="528"/>
      <c r="H34" s="528"/>
      <c r="I34" s="529"/>
      <c r="K34" s="459" t="s">
        <v>1406</v>
      </c>
      <c r="L34" s="1925" t="s">
        <v>670</v>
      </c>
      <c r="M34" s="417"/>
    </row>
    <row r="35" spans="2:13">
      <c r="B35" s="1780"/>
      <c r="C35" s="1882" t="s">
        <v>246</v>
      </c>
      <c r="D35" s="633" t="s">
        <v>441</v>
      </c>
      <c r="E35" s="512"/>
      <c r="F35" s="512"/>
      <c r="G35" s="512"/>
      <c r="H35" s="512"/>
      <c r="I35" s="518"/>
      <c r="K35" s="459" t="s">
        <v>1406</v>
      </c>
      <c r="L35" s="1926"/>
      <c r="M35" s="418"/>
    </row>
    <row r="36" spans="2:13">
      <c r="B36" s="1780"/>
      <c r="C36" s="1882"/>
      <c r="D36" s="633" t="s">
        <v>422</v>
      </c>
      <c r="E36" s="512"/>
      <c r="F36" s="512"/>
      <c r="G36" s="512"/>
      <c r="H36" s="512"/>
      <c r="I36" s="518"/>
      <c r="K36" s="459" t="s">
        <v>1406</v>
      </c>
      <c r="L36" s="1926"/>
      <c r="M36" s="418"/>
    </row>
    <row r="37" spans="2:13">
      <c r="B37" s="1780"/>
      <c r="C37" s="1882"/>
      <c r="D37" s="633" t="s">
        <v>421</v>
      </c>
      <c r="E37" s="512"/>
      <c r="F37" s="512"/>
      <c r="G37" s="512"/>
      <c r="H37" s="512"/>
      <c r="I37" s="518"/>
      <c r="K37" s="459" t="s">
        <v>1406</v>
      </c>
      <c r="L37" s="1926"/>
      <c r="M37" s="418"/>
    </row>
    <row r="38" spans="2:13" ht="15" thickBot="1">
      <c r="B38" s="1781"/>
      <c r="C38" s="1883"/>
      <c r="D38" s="724" t="s">
        <v>420</v>
      </c>
      <c r="E38" s="519"/>
      <c r="F38" s="519"/>
      <c r="G38" s="519"/>
      <c r="H38" s="519"/>
      <c r="I38" s="520"/>
      <c r="K38" s="459" t="s">
        <v>1406</v>
      </c>
      <c r="L38" s="1927"/>
      <c r="M38" s="419"/>
    </row>
    <row r="39" spans="2:13">
      <c r="B39" s="1786" t="s">
        <v>141</v>
      </c>
      <c r="C39" s="1907"/>
      <c r="D39" s="776" t="s">
        <v>419</v>
      </c>
      <c r="E39" s="528"/>
      <c r="F39" s="528"/>
      <c r="G39" s="528"/>
      <c r="H39" s="528"/>
      <c r="I39" s="529"/>
      <c r="K39" s="459" t="s">
        <v>1406</v>
      </c>
      <c r="L39" s="384"/>
      <c r="M39" s="417"/>
    </row>
    <row r="40" spans="2:13" ht="15" thickBot="1">
      <c r="B40" s="1781"/>
      <c r="C40" s="1909"/>
      <c r="D40" s="724" t="s">
        <v>418</v>
      </c>
      <c r="E40" s="519"/>
      <c r="F40" s="519"/>
      <c r="G40" s="519"/>
      <c r="H40" s="519"/>
      <c r="I40" s="520"/>
      <c r="K40" s="459" t="s">
        <v>1406</v>
      </c>
      <c r="L40" s="385"/>
      <c r="M40" s="419"/>
    </row>
    <row r="41" spans="2:13" s="1165" customFormat="1">
      <c r="B41" s="1786" t="s">
        <v>140</v>
      </c>
      <c r="C41" s="1899" t="s">
        <v>504</v>
      </c>
      <c r="D41" s="1226" t="s">
        <v>1423</v>
      </c>
      <c r="E41" s="1162"/>
      <c r="F41" s="1162"/>
      <c r="G41" s="1162"/>
      <c r="H41" s="1162"/>
      <c r="I41" s="1163"/>
      <c r="J41" s="1164"/>
      <c r="K41" s="1234" t="s">
        <v>622</v>
      </c>
      <c r="L41" s="1238"/>
      <c r="M41" s="1223"/>
    </row>
    <row r="42" spans="2:13" s="1165" customFormat="1" ht="28">
      <c r="B42" s="1780"/>
      <c r="C42" s="1758"/>
      <c r="D42" s="1226" t="s">
        <v>508</v>
      </c>
      <c r="E42" s="1167"/>
      <c r="F42" s="1167"/>
      <c r="G42" s="1167"/>
      <c r="H42" s="1167"/>
      <c r="I42" s="1168"/>
      <c r="J42" s="1164"/>
      <c r="K42" s="1234" t="s">
        <v>416</v>
      </c>
      <c r="L42" s="1176"/>
      <c r="M42" s="1208"/>
    </row>
    <row r="43" spans="2:13" ht="29.5" customHeight="1">
      <c r="B43" s="1780"/>
      <c r="C43" s="1758"/>
      <c r="D43" s="650" t="s">
        <v>506</v>
      </c>
      <c r="E43" s="512"/>
      <c r="F43" s="512"/>
      <c r="G43" s="512"/>
      <c r="H43" s="512"/>
      <c r="I43" s="518"/>
      <c r="K43" s="459" t="s">
        <v>1421</v>
      </c>
      <c r="L43" s="507"/>
      <c r="M43" s="418"/>
    </row>
    <row r="44" spans="2:13">
      <c r="B44" s="1780"/>
      <c r="C44" s="1758"/>
      <c r="D44" s="634" t="s">
        <v>505</v>
      </c>
      <c r="E44" s="512"/>
      <c r="F44" s="512"/>
      <c r="G44" s="512"/>
      <c r="H44" s="512"/>
      <c r="I44" s="518"/>
      <c r="K44" s="459" t="s">
        <v>1406</v>
      </c>
      <c r="L44" s="507"/>
      <c r="M44" s="418"/>
    </row>
    <row r="45" spans="2:13" ht="28">
      <c r="B45" s="1780"/>
      <c r="C45" s="1758" t="s">
        <v>414</v>
      </c>
      <c r="D45" s="628" t="s">
        <v>515</v>
      </c>
      <c r="E45" s="512"/>
      <c r="F45" s="512"/>
      <c r="G45" s="512"/>
      <c r="H45" s="512"/>
      <c r="I45" s="518"/>
      <c r="K45" s="459" t="s">
        <v>1406</v>
      </c>
      <c r="L45" s="507"/>
      <c r="M45" s="418"/>
    </row>
    <row r="46" spans="2:13" ht="28">
      <c r="B46" s="1780"/>
      <c r="C46" s="1758"/>
      <c r="D46" s="628" t="s">
        <v>444</v>
      </c>
      <c r="E46" s="512"/>
      <c r="F46" s="512"/>
      <c r="G46" s="512"/>
      <c r="H46" s="512"/>
      <c r="I46" s="518"/>
      <c r="K46" s="459" t="s">
        <v>1406</v>
      </c>
      <c r="L46" s="507"/>
      <c r="M46" s="418"/>
    </row>
    <row r="47" spans="2:13">
      <c r="B47" s="1780"/>
      <c r="C47" s="1758"/>
      <c r="D47" s="634" t="s">
        <v>403</v>
      </c>
      <c r="E47" s="512"/>
      <c r="F47" s="512"/>
      <c r="G47" s="512"/>
      <c r="H47" s="512"/>
      <c r="I47" s="518"/>
      <c r="K47" s="1142" t="s">
        <v>1421</v>
      </c>
      <c r="L47" s="449"/>
      <c r="M47" s="401"/>
    </row>
    <row r="48" spans="2:13">
      <c r="B48" s="1780"/>
      <c r="C48" s="1758" t="s">
        <v>256</v>
      </c>
      <c r="D48" s="628" t="s">
        <v>559</v>
      </c>
      <c r="E48" s="512"/>
      <c r="F48" s="512"/>
      <c r="G48" s="512"/>
      <c r="H48" s="512"/>
      <c r="I48" s="518"/>
      <c r="K48" s="459" t="s">
        <v>1406</v>
      </c>
      <c r="L48" s="507"/>
      <c r="M48" s="418"/>
    </row>
    <row r="49" spans="2:13">
      <c r="B49" s="1780"/>
      <c r="C49" s="1758"/>
      <c r="D49" s="628" t="s">
        <v>560</v>
      </c>
      <c r="E49" s="512"/>
      <c r="F49" s="512"/>
      <c r="G49" s="512"/>
      <c r="H49" s="512"/>
      <c r="I49" s="518"/>
      <c r="K49" s="459" t="s">
        <v>1406</v>
      </c>
      <c r="L49" s="507"/>
      <c r="M49" s="418"/>
    </row>
    <row r="50" spans="2:13">
      <c r="B50" s="1780"/>
      <c r="C50" s="1758" t="s">
        <v>629</v>
      </c>
      <c r="D50" s="628" t="s">
        <v>630</v>
      </c>
      <c r="E50" s="512"/>
      <c r="F50" s="512"/>
      <c r="G50" s="512"/>
      <c r="H50" s="512"/>
      <c r="I50" s="518"/>
      <c r="K50" s="459" t="s">
        <v>1432</v>
      </c>
      <c r="L50" s="507"/>
      <c r="M50" s="418"/>
    </row>
    <row r="51" spans="2:13">
      <c r="B51" s="1780"/>
      <c r="C51" s="1758"/>
      <c r="D51" s="628" t="s">
        <v>631</v>
      </c>
      <c r="E51" s="512"/>
      <c r="F51" s="512"/>
      <c r="G51" s="512"/>
      <c r="H51" s="512"/>
      <c r="I51" s="518"/>
      <c r="K51" s="459" t="s">
        <v>1432</v>
      </c>
      <c r="L51" s="507"/>
      <c r="M51" s="418"/>
    </row>
    <row r="52" spans="2:13" ht="15" thickBot="1">
      <c r="B52" s="1781"/>
      <c r="C52" s="777" t="s">
        <v>410</v>
      </c>
      <c r="D52" s="778" t="s">
        <v>514</v>
      </c>
      <c r="E52" s="519"/>
      <c r="F52" s="519"/>
      <c r="G52" s="519"/>
      <c r="H52" s="519"/>
      <c r="I52" s="520"/>
      <c r="K52" s="1142" t="s">
        <v>1421</v>
      </c>
      <c r="L52" s="385"/>
      <c r="M52" s="419"/>
    </row>
    <row r="53" spans="2:13" ht="28">
      <c r="B53" s="1816" t="s">
        <v>123</v>
      </c>
      <c r="C53" s="788" t="s">
        <v>596</v>
      </c>
      <c r="D53" s="786" t="s">
        <v>882</v>
      </c>
      <c r="E53" s="528"/>
      <c r="F53" s="528">
        <v>1</v>
      </c>
      <c r="G53" s="528">
        <f>+F53*'PROGRAMA ARQ.'!$E$21</f>
        <v>4</v>
      </c>
      <c r="H53" s="528"/>
      <c r="I53" s="529"/>
      <c r="K53" s="1871" t="s">
        <v>1432</v>
      </c>
      <c r="L53" s="384"/>
      <c r="M53" s="417"/>
    </row>
    <row r="54" spans="2:13" ht="28">
      <c r="B54" s="1924"/>
      <c r="C54" s="636" t="s">
        <v>597</v>
      </c>
      <c r="D54" s="628" t="s">
        <v>518</v>
      </c>
      <c r="E54" s="512"/>
      <c r="F54" s="512">
        <v>1</v>
      </c>
      <c r="G54" s="512">
        <f>+F54*'PROGRAMA ARQ.'!$E$21</f>
        <v>4</v>
      </c>
      <c r="H54" s="512"/>
      <c r="I54" s="518"/>
      <c r="K54" s="1871"/>
      <c r="L54" s="507"/>
      <c r="M54" s="418"/>
    </row>
    <row r="55" spans="2:13" ht="28">
      <c r="B55" s="1924"/>
      <c r="C55" s="636" t="s">
        <v>594</v>
      </c>
      <c r="D55" s="628" t="s">
        <v>1471</v>
      </c>
      <c r="E55" s="512"/>
      <c r="F55" s="512">
        <v>1</v>
      </c>
      <c r="G55" s="512">
        <f>+F55*'PROGRAMA ARQ.'!$E$21</f>
        <v>4</v>
      </c>
      <c r="H55" s="512"/>
      <c r="I55" s="518"/>
      <c r="K55" s="1871"/>
      <c r="L55" s="507" t="s">
        <v>471</v>
      </c>
      <c r="M55" s="418"/>
    </row>
    <row r="56" spans="2:13">
      <c r="B56" s="1924"/>
      <c r="C56" s="636" t="s">
        <v>343</v>
      </c>
      <c r="D56" s="628" t="s">
        <v>517</v>
      </c>
      <c r="E56" s="512"/>
      <c r="F56" s="512">
        <v>1</v>
      </c>
      <c r="G56" s="512">
        <f>+F56*'PROGRAMA ARQ.'!$E$21</f>
        <v>4</v>
      </c>
      <c r="H56" s="512"/>
      <c r="I56" s="518"/>
      <c r="K56" s="1871"/>
      <c r="L56" s="507"/>
      <c r="M56" s="418"/>
    </row>
    <row r="57" spans="2:13" ht="31.25" customHeight="1" thickBot="1">
      <c r="B57" s="1924"/>
      <c r="C57" s="636" t="s">
        <v>598</v>
      </c>
      <c r="D57" s="628" t="s">
        <v>516</v>
      </c>
      <c r="E57" s="512"/>
      <c r="F57" s="512">
        <v>1</v>
      </c>
      <c r="G57" s="512">
        <f>+F57*'PROGRAMA ARQ.'!$E$21</f>
        <v>4</v>
      </c>
      <c r="H57" s="512"/>
      <c r="I57" s="518"/>
      <c r="K57" s="1872"/>
      <c r="L57" s="385"/>
      <c r="M57" s="419"/>
    </row>
    <row r="58" spans="2:13" ht="31.25" customHeight="1" thickBot="1">
      <c r="B58" s="1817"/>
      <c r="C58" s="780" t="s">
        <v>731</v>
      </c>
      <c r="D58" s="781" t="s">
        <v>807</v>
      </c>
      <c r="E58" s="554"/>
      <c r="F58" s="554"/>
      <c r="G58" s="554"/>
      <c r="H58" s="554"/>
      <c r="I58" s="560"/>
      <c r="J58" s="81"/>
      <c r="K58" s="459" t="s">
        <v>1406</v>
      </c>
      <c r="L58" s="447" t="s">
        <v>808</v>
      </c>
      <c r="M58" s="419"/>
    </row>
    <row r="59" spans="2:13" ht="29" thickBot="1">
      <c r="B59" s="427" t="s">
        <v>124</v>
      </c>
      <c r="C59" s="789"/>
      <c r="D59" s="765" t="s">
        <v>520</v>
      </c>
      <c r="E59" s="555"/>
      <c r="F59" s="555"/>
      <c r="G59" s="555"/>
      <c r="H59" s="555"/>
      <c r="I59" s="562"/>
      <c r="K59" s="1142" t="s">
        <v>1421</v>
      </c>
      <c r="L59" s="428" t="s">
        <v>471</v>
      </c>
      <c r="M59" s="429"/>
    </row>
    <row r="60" spans="2:13" ht="15" thickBot="1">
      <c r="B60" s="1918" t="s">
        <v>132</v>
      </c>
      <c r="C60" s="1919"/>
      <c r="D60" s="782" t="s">
        <v>521</v>
      </c>
      <c r="E60" s="555"/>
      <c r="F60" s="555"/>
      <c r="G60" s="555"/>
      <c r="H60" s="555"/>
      <c r="I60" s="562"/>
      <c r="K60" s="571"/>
      <c r="L60" s="430"/>
      <c r="M60" s="431"/>
    </row>
    <row r="61" spans="2:13" s="1165" customFormat="1" ht="42">
      <c r="B61" s="1786" t="s">
        <v>133</v>
      </c>
      <c r="C61" s="1928" t="s">
        <v>409</v>
      </c>
      <c r="D61" s="1249" t="s">
        <v>1425</v>
      </c>
      <c r="E61" s="1162"/>
      <c r="F61" s="1162"/>
      <c r="G61" s="1162"/>
      <c r="H61" s="1162"/>
      <c r="I61" s="1163"/>
      <c r="J61" s="1164"/>
      <c r="K61" s="1290" t="s">
        <v>524</v>
      </c>
      <c r="L61" s="1238" t="s">
        <v>408</v>
      </c>
      <c r="M61" s="1203" t="s">
        <v>523</v>
      </c>
    </row>
    <row r="62" spans="2:13">
      <c r="B62" s="1780"/>
      <c r="C62" s="1882"/>
      <c r="D62" s="634" t="s">
        <v>531</v>
      </c>
      <c r="E62" s="512"/>
      <c r="F62" s="512"/>
      <c r="G62" s="512"/>
      <c r="H62" s="512"/>
      <c r="I62" s="518"/>
      <c r="K62" s="459"/>
      <c r="L62" s="507"/>
      <c r="M62" s="426"/>
    </row>
    <row r="63" spans="2:13" s="1165" customFormat="1" ht="28">
      <c r="B63" s="1780"/>
      <c r="C63" s="1233" t="s">
        <v>407</v>
      </c>
      <c r="D63" s="1226" t="s">
        <v>875</v>
      </c>
      <c r="E63" s="1167"/>
      <c r="F63" s="1167"/>
      <c r="G63" s="1167"/>
      <c r="H63" s="1167"/>
      <c r="I63" s="1168"/>
      <c r="J63" s="1164"/>
      <c r="K63" s="1234" t="s">
        <v>525</v>
      </c>
      <c r="L63" s="1176"/>
      <c r="M63" s="1208"/>
    </row>
    <row r="64" spans="2:13" s="1165" customFormat="1" ht="28">
      <c r="B64" s="1780"/>
      <c r="C64" s="1882" t="s">
        <v>484</v>
      </c>
      <c r="D64" s="1226" t="s">
        <v>527</v>
      </c>
      <c r="E64" s="1167"/>
      <c r="F64" s="1167"/>
      <c r="G64" s="1167"/>
      <c r="H64" s="1167"/>
      <c r="I64" s="1168"/>
      <c r="J64" s="1164"/>
      <c r="K64" s="1234" t="s">
        <v>406</v>
      </c>
      <c r="L64" s="1176"/>
      <c r="M64" s="1208"/>
    </row>
    <row r="65" spans="2:13">
      <c r="B65" s="1780"/>
      <c r="C65" s="1882"/>
      <c r="D65" s="634" t="s">
        <v>528</v>
      </c>
      <c r="E65" s="512"/>
      <c r="F65" s="512"/>
      <c r="G65" s="512"/>
      <c r="H65" s="512"/>
      <c r="I65" s="518"/>
      <c r="K65" s="1871" t="s">
        <v>1406</v>
      </c>
      <c r="L65" s="507"/>
      <c r="M65" s="418"/>
    </row>
    <row r="66" spans="2:13">
      <c r="B66" s="1780"/>
      <c r="C66" s="1882"/>
      <c r="D66" s="634" t="s">
        <v>529</v>
      </c>
      <c r="E66" s="512"/>
      <c r="F66" s="512"/>
      <c r="G66" s="512"/>
      <c r="H66" s="512"/>
      <c r="I66" s="518"/>
      <c r="K66" s="1871"/>
      <c r="L66" s="507"/>
      <c r="M66" s="418"/>
    </row>
    <row r="67" spans="2:13">
      <c r="B67" s="1780"/>
      <c r="C67" s="1882"/>
      <c r="D67" s="634" t="s">
        <v>526</v>
      </c>
      <c r="E67" s="512"/>
      <c r="F67" s="512"/>
      <c r="G67" s="512"/>
      <c r="H67" s="512"/>
      <c r="I67" s="518"/>
      <c r="K67" s="1871"/>
      <c r="L67" s="507"/>
      <c r="M67" s="418"/>
    </row>
    <row r="68" spans="2:13">
      <c r="B68" s="1780"/>
      <c r="C68" s="1882"/>
      <c r="D68" s="634" t="s">
        <v>530</v>
      </c>
      <c r="E68" s="512"/>
      <c r="F68" s="512"/>
      <c r="G68" s="512"/>
      <c r="H68" s="512"/>
      <c r="I68" s="518"/>
      <c r="K68" s="1871"/>
      <c r="L68" s="507"/>
      <c r="M68" s="418"/>
    </row>
    <row r="69" spans="2:13">
      <c r="B69" s="1780"/>
      <c r="C69" s="1882"/>
      <c r="D69" s="634" t="s">
        <v>635</v>
      </c>
      <c r="E69" s="512"/>
      <c r="F69" s="512"/>
      <c r="G69" s="512"/>
      <c r="H69" s="512"/>
      <c r="I69" s="518"/>
      <c r="K69" s="1871"/>
      <c r="L69" s="507"/>
      <c r="M69" s="418"/>
    </row>
    <row r="70" spans="2:13" ht="15" thickBot="1">
      <c r="B70" s="1781"/>
      <c r="C70" s="1883"/>
      <c r="D70" s="755" t="s">
        <v>522</v>
      </c>
      <c r="E70" s="519"/>
      <c r="F70" s="519"/>
      <c r="G70" s="519"/>
      <c r="H70" s="519"/>
      <c r="I70" s="520"/>
      <c r="K70" s="1142" t="s">
        <v>1421</v>
      </c>
      <c r="L70" s="507"/>
      <c r="M70" s="418"/>
    </row>
    <row r="71" spans="2:13" ht="47.5" customHeight="1">
      <c r="B71" s="1786" t="s">
        <v>134</v>
      </c>
      <c r="C71" s="1907"/>
      <c r="D71" s="756" t="s">
        <v>676</v>
      </c>
      <c r="E71" s="528"/>
      <c r="F71" s="528"/>
      <c r="G71" s="528"/>
      <c r="H71" s="528"/>
      <c r="I71" s="529"/>
      <c r="K71" s="356" t="s">
        <v>1421</v>
      </c>
      <c r="L71" s="356"/>
      <c r="M71" s="413"/>
    </row>
    <row r="72" spans="2:13" ht="15" thickBot="1">
      <c r="B72" s="1781"/>
      <c r="C72" s="1909"/>
      <c r="D72" s="755" t="s">
        <v>623</v>
      </c>
      <c r="E72" s="519"/>
      <c r="F72" s="519"/>
      <c r="G72" s="519"/>
      <c r="H72" s="519"/>
      <c r="I72" s="520"/>
      <c r="K72" s="459" t="s">
        <v>1406</v>
      </c>
      <c r="L72" s="448"/>
      <c r="M72" s="414"/>
    </row>
    <row r="73" spans="2:13">
      <c r="B73" s="1810" t="s">
        <v>135</v>
      </c>
      <c r="C73" s="1910" t="s">
        <v>248</v>
      </c>
      <c r="D73" s="756" t="s">
        <v>323</v>
      </c>
      <c r="E73" s="528"/>
      <c r="F73" s="528"/>
      <c r="G73" s="528"/>
      <c r="H73" s="528"/>
      <c r="I73" s="529"/>
      <c r="K73" s="459" t="s">
        <v>1406</v>
      </c>
      <c r="L73" s="507"/>
      <c r="M73" s="418"/>
    </row>
    <row r="74" spans="2:13">
      <c r="B74" s="1811"/>
      <c r="C74" s="1911"/>
      <c r="D74" s="634" t="s">
        <v>535</v>
      </c>
      <c r="E74" s="512"/>
      <c r="F74" s="512"/>
      <c r="G74" s="512"/>
      <c r="H74" s="512"/>
      <c r="I74" s="518"/>
      <c r="K74" s="459" t="s">
        <v>1406</v>
      </c>
      <c r="L74" s="507"/>
      <c r="M74" s="418"/>
    </row>
    <row r="75" spans="2:13">
      <c r="B75" s="1811"/>
      <c r="C75" s="1911"/>
      <c r="D75" s="634" t="s">
        <v>534</v>
      </c>
      <c r="E75" s="512"/>
      <c r="F75" s="512"/>
      <c r="G75" s="512"/>
      <c r="H75" s="512"/>
      <c r="I75" s="518"/>
      <c r="K75" s="459" t="s">
        <v>1406</v>
      </c>
      <c r="L75" s="507"/>
      <c r="M75" s="418"/>
    </row>
    <row r="76" spans="2:13" s="1165" customFormat="1">
      <c r="B76" s="1811"/>
      <c r="C76" s="1911"/>
      <c r="D76" s="1225" t="s">
        <v>536</v>
      </c>
      <c r="E76" s="1167"/>
      <c r="F76" s="1167"/>
      <c r="G76" s="1167"/>
      <c r="H76" s="1167"/>
      <c r="I76" s="1168"/>
      <c r="J76" s="1164"/>
      <c r="K76" s="1234" t="s">
        <v>392</v>
      </c>
      <c r="L76" s="1176"/>
      <c r="M76" s="1208"/>
    </row>
    <row r="77" spans="2:13">
      <c r="B77" s="1811"/>
      <c r="C77" s="1911"/>
      <c r="D77" s="634" t="s">
        <v>624</v>
      </c>
      <c r="E77" s="512"/>
      <c r="F77" s="512"/>
      <c r="G77" s="512"/>
      <c r="H77" s="512"/>
      <c r="I77" s="518"/>
      <c r="K77" s="459" t="s">
        <v>1406</v>
      </c>
      <c r="L77" s="507"/>
      <c r="M77" s="418"/>
    </row>
    <row r="78" spans="2:13" s="1165" customFormat="1">
      <c r="B78" s="1811"/>
      <c r="C78" s="1882" t="s">
        <v>249</v>
      </c>
      <c r="D78" s="1225" t="s">
        <v>532</v>
      </c>
      <c r="E78" s="1167"/>
      <c r="F78" s="1167"/>
      <c r="G78" s="1167"/>
      <c r="H78" s="1167"/>
      <c r="I78" s="1168"/>
      <c r="J78" s="1164"/>
      <c r="K78" s="1234" t="s">
        <v>401</v>
      </c>
      <c r="L78" s="1176"/>
      <c r="M78" s="1208"/>
    </row>
    <row r="79" spans="2:13">
      <c r="B79" s="1811"/>
      <c r="C79" s="1882"/>
      <c r="D79" s="639" t="s">
        <v>322</v>
      </c>
      <c r="E79" s="512"/>
      <c r="F79" s="512"/>
      <c r="G79" s="512"/>
      <c r="H79" s="512"/>
      <c r="I79" s="518"/>
      <c r="K79" s="459" t="s">
        <v>1432</v>
      </c>
      <c r="L79" s="507"/>
      <c r="M79" s="418"/>
    </row>
    <row r="80" spans="2:13">
      <c r="B80" s="1811"/>
      <c r="C80" s="1882"/>
      <c r="D80" s="639" t="s">
        <v>533</v>
      </c>
      <c r="E80" s="512"/>
      <c r="F80" s="512"/>
      <c r="G80" s="512"/>
      <c r="H80" s="512"/>
      <c r="I80" s="518"/>
      <c r="K80" s="459" t="s">
        <v>1432</v>
      </c>
      <c r="L80" s="507"/>
      <c r="M80" s="418"/>
    </row>
    <row r="81" spans="1:13">
      <c r="B81" s="1811"/>
      <c r="C81" s="1882" t="s">
        <v>250</v>
      </c>
      <c r="D81" s="639" t="s">
        <v>326</v>
      </c>
      <c r="E81" s="512"/>
      <c r="F81" s="512"/>
      <c r="G81" s="512"/>
      <c r="H81" s="512"/>
      <c r="I81" s="518"/>
      <c r="K81" s="459" t="s">
        <v>1432</v>
      </c>
      <c r="L81" s="507"/>
      <c r="M81" s="418"/>
    </row>
    <row r="82" spans="1:13">
      <c r="B82" s="1811"/>
      <c r="C82" s="1882"/>
      <c r="D82" s="639" t="s">
        <v>537</v>
      </c>
      <c r="E82" s="512"/>
      <c r="F82" s="512"/>
      <c r="G82" s="512"/>
      <c r="H82" s="512"/>
      <c r="I82" s="518"/>
      <c r="K82" s="459" t="s">
        <v>1432</v>
      </c>
      <c r="L82" s="507"/>
      <c r="M82" s="418"/>
    </row>
    <row r="83" spans="1:13" ht="15" thickBot="1">
      <c r="B83" s="1812"/>
      <c r="C83" s="1883"/>
      <c r="D83" s="755" t="s">
        <v>325</v>
      </c>
      <c r="E83" s="519"/>
      <c r="F83" s="519"/>
      <c r="G83" s="519"/>
      <c r="H83" s="519"/>
      <c r="I83" s="520"/>
      <c r="K83" s="459" t="s">
        <v>1432</v>
      </c>
      <c r="L83" s="385"/>
      <c r="M83" s="419"/>
    </row>
    <row r="84" spans="1:13" s="1165" customFormat="1" ht="28">
      <c r="A84" s="1902" t="s">
        <v>137</v>
      </c>
      <c r="B84" s="1786" t="s">
        <v>138</v>
      </c>
      <c r="C84" s="1906" t="s">
        <v>438</v>
      </c>
      <c r="D84" s="1249" t="s">
        <v>1427</v>
      </c>
      <c r="E84" s="1162"/>
      <c r="F84" s="1162"/>
      <c r="G84" s="1162"/>
      <c r="H84" s="1162"/>
      <c r="I84" s="1163"/>
      <c r="J84" s="1164"/>
      <c r="K84" s="1290" t="s">
        <v>1433</v>
      </c>
      <c r="L84" s="1238"/>
      <c r="M84" s="1223"/>
    </row>
    <row r="85" spans="1:13" ht="30" customHeight="1">
      <c r="A85" s="1903"/>
      <c r="B85" s="1780"/>
      <c r="C85" s="1905"/>
      <c r="D85" s="628" t="s">
        <v>1583</v>
      </c>
      <c r="E85" s="512"/>
      <c r="F85" s="512"/>
      <c r="G85" s="512"/>
      <c r="H85" s="512"/>
      <c r="I85" s="518"/>
      <c r="K85" s="459" t="s">
        <v>1406</v>
      </c>
      <c r="L85" s="382" t="s">
        <v>398</v>
      </c>
      <c r="M85" s="418"/>
    </row>
    <row r="86" spans="1:13" ht="30" customHeight="1" thickBot="1">
      <c r="A86" s="1903"/>
      <c r="B86" s="1780"/>
      <c r="C86" s="1905"/>
      <c r="D86" s="628" t="s">
        <v>542</v>
      </c>
      <c r="E86" s="512"/>
      <c r="F86" s="512"/>
      <c r="G86" s="512"/>
      <c r="H86" s="512"/>
      <c r="I86" s="518"/>
      <c r="K86" s="459" t="s">
        <v>1406</v>
      </c>
      <c r="L86" s="382"/>
      <c r="M86" s="418"/>
    </row>
    <row r="87" spans="1:13" ht="28">
      <c r="A87" s="1903"/>
      <c r="B87" s="1780"/>
      <c r="C87" s="1905"/>
      <c r="D87" s="628" t="s">
        <v>636</v>
      </c>
      <c r="E87" s="512"/>
      <c r="F87" s="512"/>
      <c r="G87" s="512"/>
      <c r="H87" s="512"/>
      <c r="I87" s="518"/>
      <c r="K87" s="356" t="s">
        <v>1421</v>
      </c>
      <c r="L87" s="382"/>
      <c r="M87" s="418"/>
    </row>
    <row r="88" spans="1:13" s="1165" customFormat="1" ht="15" thickBot="1">
      <c r="A88" s="1903"/>
      <c r="B88" s="1780"/>
      <c r="C88" s="1905" t="s">
        <v>251</v>
      </c>
      <c r="D88" s="1167" t="s">
        <v>755</v>
      </c>
      <c r="E88" s="1167"/>
      <c r="F88" s="1167">
        <v>4</v>
      </c>
      <c r="G88" s="1167">
        <f>+F88*'PROGRAMA ARQ.'!$E$21</f>
        <v>16</v>
      </c>
      <c r="H88" s="1167"/>
      <c r="I88" s="1168"/>
      <c r="J88" s="1164"/>
      <c r="K88" s="1234" t="s">
        <v>400</v>
      </c>
      <c r="L88" s="1176"/>
      <c r="M88" s="1208"/>
    </row>
    <row r="89" spans="1:13">
      <c r="A89" s="1903"/>
      <c r="B89" s="1780"/>
      <c r="C89" s="1905" t="s">
        <v>252</v>
      </c>
      <c r="D89" s="632" t="s">
        <v>541</v>
      </c>
      <c r="E89" s="512"/>
      <c r="F89" s="512"/>
      <c r="G89" s="512"/>
      <c r="H89" s="512"/>
      <c r="I89" s="518"/>
      <c r="K89" s="356" t="s">
        <v>1421</v>
      </c>
      <c r="L89" s="382" t="s">
        <v>398</v>
      </c>
      <c r="M89" s="418"/>
    </row>
    <row r="90" spans="1:13">
      <c r="A90" s="1903"/>
      <c r="B90" s="1780"/>
      <c r="C90" s="637" t="s">
        <v>253</v>
      </c>
      <c r="D90" s="512" t="s">
        <v>397</v>
      </c>
      <c r="E90" s="512"/>
      <c r="F90" s="512"/>
      <c r="G90" s="512"/>
      <c r="H90" s="512"/>
      <c r="I90" s="518"/>
      <c r="K90" s="449" t="s">
        <v>935</v>
      </c>
      <c r="L90" s="507"/>
      <c r="M90" s="418"/>
    </row>
    <row r="91" spans="1:13" ht="15" thickBot="1">
      <c r="A91" s="1903"/>
      <c r="B91" s="1781"/>
      <c r="C91" s="783" t="s">
        <v>255</v>
      </c>
      <c r="D91" s="519" t="s">
        <v>540</v>
      </c>
      <c r="E91" s="519"/>
      <c r="F91" s="519"/>
      <c r="G91" s="519"/>
      <c r="H91" s="519"/>
      <c r="I91" s="520"/>
      <c r="K91" s="459" t="s">
        <v>1406</v>
      </c>
      <c r="L91" s="415" t="s">
        <v>398</v>
      </c>
      <c r="M91" s="419"/>
    </row>
    <row r="92" spans="1:13">
      <c r="A92" s="1903"/>
      <c r="B92" s="1786" t="s">
        <v>139</v>
      </c>
      <c r="C92" s="775" t="s">
        <v>256</v>
      </c>
      <c r="D92" s="528" t="s">
        <v>539</v>
      </c>
      <c r="E92" s="528"/>
      <c r="F92" s="528"/>
      <c r="G92" s="528"/>
      <c r="H92" s="528"/>
      <c r="I92" s="529"/>
      <c r="K92" s="459" t="s">
        <v>1406</v>
      </c>
      <c r="L92" s="420" t="s">
        <v>398</v>
      </c>
      <c r="M92" s="417"/>
    </row>
    <row r="93" spans="1:13" ht="15" thickBot="1">
      <c r="A93" s="1903"/>
      <c r="B93" s="1781"/>
      <c r="C93" s="780" t="s">
        <v>257</v>
      </c>
      <c r="D93" s="526" t="str">
        <f>IF('PROGRAMA ARQ.'!D6="ZONA SUR","Debe considerar ventilación forzada para los meses de invierno","No contempla")</f>
        <v>No contempla</v>
      </c>
      <c r="E93" s="519"/>
      <c r="F93" s="519"/>
      <c r="G93" s="519"/>
      <c r="H93" s="519"/>
      <c r="I93" s="520"/>
      <c r="K93" s="1386" t="s">
        <v>1406</v>
      </c>
      <c r="L93" s="385"/>
      <c r="M93" s="419"/>
    </row>
    <row r="94" spans="1:13" ht="15" thickBot="1">
      <c r="A94" s="1903"/>
      <c r="B94" s="1918" t="s">
        <v>142</v>
      </c>
      <c r="C94" s="1919"/>
      <c r="D94" s="555" t="s">
        <v>397</v>
      </c>
      <c r="E94" s="555"/>
      <c r="F94" s="555"/>
      <c r="G94" s="555"/>
      <c r="H94" s="555"/>
      <c r="I94" s="562"/>
      <c r="K94" s="449" t="s">
        <v>935</v>
      </c>
      <c r="L94" s="428"/>
      <c r="M94" s="429"/>
    </row>
    <row r="95" spans="1:13">
      <c r="A95" s="1903"/>
      <c r="B95" s="1912" t="s">
        <v>264</v>
      </c>
      <c r="C95" s="1913"/>
      <c r="D95" s="784" t="s">
        <v>868</v>
      </c>
      <c r="E95" s="528"/>
      <c r="F95" s="528"/>
      <c r="G95" s="528"/>
      <c r="H95" s="528"/>
      <c r="I95" s="529"/>
      <c r="K95" s="459" t="s">
        <v>1406</v>
      </c>
      <c r="L95" s="384" t="s">
        <v>538</v>
      </c>
      <c r="M95" s="417"/>
    </row>
    <row r="96" spans="1:13">
      <c r="A96" s="1903"/>
      <c r="B96" s="1914"/>
      <c r="C96" s="1915"/>
      <c r="D96" s="632" t="s">
        <v>607</v>
      </c>
      <c r="E96" s="512"/>
      <c r="F96" s="512"/>
      <c r="G96" s="512"/>
      <c r="H96" s="512"/>
      <c r="I96" s="518"/>
      <c r="K96" s="459" t="s">
        <v>1406</v>
      </c>
      <c r="L96" s="507"/>
      <c r="M96" s="418"/>
    </row>
    <row r="97" spans="1:13" ht="15" thickBot="1">
      <c r="A97" s="1904"/>
      <c r="B97" s="1916"/>
      <c r="C97" s="1917"/>
      <c r="D97" s="785"/>
      <c r="E97" s="519"/>
      <c r="F97" s="519"/>
      <c r="G97" s="519"/>
      <c r="H97" s="519"/>
      <c r="I97" s="520"/>
      <c r="K97" s="459" t="s">
        <v>1406</v>
      </c>
      <c r="L97" s="385"/>
      <c r="M97" s="419"/>
    </row>
    <row r="98" spans="1:13">
      <c r="C98" s="393"/>
    </row>
    <row r="99" spans="1:13">
      <c r="C99" s="393"/>
    </row>
    <row r="100" spans="1:13">
      <c r="C100" s="393"/>
    </row>
    <row r="101" spans="1:13">
      <c r="C101" s="393"/>
    </row>
    <row r="102" spans="1:13">
      <c r="C102" s="393"/>
    </row>
    <row r="103" spans="1:13">
      <c r="C103" s="393"/>
    </row>
    <row r="104" spans="1:13">
      <c r="C104" s="393"/>
    </row>
  </sheetData>
  <autoFilter ref="A1:N104"/>
  <mergeCells count="46">
    <mergeCell ref="A84:A97"/>
    <mergeCell ref="B41:B52"/>
    <mergeCell ref="C41:C44"/>
    <mergeCell ref="C45:C47"/>
    <mergeCell ref="C48:C49"/>
    <mergeCell ref="C50:C51"/>
    <mergeCell ref="B84:B91"/>
    <mergeCell ref="C88:C89"/>
    <mergeCell ref="B92:B93"/>
    <mergeCell ref="B61:B70"/>
    <mergeCell ref="C61:C62"/>
    <mergeCell ref="C64:C70"/>
    <mergeCell ref="B73:B83"/>
    <mergeCell ref="C73:C77"/>
    <mergeCell ref="C78:C80"/>
    <mergeCell ref="C81:C83"/>
    <mergeCell ref="B12:B14"/>
    <mergeCell ref="B15:B33"/>
    <mergeCell ref="C15:C20"/>
    <mergeCell ref="C25:C26"/>
    <mergeCell ref="C27:C31"/>
    <mergeCell ref="C32:C33"/>
    <mergeCell ref="C12:C14"/>
    <mergeCell ref="C21:C24"/>
    <mergeCell ref="B53:B58"/>
    <mergeCell ref="C84:C87"/>
    <mergeCell ref="L34:L38"/>
    <mergeCell ref="C35:C38"/>
    <mergeCell ref="K53:K57"/>
    <mergeCell ref="K65:K69"/>
    <mergeCell ref="B95:C97"/>
    <mergeCell ref="B94:C94"/>
    <mergeCell ref="B71:C72"/>
    <mergeCell ref="B60:C60"/>
    <mergeCell ref="B2:I2"/>
    <mergeCell ref="E5:I5"/>
    <mergeCell ref="D8:G8"/>
    <mergeCell ref="D9:G9"/>
    <mergeCell ref="D10:G10"/>
    <mergeCell ref="E3:I3"/>
    <mergeCell ref="E4:I4"/>
    <mergeCell ref="C8:C11"/>
    <mergeCell ref="B8:B11"/>
    <mergeCell ref="D11:G11"/>
    <mergeCell ref="B34:B38"/>
    <mergeCell ref="B39:C40"/>
  </mergeCells>
  <pageMargins left="0.70866141732283472" right="0.70866141732283472" top="0.74803149606299213" bottom="0.74803149606299213" header="0.31496062992125984" footer="0.31496062992125984"/>
  <pageSetup scale="67" fitToHeight="0" orientation="portrait"/>
  <rowBreaks count="3" manualBreakCount="3">
    <brk id="26" max="8" man="1"/>
    <brk id="52" max="8" man="1"/>
    <brk id="70" max="8" man="1"/>
  </rowBreaks>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0" id="{C803D451-1847-4824-A786-BCC612595E4B}">
            <xm:f>NOT(ISERROR(SEARCH("0",'1.2'!B7)))</xm:f>
            <x14:dxf>
              <font>
                <color rgb="FF9C0006"/>
              </font>
              <fill>
                <patternFill>
                  <bgColor rgb="FFFFC7CE"/>
                </patternFill>
              </fill>
            </x14:dxf>
          </x14:cfRule>
          <xm:sqref>B7:I7 K7:M7</xm:sqref>
        </x14:conditionalFormatting>
        <x14:conditionalFormatting xmlns:xm="http://schemas.microsoft.com/office/excel/2006/main">
          <x14:cfRule type="containsText" priority="303" operator="containsText" text="0" id="{C803D451-1847-4824-A786-BCC612595E4B}">
            <xm:f>NOT(ISERROR(SEARCH("0",'1.2'!K7)))</xm:f>
            <x14:dxf>
              <font>
                <color rgb="FF9C0006"/>
              </font>
              <fill>
                <patternFill>
                  <bgColor rgb="FFFFC7CE"/>
                </patternFill>
              </fill>
            </x14:dxf>
          </x14:cfRule>
          <xm:sqref>J7</xm:sqref>
        </x14:conditionalFormatting>
      </x14:conditionalFormatting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37</vt:i4>
      </vt:variant>
    </vt:vector>
  </HeadingPairs>
  <TitlesOfParts>
    <vt:vector size="37" baseType="lpstr">
      <vt:lpstr>INICIO</vt:lpstr>
      <vt:lpstr>PROGRAMA ARQ.</vt:lpstr>
      <vt:lpstr>P.A. 1P REDUCIDO</vt:lpstr>
      <vt:lpstr>P.A. 2P </vt:lpstr>
      <vt:lpstr>GENERAL</vt:lpstr>
      <vt:lpstr>1.1</vt:lpstr>
      <vt:lpstr>1.2</vt:lpstr>
      <vt:lpstr>1.3</vt:lpstr>
      <vt:lpstr>1.4</vt:lpstr>
      <vt:lpstr>1.5</vt:lpstr>
      <vt:lpstr>1.6</vt:lpstr>
      <vt:lpstr>2.1</vt:lpstr>
      <vt:lpstr>2.2</vt:lpstr>
      <vt:lpstr>2.3</vt:lpstr>
      <vt:lpstr>2.4</vt:lpstr>
      <vt:lpstr>2.5</vt:lpstr>
      <vt:lpstr>2.6</vt:lpstr>
      <vt:lpstr>2.7</vt:lpstr>
      <vt:lpstr>2.8</vt:lpstr>
      <vt:lpstr>2.9</vt:lpstr>
      <vt:lpstr>2.10</vt:lpstr>
      <vt:lpstr>3.1</vt:lpstr>
      <vt:lpstr>3.2</vt:lpstr>
      <vt:lpstr>3.3</vt:lpstr>
      <vt:lpstr>3.4</vt:lpstr>
      <vt:lpstr>3.5</vt:lpstr>
      <vt:lpstr>3.6</vt:lpstr>
      <vt:lpstr>3.7</vt:lpstr>
      <vt:lpstr>3.8</vt:lpstr>
      <vt:lpstr>3.9</vt:lpstr>
      <vt:lpstr>4.1</vt:lpstr>
      <vt:lpstr>4.2</vt:lpstr>
      <vt:lpstr>5.1</vt:lpstr>
      <vt:lpstr>6.1</vt:lpstr>
      <vt:lpstr>6.2</vt:lpstr>
      <vt:lpstr>6.3</vt:lpstr>
      <vt:lpstr>6.4</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Serrano</dc:creator>
  <cp:lastModifiedBy>CHRISTIAN HARDESSEN</cp:lastModifiedBy>
  <cp:lastPrinted>2015-03-23T14:02:47Z</cp:lastPrinted>
  <dcterms:created xsi:type="dcterms:W3CDTF">2013-11-20T01:05:56Z</dcterms:created>
  <dcterms:modified xsi:type="dcterms:W3CDTF">2017-04-01T04:12:16Z</dcterms:modified>
</cp:coreProperties>
</file>