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Z:\900 PUBLICO\EDUCACIONAL 2020\"/>
    </mc:Choice>
  </mc:AlternateContent>
  <xr:revisionPtr revIDLastSave="0" documentId="13_ncr:1_{3776A3C0-E779-487E-8699-91BE9E94B519}" xr6:coauthVersionLast="43" xr6:coauthVersionMax="43" xr10:uidLastSave="{00000000-0000-0000-0000-000000000000}"/>
  <workbookProtection workbookPassword="9C6E" lockStructure="1"/>
  <bookViews>
    <workbookView xWindow="-120" yWindow="-120" windowWidth="29040" windowHeight="15840" tabRatio="949" firstSheet="2" activeTab="3" xr2:uid="{00000000-000D-0000-FFFF-FFFF00000000}"/>
  </bookViews>
  <sheets>
    <sheet name="Instrucciones" sheetId="14" r:id="rId1"/>
    <sheet name="Índice Tablas" sheetId="11" r:id="rId2"/>
    <sheet name="A) Resumen Ingresos y Egresos" sheetId="2" r:id="rId3"/>
    <sheet name="B) Reajuste Tarifas y Ocupación" sheetId="7" r:id="rId4"/>
    <sheet name="C) Costos Directos" sheetId="3" r:id="rId5"/>
    <sheet name="D) Costos Indirectos" sheetId="13" r:id="rId6"/>
    <sheet name="E) Resumen Tarifado " sheetId="5" r:id="rId7"/>
    <sheet name="F) Remuneraciones" sheetId="12" r:id="rId8"/>
    <sheet name="G) Comparación Mercado" sheetId="1" r:id="rId9"/>
    <sheet name="H) Detalle Datos" sheetId="9" r:id="rId10"/>
  </sheets>
  <externalReferences>
    <externalReference r:id="rId11"/>
    <externalReference r:id="rId12"/>
  </externalReferences>
  <definedNames>
    <definedName name="__xlnm_Print_Area">'A) Resumen Ingresos y Egresos'!$A$1:$N$28</definedName>
    <definedName name="__xlnm_Print_Area_1">'C) Costos Directos'!$A$1:$H$38</definedName>
    <definedName name="__xlnm_Print_Area_2">'E) Resumen Tarifado '!$A$4:$G$12</definedName>
    <definedName name="__xlnm_Print_Titles">'A) Resumen Ingresos y Egresos'!$1:$18</definedName>
    <definedName name="__xlnm_Print_Titles_1">'C) Costos Directos'!$1:$11</definedName>
    <definedName name="__xlnm_Print_Titles_2">NA()</definedName>
    <definedName name="_xlnm.Print_Area" localSheetId="2">'A) Resumen Ingresos y Egresos'!$A$1:$N$28</definedName>
    <definedName name="_xlnm.Print_Area" localSheetId="4">'C) Costos Directos'!$A$1:$H$75</definedName>
    <definedName name="_xlnm.Print_Area" localSheetId="6">'E) Resumen Tarifado '!$A$4:$G$12</definedName>
    <definedName name="bienique1">'A) Resumen Ingresos y Egresos'!$A$8</definedName>
    <definedName name="Excel_BuiltIn_Print_Area" localSheetId="4">'C) Costos Directos'!$A$1:$H$38</definedName>
    <definedName name="Excel_BuiltIn_Print_Area_1_1">NA()</definedName>
    <definedName name="Excel_BuiltIn_Print_Area_4_1">NA()</definedName>
    <definedName name="Excel_BuiltIn_Print_Area_5_1">NA()</definedName>
    <definedName name="Excel_BuiltIn_Print_Titles_4">NA()</definedName>
    <definedName name="Excel_BuiltIn_Print_Titles_5">NA()</definedName>
    <definedName name="_xlnm.Print_Titles" localSheetId="2">'A) Resumen Ingresos y Egresos'!$1:$18</definedName>
    <definedName name="_xlnm.Print_Titles" localSheetId="4">'C) Costos Directos'!$1:$11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3" i="7" l="1"/>
  <c r="N12" i="7"/>
  <c r="C101" i="9" l="1"/>
  <c r="C109" i="9" s="1"/>
  <c r="D109" i="9"/>
  <c r="D101" i="9" l="1"/>
  <c r="C110" i="9" s="1"/>
  <c r="E101" i="9"/>
  <c r="F101" i="9"/>
  <c r="D102" i="9"/>
  <c r="E102" i="9"/>
  <c r="G35" i="13"/>
  <c r="D110" i="9" l="1"/>
  <c r="F102" i="9"/>
  <c r="F104" i="9" s="1"/>
  <c r="D66" i="3"/>
  <c r="F19" i="3" l="1"/>
  <c r="F20" i="3"/>
  <c r="N87" i="9" l="1"/>
  <c r="M87" i="9"/>
  <c r="L87" i="9"/>
  <c r="V53" i="9" l="1"/>
  <c r="U53" i="9"/>
  <c r="T53" i="9"/>
  <c r="H11" i="9"/>
  <c r="Q25" i="13" l="1"/>
  <c r="Q22" i="13"/>
  <c r="Q21" i="13"/>
  <c r="Q20" i="13"/>
  <c r="Q19" i="13"/>
  <c r="Q18" i="13"/>
  <c r="Q17" i="13"/>
  <c r="Q16" i="13"/>
  <c r="Q15" i="13"/>
  <c r="O25" i="13"/>
  <c r="O22" i="13"/>
  <c r="O21" i="13"/>
  <c r="O20" i="13"/>
  <c r="O19" i="13"/>
  <c r="O18" i="13"/>
  <c r="O17" i="13"/>
  <c r="O16" i="13"/>
  <c r="O15" i="13"/>
  <c r="M25" i="13"/>
  <c r="M22" i="13"/>
  <c r="M21" i="13"/>
  <c r="M20" i="13"/>
  <c r="M19" i="13"/>
  <c r="M18" i="13"/>
  <c r="M17" i="13"/>
  <c r="M16" i="13"/>
  <c r="M15" i="13"/>
  <c r="C95" i="9" l="1"/>
  <c r="C96" i="9" s="1"/>
  <c r="D58" i="3" l="1"/>
  <c r="D54" i="3"/>
  <c r="D51" i="3"/>
  <c r="D48" i="3"/>
  <c r="P18" i="1"/>
  <c r="E61" i="3"/>
  <c r="D42" i="3"/>
  <c r="D37" i="3"/>
  <c r="D34" i="3"/>
  <c r="D30" i="3" l="1"/>
  <c r="D29" i="3"/>
  <c r="D28" i="3"/>
  <c r="G12" i="12" l="1"/>
  <c r="E74" i="3"/>
  <c r="J16" i="9" l="1"/>
  <c r="J15" i="9"/>
  <c r="J14" i="9"/>
  <c r="G17" i="12" l="1"/>
  <c r="I23" i="9"/>
  <c r="H23" i="9"/>
  <c r="G23" i="9"/>
  <c r="F23" i="9"/>
  <c r="J22" i="9"/>
  <c r="J21" i="9"/>
  <c r="J20" i="9"/>
  <c r="C3" i="9"/>
  <c r="N18" i="1"/>
  <c r="G18" i="12"/>
  <c r="D72" i="3"/>
  <c r="D71" i="3"/>
  <c r="D64" i="3"/>
  <c r="D60" i="3"/>
  <c r="D53" i="3"/>
  <c r="D49" i="3"/>
  <c r="D44" i="3"/>
  <c r="D32" i="3"/>
  <c r="D27" i="3"/>
  <c r="D25" i="3"/>
  <c r="D22" i="3"/>
  <c r="E19" i="3"/>
  <c r="J23" i="9" l="1"/>
  <c r="J17" i="9"/>
  <c r="B22" i="2"/>
  <c r="J23" i="2" l="1"/>
  <c r="K23" i="2"/>
  <c r="L23" i="2"/>
  <c r="M23" i="2"/>
  <c r="I23" i="2"/>
  <c r="Q17" i="1"/>
  <c r="B17" i="1"/>
  <c r="R11" i="5"/>
  <c r="H11" i="5"/>
  <c r="I11" i="5"/>
  <c r="J11" i="5"/>
  <c r="K11" i="5"/>
  <c r="L11" i="5"/>
  <c r="B11" i="5"/>
  <c r="P22" i="2"/>
  <c r="H24" i="7"/>
  <c r="M13" i="7"/>
  <c r="C11" i="5" s="1"/>
  <c r="M11" i="5" s="1"/>
  <c r="L13" i="7"/>
  <c r="Q13" i="7" s="1"/>
  <c r="M22" i="2" s="1"/>
  <c r="K13" i="7"/>
  <c r="P13" i="7" s="1"/>
  <c r="F17" i="1" s="1"/>
  <c r="J13" i="7"/>
  <c r="O13" i="7" s="1"/>
  <c r="E17" i="1" s="1"/>
  <c r="I13" i="7"/>
  <c r="J22" i="2" s="1"/>
  <c r="U11" i="5" l="1"/>
  <c r="S11" i="5"/>
  <c r="V11" i="5"/>
  <c r="T11" i="5"/>
  <c r="K17" i="1"/>
  <c r="F11" i="5"/>
  <c r="P11" i="5" s="1"/>
  <c r="D17" i="1"/>
  <c r="I17" i="1" s="1"/>
  <c r="L22" i="2"/>
  <c r="E11" i="5"/>
  <c r="O11" i="5" s="1"/>
  <c r="G17" i="1"/>
  <c r="L17" i="1" s="1"/>
  <c r="C17" i="1"/>
  <c r="H17" i="1" s="1"/>
  <c r="K22" i="2"/>
  <c r="D11" i="5"/>
  <c r="N11" i="5" s="1"/>
  <c r="I22" i="2"/>
  <c r="G11" i="5"/>
  <c r="Q11" i="5" s="1"/>
  <c r="J17" i="1"/>
  <c r="B24" i="7"/>
  <c r="B25" i="7"/>
  <c r="P24" i="2" l="1"/>
  <c r="M24" i="2"/>
  <c r="K24" i="2"/>
  <c r="I24" i="2"/>
  <c r="L24" i="2"/>
  <c r="E22" i="2"/>
  <c r="G23" i="2"/>
  <c r="E23" i="2"/>
  <c r="H22" i="2"/>
  <c r="F22" i="2"/>
  <c r="D22" i="2"/>
  <c r="E24" i="2" l="1"/>
  <c r="J24" i="2"/>
  <c r="O24" i="2" s="1"/>
  <c r="G22" i="2"/>
  <c r="G24" i="2" s="1"/>
  <c r="F23" i="2"/>
  <c r="F24" i="2" s="1"/>
  <c r="D23" i="2"/>
  <c r="D24" i="2" s="1"/>
  <c r="H23" i="2"/>
  <c r="H24" i="2" s="1"/>
  <c r="N24" i="2" l="1"/>
  <c r="Q24" i="2" s="1"/>
  <c r="D18" i="3" l="1"/>
  <c r="G20" i="3" l="1"/>
  <c r="H20" i="3" s="1"/>
  <c r="G21" i="3"/>
  <c r="H21" i="3" s="1"/>
  <c r="I12" i="7" l="1"/>
  <c r="M12" i="7" l="1"/>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15" i="13"/>
  <c r="J48" i="13"/>
  <c r="K48" i="13" s="1"/>
  <c r="J47" i="13"/>
  <c r="K47" i="13" s="1"/>
  <c r="J46" i="13"/>
  <c r="K46" i="13" s="1"/>
  <c r="R46" i="13" s="1"/>
  <c r="J45" i="13"/>
  <c r="K45" i="13" s="1"/>
  <c r="J44" i="13"/>
  <c r="K44" i="13" s="1"/>
  <c r="J43" i="13"/>
  <c r="K43" i="13" s="1"/>
  <c r="J42" i="13"/>
  <c r="K42" i="13" s="1"/>
  <c r="R42" i="13" s="1"/>
  <c r="J41" i="13"/>
  <c r="K41" i="13" s="1"/>
  <c r="J53" i="13"/>
  <c r="K53" i="13" s="1"/>
  <c r="R53" i="13" s="1"/>
  <c r="J52" i="13"/>
  <c r="K52" i="13" s="1"/>
  <c r="J51" i="13"/>
  <c r="K51" i="13" s="1"/>
  <c r="J50" i="13"/>
  <c r="K50" i="13" s="1"/>
  <c r="R45" i="13" l="1"/>
  <c r="P45" i="13"/>
  <c r="N45" i="13"/>
  <c r="N48" i="13"/>
  <c r="R48" i="13"/>
  <c r="P48" i="13"/>
  <c r="P43" i="13"/>
  <c r="N43" i="13"/>
  <c r="R43" i="13"/>
  <c r="R41" i="13"/>
  <c r="P41" i="13"/>
  <c r="N41" i="13"/>
  <c r="N44" i="13"/>
  <c r="R44" i="13"/>
  <c r="P44" i="13"/>
  <c r="P47" i="13"/>
  <c r="N47" i="13"/>
  <c r="R47" i="13"/>
  <c r="N42" i="13"/>
  <c r="N46" i="13"/>
  <c r="P42" i="13"/>
  <c r="P46" i="13"/>
  <c r="N51" i="13"/>
  <c r="R51" i="13"/>
  <c r="P51" i="13"/>
  <c r="R52" i="13"/>
  <c r="P52" i="13"/>
  <c r="N52" i="13"/>
  <c r="P50" i="13"/>
  <c r="N50" i="13"/>
  <c r="R50" i="13"/>
  <c r="N53" i="13"/>
  <c r="P53" i="13"/>
  <c r="Q16" i="1"/>
  <c r="R10" i="5"/>
  <c r="J10" i="5"/>
  <c r="K10" i="5"/>
  <c r="L10" i="5"/>
  <c r="W78" i="13"/>
  <c r="W70" i="13"/>
  <c r="W60" i="13"/>
  <c r="W49" i="13"/>
  <c r="W46" i="13"/>
  <c r="W41" i="13"/>
  <c r="W20" i="13"/>
  <c r="W16" i="13"/>
  <c r="J69" i="13"/>
  <c r="K69" i="13" s="1"/>
  <c r="J68" i="13"/>
  <c r="K68" i="13" s="1"/>
  <c r="J67" i="13"/>
  <c r="K67" i="13" s="1"/>
  <c r="J66" i="13"/>
  <c r="K66" i="13" s="1"/>
  <c r="J65" i="13"/>
  <c r="K65" i="13" s="1"/>
  <c r="J61" i="13"/>
  <c r="K61" i="13" s="1"/>
  <c r="J60" i="13"/>
  <c r="K60" i="13" s="1"/>
  <c r="J59" i="13"/>
  <c r="K59" i="13" s="1"/>
  <c r="J58" i="13"/>
  <c r="K58" i="13" s="1"/>
  <c r="J57" i="13"/>
  <c r="K57" i="13" s="1"/>
  <c r="J56" i="13"/>
  <c r="K56" i="13" s="1"/>
  <c r="J55" i="13"/>
  <c r="K55" i="13" s="1"/>
  <c r="J54" i="13"/>
  <c r="K54" i="13" s="1"/>
  <c r="J49" i="13"/>
  <c r="K49" i="13" s="1"/>
  <c r="P49" i="13" s="1"/>
  <c r="J40" i="13"/>
  <c r="K40" i="13" s="1"/>
  <c r="J39" i="13"/>
  <c r="K39" i="13" s="1"/>
  <c r="J38" i="13"/>
  <c r="K38" i="13" s="1"/>
  <c r="R38" i="13" s="1"/>
  <c r="J37" i="13"/>
  <c r="K37" i="13" s="1"/>
  <c r="J36" i="13"/>
  <c r="K36" i="13" s="1"/>
  <c r="J35" i="13"/>
  <c r="K35" i="13" s="1"/>
  <c r="J34" i="13"/>
  <c r="K34" i="13" s="1"/>
  <c r="J33" i="13"/>
  <c r="K33" i="13" s="1"/>
  <c r="J32" i="13"/>
  <c r="K32" i="13" s="1"/>
  <c r="J31" i="13"/>
  <c r="K31" i="13" s="1"/>
  <c r="J30" i="13"/>
  <c r="K30" i="13" s="1"/>
  <c r="J29" i="13"/>
  <c r="K29" i="13" s="1"/>
  <c r="J28" i="13"/>
  <c r="K28" i="13" s="1"/>
  <c r="J27" i="13"/>
  <c r="K27" i="13" s="1"/>
  <c r="J26" i="13"/>
  <c r="K26" i="13" s="1"/>
  <c r="J25" i="13"/>
  <c r="K25" i="13" s="1"/>
  <c r="J24" i="13"/>
  <c r="K24" i="13" s="1"/>
  <c r="J23" i="13"/>
  <c r="K23" i="13" s="1"/>
  <c r="J22" i="13"/>
  <c r="K22" i="13" s="1"/>
  <c r="J21" i="13"/>
  <c r="K21" i="13" s="1"/>
  <c r="J20" i="13"/>
  <c r="K20" i="13" s="1"/>
  <c r="J19" i="13"/>
  <c r="K19" i="13" s="1"/>
  <c r="J18" i="13"/>
  <c r="K18" i="13" s="1"/>
  <c r="J17" i="13"/>
  <c r="K17" i="13" s="1"/>
  <c r="J16" i="13"/>
  <c r="K16" i="13" s="1"/>
  <c r="J15" i="13"/>
  <c r="K15" i="13" s="1"/>
  <c r="E4" i="13"/>
  <c r="K70" i="13" l="1"/>
  <c r="K62" i="13"/>
  <c r="N15" i="13"/>
  <c r="W40" i="13"/>
  <c r="P15" i="13"/>
  <c r="W15" i="13"/>
  <c r="R34" i="13"/>
  <c r="P60" i="13"/>
  <c r="P61" i="13"/>
  <c r="N57" i="13"/>
  <c r="R61" i="13"/>
  <c r="P57" i="13"/>
  <c r="P56" i="13"/>
  <c r="N56" i="13"/>
  <c r="N28" i="13"/>
  <c r="P28" i="13"/>
  <c r="R19" i="13"/>
  <c r="P22" i="13"/>
  <c r="N25" i="13"/>
  <c r="N29" i="13"/>
  <c r="N37" i="13"/>
  <c r="R22" i="13"/>
  <c r="P25" i="13"/>
  <c r="P29" i="13"/>
  <c r="R33" i="13"/>
  <c r="R37" i="13"/>
  <c r="R57" i="13"/>
  <c r="R29" i="13"/>
  <c r="R15" i="13"/>
  <c r="R17" i="13"/>
  <c r="P17" i="13"/>
  <c r="N17" i="13"/>
  <c r="N18" i="13"/>
  <c r="P18" i="13"/>
  <c r="P55" i="13"/>
  <c r="N55" i="13"/>
  <c r="R55" i="13"/>
  <c r="R16" i="13"/>
  <c r="P16" i="13"/>
  <c r="N16" i="13"/>
  <c r="R18" i="13"/>
  <c r="P21" i="13"/>
  <c r="R21" i="13"/>
  <c r="N21" i="13"/>
  <c r="N26" i="13"/>
  <c r="P26" i="13"/>
  <c r="R26" i="13"/>
  <c r="N30" i="13"/>
  <c r="R30" i="13"/>
  <c r="P30" i="13"/>
  <c r="P31" i="13"/>
  <c r="R31" i="13"/>
  <c r="N31" i="13"/>
  <c r="P39" i="13"/>
  <c r="R39" i="13"/>
  <c r="N39" i="13"/>
  <c r="R40" i="13"/>
  <c r="P40" i="13"/>
  <c r="N40" i="13"/>
  <c r="N54" i="13"/>
  <c r="P54" i="13"/>
  <c r="R32" i="13"/>
  <c r="N32" i="13"/>
  <c r="P32" i="13"/>
  <c r="R54" i="13"/>
  <c r="P59" i="13"/>
  <c r="R59" i="13"/>
  <c r="N59" i="13"/>
  <c r="P27" i="13"/>
  <c r="N27" i="13"/>
  <c r="R27" i="13"/>
  <c r="R36" i="13"/>
  <c r="P36" i="13"/>
  <c r="N36" i="13"/>
  <c r="N58" i="13"/>
  <c r="R58" i="13"/>
  <c r="P58" i="13"/>
  <c r="R20" i="13"/>
  <c r="P20" i="13"/>
  <c r="P23" i="13"/>
  <c r="R24" i="13"/>
  <c r="P35" i="13"/>
  <c r="P19" i="13"/>
  <c r="N20" i="13"/>
  <c r="N23" i="13"/>
  <c r="N24" i="13"/>
  <c r="N33" i="13"/>
  <c r="N34" i="13"/>
  <c r="N35" i="13"/>
  <c r="N38" i="13"/>
  <c r="R49" i="13"/>
  <c r="N19" i="13"/>
  <c r="N22" i="13"/>
  <c r="R23" i="13"/>
  <c r="P24" i="13"/>
  <c r="R25" i="13"/>
  <c r="P33" i="13"/>
  <c r="P34" i="13"/>
  <c r="R35" i="13"/>
  <c r="P37" i="13"/>
  <c r="P38" i="13"/>
  <c r="N49" i="13"/>
  <c r="R60" i="13"/>
  <c r="R28" i="13"/>
  <c r="R56" i="13"/>
  <c r="N60" i="13"/>
  <c r="N61" i="13"/>
  <c r="J19" i="12"/>
  <c r="K19" i="12" s="1"/>
  <c r="J20" i="12"/>
  <c r="K20" i="12" s="1"/>
  <c r="J21" i="12"/>
  <c r="K21" i="12" s="1"/>
  <c r="J22" i="12"/>
  <c r="K22" i="12" s="1"/>
  <c r="J23" i="12"/>
  <c r="K23" i="12" s="1"/>
  <c r="J24" i="12"/>
  <c r="K24" i="12" s="1"/>
  <c r="J25" i="12"/>
  <c r="K25" i="12" s="1"/>
  <c r="J26" i="12"/>
  <c r="K26" i="12" s="1"/>
  <c r="J18" i="12"/>
  <c r="K18" i="12" s="1"/>
  <c r="I20" i="2"/>
  <c r="R62" i="13" l="1"/>
  <c r="P62" i="13"/>
  <c r="N62" i="13"/>
  <c r="W80" i="13"/>
  <c r="M62" i="13" l="1"/>
  <c r="Z15" i="13" s="1"/>
  <c r="AG15" i="13" s="1"/>
  <c r="AH15" i="13" s="1"/>
  <c r="AA15" i="13"/>
  <c r="O62" i="13"/>
  <c r="AB15" i="13" s="1"/>
  <c r="AI15" i="13" s="1"/>
  <c r="AJ15" i="13" s="1"/>
  <c r="AC15" i="13"/>
  <c r="Q62" i="13"/>
  <c r="AD15" i="13" s="1"/>
  <c r="AK15" i="13" s="1"/>
  <c r="AL15" i="13" s="1"/>
  <c r="AE15" i="13"/>
  <c r="I19" i="2"/>
  <c r="AN15" i="13" l="1"/>
  <c r="AP15" i="13"/>
  <c r="AR15" i="13"/>
  <c r="C12" i="5"/>
  <c r="C18" i="1"/>
  <c r="D16" i="1"/>
  <c r="I16" i="1" s="1"/>
  <c r="S10" i="5"/>
  <c r="L12" i="7"/>
  <c r="Q12" i="7" s="1"/>
  <c r="K12" i="7"/>
  <c r="P12" i="7" s="1"/>
  <c r="F16" i="1" l="1"/>
  <c r="K16" i="1" s="1"/>
  <c r="U10" i="5"/>
  <c r="G16" i="1"/>
  <c r="L16" i="1" s="1"/>
  <c r="V10" i="5"/>
  <c r="P19" i="2"/>
  <c r="E12" i="5" l="1"/>
  <c r="E18" i="1"/>
  <c r="G12" i="5"/>
  <c r="G18" i="1"/>
  <c r="D12" i="5"/>
  <c r="D18" i="1"/>
  <c r="F12" i="5"/>
  <c r="F18" i="1"/>
  <c r="L19" i="2"/>
  <c r="P25" i="2"/>
  <c r="P27" i="2" s="1"/>
  <c r="P21" i="2" l="1"/>
  <c r="P28" i="2" l="1"/>
  <c r="P29" i="2" s="1"/>
  <c r="K26" i="2"/>
  <c r="F26" i="2" s="1"/>
  <c r="K20" i="2"/>
  <c r="F20" i="2" s="1"/>
  <c r="J12" i="7"/>
  <c r="O12" i="7" s="1"/>
  <c r="H23" i="7"/>
  <c r="T10" i="5" l="1"/>
  <c r="K19" i="2"/>
  <c r="E16" i="1" l="1"/>
  <c r="J16" i="1" s="1"/>
  <c r="E10" i="5"/>
  <c r="O10" i="5" s="1"/>
  <c r="F19" i="2"/>
  <c r="F21" i="2" s="1"/>
  <c r="K21" i="2"/>
  <c r="K25" i="2" l="1"/>
  <c r="D9" i="2"/>
  <c r="D10" i="2" l="1"/>
  <c r="F25" i="2"/>
  <c r="F27" i="2" s="1"/>
  <c r="F28" i="2" s="1"/>
  <c r="F29" i="2" s="1"/>
  <c r="K27" i="2"/>
  <c r="K28" i="2" s="1"/>
  <c r="K29" i="2" s="1"/>
  <c r="E4" i="12"/>
  <c r="B11" i="12"/>
  <c r="J31" i="12"/>
  <c r="K31" i="12" s="1"/>
  <c r="J30" i="12"/>
  <c r="K30" i="12" s="1"/>
  <c r="J29" i="12"/>
  <c r="K29" i="12" s="1"/>
  <c r="J28" i="12"/>
  <c r="K28" i="12" s="1"/>
  <c r="J27" i="12"/>
  <c r="K27" i="12" s="1"/>
  <c r="J17" i="12"/>
  <c r="K17" i="12" s="1"/>
  <c r="J16" i="12"/>
  <c r="K16" i="12" s="1"/>
  <c r="J15" i="12"/>
  <c r="K15" i="12" s="1"/>
  <c r="J14" i="12"/>
  <c r="K14" i="12" s="1"/>
  <c r="J13" i="12"/>
  <c r="K13" i="12" s="1"/>
  <c r="J12" i="12"/>
  <c r="K12" i="12" s="1"/>
  <c r="J11" i="12"/>
  <c r="K11" i="12" s="1"/>
  <c r="L11" i="12" l="1"/>
  <c r="D14" i="3" l="1"/>
  <c r="D16" i="3" s="1"/>
  <c r="L32" i="12"/>
  <c r="C16" i="1" l="1"/>
  <c r="H16" i="1" s="1"/>
  <c r="J26" i="2" l="1"/>
  <c r="E26" i="2" s="1"/>
  <c r="L26" i="2"/>
  <c r="M26" i="2"/>
  <c r="I26" i="2"/>
  <c r="I25" i="2"/>
  <c r="D25" i="2" s="1"/>
  <c r="J20" i="2"/>
  <c r="E20" i="2" s="1"/>
  <c r="L20" i="2"/>
  <c r="G20" i="2" s="1"/>
  <c r="M20" i="2"/>
  <c r="D20" i="2"/>
  <c r="B25" i="2"/>
  <c r="B19" i="2"/>
  <c r="I10" i="5"/>
  <c r="H10" i="5"/>
  <c r="B12" i="5"/>
  <c r="G74" i="3"/>
  <c r="H74" i="3" s="1"/>
  <c r="G72" i="3"/>
  <c r="H72" i="3" s="1"/>
  <c r="G71" i="3"/>
  <c r="H71" i="3" s="1"/>
  <c r="G70" i="3"/>
  <c r="H70" i="3" s="1"/>
  <c r="G69" i="3"/>
  <c r="H69" i="3" s="1"/>
  <c r="G68" i="3"/>
  <c r="H68" i="3" s="1"/>
  <c r="G67" i="3"/>
  <c r="H67" i="3" s="1"/>
  <c r="G66" i="3"/>
  <c r="H66" i="3" s="1"/>
  <c r="G64" i="3"/>
  <c r="H64" i="3" s="1"/>
  <c r="G63" i="3"/>
  <c r="H63" i="3" s="1"/>
  <c r="G62" i="3"/>
  <c r="H62" i="3" s="1"/>
  <c r="G61" i="3"/>
  <c r="H61" i="3" s="1"/>
  <c r="G60" i="3"/>
  <c r="H60" i="3" s="1"/>
  <c r="G59" i="3"/>
  <c r="H59" i="3" s="1"/>
  <c r="G58" i="3"/>
  <c r="H58" i="3" s="1"/>
  <c r="G57" i="3"/>
  <c r="H57" i="3" s="1"/>
  <c r="G55" i="3"/>
  <c r="H55" i="3" s="1"/>
  <c r="G54" i="3"/>
  <c r="H54" i="3" s="1"/>
  <c r="G53" i="3"/>
  <c r="H53" i="3" s="1"/>
  <c r="G52" i="3"/>
  <c r="H52" i="3" s="1"/>
  <c r="G51" i="3"/>
  <c r="H51" i="3" s="1"/>
  <c r="G50" i="3"/>
  <c r="H50" i="3" s="1"/>
  <c r="G49" i="3"/>
  <c r="H49" i="3" s="1"/>
  <c r="G48" i="3"/>
  <c r="H48" i="3" s="1"/>
  <c r="B18" i="1"/>
  <c r="B16" i="1"/>
  <c r="M25" i="2"/>
  <c r="H25" i="2" s="1"/>
  <c r="H25" i="7"/>
  <c r="A23" i="7"/>
  <c r="B23" i="7"/>
  <c r="M19" i="2"/>
  <c r="H19" i="2" s="1"/>
  <c r="D19" i="2"/>
  <c r="A16" i="1"/>
  <c r="C8" i="2"/>
  <c r="B8" i="2"/>
  <c r="D21" i="2" l="1"/>
  <c r="H20" i="2"/>
  <c r="M21" i="2"/>
  <c r="D26" i="2"/>
  <c r="I27" i="2"/>
  <c r="H26" i="2"/>
  <c r="M27" i="2"/>
  <c r="G26" i="2"/>
  <c r="I21" i="2"/>
  <c r="G19" i="2"/>
  <c r="L21" i="2"/>
  <c r="L25" i="2"/>
  <c r="L27" i="2" s="1"/>
  <c r="F10" i="5"/>
  <c r="P10" i="5" s="1"/>
  <c r="C10" i="5"/>
  <c r="M10" i="5" s="1"/>
  <c r="G10" i="5"/>
  <c r="Q10" i="5" s="1"/>
  <c r="M28" i="2" l="1"/>
  <c r="M29" i="2" s="1"/>
  <c r="L28" i="2"/>
  <c r="L29" i="2" s="1"/>
  <c r="I28" i="2"/>
  <c r="I29" i="2" s="1"/>
  <c r="G25" i="2"/>
  <c r="Q18" i="1" l="1"/>
  <c r="H18" i="1" l="1"/>
  <c r="I18" i="1"/>
  <c r="J18" i="1"/>
  <c r="K18" i="1"/>
  <c r="L18" i="1"/>
  <c r="G4" i="5"/>
  <c r="D4" i="1"/>
  <c r="B10" i="5" l="1"/>
  <c r="A10" i="5"/>
  <c r="A19" i="2" l="1"/>
  <c r="A9" i="2"/>
  <c r="A12" i="3"/>
  <c r="D65" i="3" l="1"/>
  <c r="G65" i="3"/>
  <c r="H65" i="3"/>
  <c r="G46" i="3" l="1"/>
  <c r="H46" i="3" s="1"/>
  <c r="H73" i="3" l="1"/>
  <c r="G73" i="3"/>
  <c r="D73" i="3"/>
  <c r="H56" i="3"/>
  <c r="G56" i="3"/>
  <c r="D56" i="3"/>
  <c r="H47" i="3"/>
  <c r="G47" i="3"/>
  <c r="D47" i="3"/>
  <c r="H45" i="3"/>
  <c r="G45" i="3"/>
  <c r="D45" i="3"/>
  <c r="D40" i="3" l="1"/>
  <c r="G43" i="3"/>
  <c r="H43" i="3" s="1"/>
  <c r="G44" i="3"/>
  <c r="H44" i="3" s="1"/>
  <c r="G42" i="3" l="1"/>
  <c r="H42" i="3" s="1"/>
  <c r="G41" i="3"/>
  <c r="G16" i="3"/>
  <c r="H16" i="3" s="1"/>
  <c r="G17" i="3"/>
  <c r="H17" i="3" s="1"/>
  <c r="G19" i="3"/>
  <c r="G22" i="3"/>
  <c r="H22" i="3" s="1"/>
  <c r="G23" i="3"/>
  <c r="H23" i="3" s="1"/>
  <c r="G24" i="3"/>
  <c r="H24" i="3" s="1"/>
  <c r="G25" i="3"/>
  <c r="H25" i="3" s="1"/>
  <c r="G26" i="3"/>
  <c r="H26" i="3" s="1"/>
  <c r="G27" i="3"/>
  <c r="H27" i="3" s="1"/>
  <c r="G28" i="3"/>
  <c r="H28" i="3" s="1"/>
  <c r="G29" i="3"/>
  <c r="H29" i="3" s="1"/>
  <c r="G30" i="3"/>
  <c r="H30" i="3" s="1"/>
  <c r="G31" i="3"/>
  <c r="H31" i="3" s="1"/>
  <c r="G32" i="3"/>
  <c r="H32" i="3" s="1"/>
  <c r="G33" i="3"/>
  <c r="H33" i="3" s="1"/>
  <c r="G34" i="3"/>
  <c r="H34" i="3" s="1"/>
  <c r="G35" i="3"/>
  <c r="H35" i="3" s="1"/>
  <c r="G36" i="3"/>
  <c r="H36" i="3" s="1"/>
  <c r="G37" i="3"/>
  <c r="H37" i="3" s="1"/>
  <c r="G38" i="3"/>
  <c r="H38" i="3" s="1"/>
  <c r="G18" i="3" l="1"/>
  <c r="H41" i="3"/>
  <c r="H40" i="3" s="1"/>
  <c r="H39" i="3" s="1"/>
  <c r="G40" i="3"/>
  <c r="G39" i="3" s="1"/>
  <c r="H19" i="3"/>
  <c r="H18" i="3" s="1"/>
  <c r="G14" i="3" l="1"/>
  <c r="G15" i="3" l="1"/>
  <c r="A9" i="5"/>
  <c r="B9" i="5"/>
  <c r="H15" i="3" l="1"/>
  <c r="G13" i="3"/>
  <c r="G21" i="2"/>
  <c r="H21" i="2"/>
  <c r="G27" i="2"/>
  <c r="D27" i="2"/>
  <c r="H27" i="2"/>
  <c r="H28" i="2" l="1"/>
  <c r="H29" i="2" s="1"/>
  <c r="G28" i="2"/>
  <c r="G29" i="2" s="1"/>
  <c r="G12" i="3"/>
  <c r="G75" i="3" s="1"/>
  <c r="D28" i="2"/>
  <c r="D29" i="2" s="1"/>
  <c r="H14" i="3" l="1"/>
  <c r="D13" i="3"/>
  <c r="H13" i="3" l="1"/>
  <c r="H12" i="3" s="1"/>
  <c r="H75" i="3" s="1"/>
  <c r="H76" i="3" s="1"/>
  <c r="H79" i="3" s="1"/>
  <c r="D12" i="3"/>
  <c r="D75" i="3" s="1"/>
  <c r="F9" i="2" l="1"/>
  <c r="F10" i="2" l="1"/>
  <c r="J25" i="2"/>
  <c r="G9" i="2" l="1"/>
  <c r="H9" i="2" s="1"/>
  <c r="J27" i="2"/>
  <c r="E25" i="2"/>
  <c r="E27" i="2" s="1"/>
  <c r="G10" i="2" l="1"/>
  <c r="N27" i="2"/>
  <c r="O27" i="2"/>
  <c r="L9" i="2" l="1"/>
  <c r="Q27" i="2"/>
  <c r="L10" i="2" l="1"/>
  <c r="D10" i="5"/>
  <c r="N10" i="5" s="1"/>
  <c r="J19" i="2"/>
  <c r="J21" i="2" s="1"/>
  <c r="J28" i="2" s="1"/>
  <c r="J29" i="2" s="1"/>
  <c r="E19" i="2" l="1"/>
  <c r="E21" i="2" s="1"/>
  <c r="E28" i="2" s="1"/>
  <c r="E29" i="2" s="1"/>
  <c r="O21" i="2"/>
  <c r="O28" i="2" s="1"/>
  <c r="O29" i="2" l="1"/>
  <c r="N21" i="2"/>
  <c r="N28" i="2" l="1"/>
  <c r="N29" i="2" s="1"/>
  <c r="C9" i="2"/>
  <c r="C10" i="2" s="1"/>
  <c r="Q21" i="2"/>
  <c r="Q28" i="2" l="1"/>
  <c r="Q29" i="2" s="1"/>
  <c r="B9" i="2"/>
  <c r="B10" i="2" s="1"/>
  <c r="E9" i="2" l="1"/>
  <c r="E10" i="2" s="1"/>
  <c r="I9" i="2" l="1"/>
  <c r="I10" i="2" s="1"/>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321 Marcelo Hernandez</author>
    <author>320 Carolina Vera</author>
  </authors>
  <commentList>
    <comment ref="N11" authorId="0" shapeId="0" xr:uid="{00000000-0006-0000-0300-000001000000}">
      <text>
        <r>
          <rPr>
            <b/>
            <sz val="9"/>
            <color indexed="81"/>
            <rFont val="Tahoma"/>
            <family val="2"/>
          </rPr>
          <t>La Tarifa es un 14% más que la tarifa de Personal Servicio Activo.</t>
        </r>
        <r>
          <rPr>
            <sz val="9"/>
            <color indexed="81"/>
            <rFont val="Tahoma"/>
            <family val="2"/>
          </rPr>
          <t xml:space="preserve">
</t>
        </r>
      </text>
    </comment>
    <comment ref="O11" authorId="1" shapeId="0" xr:uid="{00000000-0006-0000-0300-000002000000}">
      <text>
        <r>
          <rPr>
            <b/>
            <sz val="9"/>
            <color indexed="81"/>
            <rFont val="Tahoma"/>
            <family val="2"/>
          </rPr>
          <t>La Tarifa es un 20% más que la tarifa de Personal Servicio 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321 Marcelo Hernandez</author>
  </authors>
  <commentList>
    <comment ref="N15" authorId="0" shapeId="0" xr:uid="{00000000-0006-0000-0800-000001000000}">
      <text>
        <r>
          <rPr>
            <b/>
            <sz val="9"/>
            <color indexed="81"/>
            <rFont val="Tahoma"/>
            <family val="2"/>
          </rPr>
          <t>Precio del año 2019 más reajuste de 6%</t>
        </r>
        <r>
          <rPr>
            <sz val="9"/>
            <color indexed="81"/>
            <rFont val="Tahoma"/>
            <family val="2"/>
          </rPr>
          <t xml:space="preserve">
</t>
        </r>
      </text>
    </comment>
    <comment ref="P15" authorId="0" shapeId="0" xr:uid="{00000000-0006-0000-0800-000002000000}">
      <text>
        <r>
          <rPr>
            <b/>
            <sz val="9"/>
            <color indexed="81"/>
            <rFont val="Tahoma"/>
            <family val="2"/>
          </rPr>
          <t>Precio del año 2019 más reajuste de 6%</t>
        </r>
        <r>
          <rPr>
            <sz val="9"/>
            <color indexed="81"/>
            <rFont val="Tahoma"/>
            <family val="2"/>
          </rPr>
          <t xml:space="preserve">
</t>
        </r>
      </text>
    </comment>
  </commentList>
</comments>
</file>

<file path=xl/sharedStrings.xml><?xml version="1.0" encoding="utf-8"?>
<sst xmlns="http://schemas.openxmlformats.org/spreadsheetml/2006/main" count="669" uniqueCount="421">
  <si>
    <t>REPARTICION:</t>
  </si>
  <si>
    <t xml:space="preserve">TOTAL </t>
  </si>
  <si>
    <t>Cálculo Ingreso</t>
  </si>
  <si>
    <t>Ocupación / Cargo</t>
  </si>
  <si>
    <t>Reajuste</t>
  </si>
  <si>
    <t>Prestación</t>
  </si>
  <si>
    <t>Total</t>
  </si>
  <si>
    <t>Meta Ocupación</t>
  </si>
  <si>
    <t>Total Prestaciones</t>
  </si>
  <si>
    <t>Ingreso anual</t>
  </si>
  <si>
    <t>Ingreso total anual</t>
  </si>
  <si>
    <t>COSTOS DE OPERACIÓN</t>
  </si>
  <si>
    <t>REMUNERACIONES DIRECTAS</t>
  </si>
  <si>
    <t>SUPLENCIAS Y REEMPLAZOS</t>
  </si>
  <si>
    <t>PERSONAL A TRATO Y TEMPORAL</t>
  </si>
  <si>
    <t>OTRAS REMUNERACIONES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</si>
  <si>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</si>
  <si>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</si>
  <si>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</si>
  <si>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</si>
  <si>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</si>
  <si>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</si>
  <si>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</si>
  <si>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</si>
  <si>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</si>
  <si>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</si>
  <si>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</si>
  <si>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</si>
  <si>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</si>
  <si>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</si>
  <si>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</si>
  <si>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</si>
  <si>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SERVICIOS INFORMATICOS</t>
  </si>
  <si>
    <t>MAQUINAS Y EQUIPOS DE OFICINA</t>
  </si>
  <si>
    <t>GASTOS DE ADMINISTRACIÓN Y VENTAS</t>
  </si>
  <si>
    <t>GASTO EN PERSONAL</t>
  </si>
  <si>
    <t>% tiempo</t>
  </si>
  <si>
    <t>$ Costo</t>
  </si>
  <si>
    <t>VIATICOS PERSONAL COD.TRABAJO</t>
  </si>
  <si>
    <t>VESTUARIO ACC.Y PRENDAS DIVERS</t>
  </si>
  <si>
    <t>CALZADO</t>
  </si>
  <si>
    <t>CURSOS DE CAPACITACION</t>
  </si>
  <si>
    <t>CONSUMOS BÁSICOS</t>
  </si>
  <si>
    <t>ENLACES DE TELECOMUNICACIONES</t>
  </si>
  <si>
    <t>OTROS SERVICIOS BASICOS</t>
  </si>
  <si>
    <t>BIENES DE CONSUMO</t>
  </si>
  <si>
    <t>COMB.LUBR.DIRECTOS-INDIRECTOS</t>
  </si>
  <si>
    <t>MATERIALES DE OFICINA</t>
  </si>
  <si>
    <t>PROD.QUIMIC,FARMACEUTICOS IND.</t>
  </si>
  <si>
    <t>FERT.INSECT.FUNG.Y OTROS</t>
  </si>
  <si>
    <t>MAT.Y UTILES DE ASEO</t>
  </si>
  <si>
    <t>MENAJE OFICINA CASINO Y OTROS</t>
  </si>
  <si>
    <t>MOBILIARIO Y OTROS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</si>
  <si>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</si>
  <si>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</si>
  <si>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</si>
  <si>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</si>
  <si>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</si>
  <si>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</si>
  <si>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</si>
  <si>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</si>
  <si>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</si>
  <si>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</si>
  <si>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</si>
  <si>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</si>
  <si>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</si>
  <si>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OTROS GASTOS</t>
  </si>
  <si>
    <t>Costo Unitario Promedio</t>
  </si>
  <si>
    <t>Cantidad</t>
  </si>
  <si>
    <t>ASISTENCIA RECREATIVA</t>
  </si>
  <si>
    <t>ASISTENCIA EDUCACIONAL</t>
  </si>
  <si>
    <t>ASISTENCIA COMERCIAL</t>
  </si>
  <si>
    <t>Institución</t>
  </si>
  <si>
    <t>Nombre</t>
  </si>
  <si>
    <t>Apellido</t>
  </si>
  <si>
    <t>DETALLE / OBSERVACIONES</t>
  </si>
  <si>
    <t>Número de Cuenta</t>
  </si>
  <si>
    <t>ítem de Gasto (según Plan de Cuenta Institucional)</t>
  </si>
  <si>
    <t>Costos Fijos</t>
  </si>
  <si>
    <t>Costos Variables</t>
  </si>
  <si>
    <t>Costos Directos</t>
  </si>
  <si>
    <t>Costos Indirectos</t>
  </si>
  <si>
    <t>Centro de Costo</t>
  </si>
  <si>
    <t>Ingresos Totales</t>
  </si>
  <si>
    <t>INSTRUCCIONES</t>
  </si>
  <si>
    <t>ÍNDICE DE TABLAS</t>
  </si>
  <si>
    <t>Mensualidad</t>
  </si>
  <si>
    <t>Mensualidad 2019</t>
  </si>
  <si>
    <t>Personal Servicio Activo Armada y otras FFAA</t>
  </si>
  <si>
    <t>En retiro</t>
  </si>
  <si>
    <t>Casos Especiales</t>
  </si>
  <si>
    <t>Ingreso por Matrícula</t>
  </si>
  <si>
    <t>Ingreso por Mensualidad</t>
  </si>
  <si>
    <t>Departamento de RR.HH.</t>
  </si>
  <si>
    <t>Departamento de Finanzas y Abastecimiento</t>
  </si>
  <si>
    <t>TOTAL GENERAL</t>
  </si>
  <si>
    <t>REMUNERACIONES TOTALES CÓDIGO DEL TRABAJO</t>
  </si>
  <si>
    <t>OTROS MATERIALES DE USO CONSUMO</t>
  </si>
  <si>
    <t>OTROS GASTOS IMPREVISTOS</t>
  </si>
  <si>
    <t>GASTOS MENORES (FOFI)</t>
  </si>
  <si>
    <t>MANT.Y REPAR. MOBILIARIO Y OTROS</t>
  </si>
  <si>
    <t>MANT.Y REPAR. DE EQUIPOS OFICINA</t>
  </si>
  <si>
    <t>MANT.Y REPAR. OTRAS MAQ. Y EQUIP.</t>
  </si>
  <si>
    <t>MANT.Y REPAR. EQUIPOS INFORMATICOS</t>
  </si>
  <si>
    <t>OTROS MANTEN. Y REPAR. MENORES</t>
  </si>
  <si>
    <t>SERVICIO DE MANTENCION JARDINES</t>
  </si>
  <si>
    <t>COSTO DIRECTO TOTAL</t>
  </si>
  <si>
    <t>Total Anual</t>
  </si>
  <si>
    <t>Costos Totales</t>
  </si>
  <si>
    <t>Reajuste propuesto</t>
  </si>
  <si>
    <t>TOTAL GENERAL COSTOS DIRECTOS</t>
  </si>
  <si>
    <t>COMPARACIÓN 1</t>
  </si>
  <si>
    <t>COMPARACIÓN 2</t>
  </si>
  <si>
    <t>% Distribución Costo Indirecto</t>
  </si>
  <si>
    <t>Excedentes</t>
  </si>
  <si>
    <t>Centro de Beneficio</t>
  </si>
  <si>
    <t>Costo Total Remuneraciones por Centro de Beneficio</t>
  </si>
  <si>
    <t>Total Haberes anual</t>
  </si>
  <si>
    <t>Total Bonos anual</t>
  </si>
  <si>
    <t>Total Aguinaldos anual</t>
  </si>
  <si>
    <t>Unidades de Apoyo Administrativo</t>
  </si>
  <si>
    <t>ADM. CENTRAL</t>
  </si>
  <si>
    <t>APOYO ADM.</t>
  </si>
  <si>
    <t>Asistencia Educacional</t>
  </si>
  <si>
    <t xml:space="preserve">En esta hoja deberá incorporar toda la información, tablas y cálculos complementarios que permitan explicar y justificar sus proyecciones de ingresos y egresos, de acuerdo a los datos incorporados en las hojas anteriores.
</t>
  </si>
  <si>
    <t>Reajuste en pesos ($)</t>
  </si>
  <si>
    <t>Reajuste en porcentaje (%)</t>
  </si>
  <si>
    <t>Ingreso por Escuela de Verano</t>
  </si>
  <si>
    <t>Media jornada</t>
  </si>
  <si>
    <t>Jardín Infantil ABC</t>
  </si>
  <si>
    <t>Jardín Infantil XYZ</t>
  </si>
  <si>
    <r>
      <t xml:space="preserve">Con el objeto de medir comparativamente el bienestar otorgado al personal de la Armada, es necesario recabar antecedentes comparativos que permitan cuantificar las alternativas de precios que ofrece el mercado </t>
    </r>
    <r>
      <rPr>
        <b/>
        <u/>
        <sz val="10"/>
        <rFont val="Arial"/>
        <family val="2"/>
      </rPr>
      <t>dentro de la misma comuna en la que se encuentran los Jardines Infantiles (J.I.) y Salas Cunas (S.C.)</t>
    </r>
    <r>
      <rPr>
        <sz val="10"/>
        <rFont val="Arial"/>
        <family val="2"/>
      </rPr>
      <t xml:space="preserve"> de su Repartición. Este cuadro comparativo debe ser completado con, </t>
    </r>
    <r>
      <rPr>
        <b/>
        <u/>
        <sz val="10"/>
        <rFont val="Arial"/>
        <family val="2"/>
      </rPr>
      <t>A LO MENOS</t>
    </r>
    <r>
      <rPr>
        <sz val="10"/>
        <rFont val="Arial"/>
        <family val="2"/>
      </rPr>
      <t xml:space="preserve">, dos instituciones públicas o privadas </t>
    </r>
    <r>
      <rPr>
        <b/>
        <u/>
        <sz val="10"/>
        <rFont val="Arial"/>
        <family val="2"/>
      </rPr>
      <t>puedan considerarse como las principales competencias directas</t>
    </r>
    <r>
      <rPr>
        <sz val="10"/>
        <rFont val="Arial"/>
        <family val="2"/>
      </rPr>
      <t xml:space="preserve"> y que otorguen </t>
    </r>
    <r>
      <rPr>
        <b/>
        <u/>
        <sz val="10"/>
        <rFont val="Arial"/>
        <family val="2"/>
      </rPr>
      <t>prestaciones de calidad igual o similar</t>
    </r>
    <r>
      <rPr>
        <sz val="10"/>
        <rFont val="Arial"/>
        <family val="2"/>
      </rPr>
      <t xml:space="preserve"> a las brindadas por las instalaciones de este Departamento/Delegación.</t>
    </r>
  </si>
  <si>
    <t>Precio promedio mercado (ppm)</t>
  </si>
  <si>
    <t>SERVICIO DE SUSCRIPCION</t>
  </si>
  <si>
    <t>EQUIPOS COMPUTACIONALES</t>
  </si>
  <si>
    <t>Total Meta Ocupación</t>
  </si>
  <si>
    <t>Jardines Infantiles</t>
  </si>
  <si>
    <t>PDI</t>
  </si>
  <si>
    <t>GENDARMERIA</t>
  </si>
  <si>
    <t>Propuesta Mensualidad 2020</t>
  </si>
  <si>
    <t>Meta Ocupación niños 2020</t>
  </si>
  <si>
    <t>Matrícula 2020</t>
  </si>
  <si>
    <t>Mensualidad 2020</t>
  </si>
  <si>
    <t>COSTO DIRECTO ESTIMADO 2020</t>
  </si>
  <si>
    <t>Tarifa 2020</t>
  </si>
  <si>
    <t>ÁREA APOYO A. EDUCACIONAL</t>
  </si>
  <si>
    <t>ADMINISTRACIÓN CENTRAL</t>
  </si>
  <si>
    <t>REMUNERACIONES 2019</t>
  </si>
  <si>
    <t>Costo Total anual por Servidor 2019</t>
  </si>
  <si>
    <t>Costo Total por Servidor Reajustado 2020</t>
  </si>
  <si>
    <t>COSTO INDIRECTO ESTIMADO 2020</t>
  </si>
  <si>
    <t>COSTO  TOTAL</t>
  </si>
  <si>
    <t>% Respecto a Precio Promedio Mercado</t>
  </si>
  <si>
    <t>Tiempo Total</t>
  </si>
  <si>
    <t>$ Costo Total</t>
  </si>
  <si>
    <t>$Costo Total</t>
  </si>
  <si>
    <t>TABLA 1: RESUMEN DE INGRESOS Y EGRESOS DE CENTROS DE BENEFICIOS</t>
  </si>
  <si>
    <t>TABLA 2: DETALLE DE INGRESOS POR PRESTACIÓN Y SEGMENTO</t>
  </si>
  <si>
    <t>TABLA 3: REAJUSTE DE TARIFAS POR PRESTACIÓN Y SEGMENTO</t>
  </si>
  <si>
    <t>TABLA 4: METAS DE OCUPACIÓN POR PRESTACIÓN Y SEGMENTO</t>
  </si>
  <si>
    <t>TABLA 5: COSTOS DIRECTOS DE CENTROS DE BENEFICIOS</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</si>
  <si>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</si>
  <si>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</si>
  <si>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</si>
  <si>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 Y APOYO ADMINISTRATIVO A. EDUCACIONAL</t>
  </si>
  <si>
    <t>TABLA 10: RESUMEN DISTRIBUCION COSTOS OPERACIÓN ADMINISTRACION CENTRAL  Y APOYO ADMINISTRATIVO A. EDUCACIONAL</t>
  </si>
  <si>
    <t>TABLA 11: FINANCIAMIENTO ADM. CENTRAL  Y APOYO ADMINISTRATIVO 
(REMUNERACIONES + COSTO OPERACIÓN)</t>
  </si>
  <si>
    <t>TABLA 12: RESUMEN DE TARIFADO</t>
  </si>
  <si>
    <t>TABLA 13: REMUNERACIONES DEL PERSONAL LEY 18.712 DE CENTROS DE BENEFICIOS</t>
  </si>
  <si>
    <t>TABLA 14: COMPARACIÓN TARIFAS CON PRECIOS DE MERCADO</t>
  </si>
  <si>
    <t>A) Resumen Ingresos y Egresos</t>
  </si>
  <si>
    <t>B) Reajuste Tarifas y Ocupación</t>
  </si>
  <si>
    <t>C) Costos Directos</t>
  </si>
  <si>
    <t>D) Costos Indirectos</t>
  </si>
  <si>
    <t>E) Resumen Tarifado</t>
  </si>
  <si>
    <t>F) Remuneraciones</t>
  </si>
  <si>
    <t>G) Comparación Mercado</t>
  </si>
  <si>
    <t>H) Detalle Datos</t>
  </si>
  <si>
    <t>SERVICIOS DE VIGILANCIA /SEGURIDAD</t>
  </si>
  <si>
    <t>SUPLENCIAS Y REEMPLAZOS (EC  oPAC)</t>
  </si>
  <si>
    <t xml:space="preserve"> INDEMNIZACIÓN CÓDIGO DEL TRABAJO</t>
  </si>
  <si>
    <t>OTRAS REMUNERACIONES (ALUMNOS EN PRACTICA)</t>
  </si>
  <si>
    <t>ALIMENTOS Y BEBIDAS (PERSONAL)</t>
  </si>
  <si>
    <t>ALIMENTOS Y BEBIDAS (NIÑOS)</t>
  </si>
  <si>
    <t>ALIMENTOS Y BEBIDAS (ALUMNOS EN PRÁCTICA)</t>
  </si>
  <si>
    <t>TEXTILES Y ACABADOS TEXTILES (CORTINAJE ROLLER, SACOS DE DORMIR, COBERTORES, ETC.)</t>
  </si>
  <si>
    <t>PARA CALEFACCION (CALDERAS, ESTUFAS, ETC)</t>
  </si>
  <si>
    <t>PRODUCTOS QUIMICOS (BOTIQUIN)</t>
  </si>
  <si>
    <t>TEXTOS Y OTROS MAT.ENSEÑANZA</t>
  </si>
  <si>
    <t>EQUIPOS MENORES (EQUIPAMIENTO)</t>
  </si>
  <si>
    <t>SERVICIO DE SUSCRIPCION (MATERIAL DE APOYO)</t>
  </si>
  <si>
    <t>GASTOS MENORES (FOFI) DIRECTIVA DGFA N°02-DC/0201/22 FECHA ENERO 2009</t>
  </si>
  <si>
    <t>MAQUINAS Y EQUIPOS DE OFICINA (ADQUISICION)</t>
  </si>
  <si>
    <t>VESTUARIO ACC.Y PRENDAS DIVERSAS</t>
  </si>
  <si>
    <t>CALZADO E PERSONAL DE COCINA</t>
  </si>
  <si>
    <t>COM.DE SERVICIO EN EL PAIS (VIATICO - 2 REUNIONES ANUALES DIRECTORA)</t>
  </si>
  <si>
    <t>EQUIPOS COMPUTACIONALES (CAMARAS DE VIGILANCIA)</t>
  </si>
  <si>
    <t>OTROS SERVICIOS GENERALES (FUMIGACIÓN)</t>
  </si>
  <si>
    <t>OTROS MATERIALES DE USO CONSUMO (CUOTA DE PADRES)</t>
  </si>
  <si>
    <t>OTROS ARRIENDOS (BUSES)</t>
  </si>
  <si>
    <t>SEGURO PARVULOS</t>
  </si>
  <si>
    <t>OTROS SERVICIOS GENERALES (LAVANDERIIA)</t>
  </si>
  <si>
    <t>MANT.Y REPAR. OTRAS MAQ. Y EQUIP. (COCINA)</t>
  </si>
  <si>
    <t>OTROS MANTEN. Y REPAR. MENORES (GASFITERIA Y ELECTRICIDAD)</t>
  </si>
  <si>
    <t>PROD.QUIMIC,FARMACEUTICOS IND. (EXTINTORES)</t>
  </si>
  <si>
    <t>A) RESUMEN DE INGRESOS Y EGRESOS</t>
  </si>
  <si>
    <t>B) REAJUSTE DE TARIFAS Y METAS DE OCUPACIÓN POR CENTRO DE BENEFICIO</t>
  </si>
  <si>
    <t>D) COSTOS INDIRECTOS ASISTENCIA EDUCACIONAL</t>
  </si>
  <si>
    <t>E) RESUMEN DE TARIFADO</t>
  </si>
  <si>
    <t>F) REMUNERACIONES DEL PERSONAL CÓDIGO DEL TRABAJO</t>
  </si>
  <si>
    <t>G) COMPARACIÓN TARIFAS CON PRECIOS DE MERCADO</t>
  </si>
  <si>
    <t>H) DETALLE DE DATOS COMPLEMENTARIOS</t>
  </si>
  <si>
    <t>ANEXO A</t>
  </si>
  <si>
    <t>ANEXO B</t>
  </si>
  <si>
    <t>ANEXO C</t>
  </si>
  <si>
    <t>ANEXO D</t>
  </si>
  <si>
    <t>ANEXO E</t>
  </si>
  <si>
    <t>ANEXO F</t>
  </si>
  <si>
    <t>ANEXO G</t>
  </si>
  <si>
    <t>TABLA 9: RESUMEN DISTRIBUCION COSTOS REMUNERACIONES ADMINISTRACION CENTRAL</t>
  </si>
  <si>
    <t>Jardín Infantil Mar y Cielo</t>
  </si>
  <si>
    <t xml:space="preserve">Doble jornada </t>
  </si>
  <si>
    <t>Jornada completa</t>
  </si>
  <si>
    <t>C) ESTIMACION DE COSTOS DIRECTOS</t>
  </si>
  <si>
    <t>BIENMAG</t>
  </si>
  <si>
    <t xml:space="preserve">CARLOS </t>
  </si>
  <si>
    <t>BARRERA</t>
  </si>
  <si>
    <t>ENC. INVENTARIOS</t>
  </si>
  <si>
    <t>MARISOL</t>
  </si>
  <si>
    <t>CHIGUAY</t>
  </si>
  <si>
    <t>ENC. DEUDORES</t>
  </si>
  <si>
    <t>SANDRA</t>
  </si>
  <si>
    <t>MARIO</t>
  </si>
  <si>
    <t>OPERADOR CONTABLE</t>
  </si>
  <si>
    <t>SEBASTIAN</t>
  </si>
  <si>
    <t>MATULICH</t>
  </si>
  <si>
    <t>ADMINISTRATIVO CONTABLE</t>
  </si>
  <si>
    <t xml:space="preserve">ELIZABETH </t>
  </si>
  <si>
    <t>NAVARRO</t>
  </si>
  <si>
    <t>CAJERA</t>
  </si>
  <si>
    <t>MARIA ANGELICA</t>
  </si>
  <si>
    <t>RIVERA</t>
  </si>
  <si>
    <t>TESORERA</t>
  </si>
  <si>
    <t>GABRIELA</t>
  </si>
  <si>
    <t>RUIZ</t>
  </si>
  <si>
    <t xml:space="preserve">ADMINISTRATIVO </t>
  </si>
  <si>
    <t xml:space="preserve">AURELIA </t>
  </si>
  <si>
    <t>ZUÑIGA</t>
  </si>
  <si>
    <t>ENC. PRESUPUESTO</t>
  </si>
  <si>
    <t>CARMEN LUZ</t>
  </si>
  <si>
    <t>OBANDO</t>
  </si>
  <si>
    <t>ENCARGADA RR.HH.</t>
  </si>
  <si>
    <t>Asistencia Jurídica</t>
  </si>
  <si>
    <t>DAFNE</t>
  </si>
  <si>
    <t>MONTENEGRO</t>
  </si>
  <si>
    <t>ABOGADA</t>
  </si>
  <si>
    <t>Asistencia Habitacional / Casas Fiscales</t>
  </si>
  <si>
    <t>SERGIO</t>
  </si>
  <si>
    <t>ESCOBAR</t>
  </si>
  <si>
    <t>ENC. CASAS FISCALES</t>
  </si>
  <si>
    <t>GERALDINE</t>
  </si>
  <si>
    <t>COLLAO</t>
  </si>
  <si>
    <t>SECRETARÍA OBRAS</t>
  </si>
  <si>
    <t>DÌAZ</t>
  </si>
  <si>
    <t>EDUC DE PARVULOS</t>
  </si>
  <si>
    <t>J.I. MAR Y CIELO</t>
  </si>
  <si>
    <t>KAREN (M.MA.)</t>
  </si>
  <si>
    <t>BARRÍA</t>
  </si>
  <si>
    <t>TÉCNICO EN PARV.</t>
  </si>
  <si>
    <t>JENIFER (M.ME.)</t>
  </si>
  <si>
    <t>CHAVEZ</t>
  </si>
  <si>
    <t>NICOLE (M.ME.)</t>
  </si>
  <si>
    <t>SANZANA</t>
  </si>
  <si>
    <t>XIMENA</t>
  </si>
  <si>
    <t>SUAZO</t>
  </si>
  <si>
    <t>AUX. DE ASEO</t>
  </si>
  <si>
    <t>J.I. NIDO AZUL FACH (J.C. C/ ALIM.)</t>
  </si>
  <si>
    <t>J.I. CONÉ EJÉRCITO (J.C. C/ALIM.)</t>
  </si>
  <si>
    <t>PROYECCIÓN  CONSIDERADA:</t>
  </si>
  <si>
    <t>MEDIA JORNADA</t>
  </si>
  <si>
    <t>DOBLE JORNADA</t>
  </si>
  <si>
    <t>COMPLETA C/ALIM.</t>
  </si>
  <si>
    <t>PROYECCIÓN CONSIDERADA POR NIVEL Y JORNADA DE ATENCIÓN</t>
  </si>
  <si>
    <t>JORNADA</t>
  </si>
  <si>
    <t>MEDIO MENOR</t>
  </si>
  <si>
    <t>MEDIO MAYOR</t>
  </si>
  <si>
    <t>PRE KINDER</t>
  </si>
  <si>
    <t>KINDER</t>
  </si>
  <si>
    <t>TOTAL</t>
  </si>
  <si>
    <t>JORNADA COMPLETA</t>
  </si>
  <si>
    <t>1.-</t>
  </si>
  <si>
    <t>2.-</t>
  </si>
  <si>
    <t>SE CONSIDERA ZAPATOS PARA EL PERSONAL DE ASEO, DE ACUERDO A FORMATO SE CLASIFICA EN PERSONAL DE COCINA.</t>
  </si>
  <si>
    <t>MATERIALES PARA MANTENCIÓN Y REPARACIÓN, AQUÍ SE CONSIDERA: $200.000 MATERIALES PARA REPARACIONES FORTUITAS.</t>
  </si>
  <si>
    <t>MATERIALES DE OFICINA CONSIDERA: MATERIAL PARA USO DIRECCIÓN Y EDUCATIVO $250.000+ 1 TERMOLAMINADORA $50.000 Y 1 GUILLOTINA $40.000</t>
  </si>
  <si>
    <t xml:space="preserve">MATERIALES Y UTILES DE ASEO: VALOR 2019 SE AUMENTA UN 10% PPTO FALTO, ADEMÁS SE AGREGA UN 40% MÁS POR AUMENTO NIÑOS JORNADA COMPLETA Y SE REAJUSTA UN 3,4%   </t>
  </si>
  <si>
    <t>PROD. QUÍMICOS/FARMACÉUTICOS:  SE CONSIDERA LA RECARGA DE LOS 4 EXTINTORES DEL JARDÍN.</t>
  </si>
  <si>
    <t>SERVICIO MANTENCIÓN DE JARDINES, SE CONSIDERA MISMO VALOR 2019 REAJUSTADO UN 3,4%</t>
  </si>
  <si>
    <t>OTROS GASTOS E IMPREVISTOS SE CONSIDERA MISMO VALOR 2019 REAJUSTADO UN 3,4%</t>
  </si>
  <si>
    <t>XXX 1 J.C. (PRE KINDER)</t>
  </si>
  <si>
    <t>MARZO A DICIEMBRE</t>
  </si>
  <si>
    <t>PAULA (IVONNE) M.ME.</t>
  </si>
  <si>
    <t>TIA CAMILA (KINDER)</t>
  </si>
  <si>
    <t xml:space="preserve">1/2 DÍA PERM </t>
  </si>
  <si>
    <t>DIRECTORA</t>
  </si>
  <si>
    <t>1ER. SEM</t>
  </si>
  <si>
    <t>PAC GLORIA BARRÍA</t>
  </si>
  <si>
    <t>2DO SEM.</t>
  </si>
  <si>
    <t>EC MILENNA MIRANDA</t>
  </si>
  <si>
    <t>EDUCADORAS</t>
  </si>
  <si>
    <t>TÉCNICOS</t>
  </si>
  <si>
    <t>EP IVONNE CARO (CUPO PAULA DÍAZ)</t>
  </si>
  <si>
    <t>NIVEL INTEGRADO</t>
  </si>
  <si>
    <t>1 J.C.</t>
  </si>
  <si>
    <t>2 J.C.</t>
  </si>
  <si>
    <t>EC CARLA BARRERA SEGUNDO SEMESTRE</t>
  </si>
  <si>
    <t>A)</t>
  </si>
  <si>
    <r>
      <t xml:space="preserve">1 EDUC. J.C. MAR-JUL </t>
    </r>
    <r>
      <rPr>
        <b/>
        <sz val="10"/>
        <color rgb="FFFF0909"/>
        <rFont val="Arial"/>
        <family val="2"/>
      </rPr>
      <t>(**)</t>
    </r>
  </si>
  <si>
    <t>B)</t>
  </si>
  <si>
    <t>MANTENIÉNDOSE ACTUAL DIRECTORA, EL SEGUNDO SEMESTRE TOMARÍAN NIVEL MEDIO MAYOR EC MILENNA MIRANDA Y CARLA BARRERA JUNTAS, APOYADAS DE 1 TÍA TÉCNICO.</t>
  </si>
  <si>
    <t>C)</t>
  </si>
  <si>
    <t>ESCENARIO N°1</t>
  </si>
  <si>
    <t>ESCENARIO N°2</t>
  </si>
  <si>
    <t>EC PAULINA CISTERNAS</t>
  </si>
  <si>
    <t>EDUC. J.C. MAR-JUL</t>
  </si>
  <si>
    <t>EC C. BARRERA Y M. MIRANDA 2DO. SEMESTRE</t>
  </si>
  <si>
    <t>D)</t>
  </si>
  <si>
    <t>CONSIDERACIONES</t>
  </si>
  <si>
    <t>EN AMBOS ESCENARIOS SE CONSIDERA 1 TÉCNICO MÁS CUANDO EL NIVEN MEDIO MENOR SUPERE LOS 25 NIÑOS Y HASTA LOS 32.</t>
  </si>
  <si>
    <t>NIVELES</t>
  </si>
  <si>
    <t>E)</t>
  </si>
  <si>
    <t>3.-</t>
  </si>
  <si>
    <t>4.-</t>
  </si>
  <si>
    <t>5.-</t>
  </si>
  <si>
    <t>6.-</t>
  </si>
  <si>
    <t>7.-</t>
  </si>
  <si>
    <t>8.-</t>
  </si>
  <si>
    <t>9.-</t>
  </si>
  <si>
    <t>14.-</t>
  </si>
  <si>
    <t>15.-</t>
  </si>
  <si>
    <t>16.-</t>
  </si>
  <si>
    <t>17.-</t>
  </si>
  <si>
    <t>18.-</t>
  </si>
  <si>
    <t>19.-</t>
  </si>
  <si>
    <t>20.-</t>
  </si>
  <si>
    <t>21.-</t>
  </si>
  <si>
    <t>22.-</t>
  </si>
  <si>
    <t>23.-</t>
  </si>
  <si>
    <t>24.-</t>
  </si>
  <si>
    <t>25.-</t>
  </si>
  <si>
    <t>26.-</t>
  </si>
  <si>
    <t>1 EDUC. J.C. MAR-JUL</t>
  </si>
  <si>
    <t>PARA EL AÑO 2021  EC MILENNA MIRANDA Y EC CARLA BARRERA PODRÍAN TOMAR LA TITULARIDAD DE SALA A PARTIR DE MARZO.</t>
  </si>
  <si>
    <r>
      <rPr>
        <sz val="9"/>
        <rFont val="Arial"/>
        <family val="2"/>
      </rPr>
      <t>EN CASO QUE DIRECTORA EC PAULINA CISTERNAS CONTINÚE EN LA ZONA NO SE CONTRATARÍA LA EDUCADORA DE PÁRVULOS JORNADA COMPLETA PERIODO MAR-JUL  PARA EL NIVEL INTEGRADO.</t>
    </r>
    <r>
      <rPr>
        <sz val="9"/>
        <color rgb="FFFF0000"/>
        <rFont val="Arial"/>
        <family val="2"/>
      </rPr>
      <t xml:space="preserve"> </t>
    </r>
    <r>
      <rPr>
        <b/>
        <sz val="9"/>
        <color rgb="FFFF0000"/>
        <rFont val="Arial"/>
        <family val="2"/>
      </rPr>
      <t>(**)</t>
    </r>
  </si>
  <si>
    <t>XX 1 REEMPLAZO JC- 5 MESES (MAR-DIC)</t>
  </si>
  <si>
    <t>1 1/2 DÍA</t>
  </si>
  <si>
    <t>AUMENTO DE CONSUMOS BÁSICOS (agua, luz y gas) UN 20% MÁS REAJUSTE POR NUEVA JORNADA DE ATENCIÓN.</t>
  </si>
  <si>
    <t>,</t>
  </si>
  <si>
    <t>SE CONSIDERAN 3 JORNADAS DE ATENCIÓN: MEDIA JORNADA, DOBLE JORNADA Y JORNADA COMPLETA.</t>
  </si>
  <si>
    <t>VESTUARIO CONSIDERA CHAQUETA CORPORATIVA POR EL CLIMA PARA: DIRECTORA, EDUCADORAS, TÉCNICOS Y AUXILIAR SERVICIOS, TOTAL 10</t>
  </si>
  <si>
    <t>OTROS SERVICIOS GENERALES; SERVICIOS DE FUMIGACIÓN Y DESRATIZACIÓN MISMO VALOR 2019 REAJUSTADO.</t>
  </si>
  <si>
    <t>CONSIDERACIONES A PROYECCIÓN DE INGRESOS Y COSTOS:</t>
  </si>
  <si>
    <t xml:space="preserve">EQUIPOS MENORES "EQUIPAMIENTO" CONSIDERA: EQUIPO DE MÚSICA PARA APOYO ACTIVIDADES JARDIN INFANTIL $300.000 + 1 ASPIRADORA $90.000 </t>
  </si>
  <si>
    <t>PASAJE, FLETE, BODEGAJE: 2 REUNIONES DE DIRECTORAS AL AÑO.PASAJES IDA Y VUELTA. CONSIDERA PASAJES $400.000 CADA VIAJE.</t>
  </si>
  <si>
    <t>FONDO PARA INDEMNIZACIÓN UN 1% DEL TOTAL DE GASTO EN REMUNERACIÓN.</t>
  </si>
  <si>
    <t>ALIMENTACIÓN PARA EL PERSONAL: VALOR MEDIA RACIÓN ARMADA AÑO 2019 $2.240, SE REAJUSTA UN 3,4% PARA EL AÑO 2020…. $2.316.-</t>
  </si>
  <si>
    <t>EQUIPOS COMPUTACIONALES CONSIDERA: $400.000 RENOVACIÓN COMPUTADOR DIRECCIÓN Y $150.000 MONITOR TV CÁMARAS DE VIGILANCIA.</t>
  </si>
  <si>
    <t>MOBILIARIO CONSIDERA: 3 SILLAS DE ESCRITORIO ERGONOMICAS</t>
  </si>
  <si>
    <t>10.-</t>
  </si>
  <si>
    <t>11.-</t>
  </si>
  <si>
    <t>12.-</t>
  </si>
  <si>
    <t>13.-</t>
  </si>
  <si>
    <t xml:space="preserve">APORTE INSTITUCIONAL AÑO 2019 $34.000.000 AFL, NO SE PUEDEN OCUPAR PARA PAGAR REMUNERACIONES, VIENE EN ITEMS: MATERIALES DE OFICINA, MATERIALES Y UTILES DE ASEO, INSUMOS RESPUESTOS Y ACCESORIOS COMPUTACIONALES, ELECTRICIDAD Y GASTOS MENORES. SE REFLEJÓ DENTRO DE LOS COSTOS INDIRECTOS EN ITEM OTRAS REMUNERACIONES. </t>
  </si>
  <si>
    <t>27.-</t>
  </si>
  <si>
    <t>COSTOS INDIRECTOS:</t>
  </si>
  <si>
    <t xml:space="preserve">AUMENTO CUOTA DE PADRES CONSIDERADA AUMENTO DE $2.000 MENSUAL A $2.500, MONTO ANUAL POR NIÑOS AÑO 2020 $25.000.- </t>
  </si>
  <si>
    <t>PROYECCIÓN DE NIÑOS AÑO 2020 = 84 NIÑOS.</t>
  </si>
  <si>
    <t>SEGURO DE PÁRVULOS: AUN NO ESTA VALOR LICITACION 2020, SE USA VALOR 2019 REAJUSTADO 3,4% / UF 31 AGOSTO 27.993 /0,26% … $7.526.- POR NIÑO.</t>
  </si>
  <si>
    <t>SERVICIOS DE IMPRESIÓN CONSIDERA: ARRIENDO IMPRESORA DIMACOFI GASTO AUMENTADO UN 20%</t>
  </si>
  <si>
    <t>CURSOS DE CAPACITACIÓN $850.000, SE GESTIONARÁN CAPACITACIONES CON ORGANISMOS COMO SECREDUC, IST, CAJA DE COMPENSACIÓN, ETC.</t>
  </si>
  <si>
    <t>COMISIONES DE SERVICIO, VIÁTICO DIRECTORA POR LOS 2 VIAJES A LAS REUNIONES DE LA ASISTENCIA EDUCACIONAL ORGANIZADAS POR DIREBIEN.</t>
  </si>
  <si>
    <t>28.-</t>
  </si>
  <si>
    <r>
      <t xml:space="preserve">PLANILLA CONSIDERA ESCENARIO N°1. </t>
    </r>
    <r>
      <rPr>
        <b/>
        <sz val="10"/>
        <color rgb="FFFF0909"/>
        <rFont val="Arial"/>
        <family val="2"/>
      </rPr>
      <t>(Peor Escenario)</t>
    </r>
  </si>
  <si>
    <r>
      <t xml:space="preserve">SE MANTENDRÍA NIVEL INTEGRADO PARA PRE KINDER Y KINDER, A CARGO DE 1 EDUCADORA Y 1 TÍA TÉCNICO NIVEL PRE KINDER Y 1 TÍA 1/2 DÍA PARA KINDER. </t>
    </r>
    <r>
      <rPr>
        <sz val="9"/>
        <color rgb="FFFF0000"/>
        <rFont val="Arial"/>
        <family val="2"/>
      </rPr>
      <t xml:space="preserve"> </t>
    </r>
  </si>
  <si>
    <r>
      <t xml:space="preserve">DOTACIÓN CONSIDERADA EN UN ESCENARIO NEGATIVO SIN DIRECTORA EMPLEADA CIVIL. </t>
    </r>
    <r>
      <rPr>
        <sz val="9"/>
        <color rgb="FFFF0000"/>
        <rFont val="Arial"/>
        <family val="2"/>
      </rPr>
      <t>ESTO SE MODIFICA</t>
    </r>
  </si>
  <si>
    <t>aporte institucional</t>
  </si>
  <si>
    <t>apoyo de vida</t>
  </si>
  <si>
    <t>remuneraciones</t>
  </si>
  <si>
    <t>total</t>
  </si>
  <si>
    <t>Cap máxima</t>
  </si>
  <si>
    <t>Proy. Ocupación</t>
  </si>
  <si>
    <t>% Ocupación</t>
  </si>
  <si>
    <t>JC</t>
  </si>
  <si>
    <t>MJ</t>
  </si>
  <si>
    <t>3 (6 MESES)</t>
  </si>
  <si>
    <t>TECNICOS</t>
  </si>
  <si>
    <t>AUX ASEO</t>
  </si>
  <si>
    <t>MEDIA</t>
  </si>
  <si>
    <t>COMPLETA</t>
  </si>
  <si>
    <r>
      <t>SEGURO DE INMUEBLES: AUN NO ESTA VALOR LICITACION 2020, SE USA VALOR 2019 REAJUSTADO 3,4% / $1.549.590 *3,4% ….$1.602.276.-</t>
    </r>
    <r>
      <rPr>
        <sz val="9"/>
        <color rgb="FF92D050"/>
        <rFont val="Arial"/>
        <family val="2"/>
      </rPr>
      <t>VERIFICARLO CON RODRIGO, AUN NO HAY INFORMACION OFICIAL DISPONIBLE.</t>
    </r>
  </si>
  <si>
    <r>
      <t xml:space="preserve">TEXTOS Y OTROS MATERIALES DE ENSEÑANZA: ESTE ITEM CONSIDERA UNA PARTE DEL </t>
    </r>
    <r>
      <rPr>
        <b/>
        <i/>
        <sz val="9"/>
        <color rgb="FFFF0000"/>
        <rFont val="Arial"/>
        <family val="2"/>
      </rPr>
      <t>MATERIAL DIDACTICO</t>
    </r>
    <r>
      <rPr>
        <sz val="9"/>
        <color rgb="FFFF0000"/>
        <rFont val="Arial"/>
        <family val="2"/>
      </rPr>
      <t xml:space="preserve"> . OBSERVADO POR SECREDUC $4.000.000.- </t>
    </r>
    <r>
      <rPr>
        <sz val="9"/>
        <color rgb="FF92D050"/>
        <rFont val="Arial"/>
        <family val="2"/>
      </rPr>
      <t>SE MANTIENEN LOS $4.000.000 PARA SER GASTADOS DURANTE EL AÑO, NO DE UNA SOLA VEZ</t>
    </r>
  </si>
  <si>
    <r>
      <t xml:space="preserve">ARRIENDO DE BUSES DEBE ELIMINARSE POR QUE ESTA LA CUOTA DE PADRES. </t>
    </r>
    <r>
      <rPr>
        <sz val="10"/>
        <color rgb="FF92D050"/>
        <rFont val="Arial"/>
        <family val="2"/>
      </rPr>
      <t>GASTO FUE ELIMINADO.</t>
    </r>
  </si>
  <si>
    <r>
      <t xml:space="preserve">ELIMINE LA EDUC PARV YA QUE PAULINA SE QUEDA. VERIFICAR SI ESTA CORRECTO. </t>
    </r>
    <r>
      <rPr>
        <sz val="10"/>
        <color rgb="FF92D050"/>
        <rFont val="Arial"/>
        <family val="2"/>
      </rPr>
      <t>FALTA CONSIDERAR UNA EDUCADORA DE PARV. PARA EL NIVEL MEDIO MENOR YA QUE ES EL CUPO DE FP QUE EL JARDIN SIEMPRE HA TENIDO, CUPO QUE NO TIENEN NADA QUE VER CON EL REEEMPLAZO DE CARLA Y MILENNA..... Y ESTO EN EL ESCENARIO QUE YO CONTINUE EN PARENAS, LO QUE AUN NO ES OFICIAL Y PODRIA CAMBIAR EL ESCENARIO Nº 2 QUE ESTA EXPLICADO EN ESTA MISMA HOJA ARRIBA EN AMARILLO.</t>
    </r>
  </si>
  <si>
    <r>
      <t xml:space="preserve">SEGÚN ENTIENDO LA RACION ARMADA NO SUBE EL REAJUSTE,, POR FAVOR VERIFICAR. </t>
    </r>
    <r>
      <rPr>
        <sz val="10"/>
        <color rgb="FF92D050"/>
        <rFont val="Arial"/>
        <family val="2"/>
      </rPr>
      <t>POR INFORMACION ENTREGADA DE FINANZAS LA RACIÓN ARMADA LA ENTREGA LA DABA EN EL MES DE ENERO DE CADA AÑO, POR ESO SE TOMÓ COMO REFERENCIA EL VALOR 2019 Y SE REAJUSTÓ EN UN 3,4%.</t>
    </r>
  </si>
  <si>
    <r>
      <t xml:space="preserve">VERIFICAR CANTIDAD DE PERSONAL FFPP PARA ALIMENTACION. ENTIENDO QUE SERIAN 8 PARA AÑO 2020. Y 2 SOLO MEDIO AÑO. </t>
    </r>
    <r>
      <rPr>
        <sz val="10"/>
        <color rgb="FF92D050"/>
        <rFont val="Arial"/>
        <family val="2"/>
      </rPr>
      <t>SE ADJUNTA TABLA CON RESUMEN DOTACION 2020, 10 JORNADA COMPLETA Y 1 MEDIA JORNADA, 2 DEL AS 10 SON E.C. POR LO TANTO SE CONSIDERAN 8 PARA EL ALMUERZO.</t>
    </r>
  </si>
  <si>
    <r>
      <t>EL JI NO TIENE ALARMA???? NO HAY GASTOS CARGADO??</t>
    </r>
    <r>
      <rPr>
        <sz val="10"/>
        <color rgb="FF92D050"/>
        <rFont val="Arial"/>
        <family val="2"/>
      </rPr>
      <t xml:space="preserve"> EL JARDIN CUENTA CON ALARMA PERO NO CON EMPRESA CONTRATADA POR ESO NO HAY GASTO CARGADO.</t>
    </r>
  </si>
  <si>
    <r>
      <t xml:space="preserve">SI HAY CUOTA DE PADRES HAYQ UE ELIMINAR OTROS GASTOS. </t>
    </r>
    <r>
      <rPr>
        <sz val="10"/>
        <color rgb="FF92D050"/>
        <rFont val="Arial"/>
        <family val="2"/>
      </rPr>
      <t>EL UNICO GASTO QUE SE ELIMINA ES EL BUS, TODO LO DEMAS ESTA CONSIDERADO EN LA CUOTA DE PADRES.</t>
    </r>
  </si>
  <si>
    <r>
      <t xml:space="preserve">REMUNERACIONES SERAN AJUSTADAS A UN 2,8%. PARA TODOS LOS DEPTOS Y DELEG . ESO LO HACEMOS NOSOTROS. </t>
    </r>
    <r>
      <rPr>
        <sz val="10"/>
        <color rgb="FF92D050"/>
        <rFont val="Arial"/>
        <family val="2"/>
      </rPr>
      <t>OKEY</t>
    </r>
  </si>
  <si>
    <t xml:space="preserve">REEMP E.C. </t>
  </si>
  <si>
    <t>se disminuye a 2M material didactico</t>
  </si>
  <si>
    <t>se reduce a 21 dias promedio mensual para alimentación.</t>
  </si>
  <si>
    <t>se reduce alimentacion de reemplzao por 7 meses</t>
  </si>
  <si>
    <r>
      <t xml:space="preserve">MANTENCIÓN Y REPARACIONES MOBILIARIO Y OTROS $8.500.000, CONSIDERA MANTENCIÓN GENERAL DEL JARDÍN MÁS LOS ARTEFACTOS A GAS. </t>
    </r>
    <r>
      <rPr>
        <sz val="9"/>
        <color rgb="FF92D050"/>
        <rFont val="Arial"/>
        <family val="2"/>
      </rPr>
      <t>LA MANTENCION DE ARTEFACTOS A GAS ES UN GASTO ANUAL Y ESTA CONSIDERADO DENTRO DEL PLAN DE MANTENCIÓN GENERAL EL JARDIN QUE SE ADJUNTA. ESTO NO GUARDA RELACIÓN CON EL PROYECTO DE JORNADA COMPLETA 2020. sSE REDUCE EN 4m</t>
    </r>
  </si>
  <si>
    <t>SIMULACION</t>
  </si>
  <si>
    <t>base</t>
  </si>
  <si>
    <t>valor 2020</t>
  </si>
  <si>
    <t>DIFERENCIA</t>
  </si>
  <si>
    <t>cotso operación</t>
  </si>
  <si>
    <t>variacion por cada  punto %</t>
  </si>
  <si>
    <t xml:space="preserve">remuneraciones </t>
  </si>
  <si>
    <t>costo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</si>
</sst>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 &quot;$&quot;* #,##0_ ;_ &quot;$&quot;* \-#,##0_ ;_ &quot;$&quot;* &quot;-&quot;_ ;_ @_ "/>
    <numFmt numFmtId="164" formatCode="_-* #,##0.00\ &quot;€&quot;_-;\-* #,##0.00\ &quot;€&quot;_-;_-* &quot;-&quot;??\ &quot;€&quot;_-;_-@_-"/>
    <numFmt numFmtId="165" formatCode="_-\$* #,##0.00_-;&quot;-$&quot;* #,##0.00_-;_-\$* \-??_-;_-@_-"/>
    <numFmt numFmtId="166" formatCode="\$#,##0_);&quot;($&quot;#,##0\)"/>
    <numFmt numFmtId="167" formatCode="_-&quot;$ &quot;* #,##0_-;&quot;-$ &quot;* #,##0_-;_-&quot;$ &quot;* \-_-;_-@_-"/>
    <numFmt numFmtId="168" formatCode="0\ %"/>
    <numFmt numFmtId="169" formatCode="0.0%"/>
    <numFmt numFmtId="170" formatCode="#,##0_ ;[Red]\-#,##0\ "/>
    <numFmt numFmtId="171" formatCode="_-* #,##0.00_-;\-* #,##0.00_-;_-* \-??_-;_-@_-"/>
    <numFmt numFmtId="172" formatCode="_-\ * #,##0_-;&quot;$ &quot;* #,##0_-;_-\ * \-_-;_-@_-"/>
    <numFmt numFmtId="173" formatCode="_-* #,##0.0_-;\-* #,##0.0_-;_-* \-??_-;_-@_-"/>
    <numFmt numFmtId="174" formatCode="_(* #,##0_);_(* \(#,##0\);_(* \-_);_(@_)"/>
    <numFmt numFmtId="175" formatCode="_-* #,##0_-;\-* #,##0_-;_-* \-??_-;_-@_-"/>
    <numFmt numFmtId="176" formatCode="&quot;$&quot;\ #,##0"/>
    <numFmt numFmtId="177" formatCode="_-&quot;$&quot;* #,##0_-;\-&quot;$&quot;* #,##0_-;_-&quot;$&quot;* &quot;-&quot;??_-;_-@_-"/>
    <numFmt numFmtId="178" formatCode="#,##0_ ;\-#,##0\ "/>
    <numFmt numFmtId="179" formatCode="0.00\ %"/>
    <numFmt numFmtId="180" formatCode="_-\$* #,##0_-;&quot;-$&quot;* #,##0_-;_-\$* \-??_-;_-@_-"/>
    <numFmt numFmtId="181" formatCode="_-[$$-340A]\ * #,##0_-;\-[$$-340A]\ * #,##0_-;_-[$$-340A]\ * &quot;-&quot;??_-;_-@_-"/>
    <numFmt numFmtId="182" formatCode="_-[$€]* #,##0.00_-;\-[$€]* #,##0.00_-;_-[$€]* &quot;-&quot;??_-;_-@_-"/>
    <numFmt numFmtId="183" formatCode="_-[$€-2]\ * #,##0.00_-;\-[$€-2]\ * #,##0.00_-;_-[$€-2]\ * &quot;-&quot;??_-"/>
  </numFmts>
  <fonts count="52" x14ac:knownFonts="1">
    <font>
      <sz val="10"/>
      <name val="Arial"/>
      <family val="2"/>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b/>
      <sz val="10"/>
      <color indexed="9"/>
      <name val="Arial"/>
      <family val="2"/>
    </font>
    <font>
      <b/>
      <sz val="10"/>
      <color indexed="8"/>
      <name val="Arial"/>
      <family val="2"/>
    </font>
    <font>
      <sz val="10"/>
      <color indexed="9"/>
      <name val="Arial"/>
      <family val="2"/>
    </font>
    <font>
      <b/>
      <sz val="10"/>
      <name val="Arial"/>
      <family val="2"/>
    </font>
    <font>
      <sz val="10"/>
      <name val="Arial"/>
      <family val="2"/>
    </font>
    <font>
      <b/>
      <sz val="10"/>
      <color theme="1"/>
      <name val="Arial"/>
      <family val="2"/>
    </font>
    <font>
      <b/>
      <sz val="10"/>
      <color indexed="10"/>
      <name val="Arial"/>
      <family val="2"/>
    </font>
    <font>
      <b/>
      <sz val="10"/>
      <color indexed="40"/>
      <name val="Arial"/>
      <family val="2"/>
    </font>
    <font>
      <b/>
      <sz val="10"/>
      <color theme="0"/>
      <name val="Arial"/>
      <family val="2"/>
    </font>
    <font>
      <sz val="10"/>
      <color indexed="8"/>
      <name val="Arial"/>
      <family val="2"/>
    </font>
    <font>
      <sz val="10"/>
      <color theme="0"/>
      <name val="Arial"/>
      <family val="2"/>
    </font>
    <font>
      <b/>
      <u/>
      <sz val="10"/>
      <name val="Arial"/>
      <family val="2"/>
    </font>
    <font>
      <u/>
      <sz val="10"/>
      <color theme="10"/>
      <name val="Arial"/>
      <family val="2"/>
    </font>
    <font>
      <b/>
      <sz val="11"/>
      <name val="Arial"/>
      <family val="2"/>
    </font>
    <font>
      <b/>
      <sz val="12"/>
      <name val="Arial"/>
      <family val="2"/>
    </font>
    <font>
      <b/>
      <sz val="12"/>
      <color theme="0"/>
      <name val="Arial"/>
      <family val="2"/>
    </font>
    <font>
      <b/>
      <u/>
      <sz val="12"/>
      <color rgb="FF0000CC"/>
      <name val="Arial"/>
      <family val="2"/>
    </font>
    <font>
      <b/>
      <sz val="16"/>
      <name val="Arial"/>
      <family val="2"/>
    </font>
    <font>
      <sz val="9"/>
      <color indexed="81"/>
      <name val="Tahoma"/>
      <family val="2"/>
    </font>
    <font>
      <b/>
      <sz val="9"/>
      <color indexed="81"/>
      <name val="Tahoma"/>
      <family val="2"/>
    </font>
    <font>
      <b/>
      <sz val="10"/>
      <color rgb="FF000099"/>
      <name val="Arial"/>
      <family val="2"/>
    </font>
    <font>
      <b/>
      <sz val="10"/>
      <color rgb="FFFF0000"/>
      <name val="Arial"/>
      <family val="2"/>
    </font>
    <font>
      <sz val="10"/>
      <color rgb="FFFF0000"/>
      <name val="Arial"/>
      <family val="2"/>
    </font>
    <font>
      <sz val="10"/>
      <color theme="1"/>
      <name val="Arial"/>
      <family val="2"/>
    </font>
    <font>
      <sz val="11"/>
      <color indexed="8"/>
      <name val="Calibri"/>
      <family val="2"/>
    </font>
    <font>
      <sz val="10"/>
      <name val="Verdana"/>
      <family val="2"/>
    </font>
    <font>
      <b/>
      <sz val="9"/>
      <name val="Arial"/>
      <family val="2"/>
    </font>
    <font>
      <b/>
      <u/>
      <sz val="10"/>
      <color rgb="FFFF0000"/>
      <name val="Arial"/>
      <family val="2"/>
    </font>
    <font>
      <sz val="10"/>
      <color rgb="FFFF00FF"/>
      <name val="Arial"/>
      <family val="2"/>
    </font>
    <font>
      <sz val="10"/>
      <color rgb="FF0000CC"/>
      <name val="Arial"/>
      <family val="2"/>
    </font>
    <font>
      <b/>
      <sz val="10"/>
      <color rgb="FFFF0909"/>
      <name val="Arial"/>
      <family val="2"/>
    </font>
    <font>
      <sz val="9"/>
      <color rgb="FFFF0000"/>
      <name val="Arial"/>
      <family val="2"/>
    </font>
    <font>
      <sz val="9"/>
      <name val="Arial"/>
      <family val="2"/>
    </font>
    <font>
      <b/>
      <sz val="9"/>
      <color rgb="FFFF0000"/>
      <name val="Arial"/>
      <family val="2"/>
    </font>
    <font>
      <b/>
      <sz val="12"/>
      <color rgb="FFFF0000"/>
      <name val="Arial"/>
      <family val="2"/>
    </font>
    <font>
      <b/>
      <u/>
      <sz val="12"/>
      <name val="Arial"/>
      <family val="2"/>
    </font>
    <font>
      <b/>
      <u/>
      <sz val="9"/>
      <name val="Arial"/>
      <family val="2"/>
    </font>
    <font>
      <sz val="9"/>
      <color rgb="FFFF00FF"/>
      <name val="Arial"/>
      <family val="2"/>
    </font>
    <font>
      <b/>
      <sz val="9"/>
      <color rgb="FF0000CC"/>
      <name val="Arial"/>
      <family val="2"/>
    </font>
    <font>
      <sz val="10"/>
      <color rgb="FF00A249"/>
      <name val="Arial"/>
      <family val="2"/>
    </font>
    <font>
      <b/>
      <i/>
      <sz val="9"/>
      <color rgb="FFFF0000"/>
      <name val="Arial"/>
      <family val="2"/>
    </font>
    <font>
      <sz val="9"/>
      <color rgb="FF92D050"/>
      <name val="Arial"/>
      <family val="2"/>
    </font>
    <font>
      <sz val="10"/>
      <color rgb="FF92D050"/>
      <name val="Arial"/>
      <family val="2"/>
    </font>
  </fonts>
  <fills count="55">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gray125">
        <bgColor indexed="9"/>
      </patternFill>
    </fill>
    <fill>
      <patternFill patternType="solid">
        <fgColor rgb="FFFFFFFF"/>
        <bgColor indexed="64"/>
      </patternFill>
    </fill>
    <fill>
      <patternFill patternType="solid">
        <fgColor rgb="FFFFFF00"/>
        <bgColor indexed="64"/>
      </patternFill>
    </fill>
    <fill>
      <patternFill patternType="solid">
        <fgColor rgb="FFFFFF00"/>
        <bgColor indexed="26"/>
      </patternFill>
    </fill>
    <fill>
      <patternFill patternType="solid">
        <fgColor theme="3" tint="0.39997558519241921"/>
        <bgColor indexed="64"/>
      </patternFill>
    </fill>
    <fill>
      <patternFill patternType="solid">
        <fgColor theme="0" tint="-0.249977111117893"/>
        <bgColor indexed="26"/>
      </patternFill>
    </fill>
    <fill>
      <patternFill patternType="solid">
        <fgColor theme="0" tint="-0.249977111117893"/>
        <bgColor indexed="64"/>
      </patternFill>
    </fill>
    <fill>
      <patternFill patternType="solid">
        <fgColor theme="0" tint="-0.249977111117893"/>
        <bgColor indexed="24"/>
      </patternFill>
    </fill>
    <fill>
      <patternFill patternType="solid">
        <fgColor theme="0" tint="-0.249977111117893"/>
        <bgColor indexed="44"/>
      </patternFill>
    </fill>
    <fill>
      <patternFill patternType="solid">
        <fgColor theme="5" tint="0.79998168889431442"/>
        <bgColor indexed="64"/>
      </patternFill>
    </fill>
    <fill>
      <patternFill patternType="solid">
        <fgColor theme="5" tint="0.79998168889431442"/>
        <bgColor indexed="24"/>
      </patternFill>
    </fill>
    <fill>
      <patternFill patternType="solid">
        <fgColor theme="5" tint="0.39997558519241921"/>
        <bgColor indexed="24"/>
      </patternFill>
    </fill>
    <fill>
      <patternFill patternType="gray125">
        <fgColor auto="1"/>
        <bgColor theme="5" tint="0.79998168889431442"/>
      </patternFill>
    </fill>
    <fill>
      <patternFill patternType="solid">
        <fgColor theme="5" tint="0.39997558519241921"/>
        <bgColor indexed="40"/>
      </patternFill>
    </fill>
    <fill>
      <patternFill patternType="gray125">
        <fgColor auto="1"/>
        <bgColor theme="5" tint="0.39997558519241921"/>
      </patternFill>
    </fill>
    <fill>
      <patternFill patternType="solid">
        <fgColor rgb="FFC00000"/>
        <bgColor indexed="26"/>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39997558519241921"/>
        <bgColor indexed="24"/>
      </patternFill>
    </fill>
    <fill>
      <patternFill patternType="solid">
        <fgColor theme="3" tint="0.39997558519241921"/>
        <bgColor indexed="44"/>
      </patternFill>
    </fill>
    <fill>
      <patternFill patternType="gray125">
        <fgColor auto="1"/>
        <bgColor theme="3" tint="0.39997558519241921"/>
      </patternFill>
    </fill>
    <fill>
      <patternFill patternType="solid">
        <fgColor theme="3" tint="-0.249977111117893"/>
        <bgColor indexed="24"/>
      </patternFill>
    </fill>
    <fill>
      <patternFill patternType="solid">
        <fgColor theme="3" tint="0.39997558519241921"/>
        <bgColor indexed="26"/>
      </patternFill>
    </fill>
    <fill>
      <patternFill patternType="solid">
        <fgColor theme="3" tint="-0.249977111117893"/>
        <bgColor indexed="26"/>
      </patternFill>
    </fill>
    <fill>
      <patternFill patternType="solid">
        <fgColor theme="0" tint="-0.14999847407452621"/>
        <bgColor indexed="64"/>
      </patternFill>
    </fill>
    <fill>
      <patternFill patternType="solid">
        <fgColor theme="2"/>
        <bgColor indexed="64"/>
      </patternFill>
    </fill>
    <fill>
      <patternFill patternType="solid">
        <fgColor rgb="FF69D8FF"/>
        <bgColor indexed="24"/>
      </patternFill>
    </fill>
    <fill>
      <patternFill patternType="solid">
        <fgColor theme="4" tint="0.59999389629810485"/>
        <bgColor indexed="24"/>
      </patternFill>
    </fill>
    <fill>
      <patternFill patternType="solid">
        <fgColor theme="5" tint="0.39997558519241921"/>
        <bgColor auto="1"/>
      </patternFill>
    </fill>
    <fill>
      <patternFill patternType="solid">
        <fgColor theme="5" tint="0.79998168889431442"/>
        <bgColor auto="1"/>
      </patternFill>
    </fill>
    <fill>
      <patternFill patternType="solid">
        <fgColor theme="0" tint="-0.34998626667073579"/>
        <bgColor indexed="64"/>
      </patternFill>
    </fill>
    <fill>
      <patternFill patternType="solid">
        <fgColor theme="0"/>
        <bgColor indexed="64"/>
      </patternFill>
    </fill>
    <fill>
      <patternFill patternType="solid">
        <fgColor rgb="FFFFFF00"/>
        <bgColor indexed="2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gray125">
        <bgColor theme="4" tint="0.59999389629810485"/>
      </patternFill>
    </fill>
    <fill>
      <patternFill patternType="gray125">
        <bgColor theme="0" tint="-0.14999847407452621"/>
      </patternFill>
    </fill>
    <fill>
      <patternFill patternType="solid">
        <fgColor rgb="FFFFC000"/>
        <bgColor indexed="64"/>
      </patternFill>
    </fill>
    <fill>
      <patternFill patternType="solid">
        <fgColor rgb="FFFFFF66"/>
        <bgColor indexed="64"/>
      </patternFill>
    </fill>
    <fill>
      <patternFill patternType="solid">
        <fgColor rgb="FFCCFFCC"/>
        <bgColor indexed="64"/>
      </patternFill>
    </fill>
    <fill>
      <patternFill patternType="solid">
        <fgColor rgb="FF69D8FF"/>
        <bgColor indexed="64"/>
      </patternFill>
    </fill>
  </fills>
  <borders count="276">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rgb="FF0070C0"/>
      </left>
      <right style="thin">
        <color rgb="FF0070C0"/>
      </right>
      <top/>
      <bottom style="thin">
        <color rgb="FF0070C0"/>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top/>
      <bottom style="thin">
        <color indexed="8"/>
      </bottom>
      <diagonal/>
    </border>
    <border>
      <left/>
      <right/>
      <top/>
      <bottom style="thin">
        <color auto="1"/>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right style="thin">
        <color indexed="64"/>
      </right>
      <top style="thin">
        <color indexed="64"/>
      </top>
      <bottom/>
      <diagonal/>
    </border>
    <border>
      <left/>
      <right/>
      <top style="medium">
        <color indexed="8"/>
      </top>
      <bottom style="thin">
        <color indexed="8"/>
      </bottom>
      <diagonal/>
    </border>
    <border>
      <left/>
      <right style="medium">
        <color auto="1"/>
      </right>
      <top style="medium">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style="medium">
        <color auto="1"/>
      </left>
      <right style="thin">
        <color indexed="8"/>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thin">
        <color indexed="8"/>
      </top>
      <bottom/>
      <diagonal/>
    </border>
    <border>
      <left/>
      <right style="thin">
        <color auto="1"/>
      </right>
      <top style="thin">
        <color auto="1"/>
      </top>
      <bottom/>
      <diagonal/>
    </border>
    <border>
      <left/>
      <right style="thin">
        <color auto="1"/>
      </right>
      <top/>
      <bottom/>
      <diagonal/>
    </border>
    <border>
      <left style="thin">
        <color auto="1"/>
      </left>
      <right style="medium">
        <color indexed="8"/>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style="thin">
        <color indexed="8"/>
      </left>
      <right/>
      <top style="thin">
        <color indexed="8"/>
      </top>
      <bottom style="thin">
        <color indexed="8"/>
      </bottom>
      <diagonal/>
    </border>
    <border>
      <left style="thin">
        <color indexed="8"/>
      </left>
      <right/>
      <top/>
      <bottom/>
      <diagonal/>
    </border>
    <border>
      <left/>
      <right style="medium">
        <color indexed="64"/>
      </right>
      <top style="thin">
        <color auto="1"/>
      </top>
      <bottom/>
      <diagonal/>
    </border>
    <border>
      <left/>
      <right style="thin">
        <color indexed="64"/>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indexed="64"/>
      </left>
      <right/>
      <top/>
      <bottom/>
      <diagonal/>
    </border>
    <border>
      <left/>
      <right style="thin">
        <color indexed="64"/>
      </right>
      <top/>
      <bottom/>
      <diagonal/>
    </border>
    <border>
      <left style="thin">
        <color auto="1"/>
      </left>
      <right style="thin">
        <color auto="1"/>
      </right>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medium">
        <color auto="1"/>
      </left>
      <right style="thin">
        <color auto="1"/>
      </right>
      <top style="thin">
        <color auto="1"/>
      </top>
      <bottom/>
      <diagonal/>
    </border>
    <border>
      <left style="medium">
        <color indexed="64"/>
      </left>
      <right style="thin">
        <color indexed="8"/>
      </right>
      <top style="thin">
        <color indexed="8"/>
      </top>
      <bottom/>
      <diagonal/>
    </border>
    <border>
      <left style="medium">
        <color indexed="8"/>
      </left>
      <right style="thin">
        <color indexed="8"/>
      </right>
      <top style="thin">
        <color indexed="8"/>
      </top>
      <bottom/>
      <diagonal/>
    </border>
    <border>
      <left style="thin">
        <color auto="1"/>
      </left>
      <right style="medium">
        <color indexed="8"/>
      </right>
      <top style="thin">
        <color auto="1"/>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style="thin">
        <color indexed="8"/>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medium">
        <color indexed="8"/>
      </right>
      <top style="medium">
        <color indexed="8"/>
      </top>
      <bottom/>
      <diagonal/>
    </border>
    <border>
      <left/>
      <right style="medium">
        <color indexed="64"/>
      </right>
      <top/>
      <bottom style="medium">
        <color indexed="64"/>
      </bottom>
      <diagonal/>
    </border>
    <border>
      <left style="thin">
        <color indexed="8"/>
      </left>
      <right/>
      <top/>
      <bottom/>
      <diagonal/>
    </border>
    <border>
      <left/>
      <right style="thin">
        <color indexed="8"/>
      </right>
      <top/>
      <bottom/>
      <diagonal/>
    </border>
    <border>
      <left/>
      <right style="thin">
        <color indexed="8"/>
      </right>
      <top style="medium">
        <color indexed="8"/>
      </top>
      <bottom/>
      <diagonal/>
    </border>
    <border>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thin">
        <color indexed="64"/>
      </left>
      <right/>
      <top style="thin">
        <color indexed="64"/>
      </top>
      <bottom style="medium">
        <color indexed="64"/>
      </bottom>
      <diagonal/>
    </border>
    <border>
      <left style="thin">
        <color indexed="8"/>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diagonal/>
    </border>
    <border>
      <left style="thin">
        <color auto="1"/>
      </left>
      <right/>
      <top/>
      <bottom style="thin">
        <color auto="1"/>
      </bottom>
      <diagonal/>
    </border>
    <border>
      <left style="medium">
        <color auto="1"/>
      </left>
      <right/>
      <top/>
      <bottom/>
      <diagonal/>
    </border>
    <border>
      <left style="medium">
        <color auto="1"/>
      </left>
      <right/>
      <top/>
      <bottom style="medium">
        <color indexed="64"/>
      </bottom>
      <diagonal/>
    </border>
    <border>
      <left style="medium">
        <color indexed="64"/>
      </left>
      <right style="medium">
        <color indexed="64"/>
      </right>
      <top style="medium">
        <color indexed="64"/>
      </top>
      <bottom/>
      <diagonal/>
    </border>
    <border>
      <left/>
      <right/>
      <top style="medium">
        <color auto="1"/>
      </top>
      <bottom style="thin">
        <color auto="1"/>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right/>
      <top/>
      <bottom style="medium">
        <color auto="1"/>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8"/>
      </right>
      <top style="medium">
        <color auto="1"/>
      </top>
      <bottom style="thin">
        <color auto="1"/>
      </bottom>
      <diagonal/>
    </border>
    <border>
      <left/>
      <right style="medium">
        <color indexed="8"/>
      </right>
      <top style="thin">
        <color auto="1"/>
      </top>
      <bottom/>
      <diagonal/>
    </border>
    <border>
      <left style="medium">
        <color auto="1"/>
      </left>
      <right style="thin">
        <color auto="1"/>
      </right>
      <top/>
      <bottom/>
      <diagonal/>
    </border>
    <border>
      <left style="thin">
        <color auto="1"/>
      </left>
      <right/>
      <top style="medium">
        <color auto="1"/>
      </top>
      <bottom/>
      <diagonal/>
    </border>
    <border>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8"/>
      </bottom>
      <diagonal/>
    </border>
    <border>
      <left/>
      <right style="thin">
        <color indexed="8"/>
      </right>
      <top style="thin">
        <color indexed="8"/>
      </top>
      <bottom/>
      <diagonal/>
    </border>
    <border>
      <left style="medium">
        <color indexed="64"/>
      </left>
      <right/>
      <top style="medium">
        <color indexed="64"/>
      </top>
      <bottom style="thin">
        <color indexed="8"/>
      </bottom>
      <diagonal/>
    </border>
    <border>
      <left style="thin">
        <color indexed="8"/>
      </left>
      <right/>
      <top style="thin">
        <color indexed="8"/>
      </top>
      <bottom style="thin">
        <color indexed="8"/>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8"/>
      </left>
      <right/>
      <top style="thin">
        <color indexed="8"/>
      </top>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medium">
        <color indexed="64"/>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thin">
        <color indexed="8"/>
      </left>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top style="medium">
        <color indexed="8"/>
      </top>
      <bottom/>
      <diagonal/>
    </border>
    <border>
      <left style="thin">
        <color indexed="8"/>
      </left>
      <right style="thin">
        <color indexed="8"/>
      </right>
      <top style="medium">
        <color indexed="64"/>
      </top>
      <bottom/>
      <diagonal/>
    </border>
    <border>
      <left style="thin">
        <color auto="1"/>
      </left>
      <right style="thin">
        <color auto="1"/>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style="thin">
        <color auto="1"/>
      </left>
      <right style="thin">
        <color auto="1"/>
      </right>
      <top style="thin">
        <color indexed="8"/>
      </top>
      <bottom style="medium">
        <color indexed="64"/>
      </bottom>
      <diagonal/>
    </border>
    <border>
      <left/>
      <right style="thin">
        <color auto="1"/>
      </right>
      <top style="thin">
        <color indexed="8"/>
      </top>
      <bottom style="medium">
        <color indexed="64"/>
      </bottom>
      <diagonal/>
    </border>
    <border>
      <left style="thin">
        <color auto="1"/>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medium">
        <color indexed="8"/>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8"/>
      </left>
      <right style="thin">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medium">
        <color indexed="64"/>
      </top>
      <bottom/>
      <diagonal/>
    </border>
  </borders>
  <cellStyleXfs count="32">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71" fontId="13" fillId="0" borderId="0"/>
    <xf numFmtId="165" fontId="13" fillId="0" borderId="0"/>
    <xf numFmtId="0" fontId="7" fillId="8" borderId="0" applyNumberFormat="0" applyBorder="0" applyAlignment="0" applyProtection="0"/>
    <xf numFmtId="0" fontId="4" fillId="8" borderId="1" applyNumberFormat="0" applyAlignment="0" applyProtection="0"/>
    <xf numFmtId="168" fontId="13" fillId="0" borderId="0"/>
    <xf numFmtId="0" fontId="13" fillId="0" borderId="0" applyNumberFormat="0" applyFill="0" applyBorder="0" applyAlignment="0" applyProtection="0"/>
    <xf numFmtId="0" fontId="13" fillId="0" borderId="0" applyNumberFormat="0" applyFill="0" applyBorder="0" applyAlignment="0" applyProtection="0"/>
    <xf numFmtId="0" fontId="8" fillId="0" borderId="0" applyNumberFormat="0" applyFill="0" applyBorder="0" applyAlignment="0" applyProtection="0"/>
    <xf numFmtId="0" fontId="21" fillId="0" borderId="0" applyNumberFormat="0" applyFill="0" applyBorder="0" applyAlignment="0" applyProtection="0"/>
    <xf numFmtId="182" fontId="33" fillId="0" borderId="0" applyFont="0" applyFill="0" applyBorder="0" applyAlignment="0" applyProtection="0"/>
    <xf numFmtId="183" fontId="34" fillId="0" borderId="0" applyFont="0" applyFill="0" applyBorder="0" applyAlignment="0" applyProtection="0"/>
    <xf numFmtId="183" fontId="34" fillId="0" borderId="0" applyFont="0" applyFill="0" applyBorder="0" applyAlignment="0" applyProtection="0"/>
    <xf numFmtId="171" fontId="13" fillId="0" borderId="0" applyFill="0" applyBorder="0" applyAlignment="0" applyProtection="0"/>
    <xf numFmtId="165" fontId="13" fillId="0" borderId="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9" fontId="13" fillId="0" borderId="0" applyFill="0" applyBorder="0" applyAlignment="0" applyProtection="0"/>
    <xf numFmtId="42" fontId="13" fillId="0" borderId="0" applyFont="0" applyFill="0" applyBorder="0" applyAlignment="0" applyProtection="0"/>
  </cellStyleXfs>
  <cellXfs count="888">
    <xf numFmtId="0" fontId="0" fillId="0" borderId="0" xfId="0"/>
    <xf numFmtId="0" fontId="0" fillId="0" borderId="0" xfId="0" applyFont="1" applyProtection="1"/>
    <xf numFmtId="0" fontId="0" fillId="0" borderId="0" xfId="0" applyFont="1" applyFill="1" applyProtection="1"/>
    <xf numFmtId="168" fontId="0" fillId="0" borderId="0" xfId="16" applyFont="1" applyProtection="1"/>
    <xf numFmtId="0" fontId="0" fillId="0" borderId="0" xfId="0" applyFont="1" applyAlignment="1" applyProtection="1">
      <alignment vertical="center"/>
    </xf>
    <xf numFmtId="0" fontId="15" fillId="0" borderId="0" xfId="0" applyFont="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6" fillId="0" borderId="0" xfId="0" applyFont="1" applyAlignment="1" applyProtection="1">
      <alignment vertical="center"/>
    </xf>
    <xf numFmtId="0" fontId="12" fillId="0" borderId="0" xfId="0" applyFont="1" applyAlignment="1" applyProtection="1">
      <alignment horizontal="right" vertical="center"/>
    </xf>
    <xf numFmtId="0" fontId="0" fillId="0" borderId="0" xfId="0" applyFont="1" applyFill="1" applyAlignment="1" applyProtection="1">
      <alignment vertical="center"/>
    </xf>
    <xf numFmtId="0" fontId="12" fillId="9" borderId="0" xfId="0" applyFont="1" applyFill="1" applyBorder="1" applyAlignment="1" applyProtection="1">
      <alignment horizontal="left" vertical="center"/>
    </xf>
    <xf numFmtId="167" fontId="12" fillId="9" borderId="0" xfId="13" applyNumberFormat="1" applyFont="1" applyFill="1" applyBorder="1" applyAlignment="1" applyProtection="1">
      <alignment vertical="center"/>
    </xf>
    <xf numFmtId="165" fontId="12" fillId="0" borderId="0" xfId="13" applyFont="1" applyFill="1" applyBorder="1" applyAlignment="1" applyProtection="1">
      <alignment vertical="center"/>
    </xf>
    <xf numFmtId="0" fontId="12" fillId="0" borderId="0" xfId="0" applyFont="1" applyFill="1" applyAlignment="1" applyProtection="1">
      <alignment vertical="center"/>
    </xf>
    <xf numFmtId="170" fontId="12" fillId="0" borderId="0" xfId="0" applyNumberFormat="1" applyFont="1" applyFill="1" applyAlignment="1" applyProtection="1">
      <alignment vertical="center"/>
    </xf>
    <xf numFmtId="0" fontId="0" fillId="0" borderId="0" xfId="0" applyFont="1" applyAlignment="1" applyProtection="1">
      <alignment horizontal="center" vertical="center"/>
    </xf>
    <xf numFmtId="167" fontId="12" fillId="0" borderId="0" xfId="0" applyNumberFormat="1" applyFont="1" applyFill="1" applyBorder="1" applyAlignment="1" applyProtection="1">
      <alignment horizontal="center" vertical="center" wrapText="1"/>
    </xf>
    <xf numFmtId="167" fontId="0" fillId="0" borderId="0" xfId="13" applyNumberFormat="1" applyFont="1" applyFill="1" applyBorder="1" applyAlignment="1" applyProtection="1">
      <alignment vertical="center"/>
    </xf>
    <xf numFmtId="0" fontId="12" fillId="0" borderId="2" xfId="0" applyFont="1" applyBorder="1" applyAlignment="1" applyProtection="1">
      <alignment horizontal="center" vertical="center"/>
    </xf>
    <xf numFmtId="0" fontId="12" fillId="0" borderId="0" xfId="0" applyFont="1" applyFill="1" applyBorder="1" applyAlignment="1" applyProtection="1">
      <alignment horizontal="right" vertical="center"/>
    </xf>
    <xf numFmtId="0" fontId="12" fillId="0" borderId="0" xfId="0" applyFont="1" applyFill="1" applyBorder="1" applyAlignment="1" applyProtection="1">
      <alignment horizontal="center" vertical="center" wrapText="1"/>
    </xf>
    <xf numFmtId="165" fontId="0" fillId="0" borderId="0" xfId="13" applyFont="1" applyFill="1" applyBorder="1" applyAlignment="1" applyProtection="1">
      <alignment vertical="center"/>
    </xf>
    <xf numFmtId="0" fontId="0" fillId="0" borderId="0" xfId="0" applyFont="1" applyFill="1" applyBorder="1" applyAlignment="1" applyProtection="1">
      <alignment vertical="center"/>
    </xf>
    <xf numFmtId="168" fontId="15" fillId="0" borderId="0" xfId="16" applyFont="1" applyBorder="1" applyAlignment="1" applyProtection="1">
      <alignment vertical="center"/>
    </xf>
    <xf numFmtId="173" fontId="0" fillId="0" borderId="0" xfId="12" applyNumberFormat="1" applyFont="1" applyFill="1" applyBorder="1" applyAlignment="1" applyProtection="1">
      <alignment vertical="center"/>
    </xf>
    <xf numFmtId="168" fontId="0" fillId="0" borderId="0" xfId="16" applyFont="1" applyFill="1" applyProtection="1"/>
    <xf numFmtId="0" fontId="0" fillId="11" borderId="0" xfId="0" applyFont="1" applyFill="1" applyBorder="1" applyAlignment="1" applyProtection="1">
      <alignment horizontal="left" vertical="center"/>
    </xf>
    <xf numFmtId="176" fontId="0" fillId="11" borderId="0" xfId="0" applyNumberFormat="1" applyFont="1" applyFill="1" applyBorder="1" applyAlignment="1" applyProtection="1">
      <alignment horizontal="right" vertical="center"/>
    </xf>
    <xf numFmtId="0" fontId="0" fillId="11" borderId="0" xfId="0" applyFont="1" applyFill="1" applyProtection="1"/>
    <xf numFmtId="0" fontId="0" fillId="0" borderId="0" xfId="0" applyFont="1" applyFill="1" applyBorder="1" applyProtection="1"/>
    <xf numFmtId="17" fontId="17"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11" borderId="0" xfId="0" applyFont="1" applyFill="1" applyAlignment="1" applyProtection="1">
      <alignment vertical="center"/>
    </xf>
    <xf numFmtId="176" fontId="0" fillId="0" borderId="0" xfId="0" applyNumberFormat="1" applyFont="1" applyFill="1" applyBorder="1" applyAlignment="1" applyProtection="1">
      <alignment horizontal="right" vertical="center"/>
    </xf>
    <xf numFmtId="9" fontId="0" fillId="0" borderId="0" xfId="0" applyNumberFormat="1" applyFont="1" applyFill="1" applyBorder="1" applyAlignment="1" applyProtection="1">
      <alignment horizontal="center" vertical="center"/>
    </xf>
    <xf numFmtId="176" fontId="12" fillId="0" borderId="0" xfId="0" applyNumberFormat="1" applyFont="1" applyFill="1" applyBorder="1" applyProtection="1"/>
    <xf numFmtId="176" fontId="12" fillId="11" borderId="0" xfId="0" applyNumberFormat="1" applyFont="1" applyFill="1" applyBorder="1" applyAlignment="1" applyProtection="1">
      <alignment horizontal="right" vertical="center"/>
    </xf>
    <xf numFmtId="9" fontId="0" fillId="11" borderId="0" xfId="0" applyNumberFormat="1" applyFont="1" applyFill="1" applyBorder="1" applyAlignment="1" applyProtection="1">
      <alignment horizontal="center" vertical="center"/>
    </xf>
    <xf numFmtId="0" fontId="0" fillId="11" borderId="0" xfId="0" applyFont="1" applyFill="1" applyBorder="1" applyProtection="1"/>
    <xf numFmtId="176" fontId="0" fillId="0" borderId="0" xfId="0" applyNumberFormat="1" applyFont="1" applyFill="1" applyBorder="1" applyProtection="1"/>
    <xf numFmtId="176" fontId="0" fillId="11" borderId="0" xfId="0" applyNumberFormat="1" applyFont="1" applyFill="1" applyBorder="1" applyProtection="1"/>
    <xf numFmtId="0" fontId="0" fillId="11" borderId="0" xfId="0" applyFont="1" applyFill="1" applyAlignment="1" applyProtection="1">
      <alignment horizontal="center" vertical="center"/>
    </xf>
    <xf numFmtId="0" fontId="0" fillId="11" borderId="0" xfId="0" applyFont="1" applyFill="1" applyAlignment="1" applyProtection="1"/>
    <xf numFmtId="0" fontId="12" fillId="0" borderId="0" xfId="0" applyFont="1" applyBorder="1" applyAlignment="1" applyProtection="1">
      <alignment horizontal="center" vertical="center"/>
    </xf>
    <xf numFmtId="0" fontId="0" fillId="0" borderId="0" xfId="0" applyFont="1" applyBorder="1" applyProtection="1"/>
    <xf numFmtId="0" fontId="12" fillId="0" borderId="0" xfId="0" applyFont="1" applyBorder="1" applyProtection="1"/>
    <xf numFmtId="0" fontId="12"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167" fontId="18" fillId="0" borderId="0" xfId="13" applyNumberFormat="1" applyFont="1" applyFill="1" applyBorder="1" applyAlignment="1" applyProtection="1">
      <alignment vertical="center"/>
    </xf>
    <xf numFmtId="175" fontId="18" fillId="0" borderId="0" xfId="12" applyNumberFormat="1" applyFont="1" applyFill="1" applyBorder="1" applyAlignment="1" applyProtection="1">
      <alignment vertical="center"/>
    </xf>
    <xf numFmtId="167" fontId="19" fillId="0" borderId="0" xfId="0" applyNumberFormat="1" applyFont="1" applyFill="1" applyBorder="1" applyAlignment="1" applyProtection="1">
      <alignment vertical="center"/>
    </xf>
    <xf numFmtId="0" fontId="19" fillId="0" borderId="0" xfId="0" applyFont="1" applyFill="1" applyBorder="1" applyAlignment="1" applyProtection="1">
      <alignment vertical="center"/>
    </xf>
    <xf numFmtId="167" fontId="10" fillId="0" borderId="0" xfId="13" applyNumberFormat="1" applyFont="1" applyFill="1" applyBorder="1" applyAlignment="1" applyProtection="1">
      <alignment vertical="center"/>
    </xf>
    <xf numFmtId="167" fontId="17" fillId="0" borderId="0" xfId="0" applyNumberFormat="1" applyFont="1" applyFill="1" applyBorder="1" applyAlignment="1" applyProtection="1">
      <alignment vertical="center"/>
    </xf>
    <xf numFmtId="168" fontId="12" fillId="0" borderId="0" xfId="16" applyFont="1" applyFill="1" applyBorder="1" applyAlignment="1" applyProtection="1">
      <alignment horizontal="center" vertical="center"/>
    </xf>
    <xf numFmtId="0" fontId="12" fillId="21" borderId="11" xfId="0" applyFont="1" applyFill="1" applyBorder="1" applyAlignment="1" applyProtection="1">
      <alignment horizontal="center" vertical="center"/>
    </xf>
    <xf numFmtId="0" fontId="12" fillId="20" borderId="26" xfId="0" applyFont="1" applyFill="1" applyBorder="1" applyAlignment="1" applyProtection="1">
      <alignment horizontal="center" vertical="center" wrapText="1"/>
    </xf>
    <xf numFmtId="1" fontId="0" fillId="0" borderId="26" xfId="0" applyNumberFormat="1" applyFont="1" applyFill="1" applyBorder="1" applyAlignment="1" applyProtection="1">
      <alignment horizontal="center" vertical="center" wrapText="1"/>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1" fontId="0" fillId="0" borderId="0" xfId="16" applyNumberFormat="1" applyFont="1" applyProtection="1"/>
    <xf numFmtId="0" fontId="12" fillId="0" borderId="0" xfId="0" applyFont="1" applyFill="1" applyBorder="1" applyAlignment="1" applyProtection="1">
      <alignment horizontal="center"/>
    </xf>
    <xf numFmtId="176" fontId="12" fillId="0" borderId="0" xfId="0" applyNumberFormat="1" applyFont="1" applyFill="1" applyBorder="1" applyAlignment="1" applyProtection="1">
      <alignment horizontal="center" vertical="center" wrapText="1"/>
    </xf>
    <xf numFmtId="1" fontId="0" fillId="0" borderId="2" xfId="0" applyNumberFormat="1" applyFont="1" applyFill="1" applyBorder="1" applyAlignment="1" applyProtection="1">
      <alignment horizontal="center" vertical="center" wrapText="1"/>
    </xf>
    <xf numFmtId="166" fontId="24" fillId="30" borderId="39" xfId="0" applyNumberFormat="1" applyFont="1" applyFill="1" applyBorder="1" applyAlignment="1" applyProtection="1">
      <alignment vertical="center"/>
    </xf>
    <xf numFmtId="0" fontId="12" fillId="31" borderId="46" xfId="0" applyFont="1" applyFill="1" applyBorder="1" applyAlignment="1" applyProtection="1">
      <alignment horizontal="center" vertical="center" wrapText="1"/>
    </xf>
    <xf numFmtId="166" fontId="12" fillId="32" borderId="47" xfId="13" applyNumberFormat="1" applyFont="1" applyFill="1" applyBorder="1" applyAlignment="1" applyProtection="1">
      <alignment vertical="center"/>
    </xf>
    <xf numFmtId="167" fontId="12" fillId="35" borderId="51" xfId="0" applyNumberFormat="1" applyFont="1" applyFill="1" applyBorder="1" applyAlignment="1" applyProtection="1">
      <alignment horizontal="center" vertical="center" wrapText="1"/>
    </xf>
    <xf numFmtId="167" fontId="12" fillId="15" borderId="51" xfId="0" applyNumberFormat="1" applyFont="1" applyFill="1" applyBorder="1" applyAlignment="1" applyProtection="1">
      <alignment horizontal="center" vertical="center" wrapText="1"/>
    </xf>
    <xf numFmtId="0" fontId="0" fillId="0" borderId="0" xfId="0" applyFont="1" applyBorder="1" applyAlignment="1" applyProtection="1">
      <alignment horizontal="left" vertical="center" wrapText="1"/>
    </xf>
    <xf numFmtId="0" fontId="12" fillId="16" borderId="28"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76" fontId="12" fillId="26" borderId="28" xfId="0" applyNumberFormat="1" applyFont="1" applyFill="1" applyBorder="1" applyAlignment="1" applyProtection="1">
      <alignment horizontal="center" vertical="center"/>
    </xf>
    <xf numFmtId="169" fontId="12" fillId="19" borderId="28" xfId="16" applyNumberFormat="1" applyFont="1" applyFill="1" applyBorder="1" applyAlignment="1" applyProtection="1">
      <alignment horizontal="center" vertical="center"/>
    </xf>
    <xf numFmtId="0" fontId="12" fillId="16" borderId="41" xfId="0" applyFont="1" applyFill="1" applyBorder="1" applyAlignment="1" applyProtection="1">
      <alignment horizontal="center" vertical="center" wrapText="1"/>
    </xf>
    <xf numFmtId="176" fontId="0" fillId="26" borderId="28" xfId="0" applyNumberFormat="1" applyFont="1" applyFill="1" applyBorder="1" applyAlignment="1" applyProtection="1">
      <alignment horizontal="center" vertical="center"/>
    </xf>
    <xf numFmtId="167" fontId="12" fillId="15" borderId="70" xfId="0" applyNumberFormat="1" applyFont="1" applyFill="1" applyBorder="1" applyAlignment="1" applyProtection="1">
      <alignment horizontal="center" vertical="center" wrapText="1"/>
    </xf>
    <xf numFmtId="176" fontId="23" fillId="26" borderId="23" xfId="0" applyNumberFormat="1" applyFont="1" applyFill="1" applyBorder="1" applyAlignment="1" applyProtection="1">
      <alignment horizontal="right" vertical="center"/>
    </xf>
    <xf numFmtId="168" fontId="14" fillId="19" borderId="7" xfId="16" applyFont="1" applyFill="1" applyBorder="1" applyAlignment="1" applyProtection="1">
      <alignment horizontal="center" vertical="center"/>
    </xf>
    <xf numFmtId="0" fontId="12" fillId="43" borderId="0" xfId="0" applyFont="1" applyFill="1" applyBorder="1" applyAlignment="1" applyProtection="1">
      <alignment horizontal="center" vertical="center"/>
    </xf>
    <xf numFmtId="0" fontId="0" fillId="43" borderId="0" xfId="0" applyFill="1" applyProtection="1"/>
    <xf numFmtId="0" fontId="0" fillId="43" borderId="0" xfId="0" applyFill="1" applyAlignment="1" applyProtection="1">
      <alignment horizontal="center" vertical="center"/>
    </xf>
    <xf numFmtId="177" fontId="0" fillId="0" borderId="0" xfId="13" applyNumberFormat="1" applyFont="1" applyFill="1" applyBorder="1" applyAlignment="1" applyProtection="1">
      <alignment vertical="center"/>
    </xf>
    <xf numFmtId="0" fontId="0" fillId="12" borderId="43" xfId="0" applyFont="1" applyFill="1" applyBorder="1" applyAlignment="1" applyProtection="1">
      <alignment horizontal="left" vertical="center"/>
      <protection locked="0"/>
    </xf>
    <xf numFmtId="0" fontId="0" fillId="12" borderId="52" xfId="0" applyFont="1" applyFill="1" applyBorder="1" applyAlignment="1" applyProtection="1">
      <alignment horizontal="left" vertical="center"/>
      <protection locked="0"/>
    </xf>
    <xf numFmtId="0" fontId="0" fillId="12" borderId="22" xfId="0" applyFont="1" applyFill="1" applyBorder="1" applyAlignment="1" applyProtection="1">
      <alignment horizontal="left" vertical="center"/>
      <protection locked="0"/>
    </xf>
    <xf numFmtId="0" fontId="0" fillId="12" borderId="30" xfId="0" applyFont="1" applyFill="1" applyBorder="1" applyAlignment="1" applyProtection="1">
      <alignment horizontal="left" vertical="center"/>
      <protection locked="0"/>
    </xf>
    <xf numFmtId="0" fontId="0" fillId="12" borderId="30" xfId="0" applyFont="1" applyFill="1" applyBorder="1" applyProtection="1">
      <protection locked="0"/>
    </xf>
    <xf numFmtId="0" fontId="0" fillId="12" borderId="25" xfId="0" applyFont="1" applyFill="1" applyBorder="1" applyProtection="1">
      <protection locked="0"/>
    </xf>
    <xf numFmtId="168" fontId="13" fillId="0" borderId="28" xfId="16" applyBorder="1" applyAlignment="1" applyProtection="1">
      <alignment horizontal="center" vertical="center"/>
    </xf>
    <xf numFmtId="168" fontId="12" fillId="16" borderId="28" xfId="16" applyFont="1" applyFill="1" applyBorder="1" applyAlignment="1" applyProtection="1">
      <alignment horizontal="center" vertical="center"/>
    </xf>
    <xf numFmtId="0" fontId="0" fillId="0" borderId="0" xfId="0" applyProtection="1">
      <protection locked="0"/>
    </xf>
    <xf numFmtId="0" fontId="0" fillId="0" borderId="0" xfId="0" applyFont="1" applyAlignment="1" applyProtection="1">
      <alignment horizontal="left" vertical="center" wrapText="1"/>
      <protection locked="0"/>
    </xf>
    <xf numFmtId="167" fontId="12" fillId="15" borderId="74" xfId="0" applyNumberFormat="1" applyFont="1" applyFill="1" applyBorder="1" applyAlignment="1" applyProtection="1">
      <alignment horizontal="center" vertical="center" wrapText="1"/>
    </xf>
    <xf numFmtId="167" fontId="12" fillId="15" borderId="75" xfId="0" applyNumberFormat="1" applyFont="1" applyFill="1" applyBorder="1" applyAlignment="1" applyProtection="1">
      <alignment horizontal="center" vertical="center" wrapText="1"/>
    </xf>
    <xf numFmtId="167" fontId="12" fillId="35" borderId="75" xfId="0" applyNumberFormat="1" applyFont="1" applyFill="1" applyBorder="1" applyAlignment="1" applyProtection="1">
      <alignment horizontal="center" vertical="center" wrapText="1"/>
    </xf>
    <xf numFmtId="167" fontId="12" fillId="35" borderId="78" xfId="0" applyNumberFormat="1" applyFont="1" applyFill="1" applyBorder="1" applyAlignment="1" applyProtection="1">
      <alignment horizontal="center" vertical="center" wrapText="1"/>
    </xf>
    <xf numFmtId="167" fontId="12" fillId="15" borderId="78" xfId="0" applyNumberFormat="1" applyFont="1" applyFill="1" applyBorder="1" applyAlignment="1" applyProtection="1">
      <alignment horizontal="center" vertical="center" wrapText="1"/>
    </xf>
    <xf numFmtId="167" fontId="12" fillId="15" borderId="79" xfId="0" applyNumberFormat="1" applyFont="1" applyFill="1" applyBorder="1" applyAlignment="1" applyProtection="1">
      <alignment horizontal="center" vertical="center" wrapText="1"/>
    </xf>
    <xf numFmtId="167" fontId="12" fillId="35" borderId="81" xfId="0" applyNumberFormat="1" applyFont="1" applyFill="1" applyBorder="1" applyAlignment="1" applyProtection="1">
      <alignment horizontal="center" vertical="center" wrapText="1"/>
    </xf>
    <xf numFmtId="167" fontId="12" fillId="35" borderId="82" xfId="0" applyNumberFormat="1" applyFont="1" applyFill="1" applyBorder="1" applyAlignment="1" applyProtection="1">
      <alignment horizontal="center" vertical="center" wrapText="1"/>
    </xf>
    <xf numFmtId="0" fontId="0" fillId="12" borderId="84" xfId="0" applyFont="1" applyFill="1" applyBorder="1" applyProtection="1">
      <protection locked="0"/>
    </xf>
    <xf numFmtId="167" fontId="12" fillId="35" borderId="99" xfId="0" applyNumberFormat="1" applyFont="1" applyFill="1" applyBorder="1" applyAlignment="1" applyProtection="1">
      <alignment horizontal="center" vertical="center" wrapText="1"/>
    </xf>
    <xf numFmtId="167" fontId="12" fillId="35" borderId="100" xfId="0" applyNumberFormat="1" applyFont="1" applyFill="1" applyBorder="1" applyAlignment="1" applyProtection="1">
      <alignment horizontal="center" vertical="center" wrapText="1"/>
    </xf>
    <xf numFmtId="167" fontId="12" fillId="35" borderId="101" xfId="0" applyNumberFormat="1" applyFont="1" applyFill="1" applyBorder="1" applyAlignment="1" applyProtection="1">
      <alignment horizontal="center" vertical="center" wrapText="1"/>
    </xf>
    <xf numFmtId="177" fontId="0" fillId="29" borderId="87" xfId="13" applyNumberFormat="1" applyFont="1" applyFill="1" applyBorder="1" applyAlignment="1" applyProtection="1">
      <alignment vertical="center"/>
    </xf>
    <xf numFmtId="167" fontId="12" fillId="35" borderId="93" xfId="0" applyNumberFormat="1" applyFont="1" applyFill="1" applyBorder="1" applyAlignment="1" applyProtection="1">
      <alignment horizontal="center" vertical="center" wrapText="1"/>
    </xf>
    <xf numFmtId="167" fontId="12" fillId="15" borderId="106" xfId="0" applyNumberFormat="1" applyFont="1" applyFill="1" applyBorder="1" applyAlignment="1" applyProtection="1">
      <alignment horizontal="center" vertical="center" wrapText="1"/>
    </xf>
    <xf numFmtId="167" fontId="12" fillId="15" borderId="107" xfId="0" applyNumberFormat="1" applyFont="1" applyFill="1" applyBorder="1" applyAlignment="1" applyProtection="1">
      <alignment horizontal="center" vertical="center" wrapText="1"/>
    </xf>
    <xf numFmtId="167" fontId="12" fillId="15" borderId="108" xfId="0" applyNumberFormat="1" applyFont="1" applyFill="1" applyBorder="1" applyAlignment="1" applyProtection="1">
      <alignment horizontal="center" vertical="center" wrapText="1"/>
    </xf>
    <xf numFmtId="167" fontId="12" fillId="15" borderId="101" xfId="0" applyNumberFormat="1" applyFont="1" applyFill="1" applyBorder="1" applyAlignment="1" applyProtection="1">
      <alignment horizontal="center" vertical="center" wrapText="1"/>
    </xf>
    <xf numFmtId="169" fontId="0" fillId="12" borderId="87" xfId="13" applyNumberFormat="1" applyFont="1" applyFill="1" applyBorder="1" applyAlignment="1" applyProtection="1">
      <alignment horizontal="center" vertical="center"/>
      <protection locked="0"/>
    </xf>
    <xf numFmtId="167" fontId="12" fillId="35" borderId="109" xfId="0" applyNumberFormat="1" applyFont="1" applyFill="1" applyBorder="1" applyAlignment="1" applyProtection="1">
      <alignment horizontal="center" vertical="center" wrapText="1"/>
    </xf>
    <xf numFmtId="167" fontId="12" fillId="35" borderId="110" xfId="0" applyNumberFormat="1" applyFont="1" applyFill="1" applyBorder="1" applyAlignment="1" applyProtection="1">
      <alignment horizontal="center" vertical="center" wrapText="1"/>
    </xf>
    <xf numFmtId="167" fontId="12" fillId="35" borderId="111" xfId="0" applyNumberFormat="1" applyFont="1" applyFill="1" applyBorder="1" applyAlignment="1" applyProtection="1">
      <alignment horizontal="center" vertical="center" wrapText="1"/>
    </xf>
    <xf numFmtId="0" fontId="12" fillId="16" borderId="112"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168" fontId="31" fillId="0" borderId="0" xfId="16" applyFont="1" applyFill="1" applyBorder="1" applyAlignment="1" applyProtection="1">
      <alignment horizontal="center" vertical="center"/>
    </xf>
    <xf numFmtId="0" fontId="12" fillId="0" borderId="2" xfId="0" applyFont="1" applyBorder="1" applyAlignment="1" applyProtection="1">
      <alignment horizontal="right" vertical="center"/>
    </xf>
    <xf numFmtId="0" fontId="12" fillId="0" borderId="0" xfId="0" applyFont="1" applyBorder="1" applyAlignment="1" applyProtection="1">
      <alignment horizontal="right" vertical="center"/>
    </xf>
    <xf numFmtId="0" fontId="25" fillId="11" borderId="0" xfId="0" applyFont="1" applyFill="1" applyBorder="1" applyAlignment="1" applyProtection="1">
      <alignment horizontal="left" vertical="center" indent="2"/>
    </xf>
    <xf numFmtId="0" fontId="25" fillId="0" borderId="0" xfId="0" applyFont="1" applyBorder="1" applyAlignment="1" applyProtection="1">
      <alignment horizontal="left" vertical="center" indent="2"/>
    </xf>
    <xf numFmtId="0" fontId="12" fillId="0" borderId="0" xfId="0" applyFont="1" applyFill="1" applyBorder="1" applyAlignment="1" applyProtection="1">
      <alignment horizontal="center" vertical="center"/>
    </xf>
    <xf numFmtId="177" fontId="0" fillId="12" borderId="120" xfId="13" applyNumberFormat="1" applyFont="1" applyFill="1" applyBorder="1" applyAlignment="1" applyProtection="1">
      <alignment vertical="center"/>
      <protection locked="0"/>
    </xf>
    <xf numFmtId="177" fontId="0" fillId="12" borderId="121" xfId="13" applyNumberFormat="1" applyFont="1" applyFill="1" applyBorder="1" applyAlignment="1" applyProtection="1">
      <alignment vertical="center"/>
      <protection locked="0"/>
    </xf>
    <xf numFmtId="0" fontId="0" fillId="12" borderId="122" xfId="0" applyFont="1" applyFill="1" applyBorder="1" applyAlignment="1" applyProtection="1">
      <alignment horizontal="left" vertical="center"/>
      <protection locked="0"/>
    </xf>
    <xf numFmtId="0" fontId="0" fillId="12" borderId="122" xfId="0" applyFont="1" applyFill="1" applyBorder="1" applyProtection="1">
      <protection locked="0"/>
    </xf>
    <xf numFmtId="0" fontId="0" fillId="12" borderId="123" xfId="0" applyFont="1" applyFill="1" applyBorder="1" applyProtection="1">
      <protection locked="0"/>
    </xf>
    <xf numFmtId="177" fontId="0" fillId="12" borderId="122" xfId="13" applyNumberFormat="1" applyFont="1" applyFill="1" applyBorder="1" applyAlignment="1" applyProtection="1">
      <alignment vertical="center"/>
      <protection locked="0"/>
    </xf>
    <xf numFmtId="0" fontId="0" fillId="12" borderId="120" xfId="0" applyFont="1" applyFill="1" applyBorder="1" applyAlignment="1" applyProtection="1">
      <alignment horizontal="left" vertical="center"/>
      <protection locked="0"/>
    </xf>
    <xf numFmtId="0" fontId="0" fillId="12" borderId="120" xfId="0" applyFont="1" applyFill="1" applyBorder="1" applyProtection="1">
      <protection locked="0"/>
    </xf>
    <xf numFmtId="0" fontId="0" fillId="12" borderId="125" xfId="0" applyFont="1" applyFill="1" applyBorder="1" applyProtection="1">
      <protection locked="0"/>
    </xf>
    <xf numFmtId="0" fontId="0" fillId="12" borderId="118" xfId="0" applyFont="1" applyFill="1" applyBorder="1" applyAlignment="1" applyProtection="1">
      <alignment horizontal="left" vertical="center"/>
      <protection locked="0"/>
    </xf>
    <xf numFmtId="0" fontId="0" fillId="12" borderId="118" xfId="0" applyFont="1" applyFill="1" applyBorder="1" applyProtection="1">
      <protection locked="0"/>
    </xf>
    <xf numFmtId="0" fontId="0" fillId="12" borderId="121" xfId="0" applyFont="1" applyFill="1" applyBorder="1" applyAlignment="1" applyProtection="1">
      <alignment horizontal="left" vertical="center"/>
      <protection locked="0"/>
    </xf>
    <xf numFmtId="0" fontId="0" fillId="12" borderId="121" xfId="0" applyFont="1" applyFill="1" applyBorder="1" applyProtection="1">
      <protection locked="0"/>
    </xf>
    <xf numFmtId="0" fontId="0" fillId="12" borderId="127" xfId="0" applyFont="1" applyFill="1" applyBorder="1" applyProtection="1">
      <protection locked="0"/>
    </xf>
    <xf numFmtId="176" fontId="0" fillId="0" borderId="128" xfId="0" applyNumberFormat="1" applyFont="1" applyFill="1" applyBorder="1" applyAlignment="1" applyProtection="1">
      <alignment horizontal="right" vertical="center"/>
    </xf>
    <xf numFmtId="176" fontId="0" fillId="0" borderId="130"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12" fillId="16" borderId="84" xfId="0" applyFont="1" applyFill="1" applyBorder="1" applyAlignment="1" applyProtection="1">
      <alignment horizontal="center" vertical="center" wrapText="1"/>
    </xf>
    <xf numFmtId="0" fontId="12" fillId="16" borderId="30" xfId="0" applyFont="1" applyFill="1" applyBorder="1" applyAlignment="1" applyProtection="1">
      <alignment horizontal="center" vertical="center" wrapText="1"/>
    </xf>
    <xf numFmtId="0" fontId="12" fillId="16" borderId="58" xfId="0" applyFont="1" applyFill="1" applyBorder="1" applyAlignment="1" applyProtection="1">
      <alignment horizontal="center" vertical="center" wrapText="1"/>
    </xf>
    <xf numFmtId="177" fontId="0" fillId="12" borderId="125" xfId="13" applyNumberFormat="1" applyFont="1" applyFill="1" applyBorder="1" applyAlignment="1" applyProtection="1">
      <alignment vertical="center"/>
      <protection locked="0"/>
    </xf>
    <xf numFmtId="177" fontId="0" fillId="12" borderId="127" xfId="13" applyNumberFormat="1" applyFont="1" applyFill="1" applyBorder="1" applyAlignment="1" applyProtection="1">
      <alignment vertical="center"/>
      <protection locked="0"/>
    </xf>
    <xf numFmtId="177" fontId="0" fillId="12" borderId="123" xfId="13" applyNumberFormat="1" applyFont="1" applyFill="1" applyBorder="1" applyAlignment="1" applyProtection="1">
      <alignment vertical="center"/>
      <protection locked="0"/>
    </xf>
    <xf numFmtId="176" fontId="0" fillId="29" borderId="130" xfId="0" applyNumberFormat="1" applyFont="1" applyFill="1" applyBorder="1" applyAlignment="1" applyProtection="1">
      <alignment horizontal="right" vertical="center"/>
    </xf>
    <xf numFmtId="176" fontId="0" fillId="29" borderId="131" xfId="0" applyNumberFormat="1" applyFont="1" applyFill="1" applyBorder="1" applyAlignment="1" applyProtection="1">
      <alignment horizontal="right" vertical="center"/>
    </xf>
    <xf numFmtId="176" fontId="0" fillId="29" borderId="128" xfId="0" applyNumberFormat="1" applyFont="1" applyFill="1" applyBorder="1" applyAlignment="1" applyProtection="1">
      <alignment horizontal="right" vertical="center"/>
    </xf>
    <xf numFmtId="176" fontId="0" fillId="29" borderId="124" xfId="0" applyNumberFormat="1" applyFont="1" applyFill="1" applyBorder="1" applyAlignment="1" applyProtection="1">
      <alignment horizontal="right" vertical="center"/>
    </xf>
    <xf numFmtId="176" fontId="0" fillId="29" borderId="132" xfId="0" applyNumberFormat="1" applyFont="1" applyFill="1" applyBorder="1" applyAlignment="1" applyProtection="1">
      <alignment horizontal="right" vertical="center"/>
    </xf>
    <xf numFmtId="176" fontId="0" fillId="0" borderId="124" xfId="0" applyNumberFormat="1" applyFont="1" applyFill="1" applyBorder="1" applyAlignment="1" applyProtection="1">
      <alignment horizontal="right" vertical="center"/>
    </xf>
    <xf numFmtId="176" fontId="0" fillId="0" borderId="132" xfId="0" applyNumberFormat="1" applyFont="1" applyFill="1" applyBorder="1" applyAlignment="1" applyProtection="1">
      <alignment horizontal="right" vertical="center"/>
    </xf>
    <xf numFmtId="0" fontId="0" fillId="12" borderId="133" xfId="0" applyFont="1" applyFill="1" applyBorder="1" applyAlignment="1" applyProtection="1">
      <alignment horizontal="left" vertical="center"/>
      <protection locked="0"/>
    </xf>
    <xf numFmtId="0" fontId="0" fillId="12" borderId="134" xfId="0" applyFont="1" applyFill="1" applyBorder="1" applyAlignment="1" applyProtection="1">
      <alignment horizontal="left" vertical="center"/>
      <protection locked="0"/>
    </xf>
    <xf numFmtId="0" fontId="25" fillId="0" borderId="0" xfId="0" applyFont="1" applyBorder="1" applyAlignment="1" applyProtection="1">
      <alignment vertical="center"/>
    </xf>
    <xf numFmtId="0" fontId="10" fillId="23" borderId="121" xfId="0" applyFont="1" applyFill="1" applyBorder="1" applyAlignment="1" applyProtection="1">
      <alignment horizontal="left" vertical="center"/>
    </xf>
    <xf numFmtId="0" fontId="10" fillId="20" borderId="121" xfId="0" applyFont="1" applyFill="1" applyBorder="1" applyAlignment="1" applyProtection="1">
      <alignment horizontal="left" vertical="center"/>
    </xf>
    <xf numFmtId="174" fontId="18" fillId="0" borderId="121" xfId="0" applyNumberFormat="1" applyFont="1" applyFill="1" applyBorder="1" applyAlignment="1" applyProtection="1">
      <alignment horizontal="left"/>
    </xf>
    <xf numFmtId="0" fontId="12" fillId="21" borderId="121" xfId="0" applyFont="1" applyFill="1" applyBorder="1" applyAlignment="1" applyProtection="1">
      <alignment horizontal="center" vertical="center"/>
    </xf>
    <xf numFmtId="0" fontId="12" fillId="20" borderId="121" xfId="0" applyFont="1" applyFill="1" applyBorder="1" applyAlignment="1" applyProtection="1">
      <alignment horizontal="center" vertical="center" wrapText="1"/>
    </xf>
    <xf numFmtId="1" fontId="0" fillId="0" borderId="121" xfId="0" applyNumberFormat="1" applyFont="1" applyFill="1" applyBorder="1" applyAlignment="1" applyProtection="1">
      <alignment horizontal="center" vertical="center" wrapText="1"/>
    </xf>
    <xf numFmtId="167" fontId="10" fillId="23" borderId="121" xfId="13" applyNumberFormat="1" applyFont="1" applyFill="1" applyBorder="1" applyAlignment="1" applyProtection="1">
      <alignment horizontal="center" vertical="center"/>
    </xf>
    <xf numFmtId="167" fontId="10" fillId="20" borderId="121" xfId="13" applyNumberFormat="1" applyFont="1" applyFill="1" applyBorder="1" applyAlignment="1" applyProtection="1">
      <alignment horizontal="center" vertical="center"/>
    </xf>
    <xf numFmtId="167" fontId="0" fillId="12" borderId="121" xfId="13" applyNumberFormat="1" applyFont="1" applyFill="1" applyBorder="1" applyAlignment="1" applyProtection="1">
      <alignment vertical="center"/>
      <protection locked="0"/>
    </xf>
    <xf numFmtId="0" fontId="12" fillId="31" borderId="121" xfId="0" applyFont="1" applyFill="1" applyBorder="1" applyAlignment="1" applyProtection="1">
      <alignment horizontal="center" vertical="center" wrapText="1"/>
    </xf>
    <xf numFmtId="0" fontId="12" fillId="32" borderId="121" xfId="0" applyFont="1" applyFill="1" applyBorder="1" applyAlignment="1" applyProtection="1">
      <alignment horizontal="left" vertical="center"/>
    </xf>
    <xf numFmtId="167" fontId="12" fillId="31" borderId="121" xfId="0" applyNumberFormat="1" applyFont="1" applyFill="1" applyBorder="1" applyAlignment="1" applyProtection="1">
      <alignment horizontal="center" vertical="center" wrapText="1"/>
    </xf>
    <xf numFmtId="181" fontId="0" fillId="11" borderId="0" xfId="0" applyNumberFormat="1" applyFont="1" applyFill="1" applyProtection="1"/>
    <xf numFmtId="180" fontId="0" fillId="11" borderId="0" xfId="0" applyNumberFormat="1" applyFont="1" applyFill="1" applyProtection="1"/>
    <xf numFmtId="167" fontId="0" fillId="29" borderId="154" xfId="13" applyNumberFormat="1" applyFont="1" applyFill="1" applyBorder="1" applyAlignment="1" applyProtection="1">
      <alignment vertical="center"/>
    </xf>
    <xf numFmtId="179" fontId="13" fillId="37" borderId="156" xfId="16" applyNumberFormat="1" applyFill="1" applyBorder="1" applyAlignment="1" applyProtection="1">
      <alignment horizontal="center" vertical="center"/>
    </xf>
    <xf numFmtId="179" fontId="13" fillId="37" borderId="157" xfId="16" applyNumberFormat="1" applyFill="1" applyBorder="1" applyAlignment="1" applyProtection="1">
      <alignment horizontal="center" vertical="center"/>
    </xf>
    <xf numFmtId="179" fontId="13" fillId="37" borderId="158" xfId="16" applyNumberFormat="1" applyFill="1" applyBorder="1" applyAlignment="1" applyProtection="1">
      <alignment horizontal="center" vertical="center"/>
    </xf>
    <xf numFmtId="179" fontId="13" fillId="37" borderId="159" xfId="16" applyNumberFormat="1" applyFill="1" applyBorder="1" applyAlignment="1" applyProtection="1">
      <alignment horizontal="center" vertical="center"/>
    </xf>
    <xf numFmtId="178" fontId="0" fillId="12" borderId="156" xfId="13" applyNumberFormat="1" applyFont="1" applyFill="1" applyBorder="1" applyAlignment="1" applyProtection="1">
      <alignment horizontal="center" vertical="center"/>
      <protection locked="0"/>
    </xf>
    <xf numFmtId="178" fontId="0" fillId="12" borderId="161" xfId="13" applyNumberFormat="1" applyFont="1" applyFill="1" applyBorder="1" applyAlignment="1" applyProtection="1">
      <alignment horizontal="center" vertical="center"/>
      <protection locked="0"/>
    </xf>
    <xf numFmtId="178" fontId="12" fillId="29" borderId="157" xfId="0" applyNumberFormat="1" applyFont="1" applyFill="1" applyBorder="1" applyAlignment="1" applyProtection="1">
      <alignment vertical="center"/>
    </xf>
    <xf numFmtId="178" fontId="12" fillId="29" borderId="162" xfId="0" applyNumberFormat="1" applyFont="1" applyFill="1" applyBorder="1" applyAlignment="1" applyProtection="1">
      <alignment vertical="center"/>
    </xf>
    <xf numFmtId="0" fontId="0" fillId="46" borderId="88" xfId="0" applyFont="1" applyFill="1" applyBorder="1" applyAlignment="1" applyProtection="1">
      <alignment horizontal="left" vertical="center"/>
    </xf>
    <xf numFmtId="177" fontId="0" fillId="46" borderId="88" xfId="13" applyNumberFormat="1" applyFont="1" applyFill="1" applyBorder="1" applyAlignment="1" applyProtection="1">
      <alignment vertical="center"/>
    </xf>
    <xf numFmtId="177" fontId="0" fillId="46" borderId="94" xfId="13" applyNumberFormat="1" applyFont="1" applyFill="1" applyBorder="1" applyAlignment="1" applyProtection="1">
      <alignment vertical="center"/>
    </xf>
    <xf numFmtId="0" fontId="0" fillId="46" borderId="85" xfId="0" applyFont="1" applyFill="1" applyBorder="1" applyAlignment="1" applyProtection="1">
      <alignment horizontal="left" vertical="center"/>
    </xf>
    <xf numFmtId="169" fontId="0" fillId="46" borderId="94" xfId="13" applyNumberFormat="1" applyFont="1" applyFill="1" applyBorder="1" applyAlignment="1" applyProtection="1">
      <alignment horizontal="center" vertical="center"/>
    </xf>
    <xf numFmtId="168" fontId="13" fillId="0" borderId="0" xfId="16" applyProtection="1"/>
    <xf numFmtId="180" fontId="13" fillId="0" borderId="0" xfId="13" applyNumberFormat="1" applyProtection="1"/>
    <xf numFmtId="0" fontId="23" fillId="12" borderId="60" xfId="0" applyFont="1" applyFill="1" applyBorder="1" applyAlignment="1" applyProtection="1">
      <alignment horizontal="center" vertical="center"/>
      <protection locked="0"/>
    </xf>
    <xf numFmtId="177" fontId="0" fillId="12" borderId="158" xfId="13" applyNumberFormat="1" applyFont="1" applyFill="1" applyBorder="1" applyAlignment="1" applyProtection="1">
      <alignment vertical="center"/>
      <protection locked="0"/>
    </xf>
    <xf numFmtId="176" fontId="0" fillId="0" borderId="160" xfId="0" applyNumberFormat="1" applyFont="1" applyFill="1" applyBorder="1" applyAlignment="1" applyProtection="1">
      <alignment horizontal="right" vertical="center"/>
    </xf>
    <xf numFmtId="176" fontId="0" fillId="0" borderId="125" xfId="0" applyNumberFormat="1" applyFont="1" applyFill="1" applyBorder="1" applyAlignment="1" applyProtection="1">
      <alignment horizontal="right" vertical="center"/>
    </xf>
    <xf numFmtId="176" fontId="0" fillId="0" borderId="168" xfId="0" applyNumberFormat="1" applyFont="1" applyFill="1" applyBorder="1" applyAlignment="1" applyProtection="1">
      <alignment horizontal="right" vertical="center"/>
    </xf>
    <xf numFmtId="176" fontId="0" fillId="0" borderId="154" xfId="0" applyNumberFormat="1" applyFont="1" applyFill="1" applyBorder="1" applyAlignment="1" applyProtection="1">
      <alignment horizontal="right" vertical="center"/>
    </xf>
    <xf numFmtId="9" fontId="0" fillId="11" borderId="157" xfId="0" applyNumberFormat="1" applyFont="1" applyFill="1" applyBorder="1" applyAlignment="1" applyProtection="1">
      <alignment horizontal="center" vertical="center"/>
    </xf>
    <xf numFmtId="9" fontId="0" fillId="11" borderId="160" xfId="0" applyNumberFormat="1" applyFont="1" applyFill="1" applyBorder="1" applyAlignment="1" applyProtection="1">
      <alignment horizontal="center" vertical="center"/>
    </xf>
    <xf numFmtId="9" fontId="0" fillId="11" borderId="162" xfId="0" applyNumberFormat="1" applyFont="1" applyFill="1" applyBorder="1" applyAlignment="1" applyProtection="1">
      <alignment horizontal="center" vertical="center"/>
    </xf>
    <xf numFmtId="0" fontId="12" fillId="16" borderId="171" xfId="0" applyFont="1" applyFill="1" applyBorder="1" applyAlignment="1" applyProtection="1">
      <alignment horizontal="center" vertical="center" wrapText="1"/>
    </xf>
    <xf numFmtId="0" fontId="9" fillId="14" borderId="163" xfId="0" applyFont="1" applyFill="1" applyBorder="1" applyAlignment="1" applyProtection="1">
      <alignment horizontal="center" vertical="center"/>
    </xf>
    <xf numFmtId="0" fontId="9" fillId="47" borderId="162" xfId="0" applyFont="1" applyFill="1" applyBorder="1" applyAlignment="1" applyProtection="1">
      <alignment horizontal="center" vertical="center"/>
    </xf>
    <xf numFmtId="0" fontId="9" fillId="14" borderId="154" xfId="0" applyFont="1" applyFill="1" applyBorder="1" applyAlignment="1" applyProtection="1">
      <alignment horizontal="center" vertical="center"/>
    </xf>
    <xf numFmtId="0" fontId="9" fillId="47" borderId="175" xfId="0" applyFont="1" applyFill="1" applyBorder="1" applyAlignment="1" applyProtection="1">
      <alignment horizontal="center" vertical="center"/>
    </xf>
    <xf numFmtId="176" fontId="0" fillId="0" borderId="157" xfId="0" applyNumberFormat="1" applyFont="1" applyFill="1" applyBorder="1" applyAlignment="1" applyProtection="1">
      <alignment horizontal="right" vertical="center"/>
    </xf>
    <xf numFmtId="176" fontId="0" fillId="0" borderId="162" xfId="0" applyNumberFormat="1" applyFont="1" applyFill="1" applyBorder="1" applyAlignment="1" applyProtection="1">
      <alignment horizontal="right" vertical="center"/>
    </xf>
    <xf numFmtId="0" fontId="25" fillId="0" borderId="0" xfId="0" applyFont="1" applyBorder="1" applyAlignment="1" applyProtection="1">
      <alignment vertical="center" wrapText="1"/>
    </xf>
    <xf numFmtId="0" fontId="9" fillId="48" borderId="163" xfId="0" applyFont="1" applyFill="1" applyBorder="1" applyAlignment="1" applyProtection="1">
      <alignment horizontal="center" vertical="center"/>
    </xf>
    <xf numFmtId="0" fontId="9" fillId="48" borderId="162" xfId="0" applyFont="1" applyFill="1" applyBorder="1" applyAlignment="1" applyProtection="1">
      <alignment horizontal="center" vertical="center"/>
    </xf>
    <xf numFmtId="168" fontId="32" fillId="0" borderId="139" xfId="16" applyFont="1" applyFill="1" applyBorder="1" applyAlignment="1" applyProtection="1">
      <alignment horizontal="center" vertical="center"/>
    </xf>
    <xf numFmtId="168" fontId="32" fillId="0" borderId="142" xfId="16" applyFont="1" applyFill="1" applyBorder="1" applyAlignment="1" applyProtection="1">
      <alignment horizontal="center" vertical="center"/>
    </xf>
    <xf numFmtId="176" fontId="0" fillId="27" borderId="141" xfId="0" applyNumberFormat="1" applyFont="1" applyFill="1" applyBorder="1" applyAlignment="1" applyProtection="1">
      <alignment horizontal="right" vertical="center"/>
    </xf>
    <xf numFmtId="176" fontId="0" fillId="27" borderId="179" xfId="0" applyNumberFormat="1" applyFont="1" applyFill="1" applyBorder="1" applyAlignment="1" applyProtection="1">
      <alignment horizontal="right" vertical="center"/>
    </xf>
    <xf numFmtId="0" fontId="0" fillId="11" borderId="181" xfId="0" applyFont="1" applyFill="1" applyBorder="1" applyProtection="1"/>
    <xf numFmtId="0" fontId="0" fillId="11" borderId="182" xfId="0" applyFont="1" applyFill="1" applyBorder="1" applyProtection="1"/>
    <xf numFmtId="0" fontId="0" fillId="11" borderId="183" xfId="0" applyFont="1" applyFill="1" applyBorder="1" applyProtection="1"/>
    <xf numFmtId="0" fontId="0" fillId="11" borderId="171" xfId="0" applyFont="1" applyFill="1" applyBorder="1" applyProtection="1"/>
    <xf numFmtId="0" fontId="0" fillId="11" borderId="117" xfId="0" applyFont="1" applyFill="1" applyBorder="1" applyProtection="1"/>
    <xf numFmtId="0" fontId="25" fillId="0" borderId="171" xfId="0" applyFont="1" applyBorder="1" applyAlignment="1" applyProtection="1">
      <alignment vertical="center"/>
    </xf>
    <xf numFmtId="0" fontId="9" fillId="14" borderId="164" xfId="0" applyFont="1" applyFill="1" applyBorder="1" applyAlignment="1" applyProtection="1">
      <alignment horizontal="center" vertical="center"/>
    </xf>
    <xf numFmtId="0" fontId="9" fillId="14" borderId="180" xfId="0" applyFont="1" applyFill="1" applyBorder="1" applyAlignment="1" applyProtection="1">
      <alignment horizontal="center" vertical="center"/>
    </xf>
    <xf numFmtId="0" fontId="9" fillId="48" borderId="164" xfId="0" applyFont="1" applyFill="1" applyBorder="1" applyAlignment="1" applyProtection="1">
      <alignment horizontal="center" vertical="center"/>
    </xf>
    <xf numFmtId="0" fontId="9" fillId="48" borderId="180" xfId="0" applyFont="1" applyFill="1" applyBorder="1" applyAlignment="1" applyProtection="1">
      <alignment horizontal="center" vertical="center"/>
    </xf>
    <xf numFmtId="0" fontId="9" fillId="47" borderId="164" xfId="0" applyFont="1" applyFill="1" applyBorder="1" applyAlignment="1" applyProtection="1">
      <alignment horizontal="center" vertical="center"/>
    </xf>
    <xf numFmtId="0" fontId="9" fillId="47" borderId="180" xfId="0" applyFont="1" applyFill="1" applyBorder="1" applyAlignment="1" applyProtection="1">
      <alignment horizontal="center" vertical="center"/>
    </xf>
    <xf numFmtId="176" fontId="0" fillId="26" borderId="156" xfId="0" applyNumberFormat="1" applyFont="1" applyFill="1" applyBorder="1" applyAlignment="1" applyProtection="1">
      <alignment horizontal="right" vertical="center"/>
    </xf>
    <xf numFmtId="176" fontId="0" fillId="26" borderId="157" xfId="0" applyNumberFormat="1" applyFont="1" applyFill="1" applyBorder="1" applyAlignment="1" applyProtection="1">
      <alignment horizontal="right" vertical="center"/>
    </xf>
    <xf numFmtId="0" fontId="0" fillId="11" borderId="172" xfId="0" applyFont="1" applyFill="1" applyBorder="1" applyProtection="1"/>
    <xf numFmtId="0" fontId="0" fillId="11" borderId="178" xfId="0" applyFont="1" applyFill="1" applyBorder="1" applyProtection="1"/>
    <xf numFmtId="0" fontId="0" fillId="11" borderId="113" xfId="0" applyFont="1" applyFill="1" applyBorder="1" applyProtection="1"/>
    <xf numFmtId="167" fontId="10" fillId="20" borderId="121" xfId="13" applyNumberFormat="1" applyFont="1" applyFill="1" applyBorder="1" applyAlignment="1" applyProtection="1">
      <alignment horizontal="center" vertical="center"/>
      <protection locked="0"/>
    </xf>
    <xf numFmtId="9" fontId="0" fillId="44" borderId="135" xfId="0" applyNumberFormat="1" applyFont="1" applyFill="1" applyBorder="1" applyAlignment="1" applyProtection="1">
      <alignment horizontal="center" vertical="center"/>
    </xf>
    <xf numFmtId="9" fontId="0" fillId="44" borderId="156" xfId="0" applyNumberFormat="1" applyFont="1" applyFill="1" applyBorder="1" applyAlignment="1" applyProtection="1">
      <alignment horizontal="center" vertical="center"/>
    </xf>
    <xf numFmtId="168" fontId="0" fillId="44" borderId="156" xfId="16" applyFont="1" applyFill="1" applyBorder="1" applyAlignment="1" applyProtection="1">
      <alignment horizontal="center" vertical="center"/>
    </xf>
    <xf numFmtId="0" fontId="12" fillId="16" borderId="180" xfId="0" applyFont="1" applyFill="1" applyBorder="1" applyAlignment="1" applyProtection="1">
      <alignment horizontal="center" vertical="center" wrapText="1"/>
    </xf>
    <xf numFmtId="0" fontId="0" fillId="12" borderId="158" xfId="0" applyFont="1" applyFill="1" applyBorder="1" applyAlignment="1" applyProtection="1">
      <alignment horizontal="left" vertical="center"/>
      <protection locked="0"/>
    </xf>
    <xf numFmtId="0" fontId="0" fillId="12" borderId="156" xfId="0" applyFont="1" applyFill="1" applyBorder="1" applyAlignment="1" applyProtection="1">
      <alignment horizontal="left" vertical="center"/>
      <protection locked="0"/>
    </xf>
    <xf numFmtId="177" fontId="0" fillId="12" borderId="156" xfId="13" applyNumberFormat="1" applyFont="1" applyFill="1" applyBorder="1" applyAlignment="1" applyProtection="1">
      <alignment vertical="center"/>
      <protection locked="0"/>
    </xf>
    <xf numFmtId="0" fontId="0" fillId="12" borderId="161" xfId="0" applyFont="1" applyFill="1" applyBorder="1" applyAlignment="1" applyProtection="1">
      <alignment horizontal="left" vertical="center"/>
      <protection locked="0"/>
    </xf>
    <xf numFmtId="177" fontId="0" fillId="12" borderId="161" xfId="13" applyNumberFormat="1" applyFont="1" applyFill="1" applyBorder="1" applyAlignment="1" applyProtection="1">
      <alignment vertical="center"/>
      <protection locked="0"/>
    </xf>
    <xf numFmtId="0" fontId="0" fillId="12" borderId="168" xfId="0" applyFont="1" applyFill="1" applyBorder="1" applyAlignment="1" applyProtection="1">
      <alignment horizontal="left" vertical="center"/>
      <protection locked="0"/>
    </xf>
    <xf numFmtId="0" fontId="0" fillId="12" borderId="154" xfId="0" applyFont="1" applyFill="1" applyBorder="1" applyAlignment="1" applyProtection="1">
      <alignment horizontal="left" vertical="center"/>
      <protection locked="0"/>
    </xf>
    <xf numFmtId="176" fontId="0" fillId="29" borderId="157" xfId="0" applyNumberFormat="1" applyFont="1" applyFill="1" applyBorder="1" applyAlignment="1" applyProtection="1">
      <alignment vertical="center"/>
    </xf>
    <xf numFmtId="177" fontId="0" fillId="12" borderId="159" xfId="13" applyNumberFormat="1" applyFont="1" applyFill="1" applyBorder="1" applyAlignment="1" applyProtection="1">
      <alignment vertical="center"/>
      <protection locked="0"/>
    </xf>
    <xf numFmtId="176" fontId="0" fillId="29" borderId="160" xfId="0" applyNumberFormat="1" applyFont="1" applyFill="1" applyBorder="1" applyAlignment="1" applyProtection="1">
      <alignment vertical="center"/>
    </xf>
    <xf numFmtId="177" fontId="0" fillId="12" borderId="163" xfId="13" applyNumberFormat="1" applyFont="1" applyFill="1" applyBorder="1" applyAlignment="1" applyProtection="1">
      <alignment vertical="center"/>
      <protection locked="0"/>
    </xf>
    <xf numFmtId="176" fontId="0" fillId="29" borderId="162" xfId="0" applyNumberFormat="1" applyFont="1" applyFill="1" applyBorder="1" applyAlignment="1" applyProtection="1">
      <alignment vertical="center"/>
    </xf>
    <xf numFmtId="176" fontId="0" fillId="29" borderId="174" xfId="0" applyNumberFormat="1" applyFont="1" applyFill="1" applyBorder="1" applyAlignment="1" applyProtection="1">
      <alignment horizontal="right" vertical="center"/>
    </xf>
    <xf numFmtId="176" fontId="0" fillId="29" borderId="195" xfId="0" applyNumberFormat="1" applyFont="1" applyFill="1" applyBorder="1" applyAlignment="1" applyProtection="1">
      <alignment horizontal="right" vertical="center"/>
    </xf>
    <xf numFmtId="176" fontId="0" fillId="29" borderId="196" xfId="0" applyNumberFormat="1" applyFont="1" applyFill="1" applyBorder="1" applyAlignment="1" applyProtection="1">
      <alignment horizontal="right" vertical="center"/>
    </xf>
    <xf numFmtId="176" fontId="22" fillId="28" borderId="170" xfId="0" applyNumberFormat="1" applyFont="1" applyFill="1" applyBorder="1" applyAlignment="1" applyProtection="1">
      <alignment horizontal="center" vertical="center"/>
    </xf>
    <xf numFmtId="176" fontId="23" fillId="28" borderId="83" xfId="0" applyNumberFormat="1" applyFont="1" applyFill="1" applyBorder="1" applyAlignment="1" applyProtection="1">
      <alignment vertical="center"/>
    </xf>
    <xf numFmtId="167" fontId="0" fillId="12" borderId="157" xfId="13" applyNumberFormat="1" applyFont="1" applyFill="1" applyBorder="1" applyAlignment="1" applyProtection="1">
      <alignment vertical="center"/>
      <protection locked="0"/>
    </xf>
    <xf numFmtId="0" fontId="0" fillId="12" borderId="159" xfId="0" applyFont="1" applyFill="1" applyBorder="1" applyAlignment="1" applyProtection="1">
      <alignment horizontal="left" vertical="center"/>
      <protection locked="0"/>
    </xf>
    <xf numFmtId="167" fontId="0" fillId="12" borderId="160" xfId="13" applyNumberFormat="1" applyFont="1" applyFill="1" applyBorder="1" applyAlignment="1" applyProtection="1">
      <alignment vertical="center"/>
      <protection locked="0"/>
    </xf>
    <xf numFmtId="0" fontId="0" fillId="12" borderId="163" xfId="0" applyFont="1" applyFill="1" applyBorder="1" applyAlignment="1" applyProtection="1">
      <alignment horizontal="left" vertical="center"/>
      <protection locked="0"/>
    </xf>
    <xf numFmtId="167" fontId="0" fillId="12" borderId="162" xfId="13" applyNumberFormat="1" applyFont="1" applyFill="1" applyBorder="1" applyAlignment="1" applyProtection="1">
      <alignment vertical="center"/>
      <protection locked="0"/>
    </xf>
    <xf numFmtId="179" fontId="13" fillId="37" borderId="163" xfId="16" applyNumberFormat="1" applyFill="1" applyBorder="1" applyAlignment="1" applyProtection="1">
      <alignment horizontal="center" vertical="center"/>
    </xf>
    <xf numFmtId="179" fontId="13" fillId="37" borderId="161" xfId="16" applyNumberFormat="1" applyFill="1" applyBorder="1" applyAlignment="1" applyProtection="1">
      <alignment horizontal="center" vertical="center"/>
    </xf>
    <xf numFmtId="179" fontId="13" fillId="37" borderId="162" xfId="16" applyNumberFormat="1" applyFill="1" applyBorder="1" applyAlignment="1" applyProtection="1">
      <alignment horizontal="center" vertical="center"/>
    </xf>
    <xf numFmtId="0" fontId="0" fillId="0" borderId="0" xfId="0" applyFont="1"/>
    <xf numFmtId="0" fontId="21" fillId="0" borderId="0" xfId="20" applyFill="1" applyBorder="1" applyAlignment="1" applyProtection="1">
      <alignment vertical="center"/>
    </xf>
    <xf numFmtId="0" fontId="21" fillId="11" borderId="0" xfId="20" applyFill="1" applyBorder="1" applyAlignment="1" applyProtection="1">
      <alignment vertical="center"/>
    </xf>
    <xf numFmtId="0" fontId="21" fillId="0" borderId="0" xfId="20" applyProtection="1"/>
    <xf numFmtId="0" fontId="21" fillId="0" borderId="0" xfId="20" applyBorder="1" applyAlignment="1" applyProtection="1">
      <alignment vertical="center"/>
    </xf>
    <xf numFmtId="0" fontId="21" fillId="0" borderId="0" xfId="20" applyBorder="1" applyAlignment="1" applyProtection="1">
      <alignment horizontal="left" vertical="center"/>
    </xf>
    <xf numFmtId="0" fontId="25" fillId="0" borderId="0" xfId="0" applyFont="1" applyBorder="1" applyAlignment="1" applyProtection="1">
      <alignment horizontal="left" vertical="center"/>
    </xf>
    <xf numFmtId="0" fontId="21" fillId="0" borderId="0" xfId="20" quotePrefix="1" applyBorder="1" applyAlignment="1" applyProtection="1">
      <alignment horizontal="left" vertical="center"/>
    </xf>
    <xf numFmtId="0" fontId="21" fillId="0" borderId="0" xfId="20"/>
    <xf numFmtId="0" fontId="21" fillId="11" borderId="0" xfId="20" applyFill="1" applyBorder="1" applyAlignment="1" applyProtection="1">
      <alignment horizontal="left" vertical="center"/>
    </xf>
    <xf numFmtId="0" fontId="21" fillId="0" borderId="0" xfId="20" applyAlignment="1" applyProtection="1">
      <alignment horizontal="left"/>
    </xf>
    <xf numFmtId="0" fontId="12" fillId="0" borderId="0" xfId="0" applyFont="1" applyBorder="1" applyAlignment="1" applyProtection="1">
      <alignment horizontal="right" vertical="center"/>
    </xf>
    <xf numFmtId="0" fontId="12" fillId="0" borderId="0" xfId="0" applyFont="1" applyFill="1" applyBorder="1" applyAlignment="1" applyProtection="1">
      <alignment horizontal="center" vertical="center"/>
    </xf>
    <xf numFmtId="0" fontId="25" fillId="0" borderId="0" xfId="0" applyFont="1" applyBorder="1" applyAlignment="1" applyProtection="1">
      <alignment horizontal="left" vertical="center" indent="2"/>
    </xf>
    <xf numFmtId="0" fontId="0" fillId="0" borderId="200" xfId="0" applyFont="1" applyFill="1" applyBorder="1" applyAlignment="1" applyProtection="1">
      <alignment horizontal="left" vertical="center"/>
    </xf>
    <xf numFmtId="0" fontId="0" fillId="0" borderId="205" xfId="0" applyFont="1" applyFill="1" applyBorder="1" applyAlignment="1" applyProtection="1">
      <alignment horizontal="left" vertical="center"/>
    </xf>
    <xf numFmtId="0" fontId="0" fillId="0" borderId="204" xfId="0" applyFont="1" applyFill="1" applyBorder="1" applyAlignment="1" applyProtection="1">
      <alignment horizontal="left" vertical="center"/>
    </xf>
    <xf numFmtId="1" fontId="0" fillId="44" borderId="26" xfId="0" applyNumberFormat="1" applyFont="1" applyFill="1" applyBorder="1" applyAlignment="1" applyProtection="1">
      <alignment horizontal="center" vertical="center" wrapText="1"/>
    </xf>
    <xf numFmtId="174" fontId="32" fillId="0" borderId="200" xfId="0" applyNumberFormat="1" applyFont="1" applyFill="1" applyBorder="1" applyAlignment="1" applyProtection="1">
      <alignment horizontal="left"/>
    </xf>
    <xf numFmtId="174" fontId="18" fillId="0" borderId="200" xfId="0" applyNumberFormat="1" applyFont="1" applyFill="1" applyBorder="1" applyAlignment="1" applyProtection="1">
      <alignment horizontal="left"/>
    </xf>
    <xf numFmtId="174" fontId="0" fillId="0" borderId="200" xfId="0" applyNumberFormat="1" applyFont="1" applyFill="1" applyBorder="1" applyAlignment="1" applyProtection="1">
      <alignment horizontal="left"/>
    </xf>
    <xf numFmtId="174" fontId="18" fillId="44" borderId="200" xfId="0" applyNumberFormat="1" applyFont="1" applyFill="1" applyBorder="1" applyAlignment="1" applyProtection="1">
      <alignment horizontal="left"/>
    </xf>
    <xf numFmtId="167" fontId="0" fillId="12" borderId="158" xfId="13" applyNumberFormat="1" applyFont="1" applyFill="1" applyBorder="1" applyAlignment="1" applyProtection="1">
      <alignment vertical="center"/>
      <protection locked="0"/>
    </xf>
    <xf numFmtId="175" fontId="18" fillId="12" borderId="158" xfId="12" applyNumberFormat="1" applyFont="1" applyFill="1" applyBorder="1" applyAlignment="1" applyProtection="1">
      <alignment vertical="center"/>
      <protection locked="0"/>
    </xf>
    <xf numFmtId="167" fontId="18" fillId="12" borderId="158" xfId="13" applyNumberFormat="1" applyFont="1" applyFill="1" applyBorder="1" applyAlignment="1" applyProtection="1">
      <alignment vertical="center"/>
      <protection locked="0"/>
    </xf>
    <xf numFmtId="0" fontId="10" fillId="20" borderId="200" xfId="0" applyFont="1" applyFill="1" applyBorder="1" applyAlignment="1" applyProtection="1">
      <alignment horizontal="left" vertical="center"/>
    </xf>
    <xf numFmtId="174" fontId="18" fillId="0" borderId="155" xfId="0" applyNumberFormat="1" applyFont="1" applyFill="1" applyBorder="1" applyAlignment="1" applyProtection="1">
      <alignment horizontal="left"/>
    </xf>
    <xf numFmtId="167" fontId="10" fillId="20" borderId="158" xfId="13" applyNumberFormat="1" applyFont="1" applyFill="1" applyBorder="1" applyAlignment="1" applyProtection="1">
      <alignment horizontal="center" vertical="center"/>
    </xf>
    <xf numFmtId="167" fontId="10" fillId="22" borderId="158" xfId="13" applyNumberFormat="1" applyFont="1" applyFill="1" applyBorder="1" applyAlignment="1" applyProtection="1">
      <alignment vertical="center"/>
    </xf>
    <xf numFmtId="0" fontId="10" fillId="23" borderId="200" xfId="0" applyFont="1" applyFill="1" applyBorder="1" applyAlignment="1" applyProtection="1">
      <alignment horizontal="left" vertical="center"/>
    </xf>
    <xf numFmtId="0" fontId="12" fillId="32" borderId="48" xfId="0" applyFont="1" applyFill="1" applyBorder="1" applyAlignment="1" applyProtection="1">
      <alignment vertical="center"/>
    </xf>
    <xf numFmtId="167" fontId="10" fillId="28" borderId="204" xfId="13" applyNumberFormat="1" applyFont="1" applyFill="1" applyBorder="1" applyAlignment="1" applyProtection="1">
      <alignment vertical="center"/>
    </xf>
    <xf numFmtId="167" fontId="10" fillId="20" borderId="203" xfId="13" applyNumberFormat="1" applyFont="1" applyFill="1" applyBorder="1" applyAlignment="1" applyProtection="1">
      <alignment horizontal="center" vertical="center"/>
    </xf>
    <xf numFmtId="167" fontId="10" fillId="23" borderId="203" xfId="13" applyNumberFormat="1" applyFont="1" applyFill="1" applyBorder="1" applyAlignment="1" applyProtection="1">
      <alignment horizontal="center" vertical="center"/>
    </xf>
    <xf numFmtId="167" fontId="10" fillId="20" borderId="204" xfId="13" applyNumberFormat="1" applyFont="1" applyFill="1" applyBorder="1" applyAlignment="1" applyProtection="1">
      <alignment vertical="center"/>
    </xf>
    <xf numFmtId="167" fontId="10" fillId="28" borderId="198" xfId="13" applyNumberFormat="1" applyFont="1" applyFill="1" applyBorder="1" applyAlignment="1" applyProtection="1">
      <alignment vertical="center"/>
    </xf>
    <xf numFmtId="167" fontId="10" fillId="23" borderId="204" xfId="13" applyNumberFormat="1" applyFont="1" applyFill="1" applyBorder="1" applyAlignment="1" applyProtection="1">
      <alignment horizontal="center" vertical="center"/>
    </xf>
    <xf numFmtId="167" fontId="18" fillId="29" borderId="158" xfId="13" applyNumberFormat="1" applyFont="1" applyFill="1" applyBorder="1" applyAlignment="1" applyProtection="1">
      <alignment vertical="center"/>
    </xf>
    <xf numFmtId="167" fontId="10" fillId="23" borderId="158" xfId="13" applyNumberFormat="1" applyFont="1" applyFill="1" applyBorder="1" applyAlignment="1" applyProtection="1">
      <alignment horizontal="center" vertical="center"/>
    </xf>
    <xf numFmtId="167" fontId="10" fillId="24" borderId="158" xfId="13" applyNumberFormat="1" applyFont="1" applyFill="1" applyBorder="1" applyAlignment="1" applyProtection="1">
      <alignment vertical="center"/>
    </xf>
    <xf numFmtId="167" fontId="10" fillId="20" borderId="158" xfId="13" applyNumberFormat="1" applyFont="1" applyFill="1" applyBorder="1" applyAlignment="1" applyProtection="1">
      <alignment vertical="center"/>
    </xf>
    <xf numFmtId="166" fontId="12" fillId="32" borderId="158" xfId="13" applyNumberFormat="1" applyFont="1" applyFill="1" applyBorder="1" applyAlignment="1" applyProtection="1">
      <alignment vertical="center"/>
    </xf>
    <xf numFmtId="166" fontId="12" fillId="33" borderId="158" xfId="13" applyNumberFormat="1" applyFont="1" applyFill="1" applyBorder="1" applyAlignment="1" applyProtection="1">
      <alignment vertical="center"/>
    </xf>
    <xf numFmtId="0" fontId="12" fillId="17" borderId="158" xfId="0" applyFont="1" applyFill="1" applyBorder="1" applyAlignment="1" applyProtection="1">
      <alignment horizontal="center" vertical="center" wrapText="1"/>
    </xf>
    <xf numFmtId="173" fontId="12" fillId="17" borderId="158" xfId="12" applyNumberFormat="1" applyFont="1" applyFill="1" applyBorder="1" applyAlignment="1" applyProtection="1">
      <alignment horizontal="center" vertical="center" wrapText="1"/>
    </xf>
    <xf numFmtId="0" fontId="10" fillId="17" borderId="158" xfId="0" applyFont="1" applyFill="1" applyBorder="1" applyAlignment="1" applyProtection="1">
      <alignment horizontal="center" vertical="center"/>
    </xf>
    <xf numFmtId="167" fontId="12" fillId="41" borderId="158" xfId="13" applyNumberFormat="1" applyFont="1" applyFill="1" applyBorder="1" applyAlignment="1" applyProtection="1">
      <alignment vertical="center"/>
    </xf>
    <xf numFmtId="167" fontId="12" fillId="42" borderId="158" xfId="13" applyNumberFormat="1" applyFont="1" applyFill="1" applyBorder="1" applyAlignment="1" applyProtection="1">
      <alignment vertical="center"/>
    </xf>
    <xf numFmtId="167" fontId="18" fillId="1" borderId="158" xfId="13" applyNumberFormat="1" applyFont="1" applyFill="1" applyBorder="1" applyAlignment="1" applyProtection="1">
      <alignment vertical="center"/>
    </xf>
    <xf numFmtId="175" fontId="18" fillId="1" borderId="158" xfId="12" applyNumberFormat="1" applyFont="1" applyFill="1" applyBorder="1" applyAlignment="1" applyProtection="1">
      <alignment vertical="center"/>
    </xf>
    <xf numFmtId="0" fontId="12" fillId="0" borderId="0" xfId="0" applyFont="1" applyBorder="1" applyAlignment="1" applyProtection="1">
      <alignment horizontal="right" vertical="center"/>
      <protection locked="0"/>
    </xf>
    <xf numFmtId="1" fontId="0" fillId="0" borderId="202" xfId="0" applyNumberFormat="1" applyBorder="1" applyAlignment="1" applyProtection="1">
      <alignment horizontal="center"/>
    </xf>
    <xf numFmtId="1" fontId="0" fillId="0" borderId="207" xfId="0" applyNumberFormat="1" applyBorder="1" applyAlignment="1" applyProtection="1"/>
    <xf numFmtId="1" fontId="32" fillId="0" borderId="207" xfId="0" applyNumberFormat="1" applyFont="1" applyBorder="1" applyAlignment="1" applyProtection="1"/>
    <xf numFmtId="167" fontId="0" fillId="46" borderId="158" xfId="13" applyNumberFormat="1" applyFont="1" applyFill="1" applyBorder="1" applyAlignment="1" applyProtection="1">
      <alignment vertical="center"/>
    </xf>
    <xf numFmtId="177" fontId="0" fillId="29" borderId="157" xfId="13" applyNumberFormat="1" applyFont="1" applyFill="1" applyBorder="1" applyAlignment="1" applyProtection="1">
      <alignment vertical="center"/>
    </xf>
    <xf numFmtId="167" fontId="0" fillId="0" borderId="0" xfId="0" applyNumberFormat="1" applyFont="1" applyAlignment="1" applyProtection="1">
      <alignment vertical="center"/>
    </xf>
    <xf numFmtId="167" fontId="12" fillId="0" borderId="0" xfId="0" applyNumberFormat="1" applyFont="1" applyAlignment="1" applyProtection="1">
      <alignment vertical="center"/>
    </xf>
    <xf numFmtId="0" fontId="0" fillId="12" borderId="87" xfId="0" applyFont="1" applyFill="1" applyBorder="1" applyAlignment="1" applyProtection="1">
      <alignment horizontal="left" vertical="center"/>
      <protection locked="0"/>
    </xf>
    <xf numFmtId="0" fontId="0" fillId="46" borderId="208" xfId="0" applyFont="1" applyFill="1" applyBorder="1" applyAlignment="1" applyProtection="1">
      <alignment horizontal="left" vertical="center"/>
    </xf>
    <xf numFmtId="177" fontId="0" fillId="46" borderId="208" xfId="13" applyNumberFormat="1" applyFont="1" applyFill="1" applyBorder="1" applyAlignment="1" applyProtection="1">
      <alignment vertical="center"/>
    </xf>
    <xf numFmtId="177" fontId="0" fillId="46" borderId="212" xfId="13" applyNumberFormat="1" applyFont="1" applyFill="1" applyBorder="1" applyAlignment="1" applyProtection="1">
      <alignment vertical="center"/>
    </xf>
    <xf numFmtId="178" fontId="0" fillId="12" borderId="208" xfId="13" applyNumberFormat="1" applyFont="1" applyFill="1" applyBorder="1" applyAlignment="1" applyProtection="1">
      <alignment horizontal="center" vertical="center"/>
      <protection locked="0"/>
    </xf>
    <xf numFmtId="178" fontId="12" fillId="29" borderId="209" xfId="0" applyNumberFormat="1" applyFont="1" applyFill="1" applyBorder="1" applyAlignment="1" applyProtection="1">
      <alignment vertical="center"/>
    </xf>
    <xf numFmtId="167" fontId="0" fillId="0" borderId="216" xfId="0" applyNumberFormat="1" applyFont="1" applyFill="1" applyBorder="1" applyAlignment="1" applyProtection="1">
      <alignment vertical="center"/>
    </xf>
    <xf numFmtId="167" fontId="12" fillId="35" borderId="217" xfId="0" applyNumberFormat="1" applyFont="1" applyFill="1" applyBorder="1" applyAlignment="1" applyProtection="1">
      <alignment horizontal="center" vertical="center" wrapText="1"/>
    </xf>
    <xf numFmtId="167" fontId="12" fillId="35" borderId="218" xfId="0" applyNumberFormat="1" applyFont="1" applyFill="1" applyBorder="1" applyAlignment="1" applyProtection="1">
      <alignment horizontal="center" vertical="center" wrapText="1"/>
    </xf>
    <xf numFmtId="167" fontId="12" fillId="35" borderId="219" xfId="0" applyNumberFormat="1" applyFont="1" applyFill="1" applyBorder="1" applyAlignment="1" applyProtection="1">
      <alignment horizontal="center" vertical="center" wrapText="1"/>
    </xf>
    <xf numFmtId="167" fontId="0" fillId="10" borderId="158" xfId="13" applyNumberFormat="1" applyFont="1" applyFill="1" applyBorder="1" applyAlignment="1" applyProtection="1">
      <alignment horizontal="right" vertical="center"/>
    </xf>
    <xf numFmtId="172" fontId="0" fillId="0" borderId="158" xfId="12" applyNumberFormat="1" applyFont="1" applyFill="1" applyBorder="1" applyAlignment="1" applyProtection="1">
      <alignment vertical="center"/>
    </xf>
    <xf numFmtId="167" fontId="0" fillId="0" borderId="145" xfId="0" applyNumberFormat="1" applyFont="1" applyFill="1" applyBorder="1" applyAlignment="1" applyProtection="1">
      <alignment vertical="center"/>
    </xf>
    <xf numFmtId="167" fontId="13" fillId="0" borderId="156" xfId="13" applyNumberFormat="1" applyFont="1" applyFill="1" applyBorder="1" applyAlignment="1" applyProtection="1">
      <alignment vertical="center"/>
    </xf>
    <xf numFmtId="167" fontId="0" fillId="10" borderId="156" xfId="13" applyNumberFormat="1" applyFont="1" applyFill="1" applyBorder="1" applyAlignment="1" applyProtection="1">
      <alignment horizontal="right" vertical="center"/>
    </xf>
    <xf numFmtId="167" fontId="12" fillId="40" borderId="222" xfId="0" applyNumberFormat="1" applyFont="1" applyFill="1" applyBorder="1" applyAlignment="1" applyProtection="1">
      <alignment vertical="center"/>
    </xf>
    <xf numFmtId="167" fontId="12" fillId="40" borderId="161" xfId="13" applyNumberFormat="1" applyFont="1" applyFill="1" applyBorder="1" applyAlignment="1" applyProtection="1">
      <alignment vertical="center"/>
    </xf>
    <xf numFmtId="167" fontId="12" fillId="40" borderId="161" xfId="13" applyNumberFormat="1" applyFont="1" applyFill="1" applyBorder="1" applyAlignment="1" applyProtection="1">
      <alignment horizontal="right" vertical="center"/>
    </xf>
    <xf numFmtId="167" fontId="0" fillId="0" borderId="156" xfId="13" applyNumberFormat="1" applyFont="1" applyFill="1" applyBorder="1" applyAlignment="1" applyProtection="1">
      <alignment vertical="center"/>
    </xf>
    <xf numFmtId="167" fontId="13" fillId="0" borderId="87" xfId="13" applyNumberFormat="1" applyFont="1" applyFill="1" applyBorder="1" applyAlignment="1" applyProtection="1">
      <alignment vertical="center"/>
    </xf>
    <xf numFmtId="167" fontId="13" fillId="0" borderId="157" xfId="13" applyNumberFormat="1" applyFont="1" applyFill="1" applyBorder="1" applyAlignment="1" applyProtection="1">
      <alignment vertical="center"/>
    </xf>
    <xf numFmtId="172" fontId="0" fillId="0" borderId="159" xfId="12" applyNumberFormat="1" applyFont="1" applyFill="1" applyBorder="1" applyAlignment="1" applyProtection="1">
      <alignment vertical="center"/>
    </xf>
    <xf numFmtId="172" fontId="0" fillId="0" borderId="160" xfId="12" applyNumberFormat="1" applyFont="1" applyFill="1" applyBorder="1" applyAlignment="1" applyProtection="1">
      <alignment vertical="center"/>
    </xf>
    <xf numFmtId="167" fontId="12" fillId="40" borderId="163" xfId="13" applyNumberFormat="1" applyFont="1" applyFill="1" applyBorder="1" applyAlignment="1" applyProtection="1">
      <alignment vertical="center"/>
    </xf>
    <xf numFmtId="167" fontId="12" fillId="40" borderId="162" xfId="13" applyNumberFormat="1" applyFont="1" applyFill="1" applyBorder="1" applyAlignment="1" applyProtection="1">
      <alignment vertical="center"/>
    </xf>
    <xf numFmtId="167" fontId="0" fillId="10" borderId="201" xfId="13" applyNumberFormat="1" applyFont="1" applyFill="1" applyBorder="1" applyAlignment="1" applyProtection="1">
      <alignment horizontal="right" vertical="center"/>
    </xf>
    <xf numFmtId="167" fontId="0" fillId="10" borderId="176" xfId="13" applyNumberFormat="1" applyFont="1" applyFill="1" applyBorder="1" applyAlignment="1" applyProtection="1">
      <alignment horizontal="right" vertical="center"/>
    </xf>
    <xf numFmtId="167" fontId="12" fillId="40" borderId="175" xfId="13" applyNumberFormat="1" applyFont="1" applyFill="1" applyBorder="1" applyAlignment="1" applyProtection="1">
      <alignment horizontal="right" vertical="center"/>
    </xf>
    <xf numFmtId="167" fontId="0" fillId="0" borderId="87" xfId="13" applyNumberFormat="1" applyFont="1" applyFill="1" applyBorder="1" applyAlignment="1" applyProtection="1">
      <alignment vertical="center"/>
    </xf>
    <xf numFmtId="167" fontId="13" fillId="44" borderId="94" xfId="13" applyNumberFormat="1" applyFont="1" applyFill="1" applyBorder="1" applyAlignment="1" applyProtection="1">
      <alignment vertical="center"/>
    </xf>
    <xf numFmtId="172" fontId="0" fillId="12" borderId="168" xfId="12" applyNumberFormat="1" applyFont="1" applyFill="1" applyBorder="1" applyAlignment="1" applyProtection="1">
      <alignment vertical="center"/>
      <protection locked="0"/>
    </xf>
    <xf numFmtId="167" fontId="12" fillId="40" borderId="154" xfId="13" applyNumberFormat="1" applyFont="1" applyFill="1" applyBorder="1" applyAlignment="1" applyProtection="1">
      <alignment vertical="center"/>
    </xf>
    <xf numFmtId="167" fontId="12" fillId="40" borderId="188" xfId="13" applyNumberFormat="1" applyFont="1" applyFill="1" applyBorder="1" applyAlignment="1" applyProtection="1">
      <alignment horizontal="right" vertical="center"/>
    </xf>
    <xf numFmtId="0" fontId="12" fillId="15" borderId="199" xfId="0" applyFont="1" applyFill="1" applyBorder="1" applyAlignment="1" applyProtection="1">
      <alignment horizontal="center" vertical="center" wrapText="1"/>
    </xf>
    <xf numFmtId="167" fontId="17" fillId="36" borderId="146" xfId="0" applyNumberFormat="1" applyFont="1" applyFill="1" applyBorder="1" applyAlignment="1" applyProtection="1">
      <alignment horizontal="center" vertical="center" wrapText="1"/>
    </xf>
    <xf numFmtId="167" fontId="17" fillId="36" borderId="232" xfId="0" applyNumberFormat="1" applyFont="1" applyFill="1" applyBorder="1" applyAlignment="1" applyProtection="1">
      <alignment horizontal="center" vertical="center" wrapText="1"/>
    </xf>
    <xf numFmtId="0" fontId="17" fillId="36" borderId="145" xfId="0" applyFont="1" applyFill="1" applyBorder="1" applyAlignment="1" applyProtection="1">
      <alignment horizontal="center" vertical="center" wrapText="1"/>
    </xf>
    <xf numFmtId="0" fontId="17" fillId="25" borderId="233" xfId="0" applyFont="1" applyFill="1" applyBorder="1" applyAlignment="1" applyProtection="1">
      <alignment horizontal="center" vertical="center" wrapText="1"/>
    </xf>
    <xf numFmtId="0" fontId="17" fillId="25" borderId="230" xfId="0" applyFont="1" applyFill="1" applyBorder="1" applyAlignment="1" applyProtection="1">
      <alignment horizontal="center" vertical="center" wrapText="1"/>
    </xf>
    <xf numFmtId="0" fontId="17" fillId="25" borderId="146" xfId="0" applyFont="1" applyFill="1" applyBorder="1" applyAlignment="1" applyProtection="1">
      <alignment horizontal="center" vertical="center" wrapText="1"/>
    </xf>
    <xf numFmtId="0" fontId="12" fillId="15" borderId="149" xfId="0" applyFont="1" applyFill="1" applyBorder="1" applyAlignment="1" applyProtection="1">
      <alignment horizontal="center" vertical="center" wrapText="1"/>
    </xf>
    <xf numFmtId="0" fontId="12" fillId="0" borderId="234" xfId="0" applyFont="1" applyFill="1" applyBorder="1" applyAlignment="1" applyProtection="1">
      <alignment horizontal="left" vertical="center"/>
    </xf>
    <xf numFmtId="167" fontId="0" fillId="29" borderId="210" xfId="13" applyNumberFormat="1" applyFont="1" applyFill="1" applyBorder="1" applyAlignment="1" applyProtection="1">
      <alignment vertical="center"/>
    </xf>
    <xf numFmtId="167" fontId="0" fillId="29" borderId="216" xfId="13" applyNumberFormat="1" applyFont="1" applyFill="1" applyBorder="1" applyAlignment="1" applyProtection="1">
      <alignment vertical="center"/>
    </xf>
    <xf numFmtId="167" fontId="12" fillId="29" borderId="235" xfId="13" applyNumberFormat="1" applyFont="1" applyFill="1" applyBorder="1" applyAlignment="1" applyProtection="1">
      <alignment vertical="center"/>
    </xf>
    <xf numFmtId="167" fontId="0" fillId="19" borderId="236" xfId="13" applyNumberFormat="1" applyFont="1" applyFill="1" applyBorder="1" applyAlignment="1" applyProtection="1">
      <alignment vertical="center"/>
    </xf>
    <xf numFmtId="167" fontId="0" fillId="19" borderId="237" xfId="13" applyNumberFormat="1" applyFont="1" applyFill="1" applyBorder="1" applyAlignment="1" applyProtection="1">
      <alignment vertical="center"/>
    </xf>
    <xf numFmtId="167" fontId="12" fillId="19" borderId="210" xfId="13" applyNumberFormat="1" applyFont="1" applyFill="1" applyBorder="1" applyAlignment="1" applyProtection="1">
      <alignment vertical="center"/>
    </xf>
    <xf numFmtId="167" fontId="12" fillId="0" borderId="238" xfId="13" applyNumberFormat="1" applyFont="1" applyFill="1" applyBorder="1" applyAlignment="1" applyProtection="1">
      <alignment vertical="center"/>
    </xf>
    <xf numFmtId="0" fontId="12" fillId="15" borderId="239" xfId="0" applyFont="1" applyFill="1" applyBorder="1" applyAlignment="1" applyProtection="1">
      <alignment horizontal="center" vertical="center"/>
    </xf>
    <xf numFmtId="167" fontId="22" fillId="15" borderId="240" xfId="13" applyNumberFormat="1" applyFont="1" applyFill="1" applyBorder="1" applyAlignment="1" applyProtection="1">
      <alignment vertical="center"/>
    </xf>
    <xf numFmtId="167" fontId="22" fillId="15" borderId="241" xfId="13" applyNumberFormat="1" applyFont="1" applyFill="1" applyBorder="1" applyAlignment="1" applyProtection="1">
      <alignment vertical="center"/>
    </xf>
    <xf numFmtId="167" fontId="22" fillId="15" borderId="242" xfId="13" applyNumberFormat="1" applyFont="1" applyFill="1" applyBorder="1" applyAlignment="1" applyProtection="1">
      <alignment vertical="center"/>
    </xf>
    <xf numFmtId="167" fontId="12" fillId="40" borderId="211" xfId="13" applyNumberFormat="1" applyFont="1" applyFill="1" applyBorder="1" applyAlignment="1" applyProtection="1">
      <alignment horizontal="right" vertical="center"/>
    </xf>
    <xf numFmtId="167" fontId="12" fillId="40" borderId="243" xfId="13" applyNumberFormat="1" applyFont="1" applyFill="1" applyBorder="1" applyAlignment="1" applyProtection="1">
      <alignment horizontal="right" vertical="center"/>
    </xf>
    <xf numFmtId="167" fontId="12" fillId="40" borderId="244" xfId="13" applyNumberFormat="1" applyFont="1" applyFill="1" applyBorder="1" applyAlignment="1" applyProtection="1">
      <alignment vertical="center"/>
    </xf>
    <xf numFmtId="167" fontId="12" fillId="40" borderId="169" xfId="13" applyNumberFormat="1" applyFont="1" applyFill="1" applyBorder="1" applyAlignment="1" applyProtection="1">
      <alignment horizontal="right" vertical="center"/>
    </xf>
    <xf numFmtId="178" fontId="0" fillId="12" borderId="245" xfId="13" applyNumberFormat="1" applyFont="1" applyFill="1" applyBorder="1" applyAlignment="1" applyProtection="1">
      <alignment horizontal="center" vertical="center"/>
      <protection locked="0"/>
    </xf>
    <xf numFmtId="178" fontId="0" fillId="12" borderId="213" xfId="13" applyNumberFormat="1" applyFont="1" applyFill="1" applyBorder="1" applyAlignment="1" applyProtection="1">
      <alignment horizontal="center" vertical="center"/>
      <protection locked="0"/>
    </xf>
    <xf numFmtId="178" fontId="0" fillId="12" borderId="175" xfId="13" applyNumberFormat="1" applyFont="1" applyFill="1" applyBorder="1" applyAlignment="1" applyProtection="1">
      <alignment horizontal="center" vertical="center"/>
      <protection locked="0"/>
    </xf>
    <xf numFmtId="0" fontId="0" fillId="0" borderId="186" xfId="0" applyFont="1" applyFill="1" applyBorder="1" applyAlignment="1" applyProtection="1">
      <alignment horizontal="left" vertical="center"/>
    </xf>
    <xf numFmtId="0" fontId="0" fillId="0" borderId="187" xfId="0" applyFont="1" applyFill="1" applyBorder="1" applyAlignment="1" applyProtection="1">
      <alignment horizontal="left" vertical="center"/>
    </xf>
    <xf numFmtId="0" fontId="0" fillId="0" borderId="188" xfId="0" applyFont="1" applyFill="1" applyBorder="1" applyAlignment="1" applyProtection="1">
      <alignment horizontal="left" vertical="center"/>
    </xf>
    <xf numFmtId="169" fontId="0" fillId="46" borderId="158" xfId="13" applyNumberFormat="1" applyFont="1" applyFill="1" applyBorder="1" applyAlignment="1" applyProtection="1">
      <alignment horizontal="center" vertical="center"/>
    </xf>
    <xf numFmtId="169" fontId="0" fillId="46" borderId="156" xfId="13" applyNumberFormat="1" applyFont="1" applyFill="1" applyBorder="1" applyAlignment="1" applyProtection="1">
      <alignment horizontal="center" vertical="center"/>
    </xf>
    <xf numFmtId="169" fontId="0" fillId="12" borderId="159" xfId="13" applyNumberFormat="1" applyFont="1" applyFill="1" applyBorder="1" applyAlignment="1" applyProtection="1">
      <alignment horizontal="center" vertical="center"/>
      <protection locked="0"/>
    </xf>
    <xf numFmtId="169" fontId="0" fillId="46" borderId="168" xfId="13" applyNumberFormat="1" applyFont="1" applyFill="1" applyBorder="1" applyAlignment="1" applyProtection="1">
      <alignment horizontal="center" vertical="center"/>
    </xf>
    <xf numFmtId="177" fontId="0" fillId="29" borderId="158" xfId="13" applyNumberFormat="1" applyFont="1" applyFill="1" applyBorder="1" applyAlignment="1" applyProtection="1">
      <alignment vertical="center"/>
    </xf>
    <xf numFmtId="177" fontId="0" fillId="29" borderId="156" xfId="13" applyNumberFormat="1" applyFont="1" applyFill="1" applyBorder="1" applyAlignment="1" applyProtection="1">
      <alignment vertical="center"/>
    </xf>
    <xf numFmtId="177" fontId="0" fillId="29" borderId="159" xfId="13" applyNumberFormat="1" applyFont="1" applyFill="1" applyBorder="1" applyAlignment="1" applyProtection="1">
      <alignment vertical="center"/>
    </xf>
    <xf numFmtId="177" fontId="0" fillId="29" borderId="160" xfId="13" applyNumberFormat="1" applyFont="1" applyFill="1" applyBorder="1" applyAlignment="1" applyProtection="1">
      <alignment vertical="center"/>
    </xf>
    <xf numFmtId="166" fontId="0" fillId="0" borderId="165" xfId="13" applyNumberFormat="1" applyFont="1" applyFill="1" applyBorder="1" applyAlignment="1" applyProtection="1">
      <alignment vertical="center"/>
    </xf>
    <xf numFmtId="166" fontId="0" fillId="0" borderId="250" xfId="13" applyNumberFormat="1" applyFont="1" applyFill="1" applyBorder="1" applyAlignment="1" applyProtection="1">
      <alignment vertical="center"/>
    </xf>
    <xf numFmtId="166" fontId="0" fillId="0" borderId="166" xfId="13" applyNumberFormat="1" applyFont="1" applyFill="1" applyBorder="1" applyAlignment="1" applyProtection="1">
      <alignment vertical="center"/>
    </xf>
    <xf numFmtId="167" fontId="0" fillId="29" borderId="158" xfId="13" applyNumberFormat="1" applyFont="1" applyFill="1" applyBorder="1" applyAlignment="1" applyProtection="1">
      <alignment vertical="center"/>
    </xf>
    <xf numFmtId="167" fontId="0" fillId="29" borderId="87" xfId="13" applyNumberFormat="1" applyFont="1" applyFill="1" applyBorder="1" applyAlignment="1" applyProtection="1">
      <alignment vertical="center"/>
    </xf>
    <xf numFmtId="167" fontId="0" fillId="29" borderId="156" xfId="13" applyNumberFormat="1" applyFont="1" applyFill="1" applyBorder="1" applyAlignment="1" applyProtection="1">
      <alignment vertical="center"/>
    </xf>
    <xf numFmtId="167" fontId="0" fillId="29" borderId="157" xfId="13" applyNumberFormat="1" applyFont="1" applyFill="1" applyBorder="1" applyAlignment="1" applyProtection="1">
      <alignment vertical="center"/>
    </xf>
    <xf numFmtId="167" fontId="0" fillId="29" borderId="159" xfId="13" applyNumberFormat="1" applyFont="1" applyFill="1" applyBorder="1" applyAlignment="1" applyProtection="1">
      <alignment vertical="center"/>
    </xf>
    <xf numFmtId="167" fontId="0" fillId="29" borderId="160" xfId="13" applyNumberFormat="1" applyFont="1" applyFill="1" applyBorder="1" applyAlignment="1" applyProtection="1">
      <alignment vertical="center"/>
    </xf>
    <xf numFmtId="167" fontId="0" fillId="29" borderId="163" xfId="13" applyNumberFormat="1" applyFont="1" applyFill="1" applyBorder="1" applyAlignment="1" applyProtection="1">
      <alignment vertical="center"/>
    </xf>
    <xf numFmtId="167" fontId="0" fillId="29" borderId="161" xfId="13" applyNumberFormat="1" applyFont="1" applyFill="1" applyBorder="1" applyAlignment="1" applyProtection="1">
      <alignment vertical="center"/>
    </xf>
    <xf numFmtId="167" fontId="0" fillId="29" borderId="162" xfId="13" applyNumberFormat="1" applyFont="1" applyFill="1" applyBorder="1" applyAlignment="1" applyProtection="1">
      <alignment vertical="center"/>
    </xf>
    <xf numFmtId="167" fontId="0" fillId="29" borderId="94" xfId="13" applyNumberFormat="1" applyFont="1" applyFill="1" applyBorder="1" applyAlignment="1" applyProtection="1">
      <alignment vertical="center"/>
    </xf>
    <xf numFmtId="167" fontId="0" fillId="29" borderId="168" xfId="13" applyNumberFormat="1" applyFont="1" applyFill="1" applyBorder="1" applyAlignment="1" applyProtection="1">
      <alignment vertical="center"/>
    </xf>
    <xf numFmtId="167" fontId="0" fillId="37" borderId="158" xfId="13" applyNumberFormat="1" applyFont="1" applyFill="1" applyBorder="1" applyAlignment="1" applyProtection="1">
      <alignment vertical="center"/>
    </xf>
    <xf numFmtId="167" fontId="0" fillId="37" borderId="87" xfId="13" applyNumberFormat="1" applyFont="1" applyFill="1" applyBorder="1" applyAlignment="1" applyProtection="1">
      <alignment vertical="center"/>
    </xf>
    <xf numFmtId="167" fontId="0" fillId="37" borderId="156" xfId="13" applyNumberFormat="1" applyFont="1" applyFill="1" applyBorder="1" applyAlignment="1" applyProtection="1">
      <alignment vertical="center"/>
    </xf>
    <xf numFmtId="167" fontId="0" fillId="37" borderId="159" xfId="13" applyNumberFormat="1" applyFont="1" applyFill="1" applyBorder="1" applyAlignment="1" applyProtection="1">
      <alignment vertical="center"/>
    </xf>
    <xf numFmtId="167" fontId="0" fillId="37" borderId="94" xfId="13" applyNumberFormat="1" applyFont="1" applyFill="1" applyBorder="1" applyAlignment="1" applyProtection="1">
      <alignment vertical="center"/>
    </xf>
    <xf numFmtId="167" fontId="0" fillId="37" borderId="168" xfId="13" applyNumberFormat="1" applyFont="1" applyFill="1" applyBorder="1" applyAlignment="1" applyProtection="1">
      <alignment vertical="center"/>
    </xf>
    <xf numFmtId="167" fontId="0" fillId="0" borderId="158" xfId="13" applyNumberFormat="1" applyFont="1" applyFill="1" applyBorder="1" applyAlignment="1" applyProtection="1">
      <alignment vertical="center"/>
    </xf>
    <xf numFmtId="167" fontId="0" fillId="0" borderId="159" xfId="13" applyNumberFormat="1" applyFont="1" applyFill="1" applyBorder="1" applyAlignment="1" applyProtection="1">
      <alignment vertical="center"/>
    </xf>
    <xf numFmtId="167" fontId="0" fillId="0" borderId="94" xfId="13" applyNumberFormat="1" applyFont="1" applyFill="1" applyBorder="1" applyAlignment="1" applyProtection="1">
      <alignment vertical="center"/>
    </xf>
    <xf numFmtId="167" fontId="0" fillId="0" borderId="168" xfId="13" applyNumberFormat="1" applyFont="1" applyFill="1" applyBorder="1" applyAlignment="1" applyProtection="1">
      <alignment vertical="center"/>
    </xf>
    <xf numFmtId="169" fontId="0" fillId="0" borderId="158" xfId="0" applyNumberFormat="1" applyFont="1" applyFill="1" applyBorder="1" applyAlignment="1" applyProtection="1">
      <alignment horizontal="center" vertical="center"/>
    </xf>
    <xf numFmtId="169" fontId="0" fillId="0" borderId="87" xfId="0" applyNumberFormat="1" applyFont="1" applyFill="1" applyBorder="1" applyAlignment="1" applyProtection="1">
      <alignment horizontal="center" vertical="center"/>
    </xf>
    <xf numFmtId="169" fontId="0" fillId="0" borderId="156" xfId="0" applyNumberFormat="1" applyFont="1" applyFill="1" applyBorder="1" applyAlignment="1" applyProtection="1">
      <alignment horizontal="center" vertical="center"/>
    </xf>
    <xf numFmtId="169" fontId="0" fillId="0" borderId="157" xfId="0" applyNumberFormat="1" applyFont="1" applyFill="1" applyBorder="1" applyAlignment="1" applyProtection="1">
      <alignment horizontal="center" vertical="center"/>
    </xf>
    <xf numFmtId="169" fontId="0" fillId="0" borderId="159" xfId="0" applyNumberFormat="1" applyFont="1" applyFill="1" applyBorder="1" applyAlignment="1" applyProtection="1">
      <alignment horizontal="center" vertical="center"/>
    </xf>
    <xf numFmtId="169" fontId="0" fillId="0" borderId="160" xfId="0" applyNumberFormat="1" applyFont="1" applyFill="1" applyBorder="1" applyAlignment="1" applyProtection="1">
      <alignment horizontal="center" vertical="center"/>
    </xf>
    <xf numFmtId="167" fontId="12" fillId="35" borderId="251" xfId="0" applyNumberFormat="1" applyFont="1" applyFill="1" applyBorder="1" applyAlignment="1" applyProtection="1">
      <alignment horizontal="center" vertical="center" wrapText="1"/>
    </xf>
    <xf numFmtId="167" fontId="12" fillId="35" borderId="252" xfId="0" applyNumberFormat="1" applyFont="1" applyFill="1" applyBorder="1" applyAlignment="1" applyProtection="1">
      <alignment horizontal="center" vertical="center" wrapText="1"/>
    </xf>
    <xf numFmtId="167" fontId="12" fillId="35" borderId="253" xfId="0" applyNumberFormat="1" applyFont="1" applyFill="1" applyBorder="1" applyAlignment="1" applyProtection="1">
      <alignment horizontal="center" vertical="center" wrapText="1"/>
    </xf>
    <xf numFmtId="167" fontId="12" fillId="15" borderId="254" xfId="0" applyNumberFormat="1" applyFont="1" applyFill="1" applyBorder="1" applyAlignment="1" applyProtection="1">
      <alignment horizontal="center" vertical="center" wrapText="1"/>
    </xf>
    <xf numFmtId="167" fontId="12" fillId="15" borderId="252" xfId="0" applyNumberFormat="1" applyFont="1" applyFill="1" applyBorder="1" applyAlignment="1" applyProtection="1">
      <alignment horizontal="center" vertical="center" wrapText="1"/>
    </xf>
    <xf numFmtId="167" fontId="12" fillId="15" borderId="255" xfId="0" applyNumberFormat="1" applyFont="1" applyFill="1" applyBorder="1" applyAlignment="1" applyProtection="1">
      <alignment horizontal="center" vertical="center" wrapText="1"/>
    </xf>
    <xf numFmtId="0" fontId="12" fillId="15" borderId="251" xfId="0" applyFont="1" applyFill="1" applyBorder="1" applyAlignment="1" applyProtection="1">
      <alignment horizontal="center" vertical="center"/>
    </xf>
    <xf numFmtId="0" fontId="12" fillId="15" borderId="256" xfId="0" applyFont="1" applyFill="1" applyBorder="1" applyAlignment="1" applyProtection="1">
      <alignment horizontal="center" vertical="center"/>
    </xf>
    <xf numFmtId="166" fontId="0" fillId="0" borderId="257" xfId="13" applyNumberFormat="1" applyFont="1" applyFill="1" applyBorder="1" applyAlignment="1" applyProtection="1">
      <alignment vertical="center"/>
    </xf>
    <xf numFmtId="166" fontId="0" fillId="0" borderId="258" xfId="13" applyNumberFormat="1" applyFont="1" applyFill="1" applyBorder="1" applyAlignment="1" applyProtection="1">
      <alignment vertical="center"/>
    </xf>
    <xf numFmtId="166" fontId="0" fillId="0" borderId="259" xfId="13" applyNumberFormat="1" applyFont="1" applyFill="1" applyBorder="1" applyAlignment="1" applyProtection="1">
      <alignment vertical="center"/>
    </xf>
    <xf numFmtId="179" fontId="13" fillId="37" borderId="87" xfId="16" applyNumberFormat="1" applyFill="1" applyBorder="1" applyAlignment="1" applyProtection="1">
      <alignment horizontal="center" vertical="center"/>
    </xf>
    <xf numFmtId="179" fontId="13" fillId="37" borderId="160" xfId="16" applyNumberFormat="1" applyFill="1" applyBorder="1" applyAlignment="1" applyProtection="1">
      <alignment horizontal="center" vertical="center"/>
    </xf>
    <xf numFmtId="167" fontId="0" fillId="29" borderId="186" xfId="13" applyNumberFormat="1" applyFont="1" applyFill="1" applyBorder="1" applyAlignment="1" applyProtection="1">
      <alignment vertical="center"/>
    </xf>
    <xf numFmtId="167" fontId="0" fillId="29" borderId="187" xfId="13" applyNumberFormat="1" applyFont="1" applyFill="1" applyBorder="1" applyAlignment="1" applyProtection="1">
      <alignment vertical="center"/>
    </xf>
    <xf numFmtId="167" fontId="0" fillId="29" borderId="188" xfId="13" applyNumberFormat="1" applyFont="1" applyFill="1" applyBorder="1" applyAlignment="1" applyProtection="1">
      <alignment vertical="center"/>
    </xf>
    <xf numFmtId="167" fontId="13" fillId="0" borderId="94" xfId="13" applyNumberFormat="1" applyFont="1" applyFill="1" applyBorder="1" applyAlignment="1" applyProtection="1">
      <alignment vertical="center"/>
    </xf>
    <xf numFmtId="167" fontId="12" fillId="40" borderId="164" xfId="13" applyNumberFormat="1" applyFont="1" applyFill="1" applyBorder="1" applyAlignment="1" applyProtection="1">
      <alignment vertical="center"/>
    </xf>
    <xf numFmtId="167" fontId="12" fillId="40" borderId="243" xfId="13" applyNumberFormat="1" applyFont="1" applyFill="1" applyBorder="1" applyAlignment="1" applyProtection="1">
      <alignment vertical="center"/>
    </xf>
    <xf numFmtId="167" fontId="12" fillId="40" borderId="180" xfId="13" applyNumberFormat="1" applyFont="1" applyFill="1" applyBorder="1" applyAlignment="1" applyProtection="1">
      <alignment vertical="center"/>
    </xf>
    <xf numFmtId="172" fontId="0" fillId="0" borderId="168" xfId="12" applyNumberFormat="1" applyFont="1" applyFill="1" applyBorder="1" applyAlignment="1" applyProtection="1">
      <alignment vertical="center"/>
    </xf>
    <xf numFmtId="167" fontId="0" fillId="0" borderId="138" xfId="13" applyNumberFormat="1" applyFont="1" applyFill="1" applyBorder="1" applyAlignment="1" applyProtection="1">
      <alignment vertical="center"/>
    </xf>
    <xf numFmtId="167" fontId="0" fillId="0" borderId="221" xfId="13" applyNumberFormat="1" applyFont="1" applyFill="1" applyBorder="1" applyAlignment="1" applyProtection="1">
      <alignment vertical="center"/>
    </xf>
    <xf numFmtId="167" fontId="0" fillId="0" borderId="194" xfId="13" applyNumberFormat="1" applyFont="1" applyFill="1" applyBorder="1" applyAlignment="1" applyProtection="1">
      <alignment vertical="center"/>
    </xf>
    <xf numFmtId="167" fontId="22" fillId="32" borderId="246" xfId="13" applyNumberFormat="1" applyFont="1" applyFill="1" applyBorder="1" applyAlignment="1" applyProtection="1">
      <alignment vertical="center" wrapText="1"/>
    </xf>
    <xf numFmtId="167" fontId="22" fillId="32" borderId="208" xfId="13" applyNumberFormat="1" applyFont="1" applyFill="1" applyBorder="1" applyAlignment="1" applyProtection="1">
      <alignment vertical="center" wrapText="1"/>
    </xf>
    <xf numFmtId="167" fontId="22" fillId="32" borderId="209" xfId="13" applyNumberFormat="1" applyFont="1" applyFill="1" applyBorder="1" applyAlignment="1" applyProtection="1">
      <alignment vertical="center" wrapText="1"/>
    </xf>
    <xf numFmtId="167" fontId="22" fillId="32" borderId="212" xfId="13" applyNumberFormat="1" applyFont="1" applyFill="1" applyBorder="1" applyAlignment="1" applyProtection="1">
      <alignment vertical="center" wrapText="1"/>
    </xf>
    <xf numFmtId="167" fontId="22" fillId="32" borderId="261" xfId="13" applyNumberFormat="1" applyFont="1" applyFill="1" applyBorder="1" applyAlignment="1" applyProtection="1">
      <alignment vertical="center" wrapText="1"/>
    </xf>
    <xf numFmtId="167" fontId="22" fillId="32" borderId="262" xfId="13" applyNumberFormat="1" applyFont="1" applyFill="1" applyBorder="1" applyAlignment="1" applyProtection="1">
      <alignment vertical="center" wrapText="1"/>
    </xf>
    <xf numFmtId="167" fontId="22" fillId="32" borderId="263" xfId="13" applyNumberFormat="1" applyFont="1" applyFill="1" applyBorder="1" applyAlignment="1" applyProtection="1">
      <alignment vertical="center" wrapText="1"/>
    </xf>
    <xf numFmtId="167" fontId="22" fillId="32" borderId="247" xfId="13" applyNumberFormat="1" applyFont="1" applyFill="1" applyBorder="1" applyAlignment="1" applyProtection="1">
      <alignment vertical="center" wrapText="1"/>
    </xf>
    <xf numFmtId="167" fontId="22" fillId="32" borderId="184" xfId="13" applyNumberFormat="1" applyFont="1" applyFill="1" applyBorder="1" applyAlignment="1" applyProtection="1">
      <alignment vertical="center" wrapText="1"/>
    </xf>
    <xf numFmtId="167" fontId="22" fillId="32" borderId="264" xfId="13" applyNumberFormat="1" applyFont="1" applyFill="1" applyBorder="1" applyAlignment="1" applyProtection="1">
      <alignment vertical="center" wrapText="1"/>
    </xf>
    <xf numFmtId="167" fontId="22" fillId="32" borderId="265" xfId="13" applyNumberFormat="1" applyFont="1" applyFill="1" applyBorder="1" applyAlignment="1" applyProtection="1">
      <alignment vertical="center" wrapText="1"/>
    </xf>
    <xf numFmtId="167" fontId="22" fillId="32" borderId="266" xfId="13" applyNumberFormat="1" applyFont="1" applyFill="1" applyBorder="1" applyAlignment="1" applyProtection="1">
      <alignment vertical="center" wrapText="1"/>
    </xf>
    <xf numFmtId="167" fontId="22" fillId="32" borderId="90" xfId="13" applyNumberFormat="1" applyFont="1" applyFill="1" applyBorder="1" applyAlignment="1" applyProtection="1">
      <alignment vertical="center" wrapText="1"/>
    </xf>
    <xf numFmtId="167" fontId="22" fillId="32" borderId="91" xfId="13" applyNumberFormat="1" applyFont="1" applyFill="1" applyBorder="1" applyAlignment="1" applyProtection="1">
      <alignment vertical="center" wrapText="1"/>
    </xf>
    <xf numFmtId="167" fontId="22" fillId="32" borderId="95" xfId="13" applyNumberFormat="1" applyFont="1" applyFill="1" applyBorder="1" applyAlignment="1" applyProtection="1">
      <alignment vertical="center" wrapText="1"/>
    </xf>
    <xf numFmtId="167" fontId="22" fillId="32" borderId="119" xfId="13" applyNumberFormat="1" applyFont="1" applyFill="1" applyBorder="1" applyAlignment="1" applyProtection="1">
      <alignment vertical="center" wrapText="1"/>
    </xf>
    <xf numFmtId="176" fontId="23" fillId="26" borderId="119" xfId="0" applyNumberFormat="1" applyFont="1" applyFill="1" applyBorder="1" applyAlignment="1" applyProtection="1">
      <alignment horizontal="right" vertical="center"/>
    </xf>
    <xf numFmtId="176" fontId="0" fillId="0" borderId="244" xfId="0" applyNumberFormat="1" applyFont="1" applyFill="1" applyBorder="1" applyAlignment="1" applyProtection="1">
      <alignment horizontal="right" vertical="center"/>
    </xf>
    <xf numFmtId="176" fontId="0" fillId="0" borderId="180" xfId="0" applyNumberFormat="1" applyFont="1" applyFill="1" applyBorder="1" applyAlignment="1" applyProtection="1">
      <alignment horizontal="right" vertical="center"/>
    </xf>
    <xf numFmtId="168" fontId="14" fillId="19" borderId="90" xfId="16" applyFont="1" applyFill="1" applyBorder="1" applyAlignment="1" applyProtection="1">
      <alignment horizontal="center" vertical="center"/>
    </xf>
    <xf numFmtId="176" fontId="23" fillId="26" borderId="92" xfId="0" applyNumberFormat="1" applyFont="1" applyFill="1" applyBorder="1" applyAlignment="1" applyProtection="1">
      <alignment horizontal="right" vertical="center"/>
    </xf>
    <xf numFmtId="177" fontId="0" fillId="49" borderId="85" xfId="13" applyNumberFormat="1" applyFont="1" applyFill="1" applyBorder="1" applyAlignment="1" applyProtection="1">
      <alignment vertical="center"/>
    </xf>
    <xf numFmtId="177" fontId="0" fillId="49" borderId="86" xfId="13" applyNumberFormat="1" applyFont="1" applyFill="1" applyBorder="1" applyAlignment="1" applyProtection="1">
      <alignment vertical="center"/>
    </xf>
    <xf numFmtId="169" fontId="0" fillId="49" borderId="161" xfId="13" applyNumberFormat="1" applyFont="1" applyFill="1" applyBorder="1" applyAlignment="1" applyProtection="1">
      <alignment horizontal="center" vertical="center"/>
    </xf>
    <xf numFmtId="169" fontId="0" fillId="49" borderId="154" xfId="13" applyNumberFormat="1" applyFont="1" applyFill="1" applyBorder="1" applyAlignment="1" applyProtection="1">
      <alignment horizontal="center" vertical="center"/>
    </xf>
    <xf numFmtId="169" fontId="0" fillId="49" borderId="163" xfId="13" applyNumberFormat="1" applyFont="1" applyFill="1" applyBorder="1" applyAlignment="1" applyProtection="1">
      <alignment horizontal="center" vertical="center"/>
    </xf>
    <xf numFmtId="177" fontId="0" fillId="12" borderId="162" xfId="13" applyNumberFormat="1" applyFont="1" applyFill="1" applyBorder="1" applyAlignment="1" applyProtection="1">
      <alignment vertical="center"/>
      <protection locked="0"/>
    </xf>
    <xf numFmtId="167" fontId="0" fillId="50" borderId="163" xfId="13" applyNumberFormat="1" applyFont="1" applyFill="1" applyBorder="1" applyAlignment="1" applyProtection="1">
      <alignment vertical="center"/>
    </xf>
    <xf numFmtId="167" fontId="0" fillId="50" borderId="161" xfId="13" applyNumberFormat="1" applyFont="1" applyFill="1" applyBorder="1" applyAlignment="1" applyProtection="1">
      <alignment vertical="center"/>
    </xf>
    <xf numFmtId="167" fontId="0" fillId="50" borderId="154" xfId="13" applyNumberFormat="1" applyFont="1" applyFill="1" applyBorder="1" applyAlignment="1" applyProtection="1">
      <alignment vertical="center"/>
    </xf>
    <xf numFmtId="167" fontId="0" fillId="1" borderId="163" xfId="13" applyNumberFormat="1" applyFont="1" applyFill="1" applyBorder="1" applyAlignment="1" applyProtection="1">
      <alignment vertical="center"/>
    </xf>
    <xf numFmtId="167" fontId="0" fillId="1" borderId="161" xfId="13" applyNumberFormat="1" applyFont="1" applyFill="1" applyBorder="1" applyAlignment="1" applyProtection="1">
      <alignment vertical="center"/>
    </xf>
    <xf numFmtId="167" fontId="0" fillId="1" borderId="154" xfId="13" applyNumberFormat="1" applyFont="1" applyFill="1" applyBorder="1" applyAlignment="1" applyProtection="1">
      <alignment vertical="center"/>
    </xf>
    <xf numFmtId="169" fontId="0" fillId="1" borderId="163" xfId="0" applyNumberFormat="1" applyFont="1" applyFill="1" applyBorder="1" applyAlignment="1" applyProtection="1">
      <alignment horizontal="center" vertical="center"/>
    </xf>
    <xf numFmtId="169" fontId="0" fillId="1" borderId="161" xfId="0" applyNumberFormat="1" applyFont="1" applyFill="1" applyBorder="1" applyAlignment="1" applyProtection="1">
      <alignment horizontal="center" vertical="center"/>
    </xf>
    <xf numFmtId="169" fontId="0" fillId="1" borderId="162" xfId="0" applyNumberFormat="1" applyFont="1" applyFill="1" applyBorder="1" applyAlignment="1" applyProtection="1">
      <alignment horizontal="center" vertical="center"/>
    </xf>
    <xf numFmtId="0" fontId="0" fillId="12" borderId="245" xfId="0" applyFont="1" applyFill="1" applyBorder="1" applyAlignment="1" applyProtection="1">
      <alignment horizontal="left" vertical="center"/>
      <protection locked="0"/>
    </xf>
    <xf numFmtId="0" fontId="0" fillId="12" borderId="156" xfId="0" applyFont="1" applyFill="1" applyBorder="1" applyProtection="1">
      <protection locked="0"/>
    </xf>
    <xf numFmtId="0" fontId="0" fillId="12" borderId="94" xfId="0" applyFont="1" applyFill="1" applyBorder="1" applyProtection="1">
      <protection locked="0"/>
    </xf>
    <xf numFmtId="177" fontId="0" fillId="12" borderId="94" xfId="13" applyNumberFormat="1" applyFont="1" applyFill="1" applyBorder="1" applyAlignment="1" applyProtection="1">
      <alignment vertical="center"/>
      <protection locked="0"/>
    </xf>
    <xf numFmtId="0" fontId="0" fillId="12" borderId="176" xfId="0" applyFont="1" applyFill="1" applyBorder="1" applyAlignment="1" applyProtection="1">
      <alignment horizontal="left" vertical="center"/>
      <protection locked="0"/>
    </xf>
    <xf numFmtId="0" fontId="0" fillId="12" borderId="158" xfId="0" applyFont="1" applyFill="1" applyBorder="1" applyProtection="1">
      <protection locked="0"/>
    </xf>
    <xf numFmtId="0" fontId="0" fillId="12" borderId="168" xfId="0" applyFont="1" applyFill="1" applyBorder="1" applyProtection="1">
      <protection locked="0"/>
    </xf>
    <xf numFmtId="177" fontId="0" fillId="12" borderId="168" xfId="13" applyNumberFormat="1" applyFont="1" applyFill="1" applyBorder="1" applyAlignment="1" applyProtection="1">
      <alignment vertical="center"/>
      <protection locked="0"/>
    </xf>
    <xf numFmtId="0" fontId="0" fillId="12" borderId="243" xfId="0" applyFont="1" applyFill="1" applyBorder="1" applyAlignment="1" applyProtection="1">
      <alignment horizontal="left" vertical="center"/>
      <protection locked="0"/>
    </xf>
    <xf numFmtId="0" fontId="0" fillId="12" borderId="243" xfId="0" applyFont="1" applyFill="1" applyBorder="1" applyProtection="1">
      <protection locked="0"/>
    </xf>
    <xf numFmtId="0" fontId="0" fillId="12" borderId="262" xfId="0" applyFont="1" applyFill="1" applyBorder="1" applyAlignment="1" applyProtection="1">
      <alignment horizontal="left" vertical="center"/>
      <protection locked="0"/>
    </xf>
    <xf numFmtId="0" fontId="0" fillId="12" borderId="262" xfId="0" applyFont="1" applyFill="1" applyBorder="1" applyProtection="1">
      <protection locked="0"/>
    </xf>
    <xf numFmtId="0" fontId="0" fillId="12" borderId="263" xfId="0" applyFont="1" applyFill="1" applyBorder="1" applyProtection="1">
      <protection locked="0"/>
    </xf>
    <xf numFmtId="177" fontId="0" fillId="12" borderId="158" xfId="0" applyNumberFormat="1" applyFont="1" applyFill="1" applyBorder="1" applyAlignment="1" applyProtection="1">
      <alignment horizontal="left" vertical="center"/>
      <protection locked="0"/>
    </xf>
    <xf numFmtId="0" fontId="0" fillId="0" borderId="0" xfId="0" applyFill="1" applyBorder="1" applyProtection="1">
      <protection locked="0"/>
    </xf>
    <xf numFmtId="0" fontId="12" fillId="0" borderId="0" xfId="0" applyFont="1" applyFill="1" applyBorder="1" applyProtection="1">
      <protection locked="0"/>
    </xf>
    <xf numFmtId="0" fontId="0" fillId="12" borderId="158" xfId="0" applyFill="1" applyBorder="1" applyProtection="1">
      <protection locked="0"/>
    </xf>
    <xf numFmtId="0" fontId="12" fillId="0" borderId="0" xfId="0" applyFont="1" applyAlignment="1" applyProtection="1">
      <alignment horizontal="center" vertical="center" wrapText="1"/>
      <protection locked="0"/>
    </xf>
    <xf numFmtId="0" fontId="37" fillId="0" borderId="0" xfId="0" applyFont="1" applyAlignment="1" applyProtection="1">
      <alignment horizontal="left" vertical="center" wrapText="1"/>
      <protection locked="0"/>
    </xf>
    <xf numFmtId="0" fontId="12" fillId="0" borderId="0" xfId="0" applyFont="1" applyAlignment="1" applyProtection="1">
      <alignment horizontal="center"/>
      <protection locked="0"/>
    </xf>
    <xf numFmtId="0" fontId="31" fillId="0" borderId="0" xfId="0" applyFont="1" applyAlignment="1" applyProtection="1">
      <alignment horizontal="left"/>
      <protection locked="0"/>
    </xf>
    <xf numFmtId="0" fontId="36"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52" borderId="244" xfId="0" applyFill="1" applyBorder="1" applyProtection="1">
      <protection locked="0"/>
    </xf>
    <xf numFmtId="0" fontId="0" fillId="52" borderId="267" xfId="0" applyFill="1" applyBorder="1" applyProtection="1">
      <protection locked="0"/>
    </xf>
    <xf numFmtId="0" fontId="0" fillId="52" borderId="212" xfId="0" applyFill="1" applyBorder="1" applyProtection="1">
      <protection locked="0"/>
    </xf>
    <xf numFmtId="0" fontId="0" fillId="52" borderId="0" xfId="0" applyFill="1" applyBorder="1" applyProtection="1">
      <protection locked="0"/>
    </xf>
    <xf numFmtId="0" fontId="38" fillId="52" borderId="0" xfId="0" applyFont="1" applyFill="1" applyBorder="1" applyProtection="1">
      <protection locked="0"/>
    </xf>
    <xf numFmtId="0" fontId="0" fillId="52" borderId="213" xfId="0" applyFill="1" applyBorder="1" applyProtection="1">
      <protection locked="0"/>
    </xf>
    <xf numFmtId="0" fontId="0" fillId="52" borderId="268" xfId="0" applyFill="1" applyBorder="1" applyProtection="1">
      <protection locked="0"/>
    </xf>
    <xf numFmtId="0" fontId="0" fillId="52" borderId="269" xfId="0" applyFill="1" applyBorder="1" applyProtection="1">
      <protection locked="0"/>
    </xf>
    <xf numFmtId="0" fontId="0" fillId="52" borderId="270" xfId="0" applyFill="1" applyBorder="1" applyProtection="1">
      <protection locked="0"/>
    </xf>
    <xf numFmtId="0" fontId="30" fillId="52" borderId="212" xfId="0" applyFont="1" applyFill="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12" fillId="53" borderId="212" xfId="0" applyFont="1" applyFill="1" applyBorder="1" applyAlignment="1" applyProtection="1">
      <alignment horizontal="center"/>
      <protection locked="0"/>
    </xf>
    <xf numFmtId="0" fontId="30" fillId="52" borderId="0" xfId="0" applyFont="1" applyFill="1" applyBorder="1" applyAlignment="1" applyProtection="1">
      <alignment horizontal="left" vertical="center" wrapText="1"/>
      <protection locked="0"/>
    </xf>
    <xf numFmtId="0" fontId="0" fillId="52" borderId="208" xfId="0" applyFill="1" applyBorder="1" applyAlignment="1" applyProtection="1">
      <alignment horizontal="center"/>
      <protection locked="0"/>
    </xf>
    <xf numFmtId="0" fontId="0" fillId="52" borderId="208" xfId="0" applyFill="1" applyBorder="1" applyProtection="1">
      <protection locked="0"/>
    </xf>
    <xf numFmtId="49" fontId="0" fillId="52" borderId="208" xfId="0" applyNumberFormat="1" applyFill="1" applyBorder="1" applyAlignment="1" applyProtection="1">
      <alignment horizontal="center"/>
      <protection locked="0"/>
    </xf>
    <xf numFmtId="0" fontId="0" fillId="52" borderId="221" xfId="0" applyFill="1" applyBorder="1" applyProtection="1">
      <protection locked="0"/>
    </xf>
    <xf numFmtId="0" fontId="0" fillId="52" borderId="212" xfId="0" applyFont="1" applyFill="1" applyBorder="1" applyProtection="1">
      <protection locked="0"/>
    </xf>
    <xf numFmtId="0" fontId="38" fillId="52" borderId="212" xfId="0" applyFont="1" applyFill="1" applyBorder="1" applyProtection="1">
      <protection locked="0"/>
    </xf>
    <xf numFmtId="0" fontId="0" fillId="52" borderId="271" xfId="0" applyFill="1" applyBorder="1" applyProtection="1">
      <protection locked="0"/>
    </xf>
    <xf numFmtId="0" fontId="0" fillId="52" borderId="243" xfId="0" applyFill="1" applyBorder="1" applyAlignment="1" applyProtection="1">
      <alignment horizontal="center"/>
      <protection locked="0"/>
    </xf>
    <xf numFmtId="0" fontId="0" fillId="52" borderId="221" xfId="0" applyFill="1" applyBorder="1" applyAlignment="1" applyProtection="1">
      <alignment horizontal="center"/>
      <protection locked="0"/>
    </xf>
    <xf numFmtId="0" fontId="12" fillId="53" borderId="212" xfId="0" applyFont="1" applyFill="1" applyBorder="1" applyAlignment="1" applyProtection="1">
      <alignment vertical="center"/>
      <protection locked="0"/>
    </xf>
    <xf numFmtId="0" fontId="12" fillId="53" borderId="212" xfId="0" applyFont="1" applyFill="1" applyBorder="1" applyAlignment="1" applyProtection="1">
      <alignment vertical="center" wrapText="1"/>
      <protection locked="0"/>
    </xf>
    <xf numFmtId="0" fontId="12" fillId="53" borderId="212" xfId="0" applyFont="1" applyFill="1" applyBorder="1" applyAlignment="1" applyProtection="1">
      <alignment horizontal="center" vertical="center" wrapText="1"/>
      <protection locked="0"/>
    </xf>
    <xf numFmtId="0" fontId="12" fillId="53" borderId="212" xfId="0" applyFont="1" applyFill="1" applyBorder="1" applyAlignment="1" applyProtection="1">
      <alignment horizontal="center" vertical="center"/>
      <protection locked="0"/>
    </xf>
    <xf numFmtId="0" fontId="0" fillId="0" borderId="0" xfId="0" applyFill="1" applyProtection="1">
      <protection locked="0"/>
    </xf>
    <xf numFmtId="0" fontId="0" fillId="52" borderId="268" xfId="0" applyFill="1" applyBorder="1" applyAlignment="1" applyProtection="1">
      <alignment horizontal="center"/>
      <protection locked="0"/>
    </xf>
    <xf numFmtId="0" fontId="0" fillId="52" borderId="212" xfId="0" applyFill="1" applyBorder="1" applyAlignment="1" applyProtection="1">
      <alignment horizontal="center"/>
      <protection locked="0"/>
    </xf>
    <xf numFmtId="0" fontId="41" fillId="53" borderId="0" xfId="0" applyFont="1" applyFill="1" applyBorder="1" applyAlignment="1" applyProtection="1">
      <alignment vertical="center" wrapText="1"/>
      <protection locked="0"/>
    </xf>
    <xf numFmtId="0" fontId="41" fillId="53" borderId="213" xfId="0" applyFont="1" applyFill="1" applyBorder="1" applyAlignment="1" applyProtection="1">
      <alignment vertical="center" wrapText="1"/>
      <protection locked="0"/>
    </xf>
    <xf numFmtId="0" fontId="0" fillId="53" borderId="212" xfId="0" applyFill="1" applyBorder="1" applyProtection="1">
      <protection locked="0"/>
    </xf>
    <xf numFmtId="0" fontId="0" fillId="53" borderId="0" xfId="0" applyFill="1" applyBorder="1" applyProtection="1">
      <protection locked="0"/>
    </xf>
    <xf numFmtId="0" fontId="0" fillId="53" borderId="213" xfId="0" applyFill="1" applyBorder="1" applyProtection="1">
      <protection locked="0"/>
    </xf>
    <xf numFmtId="0" fontId="36" fillId="0" borderId="0" xfId="0" applyFont="1" applyAlignment="1" applyProtection="1">
      <alignment vertical="center" wrapText="1"/>
      <protection locked="0"/>
    </xf>
    <xf numFmtId="167" fontId="35" fillId="35" borderId="158" xfId="0" applyNumberFormat="1" applyFont="1" applyFill="1" applyBorder="1" applyAlignment="1" applyProtection="1">
      <alignment horizontal="center" vertical="center" wrapText="1"/>
    </xf>
    <xf numFmtId="167" fontId="12" fillId="35" borderId="158" xfId="0" applyNumberFormat="1" applyFont="1" applyFill="1" applyBorder="1" applyAlignment="1" applyProtection="1">
      <alignment horizontal="center" vertical="center" wrapText="1"/>
    </xf>
    <xf numFmtId="0" fontId="12" fillId="16" borderId="158" xfId="0" applyFont="1" applyFill="1" applyBorder="1" applyAlignment="1" applyProtection="1">
      <alignment horizontal="center" vertical="center" wrapText="1"/>
    </xf>
    <xf numFmtId="178" fontId="0" fillId="12" borderId="158" xfId="13" applyNumberFormat="1" applyFont="1" applyFill="1" applyBorder="1" applyAlignment="1" applyProtection="1">
      <alignment horizontal="center" vertical="center"/>
      <protection locked="0"/>
    </xf>
    <xf numFmtId="178" fontId="12" fillId="12" borderId="158" xfId="0" applyNumberFormat="1" applyFont="1" applyFill="1" applyBorder="1" applyProtection="1">
      <protection locked="0"/>
    </xf>
    <xf numFmtId="178" fontId="23" fillId="51" borderId="158" xfId="0" applyNumberFormat="1" applyFont="1" applyFill="1" applyBorder="1" applyProtection="1">
      <protection locked="0"/>
    </xf>
    <xf numFmtId="0" fontId="12" fillId="12" borderId="158" xfId="0" applyFont="1" applyFill="1" applyBorder="1" applyProtection="1">
      <protection locked="0"/>
    </xf>
    <xf numFmtId="0" fontId="12" fillId="51" borderId="158" xfId="0" applyFont="1" applyFill="1" applyBorder="1" applyProtection="1">
      <protection locked="0"/>
    </xf>
    <xf numFmtId="0" fontId="12" fillId="0" borderId="0" xfId="0" applyFont="1" applyFill="1" applyBorder="1" applyAlignment="1" applyProtection="1">
      <alignment horizontal="center"/>
      <protection locked="0"/>
    </xf>
    <xf numFmtId="0" fontId="0" fillId="0" borderId="0" xfId="0" applyFont="1" applyFill="1" applyBorder="1" applyAlignment="1" applyProtection="1">
      <alignment horizontal="left" vertical="center"/>
      <protection locked="0"/>
    </xf>
    <xf numFmtId="0" fontId="40" fillId="53" borderId="0" xfId="0" applyFont="1" applyFill="1" applyBorder="1" applyAlignment="1" applyProtection="1">
      <alignment horizontal="left" vertical="center" wrapText="1"/>
      <protection locked="0"/>
    </xf>
    <xf numFmtId="0" fontId="40" fillId="53" borderId="213" xfId="0" applyFont="1" applyFill="1" applyBorder="1" applyAlignment="1" applyProtection="1">
      <alignment horizontal="left" vertical="center" wrapText="1"/>
      <protection locked="0"/>
    </xf>
    <xf numFmtId="0" fontId="35" fillId="0" borderId="0" xfId="0" applyFont="1" applyAlignment="1" applyProtection="1">
      <alignment horizontal="center"/>
      <protection locked="0"/>
    </xf>
    <xf numFmtId="0" fontId="45" fillId="0" borderId="0" xfId="0" applyFont="1" applyProtection="1">
      <protection locked="0"/>
    </xf>
    <xf numFmtId="0" fontId="41" fillId="0" borderId="0" xfId="0" applyFont="1" applyProtection="1">
      <protection locked="0"/>
    </xf>
    <xf numFmtId="0" fontId="35" fillId="0" borderId="0" xfId="0" applyFont="1" applyFill="1" applyBorder="1" applyAlignment="1" applyProtection="1">
      <alignment horizontal="center"/>
      <protection locked="0"/>
    </xf>
    <xf numFmtId="0" fontId="41" fillId="0" borderId="0" xfId="0" applyFont="1" applyFill="1" applyBorder="1" applyProtection="1">
      <protection locked="0"/>
    </xf>
    <xf numFmtId="0" fontId="41" fillId="0" borderId="0" xfId="0" applyFont="1" applyFill="1" applyProtection="1">
      <protection locked="0"/>
    </xf>
    <xf numFmtId="0" fontId="35" fillId="0" borderId="0" xfId="0" applyFont="1" applyAlignment="1" applyProtection="1">
      <alignment horizontal="center" vertical="center" wrapText="1"/>
      <protection locked="0"/>
    </xf>
    <xf numFmtId="0" fontId="41"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0" fillId="0" borderId="0" xfId="0" applyFont="1" applyAlignment="1" applyProtection="1">
      <alignment horizontal="left"/>
      <protection locked="0"/>
    </xf>
    <xf numFmtId="0" fontId="41" fillId="0" borderId="0" xfId="0" applyFont="1" applyAlignment="1" applyProtection="1">
      <alignment horizontal="left"/>
      <protection locked="0"/>
    </xf>
    <xf numFmtId="0" fontId="41" fillId="0" borderId="0" xfId="0" applyFont="1" applyAlignment="1" applyProtection="1">
      <alignment horizontal="left"/>
      <protection locked="0"/>
    </xf>
    <xf numFmtId="0" fontId="35" fillId="0" borderId="0" xfId="0" applyFont="1" applyFill="1" applyAlignment="1" applyProtection="1">
      <alignment horizontal="center" vertical="center" wrapText="1"/>
      <protection locked="0"/>
    </xf>
    <xf numFmtId="0" fontId="41" fillId="0" borderId="0" xfId="0" applyFont="1" applyFill="1" applyAlignment="1" applyProtection="1">
      <alignment horizontal="left"/>
      <protection locked="0"/>
    </xf>
    <xf numFmtId="0" fontId="47" fillId="0" borderId="0" xfId="0" applyFont="1" applyFill="1" applyProtection="1">
      <protection locked="0"/>
    </xf>
    <xf numFmtId="0" fontId="44" fillId="0" borderId="0" xfId="0" applyFont="1" applyProtection="1">
      <protection locked="0"/>
    </xf>
    <xf numFmtId="0" fontId="35" fillId="0" borderId="0" xfId="0" applyFont="1" applyProtection="1">
      <protection locked="0"/>
    </xf>
    <xf numFmtId="0" fontId="20" fillId="0" borderId="0" xfId="0" applyFont="1" applyAlignment="1" applyProtection="1">
      <alignment horizontal="left"/>
      <protection locked="0"/>
    </xf>
    <xf numFmtId="0" fontId="12" fillId="0" borderId="0" xfId="0" applyFont="1" applyAlignment="1" applyProtection="1">
      <alignment horizontal="left"/>
      <protection locked="0"/>
    </xf>
    <xf numFmtId="0" fontId="12" fillId="0" borderId="0" xfId="0" applyFont="1" applyBorder="1" applyAlignment="1" applyProtection="1">
      <alignment horizontal="left" vertical="center"/>
      <protection locked="0"/>
    </xf>
    <xf numFmtId="0" fontId="0" fillId="52" borderId="272" xfId="0" applyFill="1" applyBorder="1" applyProtection="1">
      <protection locked="0"/>
    </xf>
    <xf numFmtId="0" fontId="0" fillId="52" borderId="273" xfId="0" applyFill="1" applyBorder="1" applyAlignment="1" applyProtection="1">
      <alignment horizontal="center"/>
      <protection locked="0"/>
    </xf>
    <xf numFmtId="49" fontId="0" fillId="52" borderId="212" xfId="0" applyNumberFormat="1" applyFill="1" applyBorder="1" applyAlignment="1" applyProtection="1">
      <alignment horizontal="center"/>
      <protection locked="0"/>
    </xf>
    <xf numFmtId="0" fontId="0" fillId="53" borderId="273" xfId="0" applyFill="1" applyBorder="1" applyProtection="1">
      <protection locked="0"/>
    </xf>
    <xf numFmtId="0" fontId="0" fillId="53" borderId="272" xfId="0" applyFill="1" applyBorder="1" applyProtection="1">
      <protection locked="0"/>
    </xf>
    <xf numFmtId="0" fontId="0" fillId="53" borderId="274" xfId="0" applyFill="1" applyBorder="1" applyProtection="1">
      <protection locked="0"/>
    </xf>
    <xf numFmtId="0" fontId="0" fillId="53" borderId="268" xfId="0" applyFill="1" applyBorder="1" applyProtection="1">
      <protection locked="0"/>
    </xf>
    <xf numFmtId="0" fontId="48" fillId="52" borderId="269" xfId="0" applyFont="1" applyFill="1" applyBorder="1" applyProtection="1">
      <protection locked="0"/>
    </xf>
    <xf numFmtId="0" fontId="48" fillId="52" borderId="212" xfId="0" applyFont="1" applyFill="1" applyBorder="1" applyProtection="1">
      <protection locked="0"/>
    </xf>
    <xf numFmtId="0" fontId="42" fillId="0" borderId="0" xfId="0" applyFont="1" applyAlignment="1" applyProtection="1">
      <alignment horizontal="center"/>
      <protection locked="0"/>
    </xf>
    <xf numFmtId="0" fontId="42" fillId="0" borderId="0" xfId="0" applyFont="1" applyAlignment="1" applyProtection="1">
      <alignment horizontal="left"/>
      <protection locked="0"/>
    </xf>
    <xf numFmtId="0" fontId="40" fillId="0" borderId="0" xfId="0" applyFont="1" applyProtection="1">
      <protection locked="0"/>
    </xf>
    <xf numFmtId="0" fontId="31" fillId="0" borderId="0" xfId="0" applyFont="1" applyProtection="1">
      <protection locked="0"/>
    </xf>
    <xf numFmtId="0" fontId="40" fillId="0" borderId="0" xfId="0" applyFont="1" applyFill="1" applyProtection="1">
      <protection locked="0"/>
    </xf>
    <xf numFmtId="0" fontId="42" fillId="0" borderId="0" xfId="0" applyFont="1" applyFill="1" applyProtection="1">
      <protection locked="0"/>
    </xf>
    <xf numFmtId="0" fontId="41" fillId="0" borderId="158" xfId="0" applyFont="1" applyBorder="1" applyProtection="1">
      <protection locked="0"/>
    </xf>
    <xf numFmtId="0" fontId="0" fillId="0" borderId="158" xfId="0" applyBorder="1" applyProtection="1">
      <protection locked="0"/>
    </xf>
    <xf numFmtId="42" fontId="0" fillId="0" borderId="158" xfId="31" applyFont="1" applyBorder="1" applyProtection="1">
      <protection locked="0"/>
    </xf>
    <xf numFmtId="0" fontId="12" fillId="0" borderId="158" xfId="0" applyFont="1" applyBorder="1" applyProtection="1">
      <protection locked="0"/>
    </xf>
    <xf numFmtId="42" fontId="12" fillId="0" borderId="158" xfId="0" applyNumberFormat="1" applyFont="1" applyBorder="1" applyProtection="1">
      <protection locked="0"/>
    </xf>
    <xf numFmtId="0" fontId="0" fillId="12" borderId="274" xfId="0" applyFont="1" applyFill="1" applyBorder="1" applyAlignment="1" applyProtection="1">
      <alignment horizontal="left" vertical="center"/>
      <protection locked="0"/>
    </xf>
    <xf numFmtId="0" fontId="0" fillId="12" borderId="275" xfId="0" applyFont="1" applyFill="1" applyBorder="1" applyAlignment="1" applyProtection="1">
      <alignment horizontal="left" vertical="center"/>
      <protection locked="0"/>
    </xf>
    <xf numFmtId="0" fontId="0" fillId="12" borderId="273" xfId="0" applyFont="1" applyFill="1" applyBorder="1" applyProtection="1">
      <protection locked="0"/>
    </xf>
    <xf numFmtId="9" fontId="0" fillId="12" borderId="186" xfId="0" applyNumberFormat="1" applyFont="1" applyFill="1" applyBorder="1" applyAlignment="1" applyProtection="1">
      <alignment horizontal="center" vertical="center"/>
      <protection locked="0"/>
    </xf>
    <xf numFmtId="9" fontId="0" fillId="12" borderId="187" xfId="0" applyNumberFormat="1" applyFont="1" applyFill="1" applyBorder="1" applyAlignment="1" applyProtection="1">
      <alignment horizontal="center" vertical="center"/>
      <protection locked="0"/>
    </xf>
    <xf numFmtId="9" fontId="0" fillId="12" borderId="187" xfId="0" applyNumberFormat="1" applyFill="1" applyBorder="1" applyAlignment="1" applyProtection="1">
      <alignment horizontal="center" vertical="center"/>
      <protection locked="0"/>
    </xf>
    <xf numFmtId="9" fontId="0" fillId="12" borderId="188" xfId="0" applyNumberFormat="1" applyFont="1" applyFill="1" applyBorder="1" applyAlignment="1" applyProtection="1">
      <alignment horizontal="center" vertical="center"/>
      <protection locked="0"/>
    </xf>
    <xf numFmtId="168" fontId="0" fillId="12" borderId="186" xfId="16" applyFont="1" applyFill="1" applyBorder="1" applyAlignment="1" applyProtection="1">
      <alignment horizontal="center" vertical="center"/>
      <protection locked="0"/>
    </xf>
    <xf numFmtId="168" fontId="0" fillId="12" borderId="187" xfId="16" applyFont="1" applyFill="1" applyBorder="1" applyAlignment="1" applyProtection="1">
      <alignment horizontal="center" vertical="center"/>
      <protection locked="0"/>
    </xf>
    <xf numFmtId="168" fontId="0" fillId="12" borderId="188" xfId="16" applyFont="1" applyFill="1" applyBorder="1" applyAlignment="1" applyProtection="1">
      <alignment horizontal="center" vertical="center"/>
      <protection locked="0"/>
    </xf>
    <xf numFmtId="0" fontId="12" fillId="0" borderId="158" xfId="0" applyFont="1" applyBorder="1" applyAlignment="1" applyProtection="1">
      <alignment horizontal="center"/>
      <protection locked="0"/>
    </xf>
    <xf numFmtId="0" fontId="12" fillId="0" borderId="158" xfId="0" applyFont="1" applyFill="1" applyBorder="1" applyAlignment="1" applyProtection="1">
      <alignment horizontal="center"/>
      <protection locked="0"/>
    </xf>
    <xf numFmtId="1" fontId="12" fillId="0" borderId="158" xfId="0" applyNumberFormat="1" applyFont="1" applyFill="1" applyBorder="1" applyProtection="1">
      <protection locked="0"/>
    </xf>
    <xf numFmtId="168" fontId="12" fillId="0" borderId="158" xfId="16" applyFont="1" applyBorder="1"/>
    <xf numFmtId="0" fontId="0" fillId="0" borderId="0" xfId="0" applyAlignment="1" applyProtection="1">
      <alignment horizontal="center"/>
      <protection locked="0"/>
    </xf>
    <xf numFmtId="0" fontId="0" fillId="54" borderId="0" xfId="0" applyFill="1" applyProtection="1">
      <protection locked="0"/>
    </xf>
    <xf numFmtId="0" fontId="0" fillId="54" borderId="0" xfId="0" applyFill="1" applyAlignment="1" applyProtection="1">
      <alignment horizontal="center"/>
      <protection locked="0"/>
    </xf>
    <xf numFmtId="0" fontId="0" fillId="54" borderId="158" xfId="0" applyFill="1" applyBorder="1" applyProtection="1">
      <protection locked="0"/>
    </xf>
    <xf numFmtId="16" fontId="0" fillId="54" borderId="158" xfId="0" applyNumberFormat="1" applyFill="1" applyBorder="1" applyAlignment="1" applyProtection="1">
      <alignment horizontal="center"/>
      <protection locked="0"/>
    </xf>
    <xf numFmtId="0" fontId="0" fillId="54" borderId="158" xfId="0" applyFill="1" applyBorder="1" applyAlignment="1" applyProtection="1">
      <alignment horizontal="center"/>
      <protection locked="0"/>
    </xf>
    <xf numFmtId="177" fontId="0" fillId="12" borderId="135" xfId="13" applyNumberFormat="1" applyFont="1" applyFill="1" applyBorder="1" applyAlignment="1" applyProtection="1">
      <alignment vertical="center"/>
      <protection locked="0"/>
    </xf>
    <xf numFmtId="0" fontId="12" fillId="37" borderId="158" xfId="0" applyFont="1" applyFill="1" applyBorder="1" applyAlignment="1" applyProtection="1">
      <alignment horizontal="center" vertical="center"/>
      <protection locked="0"/>
    </xf>
    <xf numFmtId="9" fontId="12" fillId="37" borderId="158" xfId="0" applyNumberFormat="1" applyFont="1" applyFill="1" applyBorder="1" applyAlignment="1" applyProtection="1">
      <alignment horizontal="center" vertical="center"/>
      <protection locked="0"/>
    </xf>
    <xf numFmtId="0" fontId="0" fillId="37" borderId="0" xfId="0" applyFill="1" applyProtection="1">
      <protection locked="0"/>
    </xf>
    <xf numFmtId="0" fontId="0" fillId="37" borderId="158" xfId="0" applyFill="1" applyBorder="1" applyProtection="1">
      <protection locked="0"/>
    </xf>
    <xf numFmtId="180" fontId="13" fillId="37" borderId="158" xfId="13" applyNumberFormat="1" applyFill="1" applyBorder="1"/>
    <xf numFmtId="180" fontId="0" fillId="37" borderId="158" xfId="0" applyNumberFormat="1" applyFill="1" applyBorder="1" applyProtection="1">
      <protection locked="0"/>
    </xf>
    <xf numFmtId="180" fontId="13" fillId="37" borderId="0" xfId="13" applyNumberFormat="1" applyFill="1"/>
    <xf numFmtId="0" fontId="0" fillId="37" borderId="158" xfId="0" applyFill="1" applyBorder="1" applyAlignment="1" applyProtection="1">
      <alignment horizontal="center"/>
      <protection locked="0"/>
    </xf>
    <xf numFmtId="166" fontId="12" fillId="0" borderId="0" xfId="0" applyNumberFormat="1" applyFont="1" applyAlignment="1" applyProtection="1">
      <alignment vertical="center"/>
    </xf>
    <xf numFmtId="0" fontId="21" fillId="0" borderId="0" xfId="20"/>
    <xf numFmtId="0" fontId="0" fillId="0" borderId="0" xfId="0" applyFont="1"/>
    <xf numFmtId="0" fontId="21" fillId="0" borderId="0" xfId="20" applyBorder="1" applyAlignment="1" applyProtection="1">
      <alignment horizontal="left" vertical="center"/>
    </xf>
    <xf numFmtId="0" fontId="21" fillId="0" borderId="0" xfId="20" applyBorder="1" applyAlignment="1" applyProtection="1">
      <alignment horizontal="left" vertical="center" wrapText="1"/>
    </xf>
    <xf numFmtId="0" fontId="21" fillId="0" borderId="0" xfId="20" applyBorder="1" applyAlignment="1" applyProtection="1">
      <alignment horizontal="left" vertical="center" indent="2"/>
    </xf>
    <xf numFmtId="0" fontId="21" fillId="0" borderId="0" xfId="20" applyFont="1"/>
    <xf numFmtId="0" fontId="0" fillId="0" borderId="225" xfId="0" applyFont="1" applyFill="1" applyBorder="1" applyAlignment="1" applyProtection="1">
      <alignment horizontal="center" vertical="center" wrapText="1"/>
    </xf>
    <xf numFmtId="0" fontId="0" fillId="0" borderId="115" xfId="0" applyFont="1" applyFill="1" applyBorder="1" applyAlignment="1" applyProtection="1">
      <alignment horizontal="center" vertical="center" wrapText="1"/>
    </xf>
    <xf numFmtId="0" fontId="0" fillId="0" borderId="220" xfId="0" applyFont="1" applyFill="1" applyBorder="1" applyAlignment="1" applyProtection="1">
      <alignment horizontal="center" vertical="center" wrapText="1"/>
    </xf>
    <xf numFmtId="167" fontId="22" fillId="32" borderId="215" xfId="0" applyNumberFormat="1" applyFont="1" applyFill="1" applyBorder="1" applyAlignment="1" applyProtection="1">
      <alignment horizontal="center" vertical="center"/>
    </xf>
    <xf numFmtId="0" fontId="23" fillId="0" borderId="228" xfId="0" applyFont="1" applyFill="1" applyBorder="1" applyAlignment="1" applyProtection="1">
      <alignment horizontal="center" vertical="center" wrapText="1"/>
    </xf>
    <xf numFmtId="0" fontId="23" fillId="0" borderId="167" xfId="0" applyFont="1" applyFill="1" applyBorder="1" applyAlignment="1" applyProtection="1">
      <alignment horizontal="center" vertical="center" wrapText="1"/>
    </xf>
    <xf numFmtId="0" fontId="23" fillId="0" borderId="83" xfId="0" applyFont="1" applyFill="1" applyBorder="1" applyAlignment="1" applyProtection="1">
      <alignment horizontal="center" vertical="center" wrapText="1"/>
    </xf>
    <xf numFmtId="167" fontId="22" fillId="32" borderId="143" xfId="0" applyNumberFormat="1" applyFont="1" applyFill="1" applyBorder="1" applyAlignment="1" applyProtection="1">
      <alignment horizontal="right" vertical="center"/>
    </xf>
    <xf numFmtId="167" fontId="22" fillId="32" borderId="215" xfId="0" applyNumberFormat="1" applyFont="1" applyFill="1" applyBorder="1" applyAlignment="1" applyProtection="1">
      <alignment horizontal="right" vertical="center"/>
    </xf>
    <xf numFmtId="167" fontId="0" fillId="9" borderId="186" xfId="13" applyNumberFormat="1" applyFont="1" applyFill="1" applyBorder="1" applyAlignment="1" applyProtection="1">
      <alignment horizontal="right" vertical="center"/>
    </xf>
    <xf numFmtId="167" fontId="0" fillId="9" borderId="187" xfId="13" applyNumberFormat="1" applyFont="1" applyFill="1" applyBorder="1" applyAlignment="1" applyProtection="1">
      <alignment horizontal="right" vertical="center"/>
    </xf>
    <xf numFmtId="0" fontId="12" fillId="0" borderId="2" xfId="0" applyFont="1" applyBorder="1" applyAlignment="1" applyProtection="1">
      <alignment horizontal="right" vertical="center"/>
    </xf>
    <xf numFmtId="0" fontId="23" fillId="12" borderId="3" xfId="0" applyFont="1" applyFill="1" applyBorder="1" applyAlignment="1" applyProtection="1">
      <alignment horizontal="center" vertical="center"/>
      <protection locked="0"/>
    </xf>
    <xf numFmtId="0" fontId="23" fillId="12" borderId="76" xfId="0" applyFont="1" applyFill="1" applyBorder="1" applyAlignment="1" applyProtection="1">
      <alignment horizontal="center" vertical="center"/>
      <protection locked="0"/>
    </xf>
    <xf numFmtId="0" fontId="23" fillId="12" borderId="4" xfId="0" applyFont="1" applyFill="1" applyBorder="1" applyAlignment="1" applyProtection="1">
      <alignment horizontal="center" vertical="center"/>
      <protection locked="0"/>
    </xf>
    <xf numFmtId="167" fontId="12" fillId="15" borderId="229" xfId="0" applyNumberFormat="1" applyFont="1" applyFill="1" applyBorder="1" applyAlignment="1" applyProtection="1">
      <alignment horizontal="center" vertical="center"/>
    </xf>
    <xf numFmtId="167" fontId="12" fillId="15" borderId="214" xfId="0" applyNumberFormat="1" applyFont="1" applyFill="1" applyBorder="1" applyAlignment="1" applyProtection="1">
      <alignment horizontal="center" vertical="center"/>
    </xf>
    <xf numFmtId="167" fontId="23" fillId="39" borderId="144" xfId="0" applyNumberFormat="1" applyFont="1" applyFill="1" applyBorder="1" applyAlignment="1" applyProtection="1">
      <alignment horizontal="center" vertical="center" wrapText="1"/>
    </xf>
    <xf numFmtId="167" fontId="23" fillId="39" borderId="146" xfId="0" applyNumberFormat="1" applyFont="1" applyFill="1" applyBorder="1" applyAlignment="1" applyProtection="1">
      <alignment horizontal="center" vertical="center" wrapText="1"/>
    </xf>
    <xf numFmtId="167" fontId="23" fillId="39" borderId="149" xfId="0" applyNumberFormat="1" applyFont="1" applyFill="1" applyBorder="1" applyAlignment="1" applyProtection="1">
      <alignment horizontal="center" vertical="center" wrapText="1"/>
    </xf>
    <xf numFmtId="167" fontId="24" fillId="34" borderId="144" xfId="0" applyNumberFormat="1" applyFont="1" applyFill="1" applyBorder="1" applyAlignment="1" applyProtection="1">
      <alignment horizontal="center" vertical="center" wrapText="1"/>
    </xf>
    <xf numFmtId="167" fontId="24" fillId="34" borderId="146" xfId="0" applyNumberFormat="1" applyFont="1" applyFill="1" applyBorder="1" applyAlignment="1" applyProtection="1">
      <alignment horizontal="center" vertical="center" wrapText="1"/>
    </xf>
    <xf numFmtId="167" fontId="24" fillId="34" borderId="149" xfId="0" applyNumberFormat="1" applyFont="1" applyFill="1" applyBorder="1" applyAlignment="1" applyProtection="1">
      <alignment horizontal="center" vertical="center" wrapText="1"/>
    </xf>
    <xf numFmtId="167" fontId="29" fillId="45" borderId="231" xfId="0" applyNumberFormat="1" applyFont="1" applyFill="1" applyBorder="1" applyAlignment="1" applyProtection="1">
      <alignment horizontal="center" vertical="center" wrapText="1"/>
    </xf>
    <xf numFmtId="167" fontId="29" fillId="45" borderId="114" xfId="0" applyNumberFormat="1" applyFont="1" applyFill="1" applyBorder="1" applyAlignment="1" applyProtection="1">
      <alignment horizontal="center" vertical="center" wrapText="1"/>
    </xf>
    <xf numFmtId="167" fontId="17" fillId="34" borderId="116" xfId="0" applyNumberFormat="1" applyFont="1" applyFill="1" applyBorder="1" applyAlignment="1" applyProtection="1">
      <alignment horizontal="center" vertical="center" wrapText="1"/>
    </xf>
    <xf numFmtId="167" fontId="17" fillId="34" borderId="115" xfId="0" applyNumberFormat="1" applyFont="1" applyFill="1" applyBorder="1" applyAlignment="1" applyProtection="1">
      <alignment horizontal="center" vertical="center" wrapText="1"/>
    </xf>
    <xf numFmtId="167" fontId="17" fillId="34" borderId="34" xfId="0" applyNumberFormat="1" applyFont="1" applyFill="1" applyBorder="1" applyAlignment="1" applyProtection="1">
      <alignment horizontal="center" vertical="center" wrapText="1"/>
    </xf>
    <xf numFmtId="167" fontId="17" fillId="34" borderId="110" xfId="0" applyNumberFormat="1" applyFont="1" applyFill="1" applyBorder="1" applyAlignment="1" applyProtection="1">
      <alignment horizontal="center" vertical="center" wrapText="1"/>
    </xf>
    <xf numFmtId="167" fontId="17" fillId="34" borderId="173" xfId="0" applyNumberFormat="1" applyFont="1" applyFill="1" applyBorder="1" applyAlignment="1" applyProtection="1">
      <alignment horizontal="center" vertical="center" wrapText="1"/>
    </xf>
    <xf numFmtId="167" fontId="17" fillId="34" borderId="167"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center" indent="2"/>
    </xf>
    <xf numFmtId="0" fontId="12" fillId="15" borderId="226" xfId="0" applyFont="1" applyFill="1" applyBorder="1" applyAlignment="1" applyProtection="1">
      <alignment horizontal="center" vertical="center" wrapText="1"/>
    </xf>
    <xf numFmtId="0" fontId="12" fillId="15" borderId="227" xfId="0" applyFont="1" applyFill="1" applyBorder="1" applyAlignment="1" applyProtection="1">
      <alignment horizontal="center" vertical="center" wrapText="1"/>
    </xf>
    <xf numFmtId="0" fontId="12" fillId="15" borderId="223" xfId="0" applyFont="1" applyFill="1" applyBorder="1" applyAlignment="1" applyProtection="1">
      <alignment horizontal="center" vertical="center" wrapText="1"/>
    </xf>
    <xf numFmtId="0" fontId="12" fillId="15" borderId="224" xfId="0" applyFont="1" applyFill="1" applyBorder="1" applyAlignment="1" applyProtection="1">
      <alignment horizontal="center" vertical="center" wrapText="1"/>
    </xf>
    <xf numFmtId="0" fontId="22" fillId="0" borderId="165" xfId="0" applyFont="1" applyFill="1" applyBorder="1" applyAlignment="1" applyProtection="1">
      <alignment horizontal="center" vertical="center" wrapText="1"/>
    </xf>
    <xf numFmtId="0" fontId="22" fillId="0" borderId="67" xfId="0" applyFont="1" applyFill="1" applyBorder="1" applyAlignment="1" applyProtection="1">
      <alignment horizontal="center" vertical="center" wrapText="1"/>
    </xf>
    <xf numFmtId="0" fontId="22" fillId="0" borderId="166" xfId="0" applyFont="1" applyFill="1" applyBorder="1" applyAlignment="1" applyProtection="1">
      <alignment horizontal="center" vertical="center" wrapText="1"/>
    </xf>
    <xf numFmtId="0" fontId="23" fillId="13" borderId="184" xfId="0" applyFont="1" applyFill="1" applyBorder="1" applyAlignment="1" applyProtection="1">
      <alignment horizontal="center" vertical="center"/>
      <protection locked="0"/>
    </xf>
    <xf numFmtId="0" fontId="23" fillId="13" borderId="185" xfId="0" applyFont="1" applyFill="1" applyBorder="1" applyAlignment="1" applyProtection="1">
      <alignment horizontal="center" vertical="center"/>
      <protection locked="0"/>
    </xf>
    <xf numFmtId="167" fontId="24" fillId="34" borderId="71" xfId="0" applyNumberFormat="1" applyFont="1" applyFill="1" applyBorder="1" applyAlignment="1" applyProtection="1">
      <alignment horizontal="center" vertical="center" wrapText="1"/>
    </xf>
    <xf numFmtId="167" fontId="24" fillId="34" borderId="72" xfId="0" applyNumberFormat="1" applyFont="1" applyFill="1" applyBorder="1" applyAlignment="1" applyProtection="1">
      <alignment horizontal="center" vertical="center" wrapText="1"/>
    </xf>
    <xf numFmtId="167" fontId="24" fillId="34" borderId="73" xfId="0" applyNumberFormat="1" applyFont="1" applyFill="1" applyBorder="1" applyAlignment="1" applyProtection="1">
      <alignment horizontal="center" vertical="center" wrapText="1"/>
    </xf>
    <xf numFmtId="0" fontId="23" fillId="16" borderId="54" xfId="0" applyFont="1" applyFill="1" applyBorder="1" applyAlignment="1" applyProtection="1">
      <alignment horizontal="center" vertical="center" wrapText="1"/>
    </xf>
    <xf numFmtId="0" fontId="23" fillId="16" borderId="80" xfId="0" applyFont="1" applyFill="1" applyBorder="1" applyAlignment="1" applyProtection="1">
      <alignment horizontal="center" vertical="center" wrapText="1"/>
    </xf>
    <xf numFmtId="167" fontId="24" fillId="34" borderId="32" xfId="0" applyNumberFormat="1" applyFont="1" applyFill="1" applyBorder="1" applyAlignment="1" applyProtection="1">
      <alignment horizontal="center" vertical="center" wrapText="1"/>
    </xf>
    <xf numFmtId="167" fontId="24" fillId="34" borderId="33" xfId="0" applyNumberFormat="1" applyFont="1" applyFill="1" applyBorder="1" applyAlignment="1" applyProtection="1">
      <alignment horizontal="center" vertical="center" wrapText="1"/>
    </xf>
    <xf numFmtId="167" fontId="24" fillId="34" borderId="102" xfId="0" applyNumberFormat="1" applyFont="1" applyFill="1" applyBorder="1" applyAlignment="1" applyProtection="1">
      <alignment horizontal="center" vertical="center" wrapText="1"/>
    </xf>
    <xf numFmtId="0" fontId="25" fillId="11" borderId="0" xfId="0" applyFont="1" applyFill="1" applyBorder="1" applyAlignment="1" applyProtection="1">
      <alignment horizontal="left" vertical="center" indent="2"/>
    </xf>
    <xf numFmtId="0" fontId="23" fillId="15" borderId="38" xfId="0" applyFont="1" applyFill="1" applyBorder="1" applyAlignment="1" applyProtection="1">
      <alignment horizontal="center" vertical="center" wrapText="1"/>
    </xf>
    <xf numFmtId="0" fontId="23" fillId="15" borderId="77" xfId="0" applyFont="1" applyFill="1" applyBorder="1" applyAlignment="1" applyProtection="1">
      <alignment horizontal="center" vertical="center" wrapText="1"/>
    </xf>
    <xf numFmtId="0" fontId="23" fillId="16" borderId="189" xfId="0" applyFont="1" applyFill="1" applyBorder="1" applyAlignment="1" applyProtection="1">
      <alignment horizontal="center" vertical="center" wrapText="1"/>
    </xf>
    <xf numFmtId="0" fontId="23" fillId="16" borderId="190" xfId="0" applyFont="1" applyFill="1" applyBorder="1" applyAlignment="1" applyProtection="1">
      <alignment horizontal="center" vertical="center" wrapText="1"/>
    </xf>
    <xf numFmtId="0" fontId="23" fillId="15" borderId="186" xfId="0" applyFont="1" applyFill="1" applyBorder="1" applyAlignment="1" applyProtection="1">
      <alignment horizontal="center" vertical="center" wrapText="1"/>
    </xf>
    <xf numFmtId="0" fontId="23" fillId="15" borderId="169" xfId="0" applyFont="1" applyFill="1" applyBorder="1" applyAlignment="1" applyProtection="1">
      <alignment horizontal="center" vertical="center" wrapText="1"/>
    </xf>
    <xf numFmtId="167" fontId="24" fillId="34" borderId="96" xfId="0" applyNumberFormat="1" applyFont="1" applyFill="1" applyBorder="1" applyAlignment="1" applyProtection="1">
      <alignment horizontal="center" vertical="center" wrapText="1"/>
    </xf>
    <xf numFmtId="167" fontId="24" fillId="34" borderId="97" xfId="0" applyNumberFormat="1" applyFont="1" applyFill="1" applyBorder="1" applyAlignment="1" applyProtection="1">
      <alignment horizontal="center" vertical="center" wrapText="1"/>
    </xf>
    <xf numFmtId="167" fontId="24" fillId="34" borderId="98" xfId="0" applyNumberFormat="1" applyFont="1" applyFill="1" applyBorder="1" applyAlignment="1" applyProtection="1">
      <alignment horizontal="center" vertical="center" wrapText="1"/>
    </xf>
    <xf numFmtId="167" fontId="12" fillId="15" borderId="103" xfId="0" applyNumberFormat="1" applyFont="1" applyFill="1" applyBorder="1" applyAlignment="1" applyProtection="1">
      <alignment horizontal="center" vertical="center" wrapText="1"/>
    </xf>
    <xf numFmtId="167" fontId="12" fillId="15" borderId="104" xfId="0" applyNumberFormat="1" applyFont="1" applyFill="1" applyBorder="1" applyAlignment="1" applyProtection="1">
      <alignment horizontal="center" vertical="center" wrapText="1"/>
    </xf>
    <xf numFmtId="167" fontId="12" fillId="15" borderId="105" xfId="0" applyNumberFormat="1" applyFont="1" applyFill="1" applyBorder="1" applyAlignment="1" applyProtection="1">
      <alignment horizontal="center" vertical="center" wrapText="1"/>
    </xf>
    <xf numFmtId="0" fontId="22" fillId="46" borderId="87" xfId="0" applyFont="1" applyFill="1" applyBorder="1" applyAlignment="1" applyProtection="1">
      <alignment horizontal="center" vertical="center" wrapText="1"/>
    </xf>
    <xf numFmtId="0" fontId="22" fillId="46" borderId="191" xfId="0" applyFont="1" applyFill="1" applyBorder="1" applyAlignment="1" applyProtection="1">
      <alignment horizontal="center" vertical="center" wrapText="1"/>
    </xf>
    <xf numFmtId="0" fontId="22" fillId="46" borderId="89" xfId="0" applyFont="1" applyFill="1" applyBorder="1" applyAlignment="1" applyProtection="1">
      <alignment horizontal="center" vertical="center" wrapText="1"/>
    </xf>
    <xf numFmtId="0" fontId="12" fillId="0" borderId="0" xfId="0" applyFont="1" applyBorder="1" applyAlignment="1" applyProtection="1">
      <alignment horizontal="right" vertical="center"/>
    </xf>
    <xf numFmtId="173" fontId="24" fillId="30" borderId="24" xfId="12" applyNumberFormat="1" applyFont="1" applyFill="1" applyBorder="1" applyAlignment="1" applyProtection="1">
      <alignment horizontal="right" vertical="center" wrapText="1"/>
    </xf>
    <xf numFmtId="173" fontId="24" fillId="30" borderId="35" xfId="12" applyNumberFormat="1" applyFont="1" applyFill="1" applyBorder="1" applyAlignment="1" applyProtection="1">
      <alignment horizontal="right" vertical="center" wrapText="1"/>
    </xf>
    <xf numFmtId="0" fontId="23" fillId="0" borderId="30" xfId="0" applyFont="1" applyFill="1" applyBorder="1" applyAlignment="1" applyProtection="1">
      <alignment horizontal="center" vertical="top" wrapText="1"/>
    </xf>
    <xf numFmtId="0" fontId="23" fillId="0" borderId="8" xfId="0" applyFont="1" applyFill="1" applyBorder="1" applyAlignment="1" applyProtection="1">
      <alignment horizontal="center" vertical="top" wrapText="1"/>
    </xf>
    <xf numFmtId="0" fontId="23" fillId="0" borderId="69" xfId="0" applyFont="1" applyFill="1" applyBorder="1" applyAlignment="1" applyProtection="1">
      <alignment horizontal="center" vertical="top" wrapText="1"/>
    </xf>
    <xf numFmtId="0" fontId="0" fillId="0" borderId="10" xfId="0" applyFont="1" applyFill="1" applyBorder="1" applyAlignment="1" applyProtection="1">
      <alignment horizontal="left" vertical="center"/>
    </xf>
    <xf numFmtId="0" fontId="0" fillId="0" borderId="19"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10" fillId="17" borderId="20" xfId="0" applyFont="1" applyFill="1" applyBorder="1" applyAlignment="1" applyProtection="1">
      <alignment horizontal="left" vertical="center"/>
    </xf>
    <xf numFmtId="0" fontId="10" fillId="17" borderId="16" xfId="0" applyFont="1" applyFill="1" applyBorder="1" applyAlignment="1" applyProtection="1">
      <alignment horizontal="left" vertical="center"/>
    </xf>
    <xf numFmtId="0" fontId="10" fillId="17" borderId="21" xfId="0" applyFont="1" applyFill="1" applyBorder="1" applyAlignment="1" applyProtection="1">
      <alignment horizontal="left" vertical="center"/>
    </xf>
    <xf numFmtId="0" fontId="10" fillId="17" borderId="17" xfId="0" applyFont="1" applyFill="1" applyBorder="1" applyAlignment="1" applyProtection="1">
      <alignment horizontal="left" vertical="center"/>
    </xf>
    <xf numFmtId="0" fontId="10" fillId="17" borderId="6" xfId="0" applyFont="1" applyFill="1" applyBorder="1" applyAlignment="1" applyProtection="1">
      <alignment horizontal="left" vertical="center"/>
    </xf>
    <xf numFmtId="0" fontId="10" fillId="17" borderId="14" xfId="0" applyFont="1" applyFill="1" applyBorder="1" applyAlignment="1" applyProtection="1">
      <alignment horizontal="left" vertical="center"/>
    </xf>
    <xf numFmtId="0" fontId="12" fillId="17" borderId="9" xfId="0" applyFont="1" applyFill="1" applyBorder="1" applyAlignment="1" applyProtection="1">
      <alignment horizontal="center" vertical="center"/>
    </xf>
    <xf numFmtId="0" fontId="12" fillId="17" borderId="15" xfId="0" applyFont="1" applyFill="1" applyBorder="1" applyAlignment="1" applyProtection="1">
      <alignment horizontal="center" vertical="center"/>
    </xf>
    <xf numFmtId="0" fontId="10" fillId="16" borderId="9" xfId="0" applyFont="1" applyFill="1" applyBorder="1" applyAlignment="1" applyProtection="1">
      <alignment horizontal="center" vertical="center"/>
    </xf>
    <xf numFmtId="0" fontId="10" fillId="16" borderId="5" xfId="0" applyFont="1" applyFill="1" applyBorder="1" applyAlignment="1" applyProtection="1">
      <alignment horizontal="center" vertical="center"/>
    </xf>
    <xf numFmtId="0" fontId="10" fillId="17" borderId="158" xfId="0" applyFont="1" applyFill="1" applyBorder="1" applyAlignment="1" applyProtection="1">
      <alignment horizontal="center" vertical="center"/>
    </xf>
    <xf numFmtId="0" fontId="10" fillId="16" borderId="158" xfId="0" applyFont="1" applyFill="1" applyBorder="1" applyAlignment="1" applyProtection="1">
      <alignment horizontal="center" vertical="center" wrapText="1"/>
    </xf>
    <xf numFmtId="165" fontId="12" fillId="18" borderId="198" xfId="13" applyFont="1" applyFill="1" applyBorder="1" applyAlignment="1" applyProtection="1">
      <alignment horizontal="center" vertical="center" wrapText="1"/>
    </xf>
    <xf numFmtId="165" fontId="12" fillId="18" borderId="115" xfId="13" applyFont="1" applyFill="1" applyBorder="1" applyAlignment="1" applyProtection="1">
      <alignment horizontal="center" vertical="center" wrapText="1"/>
    </xf>
    <xf numFmtId="0" fontId="10" fillId="15" borderId="155" xfId="0" applyFont="1" applyFill="1" applyBorder="1" applyAlignment="1" applyProtection="1">
      <alignment horizontal="center" vertical="center"/>
    </xf>
    <xf numFmtId="0" fontId="10" fillId="15" borderId="206" xfId="0" applyFont="1" applyFill="1" applyBorder="1" applyAlignment="1" applyProtection="1">
      <alignment horizontal="center" vertical="center"/>
    </xf>
    <xf numFmtId="0" fontId="23" fillId="12" borderId="44" xfId="0" applyFont="1" applyFill="1" applyBorder="1" applyAlignment="1" applyProtection="1">
      <alignment horizontal="center" vertical="center"/>
      <protection locked="0"/>
    </xf>
    <xf numFmtId="0" fontId="23" fillId="12" borderId="27" xfId="0" applyFont="1" applyFill="1" applyBorder="1" applyAlignment="1" applyProtection="1">
      <alignment horizontal="center" vertical="center"/>
      <protection locked="0"/>
    </xf>
    <xf numFmtId="0" fontId="0" fillId="0" borderId="29" xfId="0" applyFont="1" applyFill="1" applyBorder="1" applyAlignment="1" applyProtection="1">
      <alignment horizontal="left" vertical="center"/>
    </xf>
    <xf numFmtId="0" fontId="0" fillId="0" borderId="45" xfId="0" applyFont="1" applyFill="1" applyBorder="1" applyAlignment="1" applyProtection="1">
      <alignment horizontal="left" vertical="center"/>
    </xf>
    <xf numFmtId="0" fontId="0" fillId="0" borderId="31" xfId="0" applyFont="1" applyFill="1" applyBorder="1" applyAlignment="1" applyProtection="1">
      <alignment horizontal="left" vertical="center"/>
    </xf>
    <xf numFmtId="0" fontId="0" fillId="0" borderId="48" xfId="0" applyFont="1" applyFill="1" applyBorder="1" applyAlignment="1" applyProtection="1">
      <alignment horizontal="left" vertical="center"/>
    </xf>
    <xf numFmtId="0" fontId="0" fillId="0" borderId="42" xfId="0" applyFont="1" applyFill="1" applyBorder="1" applyAlignment="1" applyProtection="1">
      <alignment horizontal="left" vertical="center"/>
    </xf>
    <xf numFmtId="0" fontId="0" fillId="0" borderId="43" xfId="0" applyFont="1" applyFill="1" applyBorder="1" applyAlignment="1" applyProtection="1">
      <alignment horizontal="left" vertical="center"/>
    </xf>
    <xf numFmtId="176" fontId="0" fillId="26" borderId="165" xfId="0" applyNumberFormat="1" applyFont="1" applyFill="1" applyBorder="1" applyAlignment="1" applyProtection="1">
      <alignment horizontal="center" vertical="center"/>
    </xf>
    <xf numFmtId="176" fontId="0" fillId="26" borderId="136" xfId="0" applyNumberFormat="1" applyFont="1" applyFill="1" applyBorder="1" applyAlignment="1" applyProtection="1">
      <alignment horizontal="center" vertical="center"/>
    </xf>
    <xf numFmtId="0" fontId="9" fillId="48" borderId="166" xfId="0" applyFont="1" applyFill="1" applyBorder="1" applyAlignment="1" applyProtection="1">
      <alignment horizontal="center" vertical="center"/>
    </xf>
    <xf numFmtId="0" fontId="9" fillId="48" borderId="177" xfId="0" applyFont="1" applyFill="1" applyBorder="1" applyAlignment="1" applyProtection="1">
      <alignment horizontal="center" vertical="center"/>
    </xf>
    <xf numFmtId="0" fontId="9" fillId="47" borderId="166" xfId="0" applyFont="1" applyFill="1" applyBorder="1" applyAlignment="1" applyProtection="1">
      <alignment horizontal="center" vertical="center"/>
    </xf>
    <xf numFmtId="0" fontId="9" fillId="47" borderId="177" xfId="0" applyFont="1" applyFill="1" applyBorder="1" applyAlignment="1" applyProtection="1">
      <alignment horizontal="center" vertical="center"/>
    </xf>
    <xf numFmtId="176" fontId="0" fillId="26" borderId="137" xfId="0" applyNumberFormat="1" applyFont="1" applyFill="1" applyBorder="1" applyAlignment="1" applyProtection="1">
      <alignment horizontal="center" vertical="center"/>
    </xf>
    <xf numFmtId="0" fontId="12" fillId="16" borderId="173" xfId="0" applyFont="1" applyFill="1" applyBorder="1" applyAlignment="1" applyProtection="1">
      <alignment horizontal="center" vertical="center" wrapText="1"/>
    </xf>
    <xf numFmtId="0" fontId="12" fillId="16" borderId="83" xfId="0" applyFont="1" applyFill="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10" fillId="16" borderId="121" xfId="0" applyFont="1" applyFill="1" applyBorder="1" applyAlignment="1" applyProtection="1">
      <alignment horizontal="center" vertical="center" wrapText="1"/>
    </xf>
    <xf numFmtId="0" fontId="17" fillId="48" borderId="165" xfId="0" applyFont="1" applyFill="1" applyBorder="1" applyAlignment="1" applyProtection="1">
      <alignment horizontal="center" vertical="center"/>
    </xf>
    <xf numFmtId="0" fontId="17" fillId="48" borderId="136" xfId="0" applyFont="1" applyFill="1" applyBorder="1" applyAlignment="1" applyProtection="1">
      <alignment horizontal="center" vertical="center"/>
    </xf>
    <xf numFmtId="0" fontId="17" fillId="47" borderId="165" xfId="0" applyFont="1" applyFill="1" applyBorder="1" applyAlignment="1" applyProtection="1">
      <alignment horizontal="center" vertical="center"/>
    </xf>
    <xf numFmtId="0" fontId="17" fillId="47" borderId="136" xfId="0" applyFont="1" applyFill="1" applyBorder="1" applyAlignment="1" applyProtection="1">
      <alignment horizontal="center" vertical="center"/>
    </xf>
    <xf numFmtId="0" fontId="9" fillId="14" borderId="166" xfId="0" applyFont="1" applyFill="1" applyBorder="1" applyAlignment="1" applyProtection="1">
      <alignment horizontal="center" vertical="center"/>
    </xf>
    <xf numFmtId="0" fontId="9" fillId="14" borderId="177" xfId="0" applyFont="1" applyFill="1" applyBorder="1" applyAlignment="1" applyProtection="1">
      <alignment horizontal="center" vertical="center"/>
    </xf>
    <xf numFmtId="0" fontId="17" fillId="14" borderId="135" xfId="0" applyFont="1" applyFill="1" applyBorder="1" applyAlignment="1" applyProtection="1">
      <alignment horizontal="center" vertical="center"/>
    </xf>
    <xf numFmtId="0" fontId="17" fillId="14" borderId="125" xfId="0" applyFont="1" applyFill="1" applyBorder="1" applyAlignment="1" applyProtection="1">
      <alignment horizontal="center" vertical="center"/>
    </xf>
    <xf numFmtId="0" fontId="17" fillId="48" borderId="135" xfId="0" applyFont="1" applyFill="1" applyBorder="1" applyAlignment="1" applyProtection="1">
      <alignment horizontal="center" vertical="center"/>
    </xf>
    <xf numFmtId="0" fontId="17" fillId="48" borderId="157" xfId="0" applyFont="1" applyFill="1" applyBorder="1" applyAlignment="1" applyProtection="1">
      <alignment horizontal="center" vertical="center"/>
    </xf>
    <xf numFmtId="0" fontId="17" fillId="47" borderId="137" xfId="0" applyFont="1" applyFill="1" applyBorder="1" applyAlignment="1" applyProtection="1">
      <alignment horizontal="center" vertical="center"/>
    </xf>
    <xf numFmtId="0" fontId="17" fillId="47" borderId="157" xfId="0" applyFont="1" applyFill="1" applyBorder="1" applyAlignment="1" applyProtection="1">
      <alignment horizontal="center" vertical="center"/>
    </xf>
    <xf numFmtId="0" fontId="17" fillId="14" borderId="165" xfId="0" applyFont="1" applyFill="1" applyBorder="1" applyAlignment="1" applyProtection="1">
      <alignment horizontal="center" vertical="center"/>
    </xf>
    <xf numFmtId="0" fontId="17" fillId="14" borderId="136" xfId="0" applyFont="1" applyFill="1" applyBorder="1" applyAlignment="1" applyProtection="1">
      <alignment horizontal="center" vertical="center"/>
    </xf>
    <xf numFmtId="0" fontId="23" fillId="47" borderId="124" xfId="0" applyFont="1" applyFill="1" applyBorder="1" applyAlignment="1" applyProtection="1">
      <alignment horizontal="center" vertical="center" textRotation="90" wrapText="1"/>
    </xf>
    <xf numFmtId="0" fontId="23" fillId="47" borderId="126" xfId="0" applyFont="1" applyFill="1" applyBorder="1" applyAlignment="1" applyProtection="1">
      <alignment horizontal="center" vertical="center" textRotation="90" wrapText="1"/>
    </xf>
    <xf numFmtId="0" fontId="23" fillId="47" borderId="83" xfId="0" applyFont="1" applyFill="1" applyBorder="1" applyAlignment="1" applyProtection="1">
      <alignment horizontal="center" vertical="center" textRotation="90" wrapText="1"/>
    </xf>
    <xf numFmtId="0" fontId="23" fillId="47" borderId="124" xfId="0" applyFont="1" applyFill="1" applyBorder="1" applyAlignment="1" applyProtection="1">
      <alignment horizontal="left" vertical="center" wrapText="1"/>
    </xf>
    <xf numFmtId="0" fontId="23" fillId="47" borderId="126" xfId="0" applyFont="1" applyFill="1" applyBorder="1" applyAlignment="1" applyProtection="1">
      <alignment horizontal="left" vertical="center" wrapText="1"/>
    </xf>
    <xf numFmtId="0" fontId="23" fillId="47" borderId="83" xfId="0" applyFont="1" applyFill="1" applyBorder="1" applyAlignment="1" applyProtection="1">
      <alignment horizontal="left" vertical="center" wrapText="1"/>
    </xf>
    <xf numFmtId="0" fontId="26" fillId="47" borderId="129" xfId="0" applyFont="1" applyFill="1" applyBorder="1" applyAlignment="1" applyProtection="1">
      <alignment horizontal="center" vertical="center" textRotation="90" wrapText="1"/>
    </xf>
    <xf numFmtId="0" fontId="26" fillId="47" borderId="117" xfId="0" applyFont="1" applyFill="1" applyBorder="1" applyAlignment="1" applyProtection="1">
      <alignment horizontal="center" vertical="center" textRotation="90" wrapText="1"/>
    </xf>
    <xf numFmtId="0" fontId="26" fillId="47" borderId="113" xfId="0" applyFont="1" applyFill="1" applyBorder="1" applyAlignment="1" applyProtection="1">
      <alignment horizontal="center" vertical="center" textRotation="90" wrapText="1"/>
    </xf>
    <xf numFmtId="0" fontId="23" fillId="12" borderId="130" xfId="0" applyFont="1" applyFill="1" applyBorder="1" applyAlignment="1" applyProtection="1">
      <alignment horizontal="left" vertical="center" wrapText="1"/>
      <protection locked="0"/>
    </xf>
    <xf numFmtId="0" fontId="23" fillId="12" borderId="131" xfId="0" applyFont="1" applyFill="1" applyBorder="1" applyAlignment="1" applyProtection="1">
      <alignment horizontal="left" vertical="center" wrapText="1"/>
      <protection locked="0"/>
    </xf>
    <xf numFmtId="0" fontId="23" fillId="12" borderId="128" xfId="0" applyFont="1" applyFill="1" applyBorder="1" applyAlignment="1" applyProtection="1">
      <alignment horizontal="left" vertical="center" wrapText="1"/>
      <protection locked="0"/>
    </xf>
    <xf numFmtId="0" fontId="23" fillId="12" borderId="186" xfId="0" applyFont="1" applyFill="1" applyBorder="1" applyAlignment="1" applyProtection="1">
      <alignment horizontal="left" vertical="center" wrapText="1"/>
      <protection locked="0"/>
    </xf>
    <xf numFmtId="0" fontId="23" fillId="12" borderId="187" xfId="0" applyFont="1" applyFill="1" applyBorder="1" applyAlignment="1" applyProtection="1">
      <alignment horizontal="left" vertical="center" wrapText="1"/>
      <protection locked="0"/>
    </xf>
    <xf numFmtId="0" fontId="23" fillId="12" borderId="188" xfId="0" applyFont="1" applyFill="1" applyBorder="1" applyAlignment="1" applyProtection="1">
      <alignment horizontal="left" vertical="center" wrapText="1"/>
      <protection locked="0"/>
    </xf>
    <xf numFmtId="0" fontId="23" fillId="12" borderId="124" xfId="0" applyFont="1" applyFill="1" applyBorder="1" applyAlignment="1" applyProtection="1">
      <alignment horizontal="left" vertical="center" wrapText="1"/>
      <protection locked="0"/>
    </xf>
    <xf numFmtId="0" fontId="23" fillId="12" borderId="167" xfId="0" applyFont="1" applyFill="1" applyBorder="1" applyAlignment="1" applyProtection="1">
      <alignment horizontal="left" vertical="center" wrapText="1"/>
      <protection locked="0"/>
    </xf>
    <xf numFmtId="0" fontId="23" fillId="12" borderId="126" xfId="0" applyFont="1" applyFill="1" applyBorder="1" applyAlignment="1" applyProtection="1">
      <alignment horizontal="left" vertical="center" wrapText="1"/>
      <protection locked="0"/>
    </xf>
    <xf numFmtId="0" fontId="23" fillId="12" borderId="83" xfId="0" applyFont="1" applyFill="1" applyBorder="1" applyAlignment="1" applyProtection="1">
      <alignment horizontal="left" vertical="center" wrapText="1"/>
      <protection locked="0"/>
    </xf>
    <xf numFmtId="0" fontId="25" fillId="0" borderId="0" xfId="0" applyFont="1" applyBorder="1" applyAlignment="1" applyProtection="1">
      <alignment horizontal="center" vertical="center"/>
    </xf>
    <xf numFmtId="0" fontId="12" fillId="17" borderId="30" xfId="0" applyFont="1" applyFill="1" applyBorder="1" applyAlignment="1" applyProtection="1">
      <alignment horizontal="center" vertical="center" wrapText="1"/>
    </xf>
    <xf numFmtId="0" fontId="12" fillId="17" borderId="140" xfId="0" applyFont="1" applyFill="1" applyBorder="1" applyAlignment="1" applyProtection="1">
      <alignment horizontal="center" vertical="center" wrapText="1"/>
    </xf>
    <xf numFmtId="0" fontId="10" fillId="15" borderId="30" xfId="0" applyFont="1" applyFill="1" applyBorder="1" applyAlignment="1" applyProtection="1">
      <alignment horizontal="center" vertical="center" wrapText="1"/>
    </xf>
    <xf numFmtId="0" fontId="10" fillId="15" borderId="140" xfId="0" applyFont="1" applyFill="1" applyBorder="1" applyAlignment="1" applyProtection="1">
      <alignment horizontal="center" vertical="center" wrapText="1"/>
    </xf>
    <xf numFmtId="0" fontId="12" fillId="26" borderId="66" xfId="0" applyFont="1" applyFill="1" applyBorder="1" applyAlignment="1" applyProtection="1">
      <alignment horizontal="center" vertical="center" wrapText="1"/>
    </xf>
    <xf numFmtId="0" fontId="12" fillId="26" borderId="126" xfId="0" applyFont="1" applyFill="1" applyBorder="1" applyAlignment="1" applyProtection="1">
      <alignment horizontal="center" vertical="center" wrapText="1"/>
    </xf>
    <xf numFmtId="0" fontId="17" fillId="14" borderId="174" xfId="0" applyFont="1" applyFill="1" applyBorder="1" applyAlignment="1" applyProtection="1">
      <alignment horizontal="center" vertical="center"/>
    </xf>
    <xf numFmtId="0" fontId="17" fillId="47" borderId="174" xfId="0" applyFont="1" applyFill="1" applyBorder="1" applyAlignment="1" applyProtection="1">
      <alignment horizontal="center" vertical="center"/>
    </xf>
    <xf numFmtId="0" fontId="12" fillId="16" borderId="59" xfId="0" applyFont="1" applyFill="1" applyBorder="1" applyAlignment="1" applyProtection="1">
      <alignment horizontal="center" vertical="center" wrapText="1"/>
    </xf>
    <xf numFmtId="0" fontId="12" fillId="16" borderId="63" xfId="0" applyFont="1" applyFill="1" applyBorder="1" applyAlignment="1" applyProtection="1">
      <alignment horizontal="center" vertical="center" wrapText="1"/>
    </xf>
    <xf numFmtId="0" fontId="12" fillId="16" borderId="67" xfId="0" applyFont="1" applyFill="1" applyBorder="1" applyAlignment="1" applyProtection="1">
      <alignment horizontal="center" vertical="center" wrapText="1"/>
    </xf>
    <xf numFmtId="0" fontId="12" fillId="16" borderId="68" xfId="0" applyFont="1" applyFill="1" applyBorder="1" applyAlignment="1" applyProtection="1">
      <alignment horizontal="center" vertical="center" wrapText="1"/>
    </xf>
    <xf numFmtId="0" fontId="12" fillId="16" borderId="56" xfId="0" applyFont="1" applyFill="1" applyBorder="1" applyAlignment="1" applyProtection="1">
      <alignment horizontal="center" vertical="center"/>
    </xf>
    <xf numFmtId="0" fontId="12" fillId="16" borderId="8" xfId="0" applyFont="1" applyFill="1" applyBorder="1" applyAlignment="1" applyProtection="1">
      <alignment horizontal="center" vertical="center"/>
    </xf>
    <xf numFmtId="0" fontId="12" fillId="16" borderId="56" xfId="0" applyFont="1" applyFill="1" applyBorder="1" applyAlignment="1" applyProtection="1">
      <alignment horizontal="center" vertical="center" wrapText="1"/>
    </xf>
    <xf numFmtId="0" fontId="12" fillId="16" borderId="8" xfId="0" applyFont="1" applyFill="1" applyBorder="1" applyAlignment="1" applyProtection="1">
      <alignment horizontal="center" vertical="center" wrapText="1"/>
    </xf>
    <xf numFmtId="0" fontId="22" fillId="16" borderId="57" xfId="0" applyFont="1" applyFill="1" applyBorder="1" applyAlignment="1" applyProtection="1">
      <alignment horizontal="center" vertical="center" wrapText="1"/>
    </xf>
    <xf numFmtId="0" fontId="22" fillId="16" borderId="64" xfId="0" applyFont="1" applyFill="1" applyBorder="1" applyAlignment="1" applyProtection="1">
      <alignment horizontal="center" vertical="center" wrapText="1"/>
    </xf>
    <xf numFmtId="0" fontId="22" fillId="16" borderId="65"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23" fillId="0" borderId="248" xfId="0" applyFont="1" applyFill="1" applyBorder="1" applyAlignment="1" applyProtection="1">
      <alignment horizontal="left" vertical="center" wrapText="1"/>
    </xf>
    <xf numFmtId="0" fontId="23" fillId="0" borderId="171" xfId="0" applyFont="1" applyFill="1" applyBorder="1" applyAlignment="1" applyProtection="1">
      <alignment horizontal="left" vertical="center" wrapText="1"/>
    </xf>
    <xf numFmtId="0" fontId="23" fillId="0" borderId="249" xfId="0" applyFont="1" applyFill="1" applyBorder="1" applyAlignment="1" applyProtection="1">
      <alignment horizontal="left" vertical="center" wrapText="1"/>
    </xf>
    <xf numFmtId="0" fontId="23" fillId="16" borderId="36" xfId="0" applyFont="1" applyFill="1" applyBorder="1" applyAlignment="1" applyProtection="1">
      <alignment horizontal="center" vertical="center"/>
    </xf>
    <xf numFmtId="0" fontId="23" fillId="16" borderId="37" xfId="0" applyFont="1" applyFill="1" applyBorder="1" applyAlignment="1" applyProtection="1">
      <alignment horizontal="center" vertical="center"/>
    </xf>
    <xf numFmtId="0" fontId="23" fillId="12" borderId="12" xfId="0" applyFont="1" applyFill="1" applyBorder="1" applyAlignment="1" applyProtection="1">
      <alignment horizontal="center" vertical="center"/>
      <protection locked="0"/>
    </xf>
    <xf numFmtId="0" fontId="23" fillId="12" borderId="13" xfId="0" applyFont="1" applyFill="1" applyBorder="1" applyAlignment="1" applyProtection="1">
      <alignment horizontal="center" vertical="center"/>
      <protection locked="0"/>
    </xf>
    <xf numFmtId="167" fontId="23" fillId="17" borderId="49" xfId="0" applyNumberFormat="1" applyFont="1" applyFill="1" applyBorder="1" applyAlignment="1" applyProtection="1">
      <alignment horizontal="center" vertical="center" wrapText="1"/>
    </xf>
    <xf numFmtId="167" fontId="23" fillId="17" borderId="33" xfId="0" applyNumberFormat="1" applyFont="1" applyFill="1" applyBorder="1" applyAlignment="1" applyProtection="1">
      <alignment horizontal="center" vertical="center" wrapText="1"/>
    </xf>
    <xf numFmtId="167" fontId="23" fillId="17" borderId="50" xfId="0" applyNumberFormat="1" applyFont="1" applyFill="1" applyBorder="1" applyAlignment="1" applyProtection="1">
      <alignment horizontal="center" vertical="center" wrapText="1"/>
    </xf>
    <xf numFmtId="167" fontId="24" fillId="34" borderId="49" xfId="0" applyNumberFormat="1" applyFont="1" applyFill="1" applyBorder="1" applyAlignment="1" applyProtection="1">
      <alignment horizontal="center" vertical="center" wrapText="1"/>
    </xf>
    <xf numFmtId="167" fontId="24" fillId="34" borderId="50" xfId="0" applyNumberFormat="1" applyFont="1" applyFill="1" applyBorder="1" applyAlignment="1" applyProtection="1">
      <alignment horizontal="center" vertical="center" wrapText="1"/>
    </xf>
    <xf numFmtId="0" fontId="25" fillId="0" borderId="0" xfId="0" applyFont="1" applyBorder="1" applyAlignment="1" applyProtection="1">
      <alignment horizontal="left" vertical="center" indent="2"/>
    </xf>
    <xf numFmtId="0" fontId="12" fillId="15" borderId="130" xfId="0" applyFont="1" applyFill="1" applyBorder="1" applyAlignment="1" applyProtection="1">
      <alignment horizontal="center" vertical="center" wrapText="1"/>
    </xf>
    <xf numFmtId="0" fontId="12" fillId="15" borderId="132" xfId="0" applyFont="1" applyFill="1" applyBorder="1" applyAlignment="1" applyProtection="1">
      <alignment horizontal="center" vertical="center" wrapText="1"/>
    </xf>
    <xf numFmtId="0" fontId="12" fillId="15" borderId="136" xfId="0" applyFont="1" applyFill="1" applyBorder="1" applyAlignment="1" applyProtection="1">
      <alignment horizontal="center" vertical="center" wrapText="1"/>
    </xf>
    <xf numFmtId="0" fontId="12" fillId="15" borderId="62" xfId="0" applyFont="1" applyFill="1" applyBorder="1" applyAlignment="1" applyProtection="1">
      <alignment horizontal="center" vertical="center" wrapText="1"/>
    </xf>
    <xf numFmtId="0" fontId="22" fillId="16" borderId="165" xfId="0" applyFont="1" applyFill="1" applyBorder="1" applyAlignment="1" applyProtection="1">
      <alignment horizontal="center" vertical="center"/>
    </xf>
    <xf numFmtId="0" fontId="22" fillId="16" borderId="174" xfId="0" applyFont="1" applyFill="1" applyBorder="1" applyAlignment="1" applyProtection="1">
      <alignment horizontal="center" vertical="center"/>
    </xf>
    <xf numFmtId="0" fontId="22" fillId="16" borderId="193" xfId="0" applyFont="1" applyFill="1" applyBorder="1" applyAlignment="1" applyProtection="1">
      <alignment horizontal="center" vertical="center"/>
    </xf>
    <xf numFmtId="0" fontId="12" fillId="27" borderId="64" xfId="0" applyFont="1" applyFill="1" applyBorder="1" applyAlignment="1" applyProtection="1">
      <alignment horizontal="center" vertical="center" wrapText="1"/>
    </xf>
    <xf numFmtId="0" fontId="12" fillId="27" borderId="0" xfId="0" applyFont="1" applyFill="1" applyBorder="1" applyAlignment="1" applyProtection="1">
      <alignment horizontal="center" vertical="center" wrapText="1"/>
    </xf>
    <xf numFmtId="0" fontId="12" fillId="27" borderId="173" xfId="0" applyFont="1" applyFill="1" applyBorder="1" applyAlignment="1" applyProtection="1">
      <alignment horizontal="center" vertical="center" wrapText="1"/>
    </xf>
    <xf numFmtId="0" fontId="12" fillId="27" borderId="126"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23" fillId="11" borderId="181" xfId="0" applyFont="1" applyFill="1" applyBorder="1" applyAlignment="1" applyProtection="1">
      <alignment horizontal="center" vertical="center" wrapText="1"/>
    </xf>
    <xf numFmtId="0" fontId="23" fillId="11" borderId="171" xfId="0" applyFont="1" applyFill="1" applyBorder="1" applyAlignment="1" applyProtection="1">
      <alignment horizontal="center" vertical="center" wrapText="1"/>
    </xf>
    <xf numFmtId="0" fontId="23" fillId="11" borderId="172" xfId="0" applyFont="1" applyFill="1" applyBorder="1" applyAlignment="1" applyProtection="1">
      <alignment horizontal="center" vertical="center" wrapText="1"/>
    </xf>
    <xf numFmtId="176" fontId="23" fillId="29" borderId="173" xfId="0" applyNumberFormat="1" applyFont="1" applyFill="1" applyBorder="1" applyAlignment="1" applyProtection="1">
      <alignment horizontal="right" vertical="center"/>
    </xf>
    <xf numFmtId="176" fontId="23" fillId="29" borderId="126" xfId="0" applyNumberFormat="1" applyFont="1" applyFill="1" applyBorder="1" applyAlignment="1" applyProtection="1">
      <alignment horizontal="right" vertical="center"/>
    </xf>
    <xf numFmtId="176" fontId="23" fillId="29" borderId="83" xfId="0" applyNumberFormat="1" applyFont="1" applyFill="1" applyBorder="1" applyAlignment="1" applyProtection="1">
      <alignment horizontal="right" vertical="center"/>
    </xf>
    <xf numFmtId="0" fontId="12" fillId="16" borderId="192" xfId="0" applyFont="1" applyFill="1" applyBorder="1" applyAlignment="1" applyProtection="1">
      <alignment horizontal="center" vertical="center" wrapText="1"/>
    </xf>
    <xf numFmtId="0" fontId="12" fillId="16" borderId="41" xfId="0" applyFont="1" applyFill="1" applyBorder="1" applyAlignment="1" applyProtection="1">
      <alignment horizontal="center" vertical="center" wrapText="1"/>
    </xf>
    <xf numFmtId="0" fontId="12" fillId="16" borderId="55" xfId="0" applyFont="1" applyFill="1" applyBorder="1" applyAlignment="1" applyProtection="1">
      <alignment horizontal="center" vertical="center" wrapText="1"/>
    </xf>
    <xf numFmtId="0" fontId="12" fillId="16" borderId="191" xfId="0" applyFont="1" applyFill="1" applyBorder="1" applyAlignment="1" applyProtection="1">
      <alignment horizontal="center" vertical="center" wrapText="1"/>
    </xf>
    <xf numFmtId="0" fontId="22" fillId="0" borderId="257" xfId="0" applyFont="1" applyFill="1" applyBorder="1" applyAlignment="1" applyProtection="1">
      <alignment horizontal="center" vertical="center" wrapText="1"/>
    </xf>
    <xf numFmtId="0" fontId="22" fillId="0" borderId="258" xfId="0" applyFont="1" applyFill="1" applyBorder="1" applyAlignment="1" applyProtection="1">
      <alignment horizontal="center" vertical="center" wrapText="1"/>
    </xf>
    <xf numFmtId="0" fontId="22" fillId="0" borderId="259" xfId="0" applyFont="1" applyFill="1" applyBorder="1" applyAlignment="1" applyProtection="1">
      <alignment horizontal="center" vertical="center" wrapText="1"/>
    </xf>
    <xf numFmtId="0" fontId="12" fillId="16" borderId="152" xfId="0" applyFont="1" applyFill="1" applyBorder="1" applyAlignment="1" applyProtection="1">
      <alignment horizontal="center" vertical="center" wrapText="1"/>
    </xf>
    <xf numFmtId="0" fontId="12" fillId="16" borderId="153" xfId="0" applyFont="1" applyFill="1" applyBorder="1" applyAlignment="1" applyProtection="1">
      <alignment horizontal="center" vertical="center" wrapText="1"/>
    </xf>
    <xf numFmtId="0" fontId="23" fillId="12" borderId="10" xfId="0" applyFont="1" applyFill="1" applyBorder="1" applyAlignment="1" applyProtection="1">
      <alignment horizontal="center" vertical="center"/>
      <protection locked="0"/>
    </xf>
    <xf numFmtId="0" fontId="23" fillId="12" borderId="11" xfId="0" applyFont="1" applyFill="1" applyBorder="1" applyAlignment="1" applyProtection="1">
      <alignment horizontal="center" vertical="center"/>
      <protection locked="0"/>
    </xf>
    <xf numFmtId="0" fontId="12" fillId="16" borderId="197" xfId="0" applyFont="1" applyFill="1" applyBorder="1" applyAlignment="1" applyProtection="1">
      <alignment horizontal="center" vertical="center"/>
    </xf>
    <xf numFmtId="0" fontId="12" fillId="16" borderId="151" xfId="0" applyFont="1" applyFill="1" applyBorder="1" applyAlignment="1" applyProtection="1">
      <alignment horizontal="center" vertical="center"/>
    </xf>
    <xf numFmtId="0" fontId="23" fillId="15" borderId="144" xfId="0" applyFont="1" applyFill="1" applyBorder="1" applyAlignment="1" applyProtection="1">
      <alignment horizontal="center" vertical="center" wrapText="1"/>
    </xf>
    <xf numFmtId="0" fontId="23" fillId="15" borderId="251" xfId="0" applyFont="1" applyFill="1" applyBorder="1" applyAlignment="1" applyProtection="1">
      <alignment horizontal="center" vertical="center" wrapText="1"/>
    </xf>
    <xf numFmtId="0" fontId="23" fillId="15" borderId="148" xfId="0" applyFont="1" applyFill="1" applyBorder="1" applyAlignment="1" applyProtection="1">
      <alignment horizontal="center" vertical="center" wrapText="1"/>
    </xf>
    <xf numFmtId="0" fontId="23" fillId="15" borderId="260" xfId="0" applyFont="1" applyFill="1" applyBorder="1" applyAlignment="1" applyProtection="1">
      <alignment horizontal="center" vertical="center" wrapText="1"/>
    </xf>
    <xf numFmtId="0" fontId="12" fillId="16" borderId="199" xfId="0" applyFont="1" applyFill="1" applyBorder="1" applyAlignment="1" applyProtection="1">
      <alignment horizontal="center" vertical="center"/>
    </xf>
    <xf numFmtId="0" fontId="12" fillId="16" borderId="147" xfId="0" applyFont="1" applyFill="1" applyBorder="1" applyAlignment="1" applyProtection="1">
      <alignment horizontal="center" vertical="center"/>
    </xf>
    <xf numFmtId="167" fontId="12" fillId="17" borderId="150" xfId="0" applyNumberFormat="1" applyFont="1" applyFill="1" applyBorder="1" applyAlignment="1" applyProtection="1">
      <alignment horizontal="center" vertical="center" wrapText="1"/>
    </xf>
    <xf numFmtId="167" fontId="12" fillId="17" borderId="146" xfId="0" applyNumberFormat="1" applyFont="1" applyFill="1" applyBorder="1" applyAlignment="1" applyProtection="1">
      <alignment horizontal="center" vertical="center" wrapText="1"/>
    </xf>
    <xf numFmtId="167" fontId="12" fillId="17" borderId="145" xfId="0" applyNumberFormat="1" applyFont="1" applyFill="1" applyBorder="1" applyAlignment="1" applyProtection="1">
      <alignment horizontal="center" vertical="center" wrapText="1"/>
    </xf>
    <xf numFmtId="0" fontId="0" fillId="38" borderId="40" xfId="0" applyFont="1" applyFill="1" applyBorder="1" applyAlignment="1" applyProtection="1">
      <alignment horizontal="left" vertical="center" wrapText="1"/>
    </xf>
    <xf numFmtId="0" fontId="0" fillId="38" borderId="24" xfId="0" applyFont="1" applyFill="1" applyBorder="1" applyAlignment="1" applyProtection="1">
      <alignment horizontal="left" vertical="center" wrapText="1"/>
    </xf>
    <xf numFmtId="0" fontId="0" fillId="38" borderId="52" xfId="0" applyFont="1" applyFill="1" applyBorder="1" applyAlignment="1" applyProtection="1">
      <alignment horizontal="left" vertical="center" wrapText="1"/>
    </xf>
    <xf numFmtId="0" fontId="0" fillId="38" borderId="41" xfId="0" applyFont="1" applyFill="1" applyBorder="1" applyAlignment="1" applyProtection="1">
      <alignment horizontal="left" vertical="center" wrapText="1"/>
    </xf>
    <xf numFmtId="0" fontId="0" fillId="38" borderId="0" xfId="0" applyFont="1" applyFill="1" applyBorder="1" applyAlignment="1" applyProtection="1">
      <alignment horizontal="left" vertical="center" wrapText="1"/>
    </xf>
    <xf numFmtId="0" fontId="0" fillId="38" borderId="53" xfId="0" applyFont="1" applyFill="1" applyBorder="1" applyAlignment="1" applyProtection="1">
      <alignment horizontal="left" vertical="center" wrapText="1"/>
    </xf>
    <xf numFmtId="0" fontId="0" fillId="38" borderId="25" xfId="0" applyFont="1" applyFill="1" applyBorder="1" applyAlignment="1" applyProtection="1">
      <alignment horizontal="left" vertical="center" wrapText="1"/>
    </xf>
    <xf numFmtId="0" fontId="0" fillId="38" borderId="18" xfId="0" applyFont="1" applyFill="1" applyBorder="1" applyAlignment="1" applyProtection="1">
      <alignment horizontal="left" vertical="center" wrapText="1"/>
    </xf>
    <xf numFmtId="0" fontId="0" fillId="38" borderId="22" xfId="0" applyFont="1" applyFill="1" applyBorder="1" applyAlignment="1" applyProtection="1">
      <alignment horizontal="left" vertical="center" wrapText="1"/>
    </xf>
    <xf numFmtId="0" fontId="12" fillId="37" borderId="158" xfId="0" applyFont="1" applyFill="1" applyBorder="1" applyAlignment="1" applyProtection="1">
      <alignment horizontal="center" vertical="center"/>
      <protection locked="0"/>
    </xf>
    <xf numFmtId="0" fontId="20" fillId="52" borderId="244" xfId="0" applyFont="1" applyFill="1" applyBorder="1" applyAlignment="1" applyProtection="1">
      <alignment horizontal="center" vertical="center"/>
      <protection locked="0"/>
    </xf>
    <xf numFmtId="0" fontId="20" fillId="52" borderId="271" xfId="0" applyFont="1" applyFill="1" applyBorder="1" applyAlignment="1" applyProtection="1">
      <alignment horizontal="center" vertical="center"/>
      <protection locked="0"/>
    </xf>
    <xf numFmtId="0" fontId="20" fillId="52" borderId="268" xfId="0" applyFont="1" applyFill="1" applyBorder="1" applyAlignment="1" applyProtection="1">
      <alignment horizontal="center" vertical="center"/>
      <protection locked="0"/>
    </xf>
    <xf numFmtId="0" fontId="20" fillId="52" borderId="269" xfId="0" applyFont="1" applyFill="1" applyBorder="1" applyAlignment="1" applyProtection="1">
      <alignment horizontal="center" vertical="center"/>
      <protection locked="0"/>
    </xf>
    <xf numFmtId="0" fontId="20" fillId="52" borderId="267" xfId="0" applyFont="1" applyFill="1" applyBorder="1" applyAlignment="1" applyProtection="1">
      <alignment horizontal="center" vertical="center"/>
      <protection locked="0"/>
    </xf>
    <xf numFmtId="0" fontId="20" fillId="52" borderId="270" xfId="0" applyFont="1" applyFill="1" applyBorder="1" applyAlignment="1" applyProtection="1">
      <alignment horizontal="center" vertical="center"/>
      <protection locked="0"/>
    </xf>
    <xf numFmtId="0" fontId="43" fillId="0" borderId="271" xfId="0" applyFont="1" applyBorder="1" applyAlignment="1" applyProtection="1">
      <alignment horizontal="center" vertical="center" wrapText="1"/>
      <protection locked="0"/>
    </xf>
    <xf numFmtId="0" fontId="43" fillId="0" borderId="267" xfId="0" applyFont="1" applyBorder="1" applyAlignment="1" applyProtection="1">
      <alignment horizontal="center" vertical="center" wrapText="1"/>
      <protection locked="0"/>
    </xf>
    <xf numFmtId="0" fontId="48" fillId="52" borderId="212" xfId="0" applyFont="1" applyFill="1" applyBorder="1" applyAlignment="1" applyProtection="1">
      <alignment horizontal="left" wrapText="1"/>
      <protection locked="0"/>
    </xf>
    <xf numFmtId="0" fontId="48" fillId="52" borderId="213" xfId="0" applyFont="1" applyFill="1" applyBorder="1" applyAlignment="1" applyProtection="1">
      <alignment horizontal="left" wrapText="1"/>
      <protection locked="0"/>
    </xf>
    <xf numFmtId="0" fontId="48" fillId="52" borderId="268" xfId="0" applyFont="1" applyFill="1" applyBorder="1" applyAlignment="1" applyProtection="1">
      <alignment horizontal="left" wrapText="1"/>
      <protection locked="0"/>
    </xf>
    <xf numFmtId="0" fontId="48" fillId="52" borderId="270" xfId="0" applyFont="1" applyFill="1" applyBorder="1" applyAlignment="1" applyProtection="1">
      <alignment horizontal="left" wrapText="1"/>
      <protection locked="0"/>
    </xf>
    <xf numFmtId="0" fontId="41" fillId="53" borderId="0" xfId="0" applyFont="1" applyFill="1" applyBorder="1" applyAlignment="1" applyProtection="1">
      <alignment horizontal="left" vertical="center" wrapText="1"/>
      <protection locked="0"/>
    </xf>
    <xf numFmtId="0" fontId="41" fillId="53" borderId="213" xfId="0" applyFont="1" applyFill="1" applyBorder="1" applyAlignment="1" applyProtection="1">
      <alignment horizontal="left" vertical="center" wrapText="1"/>
      <protection locked="0"/>
    </xf>
    <xf numFmtId="0" fontId="20" fillId="52" borderId="243" xfId="0" applyFont="1" applyFill="1" applyBorder="1" applyAlignment="1" applyProtection="1">
      <alignment horizontal="center" vertical="center"/>
      <protection locked="0"/>
    </xf>
    <xf numFmtId="0" fontId="20" fillId="52" borderId="221" xfId="0" applyFont="1" applyFill="1" applyBorder="1" applyAlignment="1" applyProtection="1">
      <alignment horizontal="center" vertical="center"/>
      <protection locked="0"/>
    </xf>
    <xf numFmtId="0" fontId="41" fillId="0" borderId="0" xfId="0" applyFont="1" applyFill="1" applyBorder="1" applyAlignment="1" applyProtection="1">
      <alignment vertical="center" wrapText="1"/>
      <protection locked="0"/>
    </xf>
    <xf numFmtId="0" fontId="23" fillId="12" borderId="168" xfId="0" applyFont="1" applyFill="1" applyBorder="1" applyAlignment="1" applyProtection="1">
      <alignment horizontal="center" vertical="center"/>
      <protection locked="0"/>
    </xf>
    <xf numFmtId="0" fontId="23" fillId="12" borderId="176" xfId="0" applyFont="1" applyFill="1" applyBorder="1" applyAlignment="1" applyProtection="1">
      <alignment horizontal="center"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protection locked="0"/>
    </xf>
    <xf numFmtId="0" fontId="0" fillId="52" borderId="271" xfId="0" applyFill="1" applyBorder="1" applyAlignment="1" applyProtection="1">
      <alignment horizontal="center" vertical="center" wrapText="1"/>
      <protection locked="0"/>
    </xf>
    <xf numFmtId="0" fontId="0" fillId="52" borderId="0" xfId="0" applyFill="1" applyBorder="1" applyAlignment="1" applyProtection="1">
      <alignment horizontal="center" vertical="center" wrapText="1"/>
      <protection locked="0"/>
    </xf>
    <xf numFmtId="0" fontId="40" fillId="53" borderId="0" xfId="0" applyFont="1" applyFill="1" applyBorder="1" applyAlignment="1" applyProtection="1">
      <alignment horizontal="left" vertical="center" wrapText="1"/>
      <protection locked="0"/>
    </xf>
    <xf numFmtId="0" fontId="40" fillId="53" borderId="213" xfId="0" applyFont="1" applyFill="1" applyBorder="1" applyAlignment="1" applyProtection="1">
      <alignment horizontal="left" vertical="center" wrapText="1"/>
      <protection locked="0"/>
    </xf>
    <xf numFmtId="0" fontId="20" fillId="52" borderId="272" xfId="0" applyFont="1" applyFill="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43" fillId="0" borderId="244"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0" fillId="52" borderId="213" xfId="0" applyFill="1" applyBorder="1" applyAlignment="1" applyProtection="1">
      <alignment horizontal="center" vertical="center" wrapText="1"/>
      <protection locked="0"/>
    </xf>
    <xf numFmtId="0" fontId="0" fillId="52" borderId="273" xfId="0" applyFill="1" applyBorder="1" applyAlignment="1" applyProtection="1">
      <alignment horizontal="left" wrapText="1"/>
      <protection locked="0"/>
    </xf>
    <xf numFmtId="0" fontId="0" fillId="52" borderId="274" xfId="0" applyFill="1" applyBorder="1" applyAlignment="1" applyProtection="1">
      <alignment horizontal="left" wrapText="1"/>
      <protection locked="0"/>
    </xf>
    <xf numFmtId="0" fontId="0" fillId="52" borderId="268" xfId="0" applyFill="1" applyBorder="1" applyAlignment="1" applyProtection="1">
      <alignment horizontal="left" wrapText="1"/>
      <protection locked="0"/>
    </xf>
    <xf numFmtId="0" fontId="0" fillId="52" borderId="270" xfId="0" applyFill="1" applyBorder="1" applyAlignment="1" applyProtection="1">
      <alignment horizontal="left" wrapText="1"/>
      <protection locked="0"/>
    </xf>
    <xf numFmtId="0" fontId="41" fillId="53" borderId="269" xfId="0" applyFont="1" applyFill="1" applyBorder="1" applyAlignment="1" applyProtection="1">
      <alignment horizontal="left" vertical="center" wrapText="1"/>
      <protection locked="0"/>
    </xf>
    <xf numFmtId="0" fontId="41" fillId="53" borderId="270" xfId="0" applyFont="1" applyFill="1" applyBorder="1" applyAlignment="1" applyProtection="1">
      <alignment horizontal="left" vertical="center" wrapText="1"/>
      <protection locked="0"/>
    </xf>
    <xf numFmtId="0" fontId="43" fillId="0" borderId="272" xfId="0" applyFont="1" applyBorder="1" applyAlignment="1" applyProtection="1">
      <alignment horizontal="center" vertical="center" wrapText="1"/>
      <protection locked="0"/>
    </xf>
  </cellXfs>
  <cellStyles count="3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21" xr:uid="{00000000-0005-0000-0000-000006000000}"/>
    <cellStyle name="Euro 2" xfId="22" xr:uid="{00000000-0005-0000-0000-000007000000}"/>
    <cellStyle name="Euro 3" xfId="23" xr:uid="{00000000-0005-0000-0000-000008000000}"/>
    <cellStyle name="Footnote" xfId="7" xr:uid="{00000000-0005-0000-0000-000009000000}"/>
    <cellStyle name="Good" xfId="8" xr:uid="{00000000-0005-0000-0000-00000A000000}"/>
    <cellStyle name="Heading" xfId="9" xr:uid="{00000000-0005-0000-0000-00000B000000}"/>
    <cellStyle name="Heading 1" xfId="10" xr:uid="{00000000-0005-0000-0000-00000C000000}"/>
    <cellStyle name="Heading 2" xfId="11" xr:uid="{00000000-0005-0000-0000-00000D000000}"/>
    <cellStyle name="Hipervínculo" xfId="20" builtinId="8"/>
    <cellStyle name="Millares" xfId="12" builtinId="3"/>
    <cellStyle name="Millares 2" xfId="24" xr:uid="{00000000-0005-0000-0000-000010000000}"/>
    <cellStyle name="Moneda" xfId="13" builtinId="4"/>
    <cellStyle name="Moneda [0]" xfId="31" builtinId="7"/>
    <cellStyle name="Moneda 2" xfId="26" xr:uid="{00000000-0005-0000-0000-000013000000}"/>
    <cellStyle name="Moneda 3" xfId="25" xr:uid="{00000000-0005-0000-0000-000014000000}"/>
    <cellStyle name="Neutral" xfId="14" builtinId="28" customBuiltin="1"/>
    <cellStyle name="Normal" xfId="0" builtinId="0"/>
    <cellStyle name="Normal 2" xfId="27" xr:uid="{00000000-0005-0000-0000-000017000000}"/>
    <cellStyle name="Normal 3" xfId="28" xr:uid="{00000000-0005-0000-0000-000018000000}"/>
    <cellStyle name="Normal 4" xfId="29" xr:uid="{00000000-0005-0000-0000-000019000000}"/>
    <cellStyle name="Note" xfId="15" xr:uid="{00000000-0005-0000-0000-00001A000000}"/>
    <cellStyle name="Porcentaje" xfId="16" builtinId="5"/>
    <cellStyle name="Porcentaje 2" xfId="30" xr:uid="{00000000-0005-0000-0000-00001C000000}"/>
    <cellStyle name="Status" xfId="17" xr:uid="{00000000-0005-0000-0000-00001D000000}"/>
    <cellStyle name="Text" xfId="18" xr:uid="{00000000-0005-0000-0000-00001E000000}"/>
    <cellStyle name="Warning" xfId="19" xr:uid="{00000000-0005-0000-0000-00001F000000}"/>
  </cellStyles>
  <dxfs count="3">
    <dxf>
      <font>
        <color rgb="FF9C0006"/>
      </font>
    </dxf>
    <dxf>
      <fill>
        <patternFill>
          <bgColor rgb="FFFFC7CE"/>
        </patternFill>
      </fill>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AC090"/>
      <rgbColor rgb="003366FF"/>
      <rgbColor rgb="0033CCCC"/>
      <rgbColor rgb="0092D05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9D8FF"/>
      <color rgb="FF00A249"/>
      <color rgb="FFFF3399"/>
      <color rgb="FFFF0909"/>
      <color rgb="FFFFFF66"/>
      <color rgb="FF0000CC"/>
      <color rgb="FFCCFFCC"/>
      <color rgb="FF00FF00"/>
      <color rgb="FF0000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hyperlink" Target="#'B) Reajuste Tarifas y Ocupaci&#243;n'!A32"/></Relationships>
</file>

<file path=xl/drawings/_rels/drawing3.xml.rels><?xml version="1.0" encoding="UTF-8" standalone="yes"?>
<Relationships xmlns="http://schemas.openxmlformats.org/package/2006/relationships"><Relationship Id="rId3" Type="http://schemas.openxmlformats.org/officeDocument/2006/relationships/hyperlink" Target="#'D) Costos Indirectos'!Z9"/><Relationship Id="rId2" Type="http://schemas.openxmlformats.org/officeDocument/2006/relationships/hyperlink" Target="#'D) Costos Indirectos'!U9"/><Relationship Id="rId1" Type="http://schemas.openxmlformats.org/officeDocument/2006/relationships/hyperlink" Target="#'D) Costos Indirectos'!M9"/><Relationship Id="rId6" Type="http://schemas.openxmlformats.org/officeDocument/2006/relationships/hyperlink" Target="#'D) Costos Indirectos'!AN9"/><Relationship Id="rId5" Type="http://schemas.openxmlformats.org/officeDocument/2006/relationships/hyperlink" Target="#'D) Costos Indirectos'!A1"/><Relationship Id="rId4" Type="http://schemas.openxmlformats.org/officeDocument/2006/relationships/hyperlink" Target="#'D) Costos Indirectos'!AG9"/></Relationships>
</file>

<file path=xl/drawings/drawing1.xml><?xml version="1.0" encoding="utf-8"?>
<xdr:wsDr xmlns:xdr="http://schemas.openxmlformats.org/drawingml/2006/spreadsheetDrawing" xmlns:a="http://schemas.openxmlformats.org/drawingml/2006/main">
  <xdr:twoCellAnchor>
    <xdr:from>
      <xdr:col>0</xdr:col>
      <xdr:colOff>285749</xdr:colOff>
      <xdr:row>3</xdr:row>
      <xdr:rowOff>119062</xdr:rowOff>
    </xdr:from>
    <xdr:to>
      <xdr:col>8</xdr:col>
      <xdr:colOff>285751</xdr:colOff>
      <xdr:row>5</xdr:row>
      <xdr:rowOff>71437</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285749" y="604837"/>
          <a:ext cx="6096002" cy="276225"/>
        </a:xfrm>
        <a:prstGeom prst="rect">
          <a:avLst/>
        </a:prstGeom>
        <a:solidFill>
          <a:srgbClr val="FFFF00"/>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050" b="1" baseline="0">
              <a:latin typeface="Arial" panose="020B0604020202020204" pitchFamily="34" charset="0"/>
              <a:cs typeface="Arial" panose="020B0604020202020204" pitchFamily="34" charset="0"/>
            </a:rPr>
            <a:t>INGRESE LOS DATOS EN LAS CELDAS DESTACADAS EN COLOR AMARILLO</a:t>
          </a:r>
          <a:endParaRPr lang="es-CL" sz="1050" b="1">
            <a:latin typeface="Arial" panose="020B0604020202020204" pitchFamily="34" charset="0"/>
            <a:cs typeface="Arial" panose="020B0604020202020204" pitchFamily="34" charset="0"/>
          </a:endParaRPr>
        </a:p>
      </xdr:txBody>
    </xdr:sp>
    <xdr:clientData/>
  </xdr:twoCellAnchor>
  <xdr:twoCellAnchor editAs="oneCell">
    <xdr:from>
      <xdr:col>0</xdr:col>
      <xdr:colOff>211666</xdr:colOff>
      <xdr:row>6</xdr:row>
      <xdr:rowOff>127000</xdr:rowOff>
    </xdr:from>
    <xdr:to>
      <xdr:col>8</xdr:col>
      <xdr:colOff>306917</xdr:colOff>
      <xdr:row>57</xdr:row>
      <xdr:rowOff>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srcRect l="33222" t="16051" r="32920" b="6470"/>
        <a:stretch/>
      </xdr:blipFill>
      <xdr:spPr>
        <a:xfrm>
          <a:off x="211666" y="1098550"/>
          <a:ext cx="6191251" cy="8131175"/>
        </a:xfrm>
        <a:prstGeom prst="rect">
          <a:avLst/>
        </a:prstGeom>
      </xdr:spPr>
    </xdr:pic>
    <xdr:clientData/>
  </xdr:twoCellAnchor>
  <xdr:twoCellAnchor editAs="oneCell">
    <xdr:from>
      <xdr:col>8</xdr:col>
      <xdr:colOff>391583</xdr:colOff>
      <xdr:row>6</xdr:row>
      <xdr:rowOff>137584</xdr:rowOff>
    </xdr:from>
    <xdr:to>
      <xdr:col>16</xdr:col>
      <xdr:colOff>508000</xdr:colOff>
      <xdr:row>57</xdr:row>
      <xdr:rowOff>21168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33164" t="15948" r="32862" b="6470"/>
        <a:stretch/>
      </xdr:blipFill>
      <xdr:spPr>
        <a:xfrm>
          <a:off x="6487583" y="1109134"/>
          <a:ext cx="6212417" cy="8141759"/>
        </a:xfrm>
        <a:prstGeom prst="rect">
          <a:avLst/>
        </a:prstGeom>
      </xdr:spPr>
    </xdr:pic>
    <xdr:clientData/>
  </xdr:twoCellAnchor>
  <xdr:twoCellAnchor editAs="oneCell">
    <xdr:from>
      <xdr:col>0</xdr:col>
      <xdr:colOff>201083</xdr:colOff>
      <xdr:row>57</xdr:row>
      <xdr:rowOff>84667</xdr:rowOff>
    </xdr:from>
    <xdr:to>
      <xdr:col>8</xdr:col>
      <xdr:colOff>285749</xdr:colOff>
      <xdr:row>107</xdr:row>
      <xdr:rowOff>63501</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srcRect l="33222" t="15846" r="32978" b="7190"/>
        <a:stretch/>
      </xdr:blipFill>
      <xdr:spPr>
        <a:xfrm>
          <a:off x="201083" y="9314392"/>
          <a:ext cx="6180666" cy="8075084"/>
        </a:xfrm>
        <a:prstGeom prst="rect">
          <a:avLst/>
        </a:prstGeom>
      </xdr:spPr>
    </xdr:pic>
    <xdr:clientData/>
  </xdr:twoCellAnchor>
  <xdr:twoCellAnchor editAs="oneCell">
    <xdr:from>
      <xdr:col>8</xdr:col>
      <xdr:colOff>402167</xdr:colOff>
      <xdr:row>57</xdr:row>
      <xdr:rowOff>63501</xdr:rowOff>
    </xdr:from>
    <xdr:to>
      <xdr:col>16</xdr:col>
      <xdr:colOff>497417</xdr:colOff>
      <xdr:row>107</xdr:row>
      <xdr:rowOff>84667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srcRect l="33164" t="15949" r="32978" b="6675"/>
        <a:stretch/>
      </xdr:blipFill>
      <xdr:spPr>
        <a:xfrm>
          <a:off x="6498167" y="9293226"/>
          <a:ext cx="6191250" cy="8117416"/>
        </a:xfrm>
        <a:prstGeom prst="rect">
          <a:avLst/>
        </a:prstGeom>
      </xdr:spPr>
    </xdr:pic>
    <xdr:clientData/>
  </xdr:twoCellAnchor>
  <xdr:twoCellAnchor editAs="oneCell">
    <xdr:from>
      <xdr:col>0</xdr:col>
      <xdr:colOff>190500</xdr:colOff>
      <xdr:row>108</xdr:row>
      <xdr:rowOff>0</xdr:rowOff>
    </xdr:from>
    <xdr:to>
      <xdr:col>8</xdr:col>
      <xdr:colOff>296333</xdr:colOff>
      <xdr:row>157</xdr:row>
      <xdr:rowOff>148168</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print"/>
        <a:srcRect l="33164" t="15948" r="32919" b="6985"/>
        <a:stretch/>
      </xdr:blipFill>
      <xdr:spPr>
        <a:xfrm>
          <a:off x="190500" y="17487900"/>
          <a:ext cx="6201833" cy="8082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369094</xdr:colOff>
      <xdr:row>1</xdr:row>
      <xdr:rowOff>71437</xdr:rowOff>
    </xdr:from>
    <xdr:to>
      <xdr:col>0</xdr:col>
      <xdr:colOff>1119190</xdr:colOff>
      <xdr:row>5</xdr:row>
      <xdr:rowOff>226217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369094" y="238125"/>
          <a:ext cx="750096" cy="881061"/>
        </a:xfrm>
        <a:prstGeom prst="rightArrow">
          <a:avLst>
            <a:gd name="adj1" fmla="val 50000"/>
            <a:gd name="adj2" fmla="val 50000"/>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a:t>
          </a:r>
        </a:p>
        <a:p>
          <a:pPr algn="ctr"/>
          <a:r>
            <a:rPr lang="es-CL" sz="1200" b="1">
              <a:solidFill>
                <a:srgbClr val="FF0000"/>
              </a:solidFill>
            </a:rPr>
            <a:t>TABLA</a:t>
          </a:r>
          <a:r>
            <a:rPr lang="es-CL" sz="1200" b="1" baseline="0">
              <a:solidFill>
                <a:srgbClr val="FF0000"/>
              </a:solidFill>
            </a:rPr>
            <a:t> 4</a:t>
          </a:r>
          <a:endParaRPr lang="es-CL"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1</xdr:row>
      <xdr:rowOff>0</xdr:rowOff>
    </xdr:from>
    <xdr:to>
      <xdr:col>1</xdr:col>
      <xdr:colOff>762000</xdr:colOff>
      <xdr:row>4</xdr:row>
      <xdr:rowOff>119062</xdr:rowOff>
    </xdr:to>
    <xdr:sp macro="" textlink="">
      <xdr:nvSpPr>
        <xdr:cNvPr id="2" name="Flecha: hacia abajo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47624" y="166688"/>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3" name="Flecha: hacia abajo 1">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bwMode="auto">
        <a:xfrm>
          <a:off x="1273969" y="190499"/>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5" name="Flecha: hacia abajo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2500312" y="202406"/>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7" name="Flecha: hacia abajo 1">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bwMode="auto">
        <a:xfrm>
          <a:off x="3750468" y="214313"/>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8" name="Flecha derecha 7">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bwMode="auto">
        <a:xfrm rot="10800000">
          <a:off x="37040344" y="381000"/>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9" name="Flecha derecha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bwMode="auto">
        <a:xfrm rot="10800000">
          <a:off x="29479875"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1" name="Flecha derecha 10">
          <a:hlinkClick xmlns:r="http://schemas.openxmlformats.org/officeDocument/2006/relationships" r:id="rId5"/>
          <a:extLst>
            <a:ext uri="{FF2B5EF4-FFF2-40B4-BE49-F238E27FC236}">
              <a16:creationId xmlns:a16="http://schemas.microsoft.com/office/drawing/2014/main" id="{00000000-0008-0000-0500-00000B000000}"/>
            </a:ext>
          </a:extLst>
        </xdr:cNvPr>
        <xdr:cNvSpPr/>
      </xdr:nvSpPr>
      <xdr:spPr bwMode="auto">
        <a:xfrm rot="10800000">
          <a:off x="2308621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2" name="Flecha derecha 11">
          <a:hlinkClick xmlns:r="http://schemas.openxmlformats.org/officeDocument/2006/relationships" r:id="rId5"/>
          <a:extLst>
            <a:ext uri="{FF2B5EF4-FFF2-40B4-BE49-F238E27FC236}">
              <a16:creationId xmlns:a16="http://schemas.microsoft.com/office/drawing/2014/main" id="{00000000-0008-0000-0500-00000C000000}"/>
            </a:ext>
          </a:extLst>
        </xdr:cNvPr>
        <xdr:cNvSpPr/>
      </xdr:nvSpPr>
      <xdr:spPr bwMode="auto">
        <a:xfrm rot="10800000">
          <a:off x="15156657" y="523876"/>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13" name="Flecha: hacia abajo 1">
          <a:hlinkClick xmlns:r="http://schemas.openxmlformats.org/officeDocument/2006/relationships" r:id="rId6"/>
          <a:extLst>
            <a:ext uri="{FF2B5EF4-FFF2-40B4-BE49-F238E27FC236}">
              <a16:creationId xmlns:a16="http://schemas.microsoft.com/office/drawing/2014/main" id="{00000000-0008-0000-0500-00000D000000}"/>
            </a:ext>
          </a:extLst>
        </xdr:cNvPr>
        <xdr:cNvSpPr/>
      </xdr:nvSpPr>
      <xdr:spPr bwMode="auto">
        <a:xfrm>
          <a:off x="8870157" y="166688"/>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4" name="Flecha derecha 13">
          <a:hlinkClick xmlns:r="http://schemas.openxmlformats.org/officeDocument/2006/relationships" r:id="rId5"/>
          <a:extLst>
            <a:ext uri="{FF2B5EF4-FFF2-40B4-BE49-F238E27FC236}">
              <a16:creationId xmlns:a16="http://schemas.microsoft.com/office/drawing/2014/main" id="{00000000-0008-0000-0500-00000E000000}"/>
            </a:ext>
          </a:extLst>
        </xdr:cNvPr>
        <xdr:cNvSpPr/>
      </xdr:nvSpPr>
      <xdr:spPr bwMode="auto">
        <a:xfrm rot="10800000">
          <a:off x="4318396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847250</xdr:colOff>
      <xdr:row>43</xdr:row>
      <xdr:rowOff>47625</xdr:rowOff>
    </xdr:from>
    <xdr:to>
      <xdr:col>1</xdr:col>
      <xdr:colOff>1035844</xdr:colOff>
      <xdr:row>45</xdr:row>
      <xdr:rowOff>107156</xdr:rowOff>
    </xdr:to>
    <xdr:sp macro="" textlink="">
      <xdr:nvSpPr>
        <xdr:cNvPr id="3" name="Cerrar corchete 2">
          <a:extLst>
            <a:ext uri="{FF2B5EF4-FFF2-40B4-BE49-F238E27FC236}">
              <a16:creationId xmlns:a16="http://schemas.microsoft.com/office/drawing/2014/main" id="{00000000-0008-0000-0900-000003000000}"/>
            </a:ext>
          </a:extLst>
        </xdr:cNvPr>
        <xdr:cNvSpPr/>
      </xdr:nvSpPr>
      <xdr:spPr bwMode="auto">
        <a:xfrm>
          <a:off x="1430656" y="4941094"/>
          <a:ext cx="188594" cy="440531"/>
        </a:xfrm>
        <a:prstGeom prst="rightBracke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b="1" i="1"/>
        </a:p>
      </xdr:txBody>
    </xdr:sp>
    <xdr:clientData/>
  </xdr:twoCellAnchor>
  <xdr:twoCellAnchor>
    <xdr:from>
      <xdr:col>12</xdr:col>
      <xdr:colOff>111124</xdr:colOff>
      <xdr:row>43</xdr:row>
      <xdr:rowOff>105833</xdr:rowOff>
    </xdr:from>
    <xdr:to>
      <xdr:col>12</xdr:col>
      <xdr:colOff>244475</xdr:colOff>
      <xdr:row>46</xdr:row>
      <xdr:rowOff>58208</xdr:rowOff>
    </xdr:to>
    <xdr:sp macro="" textlink="">
      <xdr:nvSpPr>
        <xdr:cNvPr id="4" name="Cerrar corchete 3">
          <a:extLst>
            <a:ext uri="{FF2B5EF4-FFF2-40B4-BE49-F238E27FC236}">
              <a16:creationId xmlns:a16="http://schemas.microsoft.com/office/drawing/2014/main" id="{00000000-0008-0000-0900-000004000000}"/>
            </a:ext>
          </a:extLst>
        </xdr:cNvPr>
        <xdr:cNvSpPr/>
      </xdr:nvSpPr>
      <xdr:spPr bwMode="auto">
        <a:xfrm>
          <a:off x="13424957" y="8096250"/>
          <a:ext cx="133351" cy="523875"/>
        </a:xfrm>
        <a:prstGeom prst="rightBracke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b="1" i="1"/>
        </a:p>
      </xdr:txBody>
    </xdr:sp>
    <xdr:clientData/>
  </xdr:twoCellAnchor>
  <xdr:twoCellAnchor>
    <xdr:from>
      <xdr:col>12</xdr:col>
      <xdr:colOff>322793</xdr:colOff>
      <xdr:row>40</xdr:row>
      <xdr:rowOff>58208</xdr:rowOff>
    </xdr:from>
    <xdr:to>
      <xdr:col>12</xdr:col>
      <xdr:colOff>453760</xdr:colOff>
      <xdr:row>42</xdr:row>
      <xdr:rowOff>117739</xdr:rowOff>
    </xdr:to>
    <xdr:sp macro="" textlink="">
      <xdr:nvSpPr>
        <xdr:cNvPr id="5" name="Cerrar corchete 4">
          <a:extLst>
            <a:ext uri="{FF2B5EF4-FFF2-40B4-BE49-F238E27FC236}">
              <a16:creationId xmlns:a16="http://schemas.microsoft.com/office/drawing/2014/main" id="{00000000-0008-0000-0900-000005000000}"/>
            </a:ext>
          </a:extLst>
        </xdr:cNvPr>
        <xdr:cNvSpPr/>
      </xdr:nvSpPr>
      <xdr:spPr bwMode="auto">
        <a:xfrm>
          <a:off x="13636626" y="7477125"/>
          <a:ext cx="130967" cy="440531"/>
        </a:xfrm>
        <a:prstGeom prst="rightBracke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b="1" i="1"/>
        </a:p>
      </xdr:txBody>
    </xdr:sp>
    <xdr:clientData/>
  </xdr:twoCellAnchor>
  <xdr:twoCellAnchor>
    <xdr:from>
      <xdr:col>2</xdr:col>
      <xdr:colOff>382906</xdr:colOff>
      <xdr:row>40</xdr:row>
      <xdr:rowOff>71437</xdr:rowOff>
    </xdr:from>
    <xdr:to>
      <xdr:col>2</xdr:col>
      <xdr:colOff>571500</xdr:colOff>
      <xdr:row>42</xdr:row>
      <xdr:rowOff>130968</xdr:rowOff>
    </xdr:to>
    <xdr:sp macro="" textlink="">
      <xdr:nvSpPr>
        <xdr:cNvPr id="6" name="Cerrar corchete 5">
          <a:extLst>
            <a:ext uri="{FF2B5EF4-FFF2-40B4-BE49-F238E27FC236}">
              <a16:creationId xmlns:a16="http://schemas.microsoft.com/office/drawing/2014/main" id="{00000000-0008-0000-0900-000006000000}"/>
            </a:ext>
          </a:extLst>
        </xdr:cNvPr>
        <xdr:cNvSpPr/>
      </xdr:nvSpPr>
      <xdr:spPr bwMode="auto">
        <a:xfrm>
          <a:off x="2061687" y="5334000"/>
          <a:ext cx="188594" cy="440531"/>
        </a:xfrm>
        <a:prstGeom prst="rightBracke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b="1"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00%20PUBLICO/2020/BIENMAG/Plan%20de%20Mantenci&#243;n%20Jard&#237;n%20BIENMAG%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ulina/Downloads/PLANILLA%20TARIFAS%20LUNES%2019AGO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3"/>
    </sheetNames>
    <sheetDataSet>
      <sheetData sheetId="0">
        <row r="72">
          <cell r="I72">
            <v>5850692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s>
    <sheetDataSet>
      <sheetData sheetId="0"/>
      <sheetData sheetId="1"/>
      <sheetData sheetId="2"/>
      <sheetData sheetId="3">
        <row r="5">
          <cell r="F5" t="str">
            <v>BIENMAG</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J52"/>
  <sheetViews>
    <sheetView showGridLines="0" zoomScale="90" zoomScaleNormal="90" workbookViewId="0">
      <selection activeCell="S24" sqref="S24"/>
    </sheetView>
  </sheetViews>
  <sheetFormatPr baseColWidth="10" defaultColWidth="11.42578125" defaultRowHeight="12.75" x14ac:dyDescent="0.2"/>
  <cols>
    <col min="1" max="16384" width="11.42578125" style="83"/>
  </cols>
  <sheetData>
    <row r="1" spans="3:10" x14ac:dyDescent="0.2">
      <c r="J1" s="82"/>
    </row>
    <row r="2" spans="3:10" x14ac:dyDescent="0.2">
      <c r="J2" s="82" t="s">
        <v>84</v>
      </c>
    </row>
    <row r="3" spans="3:10" x14ac:dyDescent="0.2">
      <c r="J3" s="82"/>
    </row>
    <row r="5" spans="3:10" x14ac:dyDescent="0.2">
      <c r="C5" s="84"/>
      <c r="D5" s="84"/>
      <c r="E5" s="84"/>
      <c r="F5" s="84"/>
      <c r="G5" s="84"/>
      <c r="H5" s="84"/>
      <c r="I5" s="84"/>
      <c r="J5" s="84"/>
    </row>
    <row r="6" spans="3:10" x14ac:dyDescent="0.2">
      <c r="C6" s="84"/>
      <c r="D6" s="84"/>
      <c r="E6" s="84"/>
      <c r="F6" s="84"/>
      <c r="G6" s="84"/>
      <c r="H6" s="84"/>
      <c r="I6" s="84"/>
      <c r="J6" s="84"/>
    </row>
    <row r="7" spans="3:10" x14ac:dyDescent="0.2">
      <c r="C7" s="84"/>
      <c r="D7" s="84"/>
      <c r="E7" s="84"/>
      <c r="F7" s="84"/>
      <c r="G7" s="84"/>
      <c r="H7" s="84"/>
      <c r="I7" s="84"/>
      <c r="J7" s="84"/>
    </row>
    <row r="8" spans="3:10" x14ac:dyDescent="0.2">
      <c r="C8" s="84"/>
      <c r="D8" s="84"/>
      <c r="E8" s="84"/>
      <c r="F8" s="84"/>
      <c r="G8" s="84"/>
      <c r="H8" s="84"/>
      <c r="I8" s="84"/>
      <c r="J8" s="84"/>
    </row>
    <row r="9" spans="3:10" x14ac:dyDescent="0.2">
      <c r="C9" s="84"/>
      <c r="D9" s="84"/>
      <c r="E9" s="84"/>
      <c r="F9" s="84"/>
      <c r="G9" s="84"/>
      <c r="H9" s="84"/>
      <c r="I9" s="84"/>
      <c r="J9" s="84"/>
    </row>
    <row r="10" spans="3:10" x14ac:dyDescent="0.2">
      <c r="C10" s="84"/>
      <c r="D10" s="84"/>
      <c r="E10" s="84"/>
      <c r="F10" s="84"/>
      <c r="G10" s="84"/>
      <c r="H10" s="84"/>
      <c r="I10" s="84"/>
      <c r="J10" s="84"/>
    </row>
    <row r="11" spans="3:10" x14ac:dyDescent="0.2">
      <c r="C11" s="84"/>
      <c r="D11" s="84"/>
      <c r="E11" s="84"/>
      <c r="F11" s="84"/>
      <c r="G11" s="84"/>
      <c r="H11" s="84"/>
      <c r="I11" s="84"/>
      <c r="J11" s="84"/>
    </row>
    <row r="12" spans="3:10" x14ac:dyDescent="0.2">
      <c r="C12" s="84"/>
      <c r="D12" s="84"/>
      <c r="E12" s="84"/>
      <c r="F12" s="84"/>
      <c r="G12" s="84"/>
      <c r="H12" s="84"/>
      <c r="I12" s="84"/>
      <c r="J12" s="84"/>
    </row>
    <row r="13" spans="3:10" x14ac:dyDescent="0.2">
      <c r="C13" s="84"/>
      <c r="D13" s="84"/>
      <c r="E13" s="84"/>
      <c r="F13" s="84"/>
      <c r="G13" s="84"/>
      <c r="H13" s="84"/>
      <c r="I13" s="84"/>
      <c r="J13" s="84"/>
    </row>
    <row r="14" spans="3:10" x14ac:dyDescent="0.2">
      <c r="C14" s="84"/>
      <c r="D14" s="84"/>
      <c r="E14" s="84"/>
      <c r="F14" s="84"/>
      <c r="G14" s="84"/>
      <c r="H14" s="84"/>
      <c r="I14" s="84"/>
      <c r="J14" s="84"/>
    </row>
    <row r="15" spans="3:10" x14ac:dyDescent="0.2">
      <c r="C15" s="84"/>
      <c r="D15" s="84"/>
      <c r="E15" s="84"/>
      <c r="F15" s="84"/>
      <c r="G15" s="84"/>
      <c r="H15" s="84"/>
      <c r="I15" s="84"/>
      <c r="J15" s="84"/>
    </row>
    <row r="16" spans="3:10" x14ac:dyDescent="0.2">
      <c r="C16" s="84"/>
      <c r="D16" s="84"/>
      <c r="E16" s="84"/>
      <c r="F16" s="84"/>
      <c r="G16" s="84"/>
      <c r="H16" s="84"/>
      <c r="I16" s="84"/>
      <c r="J16" s="84"/>
    </row>
    <row r="17" spans="3:10" x14ac:dyDescent="0.2">
      <c r="C17" s="84"/>
      <c r="D17" s="84"/>
      <c r="E17" s="84"/>
      <c r="F17" s="84"/>
      <c r="G17" s="84"/>
      <c r="H17" s="84"/>
      <c r="I17" s="84"/>
      <c r="J17" s="84"/>
    </row>
    <row r="18" spans="3:10" x14ac:dyDescent="0.2">
      <c r="C18" s="84"/>
      <c r="D18" s="84"/>
      <c r="E18" s="84"/>
      <c r="F18" s="84"/>
      <c r="G18" s="84"/>
      <c r="H18" s="84"/>
      <c r="I18" s="84"/>
      <c r="J18" s="84"/>
    </row>
    <row r="19" spans="3:10" x14ac:dyDescent="0.2">
      <c r="C19" s="84"/>
      <c r="D19" s="84"/>
      <c r="E19" s="84"/>
      <c r="F19" s="84"/>
      <c r="G19" s="84"/>
      <c r="H19" s="84"/>
      <c r="I19" s="84"/>
      <c r="J19" s="84"/>
    </row>
    <row r="20" spans="3:10" x14ac:dyDescent="0.2">
      <c r="C20" s="84"/>
      <c r="D20" s="84"/>
      <c r="E20" s="84"/>
      <c r="F20" s="84"/>
      <c r="G20" s="84"/>
      <c r="H20" s="84"/>
      <c r="I20" s="84"/>
      <c r="J20" s="84"/>
    </row>
    <row r="21" spans="3:10" x14ac:dyDescent="0.2">
      <c r="C21" s="84"/>
      <c r="D21" s="84"/>
      <c r="E21" s="84"/>
      <c r="F21" s="84"/>
      <c r="G21" s="84"/>
      <c r="H21" s="84"/>
      <c r="I21" s="84"/>
      <c r="J21" s="84"/>
    </row>
    <row r="22" spans="3:10" x14ac:dyDescent="0.2">
      <c r="C22" s="84"/>
      <c r="D22" s="84"/>
      <c r="E22" s="84"/>
      <c r="F22" s="84"/>
      <c r="G22" s="84"/>
      <c r="H22" s="84"/>
      <c r="I22" s="84"/>
      <c r="J22" s="84"/>
    </row>
    <row r="23" spans="3:10" x14ac:dyDescent="0.2">
      <c r="C23" s="84"/>
      <c r="D23" s="84"/>
      <c r="E23" s="84"/>
      <c r="F23" s="84"/>
      <c r="G23" s="84"/>
      <c r="H23" s="84"/>
      <c r="I23" s="84"/>
      <c r="J23" s="84"/>
    </row>
    <row r="24" spans="3:10" x14ac:dyDescent="0.2">
      <c r="C24" s="84"/>
      <c r="D24" s="84"/>
      <c r="E24" s="84"/>
      <c r="F24" s="84"/>
      <c r="G24" s="84"/>
      <c r="H24" s="84"/>
      <c r="I24" s="84"/>
      <c r="J24" s="84"/>
    </row>
    <row r="25" spans="3:10" x14ac:dyDescent="0.2">
      <c r="C25" s="84"/>
      <c r="D25" s="84"/>
      <c r="E25" s="84"/>
      <c r="F25" s="84"/>
      <c r="G25" s="84"/>
      <c r="H25" s="84"/>
      <c r="I25" s="84"/>
      <c r="J25" s="84"/>
    </row>
    <row r="26" spans="3:10" x14ac:dyDescent="0.2">
      <c r="C26" s="84"/>
      <c r="D26" s="84"/>
      <c r="E26" s="84"/>
      <c r="F26" s="84"/>
      <c r="G26" s="84"/>
      <c r="H26" s="84"/>
      <c r="I26" s="84"/>
      <c r="J26" s="84"/>
    </row>
    <row r="27" spans="3:10" x14ac:dyDescent="0.2">
      <c r="C27" s="84"/>
      <c r="D27" s="84"/>
      <c r="E27" s="84"/>
      <c r="F27" s="84"/>
      <c r="G27" s="84"/>
      <c r="H27" s="84"/>
      <c r="I27" s="84"/>
      <c r="J27" s="84"/>
    </row>
    <row r="28" spans="3:10" x14ac:dyDescent="0.2">
      <c r="C28" s="84"/>
      <c r="D28" s="84"/>
      <c r="E28" s="84"/>
      <c r="F28" s="84"/>
      <c r="G28" s="84"/>
      <c r="H28" s="84"/>
      <c r="I28" s="84"/>
      <c r="J28" s="84"/>
    </row>
    <row r="29" spans="3:10" x14ac:dyDescent="0.2">
      <c r="C29" s="84"/>
      <c r="D29" s="84"/>
      <c r="E29" s="84"/>
      <c r="F29" s="84"/>
      <c r="G29" s="84"/>
      <c r="H29" s="84"/>
      <c r="I29" s="84"/>
      <c r="J29" s="84"/>
    </row>
    <row r="30" spans="3:10" x14ac:dyDescent="0.2">
      <c r="C30" s="84"/>
      <c r="D30" s="84"/>
      <c r="E30" s="84"/>
      <c r="F30" s="84"/>
      <c r="G30" s="84"/>
      <c r="H30" s="84"/>
      <c r="I30" s="84"/>
      <c r="J30" s="84"/>
    </row>
    <row r="31" spans="3:10" x14ac:dyDescent="0.2">
      <c r="C31" s="84"/>
      <c r="D31" s="84"/>
      <c r="E31" s="84"/>
      <c r="F31" s="84"/>
      <c r="G31" s="84"/>
      <c r="H31" s="84"/>
      <c r="I31" s="84"/>
      <c r="J31" s="84"/>
    </row>
    <row r="32" spans="3:10" x14ac:dyDescent="0.2">
      <c r="C32" s="84"/>
      <c r="D32" s="84"/>
      <c r="E32" s="84"/>
      <c r="F32" s="84"/>
      <c r="G32" s="84"/>
      <c r="H32" s="84"/>
      <c r="I32" s="84"/>
      <c r="J32" s="84"/>
    </row>
    <row r="33" spans="3:10" x14ac:dyDescent="0.2">
      <c r="C33" s="84"/>
      <c r="D33" s="84"/>
      <c r="E33" s="84"/>
      <c r="F33" s="84"/>
      <c r="G33" s="84"/>
      <c r="H33" s="84"/>
      <c r="I33" s="84"/>
      <c r="J33" s="84"/>
    </row>
    <row r="34" spans="3:10" x14ac:dyDescent="0.2">
      <c r="C34" s="84"/>
      <c r="D34" s="84"/>
      <c r="E34" s="84"/>
      <c r="F34" s="84"/>
      <c r="G34" s="84"/>
      <c r="H34" s="84"/>
      <c r="I34" s="84"/>
      <c r="J34" s="84"/>
    </row>
    <row r="35" spans="3:10" x14ac:dyDescent="0.2">
      <c r="C35" s="84"/>
      <c r="D35" s="84"/>
      <c r="E35" s="84"/>
      <c r="F35" s="84"/>
      <c r="G35" s="84"/>
      <c r="H35" s="84"/>
      <c r="I35" s="84"/>
      <c r="J35" s="84"/>
    </row>
    <row r="36" spans="3:10" x14ac:dyDescent="0.2">
      <c r="C36" s="84"/>
      <c r="D36" s="84"/>
      <c r="E36" s="84"/>
      <c r="F36" s="84"/>
      <c r="G36" s="84"/>
      <c r="H36" s="84"/>
      <c r="I36" s="84"/>
      <c r="J36" s="84"/>
    </row>
    <row r="37" spans="3:10" x14ac:dyDescent="0.2">
      <c r="C37" s="84"/>
      <c r="D37" s="84"/>
      <c r="E37" s="84"/>
      <c r="F37" s="84"/>
      <c r="G37" s="84"/>
      <c r="H37" s="84"/>
      <c r="I37" s="84"/>
      <c r="J37" s="84"/>
    </row>
    <row r="38" spans="3:10" x14ac:dyDescent="0.2">
      <c r="C38" s="84"/>
      <c r="D38" s="84"/>
      <c r="E38" s="84"/>
      <c r="F38" s="84"/>
      <c r="G38" s="84"/>
      <c r="H38" s="84"/>
      <c r="I38" s="84"/>
      <c r="J38" s="84"/>
    </row>
    <row r="39" spans="3:10" x14ac:dyDescent="0.2">
      <c r="C39" s="84"/>
      <c r="D39" s="84"/>
      <c r="E39" s="84"/>
      <c r="F39" s="84"/>
      <c r="G39" s="84"/>
      <c r="H39" s="84"/>
      <c r="I39" s="84"/>
      <c r="J39" s="84"/>
    </row>
    <row r="40" spans="3:10" x14ac:dyDescent="0.2">
      <c r="C40" s="84"/>
      <c r="D40" s="84"/>
      <c r="E40" s="84"/>
      <c r="F40" s="84"/>
      <c r="G40" s="84"/>
      <c r="H40" s="84"/>
      <c r="I40" s="84"/>
      <c r="J40" s="84"/>
    </row>
    <row r="41" spans="3:10" x14ac:dyDescent="0.2">
      <c r="C41" s="84"/>
      <c r="D41" s="84"/>
      <c r="E41" s="84"/>
      <c r="F41" s="84"/>
      <c r="G41" s="84"/>
      <c r="H41" s="84"/>
      <c r="I41" s="84"/>
      <c r="J41" s="84"/>
    </row>
    <row r="42" spans="3:10" x14ac:dyDescent="0.2">
      <c r="C42" s="84"/>
      <c r="D42" s="84"/>
      <c r="E42" s="84"/>
      <c r="F42" s="84"/>
      <c r="G42" s="84"/>
      <c r="H42" s="84"/>
      <c r="I42" s="84"/>
      <c r="J42" s="84"/>
    </row>
    <row r="43" spans="3:10" x14ac:dyDescent="0.2">
      <c r="C43" s="84"/>
      <c r="D43" s="84"/>
      <c r="E43" s="84"/>
      <c r="F43" s="84"/>
      <c r="G43" s="84"/>
      <c r="H43" s="84"/>
      <c r="I43" s="84"/>
      <c r="J43" s="84"/>
    </row>
    <row r="44" spans="3:10" x14ac:dyDescent="0.2">
      <c r="C44" s="84"/>
      <c r="D44" s="84"/>
      <c r="E44" s="84"/>
      <c r="F44" s="84"/>
      <c r="G44" s="84"/>
      <c r="H44" s="84"/>
      <c r="I44" s="84"/>
      <c r="J44" s="84"/>
    </row>
    <row r="45" spans="3:10" x14ac:dyDescent="0.2">
      <c r="C45" s="84"/>
      <c r="D45" s="84"/>
      <c r="E45" s="84"/>
      <c r="F45" s="84"/>
      <c r="G45" s="84"/>
      <c r="H45" s="84"/>
      <c r="I45" s="84"/>
      <c r="J45" s="84"/>
    </row>
    <row r="46" spans="3:10" x14ac:dyDescent="0.2">
      <c r="C46" s="84"/>
      <c r="D46" s="84"/>
      <c r="E46" s="84"/>
      <c r="F46" s="84"/>
      <c r="G46" s="84"/>
      <c r="H46" s="84"/>
      <c r="I46" s="84"/>
      <c r="J46" s="84"/>
    </row>
    <row r="47" spans="3:10" x14ac:dyDescent="0.2">
      <c r="C47" s="84"/>
      <c r="D47" s="84"/>
      <c r="E47" s="84"/>
      <c r="F47" s="84"/>
      <c r="G47" s="84"/>
      <c r="H47" s="84"/>
      <c r="I47" s="84"/>
      <c r="J47" s="84"/>
    </row>
    <row r="48" spans="3:10" x14ac:dyDescent="0.2">
      <c r="C48" s="84"/>
      <c r="D48" s="84"/>
      <c r="E48" s="84"/>
      <c r="F48" s="84"/>
      <c r="G48" s="84"/>
      <c r="H48" s="84"/>
      <c r="I48" s="84"/>
      <c r="J48" s="84"/>
    </row>
    <row r="49" spans="3:10" x14ac:dyDescent="0.2">
      <c r="C49" s="84"/>
      <c r="D49" s="84"/>
      <c r="E49" s="84"/>
      <c r="F49" s="84"/>
      <c r="G49" s="84"/>
      <c r="H49" s="84"/>
      <c r="I49" s="84"/>
      <c r="J49" s="84"/>
    </row>
    <row r="50" spans="3:10" x14ac:dyDescent="0.2">
      <c r="C50" s="84"/>
      <c r="D50" s="84"/>
      <c r="E50" s="84"/>
      <c r="F50" s="84"/>
      <c r="G50" s="84"/>
      <c r="H50" s="84"/>
      <c r="I50" s="84"/>
      <c r="J50" s="84"/>
    </row>
    <row r="51" spans="3:10" x14ac:dyDescent="0.2">
      <c r="C51" s="84"/>
      <c r="D51" s="84"/>
      <c r="E51" s="84"/>
      <c r="F51" s="84"/>
      <c r="G51" s="84"/>
      <c r="H51" s="84"/>
      <c r="I51" s="84"/>
      <c r="J51" s="84"/>
    </row>
    <row r="52" spans="3:10" x14ac:dyDescent="0.2">
      <c r="C52" s="84"/>
      <c r="D52" s="84"/>
      <c r="E52" s="84"/>
      <c r="F52" s="84"/>
      <c r="G52" s="84"/>
      <c r="H52" s="84"/>
      <c r="I52" s="84"/>
      <c r="J52" s="84"/>
    </row>
  </sheetData>
  <sheetProtection password="9C6E"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2:V110"/>
  <sheetViews>
    <sheetView showGridLines="0" topLeftCell="A70" zoomScale="90" zoomScaleNormal="90" zoomScalePageLayoutView="90" workbookViewId="0">
      <selection activeCell="L120" sqref="L120"/>
    </sheetView>
  </sheetViews>
  <sheetFormatPr baseColWidth="10" defaultColWidth="11.42578125" defaultRowHeight="12.75" x14ac:dyDescent="0.2"/>
  <cols>
    <col min="1" max="1" width="4.7109375" style="94" customWidth="1"/>
    <col min="2" max="3" width="16.42578125" style="94" customWidth="1"/>
    <col min="4" max="4" width="15.5703125" style="94" customWidth="1"/>
    <col min="5" max="5" width="25.7109375" style="94" customWidth="1"/>
    <col min="6" max="6" width="14.85546875" style="94" customWidth="1"/>
    <col min="7" max="10" width="20.7109375" style="94" customWidth="1"/>
    <col min="11" max="12" width="13.28515625" style="94" customWidth="1"/>
    <col min="13" max="13" width="11.42578125" style="94"/>
    <col min="14" max="14" width="18.42578125" style="94" customWidth="1"/>
    <col min="15" max="15" width="12.5703125" style="94" customWidth="1"/>
    <col min="16" max="16" width="15.42578125" style="94" customWidth="1"/>
    <col min="17" max="17" width="12.28515625" style="94" customWidth="1"/>
    <col min="18" max="18" width="12" style="94" customWidth="1"/>
    <col min="19" max="16384" width="11.42578125" style="94"/>
  </cols>
  <sheetData>
    <row r="2" spans="1:17" x14ac:dyDescent="0.2">
      <c r="B2" s="567" t="s">
        <v>211</v>
      </c>
      <c r="C2" s="567"/>
    </row>
    <row r="3" spans="1:17" ht="15.75" x14ac:dyDescent="0.2">
      <c r="B3" s="309" t="s">
        <v>0</v>
      </c>
      <c r="C3" s="867" t="str">
        <f>+'[2]B) Reajuste Tarifas y Ocupación'!F5</f>
        <v>BIENMAG</v>
      </c>
      <c r="D3" s="868"/>
    </row>
    <row r="5" spans="1:17" x14ac:dyDescent="0.2">
      <c r="B5" s="879" t="s">
        <v>124</v>
      </c>
      <c r="C5" s="879"/>
      <c r="D5" s="879"/>
      <c r="E5" s="879"/>
      <c r="F5" s="879"/>
      <c r="G5" s="879"/>
      <c r="H5" s="879"/>
      <c r="I5" s="879"/>
      <c r="J5" s="879"/>
      <c r="K5" s="95"/>
      <c r="L5" s="95"/>
      <c r="M5" s="95"/>
      <c r="N5" s="95"/>
      <c r="O5" s="95"/>
      <c r="P5" s="95"/>
      <c r="Q5" s="95"/>
    </row>
    <row r="6" spans="1:17" ht="14.25" customHeight="1" x14ac:dyDescent="0.2">
      <c r="A6" s="495"/>
      <c r="B6" s="879"/>
      <c r="C6" s="879"/>
      <c r="D6" s="879"/>
      <c r="E6" s="879"/>
      <c r="F6" s="879"/>
      <c r="G6" s="879"/>
      <c r="H6" s="879"/>
      <c r="I6" s="879"/>
      <c r="J6" s="879"/>
      <c r="K6" s="511"/>
      <c r="L6" s="511"/>
      <c r="M6" s="511"/>
      <c r="N6" s="496"/>
      <c r="O6" s="498"/>
      <c r="P6" s="498"/>
      <c r="Q6" s="498"/>
    </row>
    <row r="8" spans="1:17" ht="15" customHeight="1" x14ac:dyDescent="0.2">
      <c r="A8" s="497"/>
      <c r="H8" s="544"/>
      <c r="I8" s="492"/>
      <c r="J8" s="492"/>
      <c r="K8" s="492"/>
      <c r="L8" s="527"/>
    </row>
    <row r="9" spans="1:17" ht="15" customHeight="1" x14ac:dyDescent="0.25">
      <c r="A9" s="548"/>
      <c r="B9" s="563" t="s">
        <v>361</v>
      </c>
      <c r="C9" s="550"/>
      <c r="D9" s="550"/>
      <c r="E9" s="550"/>
      <c r="F9" s="550"/>
      <c r="G9" s="550"/>
      <c r="H9" s="551"/>
      <c r="I9" s="552"/>
      <c r="J9" s="552"/>
      <c r="K9" s="552"/>
      <c r="L9" s="553"/>
      <c r="M9" s="550"/>
      <c r="N9" s="550"/>
      <c r="O9" s="550"/>
      <c r="P9" s="550"/>
      <c r="Q9" s="550"/>
    </row>
    <row r="10" spans="1:17" ht="15" customHeight="1" x14ac:dyDescent="0.25">
      <c r="A10" s="548"/>
      <c r="B10" s="563"/>
      <c r="C10" s="550"/>
      <c r="D10" s="550"/>
      <c r="E10" s="550"/>
      <c r="F10" s="598" t="s">
        <v>389</v>
      </c>
      <c r="G10" s="599" t="s">
        <v>390</v>
      </c>
      <c r="H10" s="598" t="s">
        <v>391</v>
      </c>
      <c r="J10" s="552"/>
      <c r="K10" s="552"/>
      <c r="L10" s="553"/>
      <c r="M10" s="550"/>
      <c r="N10" s="550"/>
      <c r="O10" s="550"/>
      <c r="P10" s="550"/>
      <c r="Q10" s="550"/>
    </row>
    <row r="11" spans="1:17" ht="15" customHeight="1" x14ac:dyDescent="0.2">
      <c r="A11" s="554" t="s">
        <v>290</v>
      </c>
      <c r="B11" s="564" t="s">
        <v>376</v>
      </c>
      <c r="C11" s="550"/>
      <c r="D11" s="550"/>
      <c r="F11" s="586">
        <v>110</v>
      </c>
      <c r="G11" s="600">
        <v>84</v>
      </c>
      <c r="H11" s="601">
        <f>G11/F11</f>
        <v>0.76363636363636367</v>
      </c>
      <c r="J11" s="552"/>
      <c r="K11" s="552"/>
      <c r="L11" s="553"/>
      <c r="M11" s="550"/>
      <c r="N11" s="550"/>
      <c r="O11" s="550"/>
      <c r="P11" s="550"/>
      <c r="Q11" s="550"/>
    </row>
    <row r="12" spans="1:17" ht="15" customHeight="1" x14ac:dyDescent="0.2">
      <c r="A12" s="554"/>
      <c r="B12" s="550"/>
      <c r="C12" s="550"/>
      <c r="D12" s="550"/>
      <c r="E12" s="550"/>
      <c r="F12" s="550"/>
      <c r="G12" s="550"/>
      <c r="H12" s="551"/>
      <c r="I12" s="552"/>
      <c r="J12" s="552"/>
      <c r="K12" s="552"/>
      <c r="L12" s="553"/>
      <c r="M12" s="550"/>
      <c r="N12" s="550"/>
      <c r="O12" s="550"/>
      <c r="P12" s="550"/>
      <c r="Q12" s="550"/>
    </row>
    <row r="13" spans="1:17" ht="25.5" x14ac:dyDescent="0.2">
      <c r="B13" s="565" t="s">
        <v>278</v>
      </c>
      <c r="E13" s="536" t="s">
        <v>88</v>
      </c>
      <c r="F13" s="537" t="s">
        <v>137</v>
      </c>
      <c r="G13" s="537" t="s">
        <v>138</v>
      </c>
      <c r="H13" s="537" t="s">
        <v>89</v>
      </c>
      <c r="I13" s="537" t="s">
        <v>90</v>
      </c>
      <c r="J13" s="538" t="s">
        <v>135</v>
      </c>
    </row>
    <row r="14" spans="1:17" x14ac:dyDescent="0.2">
      <c r="B14" s="566" t="s">
        <v>279</v>
      </c>
      <c r="E14" s="539">
        <v>41</v>
      </c>
      <c r="F14" s="539">
        <v>0</v>
      </c>
      <c r="G14" s="539">
        <v>0</v>
      </c>
      <c r="H14" s="539">
        <v>1</v>
      </c>
      <c r="I14" s="539">
        <v>3</v>
      </c>
      <c r="J14" s="540">
        <f>SUM(E14:I14)</f>
        <v>45</v>
      </c>
    </row>
    <row r="15" spans="1:17" ht="17.25" customHeight="1" x14ac:dyDescent="0.2">
      <c r="B15" s="566" t="s">
        <v>280</v>
      </c>
      <c r="E15" s="539">
        <v>10</v>
      </c>
      <c r="F15" s="539">
        <v>0</v>
      </c>
      <c r="G15" s="539">
        <v>0</v>
      </c>
      <c r="H15" s="539">
        <v>0</v>
      </c>
      <c r="I15" s="539">
        <v>0</v>
      </c>
      <c r="J15" s="540">
        <f>SUM(E15:I15)</f>
        <v>10</v>
      </c>
    </row>
    <row r="16" spans="1:17" ht="15.75" customHeight="1" x14ac:dyDescent="0.2">
      <c r="B16" s="566" t="s">
        <v>281</v>
      </c>
      <c r="E16" s="539">
        <v>25</v>
      </c>
      <c r="F16" s="539">
        <v>0</v>
      </c>
      <c r="G16" s="539">
        <v>0</v>
      </c>
      <c r="H16" s="539">
        <v>0</v>
      </c>
      <c r="I16" s="539">
        <v>4</v>
      </c>
      <c r="J16" s="540">
        <f>SUM(E16:I16)</f>
        <v>29</v>
      </c>
    </row>
    <row r="17" spans="1:17" ht="15.75" x14ac:dyDescent="0.25">
      <c r="E17" s="493"/>
      <c r="F17" s="492"/>
      <c r="G17" s="492"/>
      <c r="H17" s="492"/>
      <c r="J17" s="541">
        <f>SUM(J14:J16)</f>
        <v>84</v>
      </c>
    </row>
    <row r="18" spans="1:17" ht="12.75" customHeight="1" x14ac:dyDescent="0.2">
      <c r="E18" s="493"/>
      <c r="F18" s="492"/>
      <c r="G18" s="492"/>
      <c r="H18" s="492"/>
      <c r="J18" s="492"/>
    </row>
    <row r="19" spans="1:17" ht="25.5" customHeight="1" x14ac:dyDescent="0.2">
      <c r="B19" s="877" t="s">
        <v>282</v>
      </c>
      <c r="C19" s="877"/>
      <c r="E19" s="537" t="s">
        <v>283</v>
      </c>
      <c r="F19" s="537" t="s">
        <v>284</v>
      </c>
      <c r="G19" s="537" t="s">
        <v>285</v>
      </c>
      <c r="H19" s="537" t="s">
        <v>286</v>
      </c>
      <c r="I19" s="537" t="s">
        <v>287</v>
      </c>
      <c r="J19" s="538" t="s">
        <v>288</v>
      </c>
    </row>
    <row r="20" spans="1:17" x14ac:dyDescent="0.2">
      <c r="A20" s="535"/>
      <c r="B20" s="877"/>
      <c r="C20" s="877"/>
      <c r="E20" s="542" t="s">
        <v>279</v>
      </c>
      <c r="F20" s="494">
        <v>15</v>
      </c>
      <c r="G20" s="494">
        <v>12</v>
      </c>
      <c r="H20" s="494">
        <v>15</v>
      </c>
      <c r="I20" s="494">
        <v>3</v>
      </c>
      <c r="J20" s="494">
        <f>SUM(F20:I20)</f>
        <v>45</v>
      </c>
    </row>
    <row r="21" spans="1:17" x14ac:dyDescent="0.2">
      <c r="A21" s="535"/>
      <c r="B21" s="877"/>
      <c r="C21" s="877"/>
      <c r="E21" s="542" t="s">
        <v>280</v>
      </c>
      <c r="F21" s="494">
        <v>2</v>
      </c>
      <c r="G21" s="494">
        <v>4</v>
      </c>
      <c r="H21" s="494">
        <v>2</v>
      </c>
      <c r="I21" s="494">
        <v>2</v>
      </c>
      <c r="J21" s="494">
        <f t="shared" ref="J21:J22" si="0">SUM(F21:I21)</f>
        <v>10</v>
      </c>
    </row>
    <row r="22" spans="1:17" x14ac:dyDescent="0.2">
      <c r="A22" s="535"/>
      <c r="B22" s="535"/>
      <c r="C22" s="499"/>
      <c r="E22" s="542" t="s">
        <v>289</v>
      </c>
      <c r="F22" s="494">
        <v>11</v>
      </c>
      <c r="G22" s="494">
        <v>10</v>
      </c>
      <c r="H22" s="494">
        <v>5</v>
      </c>
      <c r="I22" s="494">
        <v>3</v>
      </c>
      <c r="J22" s="494">
        <f t="shared" si="0"/>
        <v>29</v>
      </c>
    </row>
    <row r="23" spans="1:17" ht="15.75" x14ac:dyDescent="0.25">
      <c r="E23" s="543" t="s">
        <v>288</v>
      </c>
      <c r="F23" s="543">
        <f>SUM(F20:F22)</f>
        <v>28</v>
      </c>
      <c r="G23" s="543">
        <f>SUM(G20:G22)</f>
        <v>26</v>
      </c>
      <c r="H23" s="543">
        <f>SUM(H20:H22)</f>
        <v>22</v>
      </c>
      <c r="I23" s="543">
        <f>SUM(I20:I22)</f>
        <v>8</v>
      </c>
      <c r="J23" s="541">
        <f>SUM(J20:J22)</f>
        <v>84</v>
      </c>
    </row>
    <row r="26" spans="1:17" ht="13.5" customHeight="1" x14ac:dyDescent="0.2">
      <c r="A26" s="554" t="s">
        <v>291</v>
      </c>
      <c r="B26" s="869" t="s">
        <v>383</v>
      </c>
      <c r="C26" s="869"/>
      <c r="D26" s="869"/>
      <c r="E26" s="869"/>
      <c r="F26" s="869"/>
      <c r="G26" s="869"/>
      <c r="H26" s="869"/>
      <c r="I26" s="869"/>
      <c r="J26" s="869"/>
      <c r="K26" s="869"/>
      <c r="L26" s="869"/>
      <c r="M26" s="869"/>
      <c r="N26" s="869"/>
      <c r="O26" s="555"/>
      <c r="P26" s="555"/>
      <c r="Q26" s="555"/>
    </row>
    <row r="27" spans="1:17" ht="14.25" customHeight="1" x14ac:dyDescent="0.2">
      <c r="A27" s="548" t="s">
        <v>331</v>
      </c>
      <c r="B27" s="870" t="s">
        <v>384</v>
      </c>
      <c r="C27" s="870"/>
      <c r="D27" s="870"/>
      <c r="E27" s="870"/>
      <c r="F27" s="870"/>
      <c r="G27" s="870"/>
      <c r="H27" s="870"/>
      <c r="I27" s="870"/>
      <c r="J27" s="870"/>
      <c r="K27" s="870"/>
      <c r="L27" s="870"/>
      <c r="M27" s="870"/>
      <c r="N27" s="556"/>
      <c r="O27" s="557"/>
      <c r="P27" s="557"/>
      <c r="Q27" s="557"/>
    </row>
    <row r="28" spans="1:17" x14ac:dyDescent="0.2">
      <c r="A28" s="548" t="s">
        <v>332</v>
      </c>
      <c r="B28" s="558" t="s">
        <v>358</v>
      </c>
      <c r="C28" s="558"/>
      <c r="D28" s="558"/>
      <c r="E28" s="558"/>
      <c r="F28" s="558"/>
      <c r="G28" s="558"/>
      <c r="H28" s="558"/>
      <c r="I28" s="558"/>
      <c r="J28" s="558"/>
      <c r="K28" s="558"/>
      <c r="L28" s="558"/>
      <c r="M28" s="558"/>
      <c r="N28" s="558"/>
      <c r="O28" s="558"/>
      <c r="P28" s="558"/>
      <c r="Q28" s="558"/>
    </row>
    <row r="29" spans="1:17" x14ac:dyDescent="0.2">
      <c r="A29" s="548"/>
      <c r="B29" s="559"/>
      <c r="C29" s="559"/>
      <c r="D29" s="559"/>
      <c r="E29" s="559"/>
      <c r="F29" s="559"/>
      <c r="G29" s="559"/>
      <c r="H29" s="559"/>
      <c r="I29" s="559"/>
      <c r="J29" s="559"/>
      <c r="K29" s="559"/>
      <c r="L29" s="559"/>
      <c r="M29" s="559"/>
      <c r="N29" s="559"/>
      <c r="O29" s="559"/>
      <c r="P29" s="559"/>
      <c r="Q29" s="559"/>
    </row>
    <row r="30" spans="1:17" x14ac:dyDescent="0.2">
      <c r="A30" s="548"/>
      <c r="B30" s="559"/>
      <c r="C30" s="559"/>
      <c r="D30" s="559"/>
      <c r="E30" s="559"/>
      <c r="F30" s="559"/>
      <c r="G30" s="559"/>
      <c r="H30" s="559"/>
      <c r="I30" s="559"/>
      <c r="J30" s="559"/>
      <c r="K30" s="559"/>
      <c r="L30" s="559"/>
      <c r="M30" s="559"/>
      <c r="N30" s="559"/>
      <c r="O30" s="559"/>
      <c r="P30" s="559"/>
      <c r="Q30" s="559"/>
    </row>
    <row r="31" spans="1:17" ht="14.25" customHeight="1" x14ac:dyDescent="0.2">
      <c r="A31" s="500"/>
      <c r="B31" s="511"/>
      <c r="C31" s="511"/>
      <c r="D31" s="511"/>
      <c r="E31" s="511"/>
      <c r="F31" s="511"/>
      <c r="G31" s="511"/>
      <c r="H31" s="878" t="s">
        <v>327</v>
      </c>
      <c r="I31" s="856"/>
      <c r="J31" s="856"/>
      <c r="K31" s="857"/>
      <c r="L31" s="511"/>
      <c r="M31" s="511"/>
      <c r="N31" s="496"/>
      <c r="O31" s="498"/>
      <c r="P31" s="498"/>
      <c r="Q31" s="498"/>
    </row>
    <row r="32" spans="1:17" ht="14.25" customHeight="1" x14ac:dyDescent="0.2">
      <c r="A32" s="495"/>
      <c r="H32" s="571"/>
      <c r="I32" s="572"/>
      <c r="J32" s="572"/>
      <c r="K32" s="573"/>
    </row>
    <row r="33" spans="1:22" ht="14.25" customHeight="1" x14ac:dyDescent="0.2">
      <c r="A33" s="495"/>
      <c r="B33" s="878" t="s">
        <v>321</v>
      </c>
      <c r="C33" s="856"/>
      <c r="D33" s="856"/>
      <c r="E33" s="856"/>
      <c r="F33" s="856"/>
      <c r="G33" s="887"/>
      <c r="H33" s="525" t="s">
        <v>316</v>
      </c>
      <c r="I33" s="874" t="s">
        <v>353</v>
      </c>
      <c r="J33" s="874"/>
      <c r="K33" s="875"/>
      <c r="L33" s="856" t="s">
        <v>322</v>
      </c>
      <c r="M33" s="856"/>
      <c r="N33" s="856"/>
      <c r="O33" s="856"/>
      <c r="P33" s="856"/>
      <c r="Q33" s="857"/>
    </row>
    <row r="34" spans="1:22" ht="15" customHeight="1" x14ac:dyDescent="0.2">
      <c r="A34" s="497"/>
      <c r="B34" s="501"/>
      <c r="C34" s="520"/>
      <c r="D34" s="520"/>
      <c r="E34" s="520"/>
      <c r="F34" s="520"/>
      <c r="G34" s="568"/>
      <c r="H34" s="524"/>
      <c r="I34" s="874"/>
      <c r="J34" s="874"/>
      <c r="K34" s="875"/>
      <c r="L34" s="520"/>
      <c r="M34" s="520"/>
      <c r="N34" s="520"/>
      <c r="O34" s="520"/>
      <c r="P34" s="520"/>
      <c r="Q34" s="502"/>
    </row>
    <row r="35" spans="1:22" ht="15" customHeight="1" x14ac:dyDescent="0.2">
      <c r="A35" s="497"/>
      <c r="B35" s="510"/>
      <c r="C35" s="504" t="s">
        <v>304</v>
      </c>
      <c r="D35" s="504" t="s">
        <v>305</v>
      </c>
      <c r="E35" s="505" t="s">
        <v>306</v>
      </c>
      <c r="F35" s="504"/>
      <c r="G35" s="504"/>
      <c r="H35" s="524"/>
      <c r="I35" s="874"/>
      <c r="J35" s="874"/>
      <c r="K35" s="875"/>
      <c r="L35" s="513"/>
      <c r="M35" s="504" t="s">
        <v>304</v>
      </c>
      <c r="N35" s="504"/>
      <c r="O35" s="504" t="s">
        <v>323</v>
      </c>
      <c r="P35" s="504"/>
      <c r="Q35" s="506"/>
    </row>
    <row r="36" spans="1:22" ht="15" customHeight="1" x14ac:dyDescent="0.2">
      <c r="A36" s="497"/>
      <c r="B36" s="507"/>
      <c r="C36" s="508"/>
      <c r="D36" s="508" t="s">
        <v>307</v>
      </c>
      <c r="E36" s="575" t="s">
        <v>308</v>
      </c>
      <c r="F36" s="508"/>
      <c r="G36" s="508"/>
      <c r="H36" s="524"/>
      <c r="I36" s="874"/>
      <c r="J36" s="874"/>
      <c r="K36" s="875"/>
      <c r="L36" s="508"/>
      <c r="M36" s="508"/>
      <c r="N36" s="508"/>
      <c r="O36" s="504"/>
      <c r="P36" s="504"/>
      <c r="Q36" s="506"/>
    </row>
    <row r="37" spans="1:22" ht="15" customHeight="1" x14ac:dyDescent="0.2">
      <c r="A37" s="497"/>
      <c r="B37" s="850" t="s">
        <v>329</v>
      </c>
      <c r="C37" s="851"/>
      <c r="D37" s="851"/>
      <c r="E37" s="850" t="s">
        <v>309</v>
      </c>
      <c r="F37" s="854"/>
      <c r="G37" s="876" t="s">
        <v>310</v>
      </c>
      <c r="H37" s="525"/>
      <c r="I37" s="546"/>
      <c r="J37" s="546"/>
      <c r="K37" s="547"/>
      <c r="L37" s="851" t="s">
        <v>329</v>
      </c>
      <c r="M37" s="851"/>
      <c r="N37" s="854"/>
      <c r="O37" s="850" t="s">
        <v>309</v>
      </c>
      <c r="P37" s="854"/>
      <c r="Q37" s="864" t="s">
        <v>310</v>
      </c>
      <c r="S37" s="602" t="s">
        <v>392</v>
      </c>
      <c r="T37" s="602" t="s">
        <v>393</v>
      </c>
    </row>
    <row r="38" spans="1:22" ht="15" customHeight="1" x14ac:dyDescent="0.2">
      <c r="A38" s="497"/>
      <c r="B38" s="852"/>
      <c r="C38" s="853"/>
      <c r="D38" s="853"/>
      <c r="E38" s="852"/>
      <c r="F38" s="855"/>
      <c r="G38" s="853"/>
      <c r="H38" s="526" t="s">
        <v>318</v>
      </c>
      <c r="I38" s="862" t="s">
        <v>319</v>
      </c>
      <c r="J38" s="862"/>
      <c r="K38" s="863"/>
      <c r="L38" s="853"/>
      <c r="M38" s="853"/>
      <c r="N38" s="855"/>
      <c r="O38" s="852"/>
      <c r="P38" s="855"/>
      <c r="Q38" s="865"/>
      <c r="S38" s="602"/>
      <c r="T38" s="602"/>
    </row>
    <row r="39" spans="1:22" ht="15" customHeight="1" x14ac:dyDescent="0.2">
      <c r="A39" s="497"/>
      <c r="B39" s="501" t="s">
        <v>284</v>
      </c>
      <c r="C39" s="520"/>
      <c r="D39" s="520"/>
      <c r="E39" s="501" t="s">
        <v>311</v>
      </c>
      <c r="F39" s="502"/>
      <c r="G39" s="569" t="s">
        <v>314</v>
      </c>
      <c r="H39" s="523"/>
      <c r="I39" s="862"/>
      <c r="J39" s="862"/>
      <c r="K39" s="863"/>
      <c r="L39" s="520" t="s">
        <v>284</v>
      </c>
      <c r="M39" s="520"/>
      <c r="N39" s="502"/>
      <c r="O39" s="881" t="s">
        <v>311</v>
      </c>
      <c r="P39" s="882"/>
      <c r="Q39" s="521" t="s">
        <v>314</v>
      </c>
      <c r="S39" s="602">
        <v>3</v>
      </c>
      <c r="T39" s="602"/>
    </row>
    <row r="40" spans="1:22" ht="15" customHeight="1" x14ac:dyDescent="0.2">
      <c r="A40" s="497"/>
      <c r="B40" s="507"/>
      <c r="C40" s="508"/>
      <c r="D40" s="508"/>
      <c r="E40" s="507"/>
      <c r="F40" s="509"/>
      <c r="G40" s="528"/>
      <c r="H40" s="523"/>
      <c r="I40" s="862"/>
      <c r="J40" s="862"/>
      <c r="K40" s="863"/>
      <c r="L40" s="508"/>
      <c r="M40" s="508"/>
      <c r="N40" s="509"/>
      <c r="O40" s="883"/>
      <c r="P40" s="884"/>
      <c r="Q40" s="522"/>
    </row>
    <row r="41" spans="1:22" ht="15" customHeight="1" x14ac:dyDescent="0.2">
      <c r="A41" s="497"/>
      <c r="B41" s="501" t="s">
        <v>285</v>
      </c>
      <c r="C41" s="520"/>
      <c r="D41" s="520" t="s">
        <v>305</v>
      </c>
      <c r="E41" s="501" t="s">
        <v>351</v>
      </c>
      <c r="F41" s="502"/>
      <c r="G41" s="569" t="s">
        <v>313</v>
      </c>
      <c r="H41" s="523"/>
      <c r="I41" s="530"/>
      <c r="J41" s="530"/>
      <c r="K41" s="531"/>
      <c r="L41" s="520" t="s">
        <v>285</v>
      </c>
      <c r="M41" s="520"/>
      <c r="N41" s="502" t="s">
        <v>305</v>
      </c>
      <c r="O41" s="501" t="s">
        <v>324</v>
      </c>
      <c r="P41" s="502"/>
      <c r="Q41" s="521" t="s">
        <v>313</v>
      </c>
      <c r="S41" s="602" t="s">
        <v>394</v>
      </c>
    </row>
    <row r="42" spans="1:22" ht="15" customHeight="1" x14ac:dyDescent="0.2">
      <c r="A42" s="497"/>
      <c r="B42" s="503"/>
      <c r="C42" s="504"/>
      <c r="D42" s="504" t="s">
        <v>307</v>
      </c>
      <c r="E42" s="576" t="s">
        <v>315</v>
      </c>
      <c r="F42" s="506"/>
      <c r="G42" s="529"/>
      <c r="H42" s="512" t="s">
        <v>320</v>
      </c>
      <c r="I42" s="862" t="s">
        <v>352</v>
      </c>
      <c r="J42" s="862"/>
      <c r="K42" s="863"/>
      <c r="L42" s="504"/>
      <c r="M42" s="504"/>
      <c r="N42" s="506" t="s">
        <v>307</v>
      </c>
      <c r="O42" s="858" t="s">
        <v>325</v>
      </c>
      <c r="P42" s="859"/>
      <c r="Q42" s="514"/>
    </row>
    <row r="43" spans="1:22" ht="15" customHeight="1" x14ac:dyDescent="0.2">
      <c r="A43" s="497"/>
      <c r="B43" s="507"/>
      <c r="C43" s="508"/>
      <c r="D43" s="508"/>
      <c r="E43" s="507"/>
      <c r="F43" s="509"/>
      <c r="G43" s="528"/>
      <c r="H43" s="532"/>
      <c r="I43" s="862"/>
      <c r="J43" s="862"/>
      <c r="K43" s="863"/>
      <c r="L43" s="508"/>
      <c r="M43" s="508"/>
      <c r="N43" s="509"/>
      <c r="O43" s="860"/>
      <c r="P43" s="861"/>
      <c r="Q43" s="522"/>
    </row>
    <row r="44" spans="1:22" ht="15" customHeight="1" x14ac:dyDescent="0.2">
      <c r="A44" s="497"/>
      <c r="B44" s="501" t="s">
        <v>286</v>
      </c>
      <c r="C44" s="872" t="s">
        <v>312</v>
      </c>
      <c r="D44" s="520" t="s">
        <v>305</v>
      </c>
      <c r="E44" s="501" t="s">
        <v>317</v>
      </c>
      <c r="F44" s="502"/>
      <c r="G44" s="569" t="s">
        <v>313</v>
      </c>
      <c r="H44" s="523"/>
      <c r="I44" s="862"/>
      <c r="J44" s="862"/>
      <c r="K44" s="863"/>
      <c r="L44" s="504"/>
      <c r="M44" s="504"/>
      <c r="N44" s="506"/>
      <c r="O44" s="503"/>
      <c r="P44" s="506"/>
      <c r="Q44" s="515"/>
      <c r="S44" s="602">
        <v>2</v>
      </c>
      <c r="T44" s="602">
        <v>1</v>
      </c>
    </row>
    <row r="45" spans="1:22" ht="15" customHeight="1" x14ac:dyDescent="0.2">
      <c r="A45" s="497"/>
      <c r="B45" s="503" t="s">
        <v>287</v>
      </c>
      <c r="C45" s="873"/>
      <c r="D45" s="504" t="s">
        <v>307</v>
      </c>
      <c r="E45" s="519" t="s">
        <v>306</v>
      </c>
      <c r="F45" s="506"/>
      <c r="G45" s="570" t="s">
        <v>355</v>
      </c>
      <c r="H45" s="532"/>
      <c r="I45" s="533"/>
      <c r="J45" s="533"/>
      <c r="K45" s="534"/>
      <c r="L45" s="504" t="s">
        <v>286</v>
      </c>
      <c r="M45" s="873" t="s">
        <v>312</v>
      </c>
      <c r="N45" s="880"/>
      <c r="O45" s="518" t="s">
        <v>306</v>
      </c>
      <c r="P45" s="506"/>
      <c r="Q45" s="514" t="s">
        <v>313</v>
      </c>
    </row>
    <row r="46" spans="1:22" ht="15" customHeight="1" x14ac:dyDescent="0.2">
      <c r="A46" s="497"/>
      <c r="B46" s="503"/>
      <c r="C46" s="504"/>
      <c r="D46" s="504"/>
      <c r="E46" s="503"/>
      <c r="F46" s="506"/>
      <c r="G46" s="503"/>
      <c r="H46" s="512" t="s">
        <v>326</v>
      </c>
      <c r="I46" s="862" t="s">
        <v>328</v>
      </c>
      <c r="J46" s="862"/>
      <c r="K46" s="863"/>
      <c r="L46" s="504" t="s">
        <v>287</v>
      </c>
      <c r="M46" s="873"/>
      <c r="N46" s="880"/>
      <c r="O46" s="503"/>
      <c r="P46" s="506"/>
      <c r="Q46" s="516" t="s">
        <v>355</v>
      </c>
      <c r="S46" s="602">
        <v>8</v>
      </c>
      <c r="T46" s="602">
        <v>1</v>
      </c>
    </row>
    <row r="47" spans="1:22" ht="15" customHeight="1" x14ac:dyDescent="0.2">
      <c r="A47" s="497"/>
      <c r="B47" s="507"/>
      <c r="C47" s="508"/>
      <c r="D47" s="508"/>
      <c r="E47" s="507"/>
      <c r="F47" s="509"/>
      <c r="G47" s="507"/>
      <c r="H47" s="532"/>
      <c r="I47" s="862"/>
      <c r="J47" s="862"/>
      <c r="K47" s="863"/>
      <c r="L47" s="508"/>
      <c r="M47" s="508"/>
      <c r="N47" s="509"/>
      <c r="O47" s="507"/>
      <c r="P47" s="509"/>
      <c r="Q47" s="517"/>
    </row>
    <row r="48" spans="1:22" ht="15" customHeight="1" x14ac:dyDescent="0.2">
      <c r="A48" s="495"/>
      <c r="B48" s="545"/>
      <c r="C48" s="492"/>
      <c r="D48" s="545"/>
      <c r="E48" s="545"/>
      <c r="H48" s="532"/>
      <c r="I48" s="530"/>
      <c r="J48" s="530"/>
      <c r="K48" s="531"/>
      <c r="S48" s="603"/>
      <c r="T48" s="603"/>
      <c r="U48" s="605" t="s">
        <v>398</v>
      </c>
      <c r="V48" s="606" t="s">
        <v>397</v>
      </c>
    </row>
    <row r="49" spans="1:22" ht="15" customHeight="1" x14ac:dyDescent="0.2">
      <c r="A49" s="497"/>
      <c r="B49" s="545"/>
      <c r="C49" s="492"/>
      <c r="D49" s="545"/>
      <c r="E49" s="545"/>
      <c r="H49" s="512" t="s">
        <v>330</v>
      </c>
      <c r="I49" s="862" t="s">
        <v>382</v>
      </c>
      <c r="J49" s="862"/>
      <c r="K49" s="863"/>
      <c r="S49" s="603" t="s">
        <v>304</v>
      </c>
      <c r="T49" s="604">
        <v>1</v>
      </c>
      <c r="U49" s="607">
        <v>1</v>
      </c>
      <c r="V49" s="607"/>
    </row>
    <row r="50" spans="1:22" ht="15" customHeight="1" x14ac:dyDescent="0.2">
      <c r="A50" s="497"/>
      <c r="B50" s="545"/>
      <c r="C50" s="492"/>
      <c r="D50" s="545"/>
      <c r="E50" s="545"/>
      <c r="H50" s="574"/>
      <c r="I50" s="885"/>
      <c r="J50" s="885"/>
      <c r="K50" s="886"/>
      <c r="S50" s="603" t="s">
        <v>309</v>
      </c>
      <c r="T50" s="604">
        <v>5</v>
      </c>
      <c r="U50" s="607">
        <v>4</v>
      </c>
      <c r="V50" s="607"/>
    </row>
    <row r="51" spans="1:22" x14ac:dyDescent="0.2">
      <c r="S51" s="603" t="s">
        <v>395</v>
      </c>
      <c r="T51" s="604">
        <v>5</v>
      </c>
      <c r="U51" s="607">
        <v>4</v>
      </c>
      <c r="V51" s="607">
        <v>1</v>
      </c>
    </row>
    <row r="52" spans="1:22" x14ac:dyDescent="0.2">
      <c r="S52" s="603" t="s">
        <v>396</v>
      </c>
      <c r="T52" s="604">
        <v>1</v>
      </c>
      <c r="U52" s="607">
        <v>1</v>
      </c>
      <c r="V52" s="607"/>
    </row>
    <row r="53" spans="1:22" x14ac:dyDescent="0.2">
      <c r="A53" s="548" t="s">
        <v>333</v>
      </c>
      <c r="B53" s="558" t="s">
        <v>364</v>
      </c>
      <c r="C53" s="558"/>
      <c r="D53" s="558"/>
      <c r="E53" s="558"/>
      <c r="F53" s="558"/>
      <c r="G53" s="558"/>
      <c r="H53" s="558"/>
      <c r="I53" s="558"/>
      <c r="J53" s="558"/>
      <c r="K53" s="558"/>
      <c r="L53" s="558"/>
      <c r="M53" s="558"/>
      <c r="N53" s="558"/>
      <c r="O53" s="558"/>
      <c r="P53" s="558"/>
      <c r="Q53" s="558"/>
      <c r="S53" s="603"/>
      <c r="T53" s="604">
        <f>T49+T50+T51+T52</f>
        <v>12</v>
      </c>
      <c r="U53" s="607">
        <f>SUM(U49:U52)</f>
        <v>10</v>
      </c>
      <c r="V53" s="607">
        <f>SUM(V49:V52)</f>
        <v>1</v>
      </c>
    </row>
    <row r="54" spans="1:22" x14ac:dyDescent="0.2">
      <c r="A54" s="554" t="s">
        <v>334</v>
      </c>
      <c r="B54" s="871" t="s">
        <v>365</v>
      </c>
      <c r="C54" s="871"/>
      <c r="D54" s="871"/>
      <c r="E54" s="871"/>
      <c r="F54" s="871"/>
      <c r="G54" s="871"/>
      <c r="H54" s="871"/>
      <c r="I54" s="871"/>
      <c r="J54" s="871"/>
      <c r="K54" s="871"/>
      <c r="L54" s="871"/>
      <c r="M54" s="871"/>
      <c r="N54" s="871"/>
      <c r="O54" s="871"/>
      <c r="P54" s="871"/>
      <c r="Q54" s="871"/>
    </row>
    <row r="55" spans="1:22" x14ac:dyDescent="0.2">
      <c r="A55" s="548" t="s">
        <v>335</v>
      </c>
      <c r="B55" s="550" t="s">
        <v>293</v>
      </c>
      <c r="C55" s="550"/>
      <c r="D55" s="550"/>
      <c r="E55" s="550"/>
      <c r="F55" s="550"/>
      <c r="G55" s="550"/>
      <c r="H55" s="550"/>
      <c r="I55" s="550"/>
      <c r="J55" s="550"/>
      <c r="K55" s="550"/>
      <c r="L55" s="550"/>
      <c r="M55" s="550"/>
      <c r="N55" s="550"/>
      <c r="O55" s="550"/>
      <c r="P55" s="550"/>
      <c r="Q55" s="550"/>
    </row>
    <row r="56" spans="1:22" x14ac:dyDescent="0.2">
      <c r="A56" s="560" t="s">
        <v>336</v>
      </c>
      <c r="B56" s="550" t="s">
        <v>362</v>
      </c>
      <c r="C56" s="550"/>
      <c r="D56" s="550"/>
      <c r="E56" s="550"/>
      <c r="F56" s="550"/>
      <c r="G56" s="550"/>
      <c r="H56" s="550"/>
      <c r="I56" s="550"/>
      <c r="J56" s="550"/>
      <c r="K56" s="550"/>
      <c r="L56" s="550"/>
      <c r="M56" s="550"/>
      <c r="N56" s="550"/>
      <c r="O56" s="550"/>
      <c r="P56" s="550"/>
      <c r="Q56" s="550"/>
    </row>
    <row r="57" spans="1:22" s="527" customFormat="1" x14ac:dyDescent="0.2">
      <c r="A57" s="554" t="s">
        <v>337</v>
      </c>
      <c r="B57" s="561" t="s">
        <v>356</v>
      </c>
      <c r="C57" s="561"/>
      <c r="D57" s="561"/>
      <c r="E57" s="561"/>
      <c r="F57" s="561"/>
      <c r="G57" s="561"/>
      <c r="H57" s="561"/>
      <c r="I57" s="561"/>
      <c r="J57" s="561"/>
      <c r="K57" s="561"/>
      <c r="L57" s="561"/>
      <c r="M57" s="561"/>
      <c r="N57" s="561"/>
      <c r="O57" s="561"/>
      <c r="P57" s="561"/>
      <c r="Q57" s="561"/>
    </row>
    <row r="58" spans="1:22" x14ac:dyDescent="0.2">
      <c r="A58" s="548" t="s">
        <v>368</v>
      </c>
      <c r="B58" s="558" t="s">
        <v>363</v>
      </c>
      <c r="C58" s="558"/>
      <c r="D58" s="558"/>
      <c r="E58" s="558"/>
      <c r="F58" s="558"/>
      <c r="G58" s="558"/>
      <c r="H58" s="558"/>
      <c r="I58" s="558"/>
      <c r="J58" s="558"/>
      <c r="K58" s="558"/>
      <c r="L58" s="558"/>
      <c r="M58" s="558"/>
      <c r="N58" s="558"/>
      <c r="O58" s="558"/>
      <c r="P58" s="558"/>
      <c r="Q58" s="558"/>
    </row>
    <row r="59" spans="1:22" x14ac:dyDescent="0.2">
      <c r="A59" s="548" t="s">
        <v>369</v>
      </c>
      <c r="B59" s="558" t="s">
        <v>359</v>
      </c>
      <c r="C59" s="558"/>
      <c r="D59" s="558"/>
      <c r="E59" s="558"/>
      <c r="F59" s="558"/>
      <c r="G59" s="558"/>
      <c r="H59" s="558"/>
      <c r="I59" s="558"/>
      <c r="J59" s="558"/>
      <c r="K59" s="558"/>
      <c r="L59" s="558"/>
      <c r="M59" s="558"/>
      <c r="N59" s="558"/>
      <c r="O59" s="558"/>
      <c r="P59" s="558"/>
      <c r="Q59" s="558"/>
    </row>
    <row r="60" spans="1:22" x14ac:dyDescent="0.2">
      <c r="A60" s="548" t="s">
        <v>370</v>
      </c>
      <c r="B60" s="558" t="s">
        <v>292</v>
      </c>
      <c r="C60" s="558"/>
      <c r="D60" s="558"/>
      <c r="E60" s="558"/>
      <c r="F60" s="558"/>
      <c r="G60" s="558"/>
      <c r="H60" s="558"/>
      <c r="I60" s="558"/>
      <c r="J60" s="558"/>
      <c r="K60" s="558"/>
      <c r="L60" s="558"/>
      <c r="M60" s="558"/>
      <c r="N60" s="558"/>
      <c r="O60" s="558"/>
      <c r="P60" s="558"/>
      <c r="Q60" s="558"/>
    </row>
    <row r="61" spans="1:22" x14ac:dyDescent="0.2">
      <c r="A61" s="548" t="s">
        <v>371</v>
      </c>
      <c r="B61" s="550" t="s">
        <v>379</v>
      </c>
      <c r="C61" s="550"/>
      <c r="D61" s="550"/>
      <c r="E61" s="550"/>
      <c r="F61" s="550"/>
      <c r="G61" s="550"/>
      <c r="H61" s="550"/>
      <c r="I61" s="550"/>
      <c r="J61" s="550"/>
      <c r="K61" s="550"/>
      <c r="L61" s="550"/>
      <c r="M61" s="550"/>
      <c r="N61" s="550"/>
      <c r="O61" s="550"/>
      <c r="P61" s="550"/>
      <c r="Q61" s="550"/>
    </row>
    <row r="62" spans="1:22" x14ac:dyDescent="0.2">
      <c r="A62" s="548" t="s">
        <v>338</v>
      </c>
      <c r="B62" s="550" t="s">
        <v>380</v>
      </c>
      <c r="C62" s="550"/>
      <c r="D62" s="550"/>
      <c r="E62" s="550"/>
      <c r="F62" s="550"/>
      <c r="G62" s="550"/>
      <c r="H62" s="550"/>
      <c r="I62" s="550"/>
      <c r="J62" s="550"/>
      <c r="K62" s="550"/>
      <c r="L62" s="550"/>
      <c r="M62" s="550"/>
      <c r="N62" s="550"/>
      <c r="O62" s="550"/>
      <c r="P62" s="550"/>
      <c r="Q62" s="550"/>
    </row>
    <row r="63" spans="1:22" x14ac:dyDescent="0.2">
      <c r="A63" s="548" t="s">
        <v>339</v>
      </c>
      <c r="B63" s="550" t="s">
        <v>294</v>
      </c>
      <c r="C63" s="550"/>
      <c r="D63" s="550"/>
      <c r="E63" s="550"/>
      <c r="F63" s="550"/>
      <c r="G63" s="550"/>
      <c r="H63" s="550"/>
      <c r="I63" s="550"/>
      <c r="J63" s="550"/>
      <c r="K63" s="550"/>
      <c r="L63" s="550"/>
      <c r="M63" s="550"/>
      <c r="N63" s="550"/>
      <c r="O63" s="550"/>
      <c r="P63" s="550"/>
      <c r="Q63" s="550"/>
    </row>
    <row r="64" spans="1:22" x14ac:dyDescent="0.2">
      <c r="A64" s="548" t="s">
        <v>340</v>
      </c>
      <c r="B64" s="550" t="s">
        <v>296</v>
      </c>
      <c r="C64" s="550"/>
      <c r="D64" s="550"/>
      <c r="E64" s="550"/>
      <c r="F64" s="550"/>
      <c r="G64" s="550"/>
      <c r="H64" s="550"/>
      <c r="I64" s="550"/>
      <c r="J64" s="550"/>
      <c r="K64" s="550"/>
      <c r="L64" s="550"/>
      <c r="M64" s="550"/>
      <c r="N64" s="550"/>
      <c r="O64" s="550"/>
      <c r="P64" s="550"/>
      <c r="Q64" s="550"/>
    </row>
    <row r="65" spans="1:17" x14ac:dyDescent="0.2">
      <c r="A65" s="548" t="s">
        <v>341</v>
      </c>
      <c r="B65" s="550" t="s">
        <v>295</v>
      </c>
      <c r="C65" s="550"/>
      <c r="D65" s="550"/>
      <c r="E65" s="550"/>
      <c r="F65" s="550"/>
      <c r="G65" s="550"/>
      <c r="H65" s="550"/>
      <c r="I65" s="550"/>
      <c r="J65" s="550"/>
      <c r="K65" s="550"/>
      <c r="L65" s="550"/>
      <c r="M65" s="550"/>
      <c r="N65" s="550"/>
      <c r="O65" s="550"/>
      <c r="P65" s="550"/>
      <c r="Q65" s="550"/>
    </row>
    <row r="66" spans="1:17" x14ac:dyDescent="0.2">
      <c r="A66" s="548" t="s">
        <v>342</v>
      </c>
      <c r="B66" s="550" t="s">
        <v>367</v>
      </c>
      <c r="C66" s="550"/>
      <c r="D66" s="550"/>
      <c r="E66" s="550"/>
      <c r="F66" s="550"/>
      <c r="G66" s="550"/>
      <c r="H66" s="550"/>
      <c r="I66" s="550"/>
      <c r="J66" s="550"/>
      <c r="K66" s="550"/>
      <c r="L66" s="550"/>
      <c r="M66" s="550"/>
      <c r="N66" s="550"/>
      <c r="O66" s="550"/>
      <c r="P66" s="550"/>
      <c r="Q66" s="550"/>
    </row>
    <row r="67" spans="1:17" x14ac:dyDescent="0.2">
      <c r="A67" s="548" t="s">
        <v>343</v>
      </c>
      <c r="B67" s="550" t="s">
        <v>366</v>
      </c>
      <c r="C67" s="550"/>
      <c r="D67" s="550"/>
      <c r="E67" s="550"/>
      <c r="F67" s="550"/>
      <c r="G67" s="550"/>
      <c r="H67" s="550"/>
      <c r="I67" s="550"/>
      <c r="J67" s="550"/>
      <c r="K67" s="550"/>
      <c r="L67" s="550"/>
      <c r="M67" s="550"/>
      <c r="N67" s="550"/>
      <c r="O67" s="550"/>
      <c r="P67" s="550"/>
      <c r="Q67" s="550"/>
    </row>
    <row r="68" spans="1:17" s="580" customFormat="1" x14ac:dyDescent="0.2">
      <c r="A68" s="577" t="s">
        <v>344</v>
      </c>
      <c r="B68" s="557" t="s">
        <v>400</v>
      </c>
      <c r="C68" s="578"/>
      <c r="D68" s="579"/>
      <c r="E68" s="579"/>
      <c r="F68" s="579"/>
      <c r="G68" s="579"/>
      <c r="H68" s="579"/>
      <c r="I68" s="579"/>
      <c r="J68" s="579"/>
      <c r="K68" s="579"/>
      <c r="L68" s="579"/>
      <c r="M68" s="579"/>
      <c r="N68" s="579"/>
      <c r="O68" s="579"/>
      <c r="P68" s="579"/>
      <c r="Q68" s="579"/>
    </row>
    <row r="69" spans="1:17" x14ac:dyDescent="0.2">
      <c r="A69" s="548" t="s">
        <v>345</v>
      </c>
      <c r="B69" s="550" t="s">
        <v>378</v>
      </c>
      <c r="C69" s="550"/>
      <c r="D69" s="550"/>
      <c r="E69" s="550"/>
      <c r="F69" s="550"/>
      <c r="G69" s="550"/>
      <c r="H69" s="550"/>
      <c r="I69" s="550"/>
      <c r="J69" s="550"/>
      <c r="K69" s="550"/>
      <c r="L69" s="550"/>
      <c r="M69" s="550"/>
      <c r="N69" s="550"/>
      <c r="O69" s="550"/>
      <c r="P69" s="550"/>
      <c r="Q69" s="550"/>
    </row>
    <row r="70" spans="1:17" x14ac:dyDescent="0.2">
      <c r="A70" s="548" t="s">
        <v>346</v>
      </c>
      <c r="B70" s="550" t="s">
        <v>360</v>
      </c>
      <c r="C70" s="550"/>
      <c r="D70" s="550"/>
      <c r="E70" s="550"/>
      <c r="F70" s="550"/>
      <c r="G70" s="550"/>
      <c r="H70" s="550"/>
      <c r="I70" s="550"/>
      <c r="J70" s="550"/>
      <c r="K70" s="550"/>
      <c r="L70" s="550"/>
      <c r="M70" s="550"/>
      <c r="N70" s="550"/>
      <c r="O70" s="550"/>
      <c r="P70" s="550"/>
      <c r="Q70" s="550"/>
    </row>
    <row r="71" spans="1:17" x14ac:dyDescent="0.2">
      <c r="A71" s="548" t="s">
        <v>347</v>
      </c>
      <c r="B71" s="553" t="s">
        <v>377</v>
      </c>
      <c r="C71" s="562"/>
      <c r="D71" s="550"/>
      <c r="E71" s="550"/>
      <c r="F71" s="550"/>
      <c r="G71" s="550"/>
      <c r="H71" s="550"/>
      <c r="I71" s="550"/>
      <c r="J71" s="550"/>
      <c r="K71" s="550"/>
      <c r="L71" s="550"/>
      <c r="M71" s="550"/>
      <c r="N71" s="550"/>
      <c r="O71" s="550"/>
      <c r="P71" s="550"/>
      <c r="Q71" s="550"/>
    </row>
    <row r="72" spans="1:17" s="580" customFormat="1" x14ac:dyDescent="0.2">
      <c r="A72" s="577" t="s">
        <v>348</v>
      </c>
      <c r="B72" s="581" t="s">
        <v>399</v>
      </c>
      <c r="C72" s="582"/>
      <c r="D72" s="579"/>
      <c r="E72" s="579"/>
      <c r="F72" s="579"/>
      <c r="G72" s="579"/>
      <c r="H72" s="579"/>
      <c r="I72" s="579"/>
      <c r="J72" s="579"/>
      <c r="K72" s="579"/>
      <c r="L72" s="579"/>
      <c r="M72" s="579"/>
      <c r="N72" s="579"/>
      <c r="O72" s="579"/>
      <c r="P72" s="579"/>
      <c r="Q72" s="579"/>
    </row>
    <row r="73" spans="1:17" s="580" customFormat="1" x14ac:dyDescent="0.2">
      <c r="A73" s="577" t="s">
        <v>349</v>
      </c>
      <c r="B73" s="579" t="s">
        <v>412</v>
      </c>
      <c r="C73" s="579"/>
      <c r="D73" s="579"/>
      <c r="E73" s="579"/>
      <c r="F73" s="579"/>
      <c r="G73" s="579"/>
      <c r="H73" s="579"/>
      <c r="I73" s="579"/>
      <c r="J73" s="579"/>
      <c r="K73" s="579"/>
      <c r="L73" s="579"/>
      <c r="M73" s="579"/>
      <c r="N73" s="579"/>
      <c r="O73" s="579"/>
      <c r="P73" s="579"/>
      <c r="Q73" s="579"/>
    </row>
    <row r="74" spans="1:17" x14ac:dyDescent="0.2">
      <c r="A74" s="548" t="s">
        <v>350</v>
      </c>
      <c r="B74" s="550" t="s">
        <v>297</v>
      </c>
      <c r="C74" s="550"/>
      <c r="D74" s="550"/>
      <c r="E74" s="550"/>
      <c r="F74" s="550"/>
      <c r="G74" s="550"/>
      <c r="H74" s="550"/>
      <c r="I74" s="550"/>
      <c r="J74" s="550"/>
      <c r="K74" s="550"/>
      <c r="L74" s="550"/>
      <c r="M74" s="550"/>
      <c r="N74" s="550"/>
      <c r="O74" s="550"/>
      <c r="P74" s="550"/>
      <c r="Q74" s="550"/>
    </row>
    <row r="75" spans="1:17" x14ac:dyDescent="0.2">
      <c r="A75" s="548" t="s">
        <v>373</v>
      </c>
      <c r="B75" s="550" t="s">
        <v>298</v>
      </c>
      <c r="C75" s="550"/>
      <c r="D75" s="550"/>
      <c r="E75" s="550"/>
      <c r="F75" s="550"/>
      <c r="G75" s="550"/>
      <c r="H75" s="550"/>
      <c r="I75" s="550"/>
      <c r="J75" s="550"/>
      <c r="K75" s="550"/>
      <c r="L75" s="550"/>
      <c r="M75" s="550"/>
      <c r="N75" s="550"/>
      <c r="O75" s="550"/>
      <c r="P75" s="550"/>
      <c r="Q75" s="550"/>
    </row>
    <row r="76" spans="1:17" x14ac:dyDescent="0.2">
      <c r="A76" s="548" t="s">
        <v>381</v>
      </c>
      <c r="B76" s="550" t="s">
        <v>375</v>
      </c>
      <c r="C76" s="550"/>
      <c r="D76" s="550"/>
      <c r="E76" s="550"/>
      <c r="F76" s="550"/>
      <c r="G76" s="550"/>
      <c r="H76" s="550"/>
      <c r="I76" s="550"/>
      <c r="J76" s="550"/>
      <c r="K76" s="550"/>
      <c r="L76" s="550"/>
      <c r="M76" s="550"/>
      <c r="N76" s="550"/>
      <c r="O76" s="550"/>
      <c r="P76" s="550"/>
      <c r="Q76" s="550"/>
    </row>
    <row r="77" spans="1:17" s="580" customFormat="1" x14ac:dyDescent="0.2">
      <c r="B77" s="580" t="s">
        <v>401</v>
      </c>
    </row>
    <row r="78" spans="1:17" s="580" customFormat="1" x14ac:dyDescent="0.2">
      <c r="B78" s="580" t="s">
        <v>402</v>
      </c>
    </row>
    <row r="79" spans="1:17" s="580" customFormat="1" x14ac:dyDescent="0.2">
      <c r="B79" s="580" t="s">
        <v>403</v>
      </c>
    </row>
    <row r="80" spans="1:17" s="580" customFormat="1" x14ac:dyDescent="0.2">
      <c r="A80" s="580" t="s">
        <v>404</v>
      </c>
    </row>
    <row r="81" spans="1:17" s="580" customFormat="1" x14ac:dyDescent="0.2">
      <c r="B81" s="580" t="s">
        <v>405</v>
      </c>
    </row>
    <row r="82" spans="1:17" s="580" customFormat="1" x14ac:dyDescent="0.2">
      <c r="B82" s="580" t="s">
        <v>406</v>
      </c>
      <c r="K82" s="603"/>
      <c r="L82" s="603"/>
      <c r="M82" s="605" t="s">
        <v>398</v>
      </c>
      <c r="N82" s="606" t="s">
        <v>397</v>
      </c>
    </row>
    <row r="83" spans="1:17" s="580" customFormat="1" x14ac:dyDescent="0.2">
      <c r="B83" s="580" t="s">
        <v>407</v>
      </c>
      <c r="K83" s="603" t="s">
        <v>304</v>
      </c>
      <c r="L83" s="604">
        <v>1</v>
      </c>
      <c r="M83" s="607">
        <v>1</v>
      </c>
      <c r="N83" s="607"/>
    </row>
    <row r="84" spans="1:17" x14ac:dyDescent="0.2">
      <c r="A84" s="548"/>
      <c r="B84" s="549" t="s">
        <v>374</v>
      </c>
      <c r="C84" s="550"/>
      <c r="D84" s="550"/>
      <c r="E84" s="550"/>
      <c r="F84" s="550"/>
      <c r="G84" s="550"/>
      <c r="H84" s="550"/>
      <c r="I84" s="550"/>
      <c r="J84" s="550"/>
      <c r="K84" s="603" t="s">
        <v>309</v>
      </c>
      <c r="L84" s="604">
        <v>5</v>
      </c>
      <c r="M84" s="607">
        <v>4</v>
      </c>
      <c r="N84" s="607"/>
      <c r="P84" s="550"/>
      <c r="Q84" s="550"/>
    </row>
    <row r="85" spans="1:17" x14ac:dyDescent="0.2">
      <c r="A85" s="548" t="s">
        <v>290</v>
      </c>
      <c r="B85" s="866" t="s">
        <v>372</v>
      </c>
      <c r="C85" s="866"/>
      <c r="D85" s="866"/>
      <c r="E85" s="866"/>
      <c r="F85" s="866"/>
      <c r="G85" s="866"/>
      <c r="H85" s="866"/>
      <c r="I85" s="866"/>
      <c r="J85" s="866"/>
      <c r="K85" s="603" t="s">
        <v>395</v>
      </c>
      <c r="L85" s="604">
        <v>5</v>
      </c>
      <c r="M85" s="607">
        <v>4</v>
      </c>
      <c r="N85" s="607">
        <v>1</v>
      </c>
      <c r="P85" s="550"/>
      <c r="Q85" s="550"/>
    </row>
    <row r="86" spans="1:17" x14ac:dyDescent="0.2">
      <c r="B86" s="866"/>
      <c r="C86" s="866"/>
      <c r="D86" s="866"/>
      <c r="E86" s="866"/>
      <c r="F86" s="866"/>
      <c r="G86" s="866"/>
      <c r="H86" s="866"/>
      <c r="I86" s="866"/>
      <c r="J86" s="866"/>
      <c r="K86" s="603" t="s">
        <v>396</v>
      </c>
      <c r="L86" s="604">
        <v>1</v>
      </c>
      <c r="M86" s="607">
        <v>1</v>
      </c>
      <c r="N86" s="607"/>
    </row>
    <row r="87" spans="1:17" x14ac:dyDescent="0.2">
      <c r="K87" s="603"/>
      <c r="L87" s="604">
        <f>L83+L84+L85+L86</f>
        <v>12</v>
      </c>
      <c r="M87" s="607">
        <f>SUM(M83:M86)</f>
        <v>10</v>
      </c>
      <c r="N87" s="607">
        <f>SUM(N83:N86)</f>
        <v>1</v>
      </c>
    </row>
    <row r="88" spans="1:17" x14ac:dyDescent="0.2">
      <c r="B88" s="580" t="s">
        <v>409</v>
      </c>
    </row>
    <row r="89" spans="1:17" x14ac:dyDescent="0.2">
      <c r="B89" s="94" t="s">
        <v>410</v>
      </c>
    </row>
    <row r="90" spans="1:17" x14ac:dyDescent="0.2">
      <c r="B90" s="94" t="s">
        <v>411</v>
      </c>
    </row>
    <row r="92" spans="1:17" x14ac:dyDescent="0.2">
      <c r="A92" s="548"/>
      <c r="B92" s="583" t="s">
        <v>385</v>
      </c>
      <c r="C92" s="583"/>
      <c r="D92" s="550"/>
      <c r="E92" s="550"/>
      <c r="F92" s="550"/>
      <c r="G92" s="550"/>
      <c r="H92" s="550"/>
      <c r="I92" s="550"/>
      <c r="J92" s="550"/>
      <c r="K92" s="550"/>
      <c r="L92" s="550"/>
      <c r="M92" s="550"/>
      <c r="N92" s="550"/>
      <c r="O92" s="550"/>
      <c r="P92" s="550"/>
      <c r="Q92" s="550"/>
    </row>
    <row r="93" spans="1:17" x14ac:dyDescent="0.2">
      <c r="B93" s="584"/>
      <c r="C93" s="584"/>
    </row>
    <row r="94" spans="1:17" x14ac:dyDescent="0.2">
      <c r="B94" s="584" t="s">
        <v>386</v>
      </c>
      <c r="C94" s="585">
        <v>26083369.7564</v>
      </c>
    </row>
    <row r="95" spans="1:17" x14ac:dyDescent="0.2">
      <c r="B95" s="584" t="s">
        <v>387</v>
      </c>
      <c r="C95" s="585">
        <f>19200000*4</f>
        <v>76800000</v>
      </c>
    </row>
    <row r="96" spans="1:17" ht="12.75" customHeight="1" x14ac:dyDescent="0.2">
      <c r="A96" s="497"/>
      <c r="B96" s="586" t="s">
        <v>388</v>
      </c>
      <c r="C96" s="587">
        <f>SUM(C94:C95)</f>
        <v>102883369.7564</v>
      </c>
    </row>
    <row r="97" spans="2:15" x14ac:dyDescent="0.2">
      <c r="K97" s="527"/>
      <c r="L97" s="527"/>
      <c r="M97" s="527"/>
      <c r="N97" s="527"/>
      <c r="O97" s="527"/>
    </row>
    <row r="99" spans="2:15" x14ac:dyDescent="0.2">
      <c r="B99" s="609" t="s">
        <v>413</v>
      </c>
      <c r="C99" s="609" t="s">
        <v>414</v>
      </c>
      <c r="D99" s="609" t="s">
        <v>415</v>
      </c>
      <c r="E99" s="610">
        <v>0.03</v>
      </c>
      <c r="F99" s="609" t="s">
        <v>416</v>
      </c>
    </row>
    <row r="100" spans="2:15" x14ac:dyDescent="0.2">
      <c r="B100" s="611"/>
      <c r="C100" s="611"/>
      <c r="D100" s="611"/>
      <c r="E100" s="611"/>
      <c r="F100" s="611"/>
    </row>
    <row r="101" spans="2:15" x14ac:dyDescent="0.2">
      <c r="B101" s="612" t="s">
        <v>387</v>
      </c>
      <c r="C101" s="613">
        <f>54092332/1.028</f>
        <v>52619000</v>
      </c>
      <c r="D101" s="613">
        <f>+C101*1.028</f>
        <v>54092332</v>
      </c>
      <c r="E101" s="613">
        <f>+C101*1.03</f>
        <v>54197570</v>
      </c>
      <c r="F101" s="613">
        <f>+D101-E101</f>
        <v>-105238</v>
      </c>
    </row>
    <row r="102" spans="2:15" x14ac:dyDescent="0.2">
      <c r="B102" s="612" t="s">
        <v>417</v>
      </c>
      <c r="C102" s="613">
        <v>38423270.349079996</v>
      </c>
      <c r="D102" s="613">
        <f>+C102*1.034</f>
        <v>39729661.540948719</v>
      </c>
      <c r="E102" s="613">
        <f>+C102*1.03</f>
        <v>39575968.4595524</v>
      </c>
      <c r="F102" s="614">
        <f>+D102-E102</f>
        <v>153693.08139631897</v>
      </c>
    </row>
    <row r="103" spans="2:15" x14ac:dyDescent="0.2">
      <c r="B103" s="612"/>
      <c r="C103" s="613"/>
      <c r="D103" s="613"/>
      <c r="E103" s="613"/>
      <c r="F103" s="612"/>
    </row>
    <row r="104" spans="2:15" x14ac:dyDescent="0.2">
      <c r="B104" s="611"/>
      <c r="C104" s="615"/>
      <c r="D104" s="615"/>
      <c r="E104" s="615"/>
      <c r="F104" s="614">
        <f>+F102+F101</f>
        <v>48455.081396318972</v>
      </c>
    </row>
    <row r="107" spans="2:15" x14ac:dyDescent="0.2">
      <c r="C107" s="849" t="s">
        <v>418</v>
      </c>
      <c r="D107" s="849"/>
    </row>
    <row r="108" spans="2:15" x14ac:dyDescent="0.2">
      <c r="C108" s="616" t="s">
        <v>419</v>
      </c>
      <c r="D108" s="616" t="s">
        <v>420</v>
      </c>
    </row>
    <row r="109" spans="2:15" x14ac:dyDescent="0.2">
      <c r="C109" s="613">
        <f>+C101*1.029</f>
        <v>54144950.999999993</v>
      </c>
      <c r="D109" s="613">
        <f>+C102*1.033</f>
        <v>39691238.270599633</v>
      </c>
    </row>
    <row r="110" spans="2:15" x14ac:dyDescent="0.2">
      <c r="C110" s="614">
        <f>+C109-D101</f>
        <v>52618.999999992549</v>
      </c>
      <c r="D110" s="614">
        <f>+D102-D109</f>
        <v>38423.270349085331</v>
      </c>
    </row>
  </sheetData>
  <mergeCells count="26">
    <mergeCell ref="C3:D3"/>
    <mergeCell ref="B26:N26"/>
    <mergeCell ref="B27:M27"/>
    <mergeCell ref="B54:Q54"/>
    <mergeCell ref="C44:C45"/>
    <mergeCell ref="I33:K36"/>
    <mergeCell ref="G37:G38"/>
    <mergeCell ref="B19:C21"/>
    <mergeCell ref="H31:K31"/>
    <mergeCell ref="B5:J6"/>
    <mergeCell ref="M45:N46"/>
    <mergeCell ref="O39:P40"/>
    <mergeCell ref="I46:K47"/>
    <mergeCell ref="I49:K50"/>
    <mergeCell ref="B33:G33"/>
    <mergeCell ref="C107:D107"/>
    <mergeCell ref="B37:D38"/>
    <mergeCell ref="E37:F38"/>
    <mergeCell ref="L33:Q33"/>
    <mergeCell ref="O42:P43"/>
    <mergeCell ref="I38:K40"/>
    <mergeCell ref="I42:K44"/>
    <mergeCell ref="O37:P38"/>
    <mergeCell ref="Q37:Q38"/>
    <mergeCell ref="L37:N38"/>
    <mergeCell ref="B85:J86"/>
  </mergeCells>
  <pageMargins left="0.25" right="0.25"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54"/>
  <sheetViews>
    <sheetView showGridLines="0" zoomScale="80" zoomScaleNormal="80" workbookViewId="0">
      <selection activeCell="L48" sqref="L48"/>
    </sheetView>
  </sheetViews>
  <sheetFormatPr baseColWidth="10" defaultColWidth="11.42578125" defaultRowHeight="12.75" x14ac:dyDescent="0.2"/>
  <cols>
    <col min="1" max="16384" width="11.42578125" style="1"/>
  </cols>
  <sheetData>
    <row r="1" spans="2:11" x14ac:dyDescent="0.2">
      <c r="H1" s="45"/>
    </row>
    <row r="2" spans="2:11" x14ac:dyDescent="0.2">
      <c r="H2" s="45" t="s">
        <v>85</v>
      </c>
    </row>
    <row r="5" spans="2:11" x14ac:dyDescent="0.2">
      <c r="B5" s="623" t="s">
        <v>170</v>
      </c>
      <c r="C5" s="623"/>
      <c r="D5" s="623"/>
      <c r="E5" s="623"/>
      <c r="F5" s="623"/>
    </row>
    <row r="7" spans="2:11" x14ac:dyDescent="0.2">
      <c r="C7" s="260" t="s">
        <v>156</v>
      </c>
      <c r="D7" s="260"/>
      <c r="E7" s="260"/>
      <c r="F7" s="260"/>
      <c r="G7" s="260"/>
      <c r="H7" s="260"/>
      <c r="I7" s="260"/>
      <c r="J7" s="260"/>
      <c r="K7" s="260"/>
    </row>
    <row r="9" spans="2:11" x14ac:dyDescent="0.2">
      <c r="C9" s="260" t="s">
        <v>157</v>
      </c>
      <c r="D9" s="260"/>
      <c r="E9" s="260"/>
      <c r="F9" s="260"/>
      <c r="G9" s="260"/>
      <c r="H9" s="260"/>
      <c r="I9" s="259"/>
      <c r="J9" s="259"/>
      <c r="K9" s="259"/>
    </row>
    <row r="11" spans="2:11" x14ac:dyDescent="0.2">
      <c r="B11" s="618" t="s">
        <v>171</v>
      </c>
      <c r="C11" s="618"/>
      <c r="D11" s="618"/>
      <c r="E11" s="618"/>
      <c r="F11" s="618"/>
    </row>
    <row r="13" spans="2:11" x14ac:dyDescent="0.2">
      <c r="C13" s="261" t="s">
        <v>158</v>
      </c>
      <c r="D13" s="261"/>
      <c r="E13" s="261"/>
      <c r="F13" s="261"/>
      <c r="G13" s="261"/>
      <c r="H13" s="261"/>
    </row>
    <row r="15" spans="2:11" x14ac:dyDescent="0.2">
      <c r="C15" s="261" t="s">
        <v>159</v>
      </c>
      <c r="D15" s="261"/>
      <c r="E15" s="261"/>
      <c r="F15" s="261"/>
      <c r="G15" s="261"/>
      <c r="H15" s="261"/>
      <c r="I15" s="259"/>
      <c r="J15" s="259"/>
      <c r="K15" s="259"/>
    </row>
    <row r="19" spans="2:16" x14ac:dyDescent="0.2">
      <c r="B19" s="618" t="s">
        <v>172</v>
      </c>
      <c r="C19" s="618"/>
      <c r="D19" s="618"/>
      <c r="E19" s="618"/>
      <c r="F19" s="618"/>
    </row>
    <row r="21" spans="2:16" x14ac:dyDescent="0.2">
      <c r="C21" s="261" t="s">
        <v>160</v>
      </c>
      <c r="D21" s="261"/>
      <c r="E21" s="261"/>
      <c r="F21" s="262"/>
      <c r="G21" s="262"/>
      <c r="H21" s="262"/>
    </row>
    <row r="22" spans="2:16" x14ac:dyDescent="0.2">
      <c r="C22" s="619"/>
      <c r="D22" s="619"/>
      <c r="E22" s="619"/>
      <c r="F22" s="619"/>
      <c r="G22" s="619"/>
      <c r="H22" s="619"/>
      <c r="I22" s="619"/>
      <c r="J22" s="619"/>
      <c r="K22" s="619"/>
    </row>
    <row r="24" spans="2:16" x14ac:dyDescent="0.2">
      <c r="B24" s="618" t="s">
        <v>173</v>
      </c>
      <c r="C24" s="618"/>
      <c r="D24" s="618"/>
      <c r="E24" s="618"/>
      <c r="F24" s="618"/>
    </row>
    <row r="26" spans="2:16" x14ac:dyDescent="0.2">
      <c r="C26" s="263" t="s">
        <v>161</v>
      </c>
      <c r="D26" s="263"/>
      <c r="E26" s="263"/>
      <c r="F26" s="263"/>
      <c r="G26" s="263"/>
      <c r="H26" s="263"/>
      <c r="I26" s="263"/>
      <c r="J26" s="263"/>
    </row>
    <row r="27" spans="2:16" ht="12.75" customHeight="1" x14ac:dyDescent="0.2">
      <c r="C27" s="620" t="s">
        <v>162</v>
      </c>
      <c r="D27" s="620"/>
      <c r="E27" s="620"/>
      <c r="F27" s="620"/>
      <c r="G27" s="620"/>
      <c r="H27" s="620"/>
      <c r="I27" s="620"/>
      <c r="J27" s="620"/>
      <c r="K27" s="620"/>
      <c r="L27" s="620"/>
      <c r="M27" s="620"/>
    </row>
    <row r="28" spans="2:16" ht="12.75" customHeight="1" x14ac:dyDescent="0.2">
      <c r="C28" s="620"/>
      <c r="D28" s="620"/>
      <c r="E28" s="620"/>
      <c r="F28" s="620"/>
      <c r="G28" s="620"/>
      <c r="H28" s="620"/>
      <c r="I28" s="620"/>
      <c r="J28" s="620"/>
      <c r="K28" s="620"/>
      <c r="L28" s="620"/>
      <c r="M28" s="620"/>
    </row>
    <row r="29" spans="2:16" ht="12.75" customHeight="1" x14ac:dyDescent="0.2">
      <c r="C29" s="263" t="s">
        <v>163</v>
      </c>
      <c r="D29" s="263"/>
      <c r="E29" s="263"/>
      <c r="F29" s="263"/>
      <c r="G29" s="263"/>
      <c r="H29" s="263"/>
      <c r="I29" s="263"/>
      <c r="J29" s="263"/>
      <c r="K29" s="263"/>
      <c r="L29" s="263"/>
      <c r="M29" s="263"/>
      <c r="N29" s="262"/>
    </row>
    <row r="30" spans="2:16" ht="12.75" customHeight="1" x14ac:dyDescent="0.2">
      <c r="C30" s="263"/>
      <c r="D30" s="263"/>
      <c r="E30" s="263"/>
      <c r="F30" s="263"/>
      <c r="G30" s="263"/>
      <c r="H30" s="263"/>
      <c r="I30" s="263"/>
      <c r="J30" s="263"/>
      <c r="K30" s="263"/>
      <c r="L30" s="263"/>
      <c r="M30" s="263"/>
      <c r="N30" s="262"/>
    </row>
    <row r="31" spans="2:16" ht="12.75" customHeight="1" x14ac:dyDescent="0.2">
      <c r="C31" s="267" t="s">
        <v>164</v>
      </c>
      <c r="D31" s="264"/>
      <c r="E31" s="264"/>
      <c r="F31" s="266"/>
      <c r="G31" s="264"/>
      <c r="H31" s="264"/>
      <c r="I31" s="264"/>
      <c r="J31" s="264"/>
      <c r="K31" s="264"/>
      <c r="L31" s="264"/>
      <c r="M31" s="264"/>
      <c r="N31" s="262"/>
      <c r="O31" s="262"/>
      <c r="P31" s="262"/>
    </row>
    <row r="32" spans="2:16" ht="12.75" customHeight="1" x14ac:dyDescent="0.2">
      <c r="C32" s="265"/>
      <c r="D32" s="265"/>
      <c r="E32" s="265"/>
      <c r="F32" s="265"/>
      <c r="G32" s="265"/>
      <c r="H32" s="265"/>
      <c r="I32" s="264"/>
      <c r="J32" s="264"/>
      <c r="K32" s="264"/>
      <c r="L32" s="264"/>
      <c r="M32" s="264"/>
      <c r="N32" s="262"/>
    </row>
    <row r="33" spans="2:19" ht="12.75" customHeight="1" x14ac:dyDescent="0.2">
      <c r="C33" s="621" t="s">
        <v>165</v>
      </c>
      <c r="D33" s="621"/>
      <c r="E33" s="621"/>
      <c r="F33" s="621"/>
      <c r="G33" s="621"/>
      <c r="H33" s="621"/>
      <c r="I33" s="621"/>
      <c r="J33" s="621"/>
      <c r="K33" s="621"/>
      <c r="L33" s="621"/>
      <c r="M33" s="621"/>
      <c r="N33" s="262"/>
    </row>
    <row r="34" spans="2:19" ht="12.75" customHeight="1" x14ac:dyDescent="0.2">
      <c r="C34" s="205"/>
      <c r="D34" s="205"/>
      <c r="E34" s="205"/>
      <c r="F34" s="205"/>
      <c r="G34" s="205"/>
      <c r="H34" s="205"/>
      <c r="I34" s="263"/>
      <c r="J34" s="263"/>
      <c r="K34" s="263"/>
      <c r="L34" s="263"/>
      <c r="M34" s="263"/>
      <c r="N34" s="262"/>
    </row>
    <row r="35" spans="2:19" ht="12.75" customHeight="1" x14ac:dyDescent="0.2">
      <c r="C35" s="264" t="s">
        <v>166</v>
      </c>
      <c r="D35" s="264"/>
      <c r="E35" s="264"/>
      <c r="F35" s="264"/>
      <c r="G35" s="264"/>
      <c r="H35" s="264"/>
      <c r="I35" s="264"/>
      <c r="J35" s="264"/>
      <c r="K35" s="264"/>
      <c r="L35" s="264"/>
      <c r="M35" s="264"/>
      <c r="N35" s="262"/>
    </row>
    <row r="36" spans="2:19" ht="12.75" customHeight="1" x14ac:dyDescent="0.2">
      <c r="C36" s="265"/>
      <c r="D36" s="265"/>
      <c r="E36" s="265"/>
      <c r="F36" s="265"/>
      <c r="G36" s="265"/>
      <c r="H36" s="265"/>
      <c r="I36" s="264"/>
      <c r="J36" s="264"/>
      <c r="K36" s="264"/>
      <c r="L36" s="264"/>
      <c r="M36" s="264"/>
      <c r="N36" s="262"/>
    </row>
    <row r="37" spans="2:19" ht="12.75" customHeight="1" x14ac:dyDescent="0.2">
      <c r="C37" s="158"/>
      <c r="D37" s="158"/>
      <c r="E37" s="158"/>
      <c r="F37" s="158"/>
      <c r="G37" s="158"/>
      <c r="H37" s="158"/>
      <c r="I37" s="158"/>
      <c r="J37" s="158"/>
      <c r="K37" s="158"/>
      <c r="L37" s="158"/>
      <c r="M37" s="158"/>
    </row>
    <row r="38" spans="2:19" ht="12.75" customHeight="1" x14ac:dyDescent="0.2">
      <c r="C38" s="158"/>
      <c r="D38" s="158"/>
      <c r="E38" s="158"/>
      <c r="F38" s="158"/>
      <c r="G38" s="158"/>
      <c r="H38" s="158"/>
      <c r="I38" s="158"/>
      <c r="J38" s="158"/>
      <c r="K38" s="158"/>
      <c r="L38" s="158"/>
      <c r="M38" s="158"/>
    </row>
    <row r="39" spans="2:19" ht="12.75" customHeight="1" x14ac:dyDescent="0.2">
      <c r="B39" s="267" t="s">
        <v>174</v>
      </c>
      <c r="C39" s="263"/>
      <c r="D39" s="158"/>
      <c r="E39" s="158"/>
      <c r="F39" s="158"/>
      <c r="G39" s="158"/>
      <c r="H39" s="158"/>
      <c r="I39" s="158"/>
      <c r="J39" s="158"/>
      <c r="K39" s="158"/>
      <c r="L39" s="158"/>
      <c r="M39" s="158"/>
    </row>
    <row r="40" spans="2:19" x14ac:dyDescent="0.2">
      <c r="O40" s="619"/>
      <c r="P40" s="619"/>
      <c r="Q40" s="619"/>
      <c r="R40" s="619"/>
      <c r="S40" s="619"/>
    </row>
    <row r="41" spans="2:19" x14ac:dyDescent="0.2">
      <c r="C41" s="622" t="s">
        <v>167</v>
      </c>
      <c r="D41" s="622"/>
      <c r="E41" s="622"/>
      <c r="F41" s="622"/>
    </row>
    <row r="42" spans="2:19" x14ac:dyDescent="0.2">
      <c r="C42" s="619"/>
      <c r="D42" s="619"/>
      <c r="E42" s="619"/>
      <c r="F42" s="619"/>
      <c r="G42" s="619"/>
      <c r="H42" s="619"/>
      <c r="I42" s="619"/>
      <c r="J42" s="619"/>
    </row>
    <row r="44" spans="2:19" x14ac:dyDescent="0.2">
      <c r="B44" s="618" t="s">
        <v>175</v>
      </c>
      <c r="C44" s="618"/>
      <c r="D44" s="618"/>
      <c r="E44" s="618"/>
      <c r="F44" s="618"/>
    </row>
    <row r="46" spans="2:19" x14ac:dyDescent="0.2">
      <c r="C46" s="268" t="s">
        <v>168</v>
      </c>
      <c r="D46" s="268"/>
      <c r="E46" s="268"/>
      <c r="F46" s="268"/>
      <c r="G46" s="268"/>
      <c r="H46" s="268"/>
      <c r="I46" s="268"/>
      <c r="J46" s="268"/>
      <c r="K46" s="269"/>
      <c r="L46" s="269"/>
      <c r="M46" s="269"/>
    </row>
    <row r="50" spans="2:13" x14ac:dyDescent="0.2">
      <c r="B50" s="618" t="s">
        <v>176</v>
      </c>
      <c r="C50" s="618"/>
      <c r="D50" s="618"/>
      <c r="E50" s="618"/>
      <c r="F50" s="618"/>
    </row>
    <row r="52" spans="2:13" x14ac:dyDescent="0.2">
      <c r="C52" s="263" t="s">
        <v>169</v>
      </c>
      <c r="D52" s="263"/>
      <c r="E52" s="263"/>
      <c r="F52" s="263"/>
      <c r="G52" s="262"/>
      <c r="H52" s="262"/>
      <c r="I52" s="262"/>
      <c r="J52" s="262"/>
      <c r="K52" s="262"/>
      <c r="L52" s="262"/>
      <c r="M52" s="262"/>
    </row>
    <row r="54" spans="2:13" x14ac:dyDescent="0.2">
      <c r="B54" s="262" t="s">
        <v>177</v>
      </c>
      <c r="C54" s="262"/>
    </row>
  </sheetData>
  <sheetProtection password="9C6E" sheet="1" objects="1" scenarios="1"/>
  <mergeCells count="12">
    <mergeCell ref="B11:F11"/>
    <mergeCell ref="O40:S40"/>
    <mergeCell ref="B19:F19"/>
    <mergeCell ref="B24:F24"/>
    <mergeCell ref="B5:F5"/>
    <mergeCell ref="C22:K22"/>
    <mergeCell ref="B50:F50"/>
    <mergeCell ref="C42:J42"/>
    <mergeCell ref="B44:F44"/>
    <mergeCell ref="C27:M28"/>
    <mergeCell ref="C33:M33"/>
    <mergeCell ref="C41:F41"/>
  </mergeCells>
  <hyperlinks>
    <hyperlink ref="B5:F5" location="'A) Resumen Ingresos y Egresos'!Área_de_impresión" display="A) Resumen Ingresos y Egresos" xr:uid="{00000000-0004-0000-0100-000000000000}"/>
    <hyperlink ref="B11:F11" location="'B) Reajuste Tarifas y Ocupación'!A1" display="B) Reajuste Tarifas y Ocupación" xr:uid="{00000000-0004-0000-0100-000001000000}"/>
    <hyperlink ref="C7:F7" location="'A) Resumen Ingresos y Egresos'!A6" display="TABLA 1: RESUMEN DE INGRESOS Y EGRESOS DE CENTROS DE BENEFICIOS" xr:uid="{00000000-0004-0000-0100-000002000000}"/>
    <hyperlink ref="C9:F9" location="'A) Resumen Ingresos y Egresos'!A22" display="TABLA 2: DETALLE DE INGRESOS POR PRESTACIÓN Y SEGMENTO" xr:uid="{00000000-0004-0000-0100-000003000000}"/>
    <hyperlink ref="C13:F13" location="'B) Reajuste Tarifas y Ocupación'!A8" display="TABLA 3: REAJUSTE DE TARIFAS POR PRESTACIÓN Y SEGMENTO" xr:uid="{00000000-0004-0000-0100-000004000000}"/>
    <hyperlink ref="C15:H15" location="'B) Reajuste Tarifas y Ocupación'!A32" display="TABLA 4: METAS DE OCUPACIÓN POR PRESTACIÓN Y SEGMENTO" xr:uid="{00000000-0004-0000-0100-000005000000}"/>
    <hyperlink ref="B19:F19" location="'C) Costos Directos'!Área_de_impresión" display="C) Costos Directos" xr:uid="{00000000-0004-0000-0100-000006000000}"/>
    <hyperlink ref="C21:E21" location="'C) Costos Directos'!Área_de_impresión" display="TABLA 5: COSTOS DIRECTOS DE CENTROS DE BENEFICIOS" xr:uid="{00000000-0004-0000-0100-000007000000}"/>
    <hyperlink ref="C21:H21" location="'C) Costos Directos'!Área_de_impresión" display="TABLA 5: COSTOS DIRECTOS DE CENTROS DE BENEFICIOS" xr:uid="{00000000-0004-0000-0100-000008000000}"/>
    <hyperlink ref="C21" location="'C) Costos Directos'!A8" display="TABLA 5: COSTOS DIRECTOS DE CENTROS DE BENEFICIOS" xr:uid="{00000000-0004-0000-0100-000009000000}"/>
    <hyperlink ref="B24:F24" location="'D) Costos Indirectos'!A1" display="D) Costos Indirectos" xr:uid="{00000000-0004-0000-0100-00000A000000}"/>
    <hyperlink ref="C26:J26" location="'D) Costos Indirectos'!A9" display="TABLA 6: REMUNERACIONES DEL PERSONAL LEY 18.712 ADMINISTRACION CENTRAL Y APOYO ADMINISTRATIVO ASISTENCIA EDUCACIONAL" xr:uid="{00000000-0004-0000-0100-00000B000000}"/>
    <hyperlink ref="C27:M28" location="'D) Costos Indirectos'!M9" display="TABLA 7: DISTRIBUCION COSTOS REMUNERACIONES ADMINISTRACION CENTRAL Y APOYO ADMINISTRATIVO A. EDUCACIONAL" xr:uid="{00000000-0004-0000-0100-00000C000000}"/>
    <hyperlink ref="C29:N29" location="'D) Costos Indirectos'!U9" display="TABLA 8: COSTOS DE OPERACION ADMINISTRACIÓN CENTRAL Y  APOYO ADMINISTRATIVO ASISTENCIA EDUCACIONAL" xr:uid="{00000000-0004-0000-0100-00000D000000}"/>
    <hyperlink ref="C31:M31" location="'D) Costos Indirectos'!Z9" display="TABLA 9: RESUMEN DISTRIBUCION COSTOS REMUNERACIONES ADMINISTRACION CENTRAL Y APOYO ADMINISTRATIVO A. EDUCACIONAL" xr:uid="{00000000-0004-0000-0100-00000E000000}"/>
    <hyperlink ref="C33:M33" location="'D) Costos Indirectos'!AG9" display="TABLA 10: RESUMEN DISTRIBUCION COSTOS OPERACIÓN ADMINISTRACION CENTRAL  Y APOYO ADMINISTRATIVO A. EDUCACIONAL" xr:uid="{00000000-0004-0000-0100-00000F000000}"/>
    <hyperlink ref="C35:N35" location="'D) Costos Indirectos'!AN9" display="'D) Costos Indirectos'!AN9" xr:uid="{00000000-0004-0000-0100-000010000000}"/>
    <hyperlink ref="B39:C39" location="'E) Resumen Tarifado '!A1" display="E) Resumen Tarifado" xr:uid="{00000000-0004-0000-0100-000011000000}"/>
    <hyperlink ref="B44:F44" location="'F) Remuneraciones'!A1" display="F) Remuneraciones" xr:uid="{00000000-0004-0000-0100-000012000000}"/>
    <hyperlink ref="B50:F50" location="'G) Comparación Mercado'!A1" display="G) Comparación Mercado" xr:uid="{00000000-0004-0000-0100-000013000000}"/>
    <hyperlink ref="B54:C54" location="'H) Detalle Datos'!A1" display="H) Detalle Gastos" xr:uid="{00000000-0004-0000-0100-000014000000}"/>
    <hyperlink ref="C41:F41" location="'E) Resumen Tarifado '!A6" display="TABLA 12: RESUMEN DE TARIFADO" xr:uid="{00000000-0004-0000-0100-000015000000}"/>
    <hyperlink ref="C46:M46" location="'F) Remuneraciones'!B7" display="TABLA 13: REMUNERACIONES DEL PERSONAL LEY 18.712 DE CENTROS DE BENEFICIOS" xr:uid="{00000000-0004-0000-0100-000016000000}"/>
    <hyperlink ref="C52:M52" location="'G) Comparación Mercado'!A12" display="TABLA 14: COMPARACIÓN TARIFAS CON PRECIOS DE MERCADO" xr:uid="{00000000-0004-0000-0100-00001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M29"/>
  <sheetViews>
    <sheetView showGridLines="0" topLeftCell="B2" zoomScale="80" zoomScaleNormal="80" workbookViewId="0">
      <selection activeCell="K41" sqref="K41"/>
    </sheetView>
  </sheetViews>
  <sheetFormatPr baseColWidth="10" defaultColWidth="11.42578125" defaultRowHeight="12.75" x14ac:dyDescent="0.2"/>
  <cols>
    <col min="1" max="1" width="37.140625" style="4" customWidth="1"/>
    <col min="2" max="2" width="21.42578125" style="4" customWidth="1"/>
    <col min="3" max="3" width="20.85546875" style="4" bestFit="1" customWidth="1"/>
    <col min="4" max="4" width="19.28515625" style="4" customWidth="1"/>
    <col min="5" max="6" width="18.85546875" style="4" customWidth="1"/>
    <col min="7" max="7" width="18" style="4" customWidth="1"/>
    <col min="8" max="8" width="18.28515625" style="4" customWidth="1"/>
    <col min="9" max="9" width="18.140625" style="4" bestFit="1" customWidth="1"/>
    <col min="10" max="10" width="18.7109375" style="4" bestFit="1" customWidth="1"/>
    <col min="11" max="11" width="18.7109375" style="4" customWidth="1"/>
    <col min="12" max="12" width="16.42578125" style="4" bestFit="1" customWidth="1"/>
    <col min="13" max="13" width="17.5703125" style="4" customWidth="1"/>
    <col min="14" max="14" width="17.28515625" style="4" customWidth="1"/>
    <col min="15" max="15" width="16.85546875" style="4" customWidth="1"/>
    <col min="16" max="16" width="14.85546875" style="4" customWidth="1"/>
    <col min="17" max="17" width="16.42578125" style="4" bestFit="1" customWidth="1"/>
    <col min="18" max="18" width="15.85546875" style="4" customWidth="1"/>
    <col min="19" max="16384" width="11.42578125" style="4"/>
  </cols>
  <sheetData>
    <row r="1" spans="1:247" s="6" customFormat="1" x14ac:dyDescent="0.2">
      <c r="A1" s="5"/>
      <c r="C1" s="7"/>
      <c r="D1" s="7"/>
      <c r="E1" s="45" t="s">
        <v>212</v>
      </c>
      <c r="F1" s="45"/>
      <c r="G1" s="7"/>
      <c r="H1" s="7"/>
      <c r="IL1" s="4"/>
      <c r="IM1" s="4"/>
    </row>
    <row r="2" spans="1:247" s="6" customFormat="1" x14ac:dyDescent="0.2">
      <c r="A2" s="8"/>
      <c r="C2" s="7"/>
      <c r="D2" s="7"/>
      <c r="E2" s="45" t="s">
        <v>205</v>
      </c>
      <c r="F2" s="45"/>
      <c r="G2" s="7"/>
      <c r="H2" s="7"/>
      <c r="L2" s="7"/>
      <c r="M2" s="7"/>
      <c r="IL2" s="4"/>
      <c r="IM2" s="4"/>
    </row>
    <row r="3" spans="1:247" s="6" customFormat="1" x14ac:dyDescent="0.2">
      <c r="A3" s="4"/>
      <c r="IL3" s="4"/>
      <c r="IM3" s="4"/>
    </row>
    <row r="4" spans="1:247" s="6" customFormat="1" ht="18.75" customHeight="1" x14ac:dyDescent="0.2">
      <c r="A4" s="23"/>
      <c r="B4" s="24"/>
      <c r="C4" s="635" t="s">
        <v>0</v>
      </c>
      <c r="D4" s="635"/>
      <c r="E4" s="636" t="s">
        <v>224</v>
      </c>
      <c r="F4" s="637"/>
      <c r="G4" s="638"/>
      <c r="L4" s="3"/>
      <c r="IC4" s="4"/>
      <c r="ID4" s="4"/>
      <c r="IE4" s="4"/>
      <c r="IF4" s="4"/>
      <c r="IG4" s="4"/>
      <c r="IH4" s="4"/>
    </row>
    <row r="5" spans="1:247" s="6" customFormat="1" x14ac:dyDescent="0.2">
      <c r="A5" s="4"/>
      <c r="B5" s="4"/>
      <c r="C5" s="4"/>
      <c r="D5" s="4"/>
      <c r="E5" s="4"/>
      <c r="F5" s="4"/>
      <c r="G5" s="9"/>
      <c r="H5" s="270"/>
      <c r="I5" s="7"/>
      <c r="J5" s="7"/>
      <c r="K5" s="7"/>
      <c r="L5" s="3"/>
      <c r="IC5" s="4"/>
      <c r="ID5" s="4"/>
      <c r="IE5" s="4"/>
      <c r="IF5" s="4"/>
      <c r="IG5" s="4"/>
      <c r="IH5" s="4"/>
    </row>
    <row r="6" spans="1:247" s="6" customFormat="1" ht="15.75" x14ac:dyDescent="0.2">
      <c r="A6" s="655" t="s">
        <v>156</v>
      </c>
      <c r="B6" s="655"/>
      <c r="C6" s="655"/>
      <c r="D6" s="655"/>
      <c r="E6" s="4"/>
      <c r="F6" s="4"/>
      <c r="G6" s="9"/>
      <c r="H6" s="270"/>
      <c r="I6" s="7"/>
      <c r="J6" s="7"/>
      <c r="K6" s="7"/>
      <c r="L6" s="3"/>
      <c r="IC6" s="4"/>
      <c r="ID6" s="4"/>
      <c r="IE6" s="4"/>
      <c r="IF6" s="4"/>
      <c r="IG6" s="4"/>
      <c r="IH6" s="4"/>
    </row>
    <row r="7" spans="1:247" ht="13.5" thickBot="1" x14ac:dyDescent="0.25">
      <c r="B7" s="48"/>
      <c r="C7" s="48"/>
      <c r="E7" s="48"/>
      <c r="F7" s="48"/>
      <c r="G7" s="48"/>
      <c r="H7" s="48"/>
      <c r="I7" s="48"/>
      <c r="M7" s="56"/>
    </row>
    <row r="8" spans="1:247" ht="39" customHeight="1" x14ac:dyDescent="0.2">
      <c r="A8" s="350" t="s">
        <v>115</v>
      </c>
      <c r="B8" s="351" t="str">
        <f>+N17</f>
        <v>Ingreso por Matrícula</v>
      </c>
      <c r="C8" s="352" t="str">
        <f>+O17</f>
        <v>Ingreso por Mensualidad</v>
      </c>
      <c r="D8" s="352" t="s">
        <v>127</v>
      </c>
      <c r="E8" s="353" t="s">
        <v>83</v>
      </c>
      <c r="F8" s="354" t="s">
        <v>80</v>
      </c>
      <c r="G8" s="355" t="s">
        <v>81</v>
      </c>
      <c r="H8" s="356" t="s">
        <v>108</v>
      </c>
      <c r="I8" s="357" t="s">
        <v>114</v>
      </c>
      <c r="L8" s="72" t="s">
        <v>113</v>
      </c>
      <c r="N8" s="119"/>
    </row>
    <row r="9" spans="1:247" x14ac:dyDescent="0.2">
      <c r="A9" s="358" t="str">
        <f>+'B) Reajuste Tarifas y Ocupación'!A12</f>
        <v>Jardín Infantil Mar y Cielo</v>
      </c>
      <c r="B9" s="359">
        <f>+N28</f>
        <v>8034200</v>
      </c>
      <c r="C9" s="360">
        <f>+O28</f>
        <v>80342000</v>
      </c>
      <c r="D9" s="359">
        <f>+P28</f>
        <v>1625000</v>
      </c>
      <c r="E9" s="361">
        <f>+B9+D9+C9</f>
        <v>90001200</v>
      </c>
      <c r="F9" s="362">
        <f>+'C) Costos Directos'!H75</f>
        <v>92515602.349079996</v>
      </c>
      <c r="G9" s="363">
        <f>+'D) Costos Indirectos'!$AP$15*(F9/$F$10)</f>
        <v>27605130.507801756</v>
      </c>
      <c r="H9" s="364">
        <f>+F9+G9</f>
        <v>120120732.85688175</v>
      </c>
      <c r="I9" s="365">
        <f>E9-H9</f>
        <v>-30119532.856881753</v>
      </c>
      <c r="L9" s="92">
        <f>+G9/$G$10</f>
        <v>1</v>
      </c>
      <c r="N9" s="120"/>
    </row>
    <row r="10" spans="1:247" s="6" customFormat="1" ht="15.75" thickBot="1" x14ac:dyDescent="0.25">
      <c r="A10" s="366" t="s">
        <v>1</v>
      </c>
      <c r="B10" s="367">
        <f t="shared" ref="B10:I10" si="0">SUM(B9:B9)</f>
        <v>8034200</v>
      </c>
      <c r="C10" s="367">
        <f t="shared" si="0"/>
        <v>80342000</v>
      </c>
      <c r="D10" s="367">
        <f t="shared" si="0"/>
        <v>1625000</v>
      </c>
      <c r="E10" s="368">
        <f t="shared" si="0"/>
        <v>90001200</v>
      </c>
      <c r="F10" s="367">
        <f t="shared" si="0"/>
        <v>92515602.349079996</v>
      </c>
      <c r="G10" s="367">
        <f t="shared" si="0"/>
        <v>27605130.507801756</v>
      </c>
      <c r="H10" s="367">
        <f t="shared" si="0"/>
        <v>120120732.85688175</v>
      </c>
      <c r="I10" s="369">
        <f t="shared" si="0"/>
        <v>-30119532.856881753</v>
      </c>
      <c r="L10" s="93">
        <f>SUM(L9:L9)</f>
        <v>1</v>
      </c>
      <c r="N10" s="56"/>
      <c r="O10" s="315"/>
      <c r="IB10" s="4"/>
      <c r="IC10" s="4"/>
      <c r="ID10" s="4"/>
      <c r="IE10" s="4"/>
      <c r="IF10" s="4"/>
      <c r="IG10" s="4"/>
      <c r="IH10" s="4"/>
    </row>
    <row r="11" spans="1:247" s="6" customFormat="1" ht="15.75" customHeight="1" x14ac:dyDescent="0.2">
      <c r="A11" s="11"/>
      <c r="B11" s="11"/>
      <c r="C11" s="12"/>
      <c r="D11" s="12"/>
      <c r="E11" s="12"/>
      <c r="F11" s="12"/>
      <c r="G11" s="12"/>
      <c r="H11" s="12"/>
      <c r="I11" s="12"/>
      <c r="J11" s="12"/>
      <c r="K11" s="12"/>
      <c r="L11" s="12"/>
      <c r="M11" s="12"/>
      <c r="N11" s="12"/>
      <c r="IB11" s="4"/>
      <c r="IC11" s="4"/>
      <c r="ID11" s="4"/>
      <c r="IE11" s="4"/>
      <c r="IF11" s="4"/>
      <c r="IG11" s="4"/>
      <c r="IH11" s="4"/>
    </row>
    <row r="12" spans="1:247" s="6" customFormat="1" ht="15.75" customHeight="1" x14ac:dyDescent="0.2">
      <c r="A12" s="11"/>
      <c r="B12" s="11"/>
      <c r="C12" s="11"/>
      <c r="D12" s="12"/>
      <c r="E12" s="12"/>
      <c r="F12" s="12"/>
      <c r="G12" s="12"/>
      <c r="H12" s="12"/>
      <c r="I12" s="12"/>
      <c r="J12" s="12"/>
      <c r="K12" s="12"/>
      <c r="L12" s="12"/>
      <c r="M12" s="12"/>
      <c r="N12" s="12"/>
      <c r="O12" s="316"/>
      <c r="IB12" s="4"/>
      <c r="IC12" s="4"/>
      <c r="ID12" s="4"/>
      <c r="IE12" s="4"/>
      <c r="IF12" s="4"/>
      <c r="IG12" s="4"/>
      <c r="IH12" s="4"/>
    </row>
    <row r="13" spans="1:247" s="6" customFormat="1" ht="15.75" customHeight="1" x14ac:dyDescent="0.2">
      <c r="A13" s="11"/>
      <c r="B13" s="11"/>
      <c r="C13" s="11"/>
      <c r="D13" s="12"/>
      <c r="E13" s="12"/>
      <c r="F13" s="12"/>
      <c r="G13" s="12"/>
      <c r="H13" s="12"/>
      <c r="I13" s="12"/>
      <c r="J13" s="12"/>
      <c r="K13" s="12"/>
      <c r="L13" s="12"/>
      <c r="M13" s="12"/>
      <c r="N13" s="12"/>
      <c r="IB13" s="4"/>
      <c r="IC13" s="4"/>
      <c r="ID13" s="4"/>
      <c r="IE13" s="4"/>
      <c r="IF13" s="4"/>
      <c r="IG13" s="4"/>
      <c r="IH13" s="4"/>
    </row>
    <row r="14" spans="1:247" s="6" customFormat="1" ht="15.75" customHeight="1" x14ac:dyDescent="0.2">
      <c r="A14" s="11"/>
      <c r="B14" s="11"/>
      <c r="C14" s="11"/>
      <c r="D14" s="12"/>
      <c r="E14" s="12"/>
      <c r="F14" s="12"/>
      <c r="G14" s="12"/>
      <c r="H14" s="12"/>
      <c r="I14" s="12"/>
      <c r="J14" s="12"/>
      <c r="K14" s="12"/>
      <c r="L14" s="12"/>
      <c r="M14" s="12"/>
      <c r="N14" s="12"/>
      <c r="IB14" s="4"/>
      <c r="IC14" s="4"/>
      <c r="ID14" s="4"/>
      <c r="IE14" s="4"/>
      <c r="IF14" s="4"/>
      <c r="IG14" s="4"/>
      <c r="IH14" s="4"/>
    </row>
    <row r="15" spans="1:247" s="6" customFormat="1" ht="15.75" customHeight="1" x14ac:dyDescent="0.2">
      <c r="A15" s="655" t="s">
        <v>157</v>
      </c>
      <c r="B15" s="655"/>
      <c r="C15" s="655"/>
      <c r="D15" s="655"/>
      <c r="E15" s="12"/>
      <c r="F15" s="12"/>
      <c r="G15" s="12"/>
      <c r="H15" s="12"/>
      <c r="I15" s="12"/>
      <c r="J15" s="12"/>
      <c r="K15" s="12"/>
      <c r="L15" s="12"/>
      <c r="M15" s="12"/>
      <c r="N15" s="12"/>
      <c r="IB15" s="4"/>
      <c r="IC15" s="4"/>
      <c r="ID15" s="4"/>
      <c r="IE15" s="4"/>
      <c r="IF15" s="4"/>
      <c r="IG15" s="4"/>
      <c r="IH15" s="4"/>
    </row>
    <row r="16" spans="1:247" s="14" customFormat="1" ht="13.5" thickBot="1" x14ac:dyDescent="0.25">
      <c r="B16" s="48"/>
      <c r="C16" s="48"/>
      <c r="D16" s="48"/>
      <c r="E16" s="48"/>
      <c r="F16" s="48"/>
      <c r="G16" s="48"/>
      <c r="H16" s="48"/>
      <c r="I16" s="13"/>
      <c r="J16" s="13"/>
      <c r="K16" s="13"/>
      <c r="L16" s="3"/>
      <c r="M16" s="3"/>
      <c r="O16" s="15"/>
      <c r="P16" s="15"/>
      <c r="IL16" s="10"/>
      <c r="IM16" s="10"/>
    </row>
    <row r="17" spans="1:17" s="16" customFormat="1" ht="15.75" customHeight="1" x14ac:dyDescent="0.2">
      <c r="A17" s="656" t="s">
        <v>115</v>
      </c>
      <c r="B17" s="658" t="s">
        <v>5</v>
      </c>
      <c r="C17" s="639" t="s">
        <v>2</v>
      </c>
      <c r="D17" s="641" t="s">
        <v>141</v>
      </c>
      <c r="E17" s="642"/>
      <c r="F17" s="642"/>
      <c r="G17" s="642"/>
      <c r="H17" s="643"/>
      <c r="I17" s="644" t="s">
        <v>142</v>
      </c>
      <c r="J17" s="645"/>
      <c r="K17" s="645"/>
      <c r="L17" s="645"/>
      <c r="M17" s="646"/>
      <c r="N17" s="649" t="s">
        <v>91</v>
      </c>
      <c r="O17" s="651" t="s">
        <v>92</v>
      </c>
      <c r="P17" s="647" t="s">
        <v>127</v>
      </c>
      <c r="Q17" s="653" t="s">
        <v>107</v>
      </c>
    </row>
    <row r="18" spans="1:17" s="16" customFormat="1" ht="39" thickBot="1" x14ac:dyDescent="0.25">
      <c r="A18" s="657"/>
      <c r="B18" s="659"/>
      <c r="C18" s="640"/>
      <c r="D18" s="325" t="s">
        <v>88</v>
      </c>
      <c r="E18" s="324" t="s">
        <v>137</v>
      </c>
      <c r="F18" s="324" t="s">
        <v>138</v>
      </c>
      <c r="G18" s="324" t="s">
        <v>89</v>
      </c>
      <c r="H18" s="326" t="s">
        <v>90</v>
      </c>
      <c r="I18" s="325" t="s">
        <v>88</v>
      </c>
      <c r="J18" s="324" t="s">
        <v>137</v>
      </c>
      <c r="K18" s="324" t="s">
        <v>138</v>
      </c>
      <c r="L18" s="324" t="s">
        <v>89</v>
      </c>
      <c r="M18" s="326" t="s">
        <v>90</v>
      </c>
      <c r="N18" s="650"/>
      <c r="O18" s="652"/>
      <c r="P18" s="648"/>
      <c r="Q18" s="654"/>
    </row>
    <row r="19" spans="1:17" ht="12.75" customHeight="1" x14ac:dyDescent="0.2">
      <c r="A19" s="628" t="str">
        <f>+'B) Reajuste Tarifas y Ocupación'!A12</f>
        <v>Jardín Infantil Mar y Cielo</v>
      </c>
      <c r="B19" s="624" t="str">
        <f>+'B) Reajuste Tarifas y Ocupación'!B12</f>
        <v>Media jornada</v>
      </c>
      <c r="C19" s="329" t="s">
        <v>144</v>
      </c>
      <c r="D19" s="336">
        <f t="shared" ref="D19:F20" si="1">+I19</f>
        <v>60300</v>
      </c>
      <c r="E19" s="330">
        <f t="shared" si="1"/>
        <v>72300</v>
      </c>
      <c r="F19" s="330">
        <f t="shared" si="1"/>
        <v>72300</v>
      </c>
      <c r="G19" s="330">
        <f t="shared" ref="G19:H20" si="2">+L19</f>
        <v>94600</v>
      </c>
      <c r="H19" s="337">
        <f t="shared" si="2"/>
        <v>111700</v>
      </c>
      <c r="I19" s="336">
        <f>+'B) Reajuste Tarifas y Ocupación'!M12</f>
        <v>60300</v>
      </c>
      <c r="J19" s="330">
        <f>+'B) Reajuste Tarifas y Ocupación'!N12</f>
        <v>72300</v>
      </c>
      <c r="K19" s="330">
        <f>+'B) Reajuste Tarifas y Ocupación'!O12</f>
        <v>72300</v>
      </c>
      <c r="L19" s="330">
        <f>+'B) Reajuste Tarifas y Ocupación'!P12</f>
        <v>94600</v>
      </c>
      <c r="M19" s="337">
        <f>+'B) Reajuste Tarifas y Ocupación'!Q12</f>
        <v>111700</v>
      </c>
      <c r="N19" s="342"/>
      <c r="O19" s="331"/>
      <c r="P19" s="346">
        <f>+'B) Reajuste Tarifas y Ocupación'!C12</f>
        <v>56300</v>
      </c>
      <c r="Q19" s="633"/>
    </row>
    <row r="20" spans="1:17" x14ac:dyDescent="0.2">
      <c r="A20" s="629"/>
      <c r="B20" s="625"/>
      <c r="C20" s="323" t="s">
        <v>7</v>
      </c>
      <c r="D20" s="338">
        <f t="shared" si="1"/>
        <v>41</v>
      </c>
      <c r="E20" s="328">
        <f t="shared" si="1"/>
        <v>0</v>
      </c>
      <c r="F20" s="328">
        <f t="shared" si="1"/>
        <v>0</v>
      </c>
      <c r="G20" s="328">
        <f t="shared" si="2"/>
        <v>1</v>
      </c>
      <c r="H20" s="339">
        <f t="shared" si="2"/>
        <v>3</v>
      </c>
      <c r="I20" s="338">
        <f>+'B) Reajuste Tarifas y Ocupación'!C23</f>
        <v>41</v>
      </c>
      <c r="J20" s="328">
        <f>+'B) Reajuste Tarifas y Ocupación'!D23</f>
        <v>0</v>
      </c>
      <c r="K20" s="328">
        <f>+'B) Reajuste Tarifas y Ocupación'!E23</f>
        <v>0</v>
      </c>
      <c r="L20" s="328">
        <f>+'B) Reajuste Tarifas y Ocupación'!F23</f>
        <v>1</v>
      </c>
      <c r="M20" s="339">
        <f>+'B) Reajuste Tarifas y Ocupación'!G23</f>
        <v>3</v>
      </c>
      <c r="N20" s="343"/>
      <c r="O20" s="327"/>
      <c r="P20" s="347">
        <v>8</v>
      </c>
      <c r="Q20" s="634"/>
    </row>
    <row r="21" spans="1:17" ht="13.5" thickBot="1" x14ac:dyDescent="0.25">
      <c r="A21" s="629"/>
      <c r="B21" s="626"/>
      <c r="C21" s="332" t="s">
        <v>9</v>
      </c>
      <c r="D21" s="340">
        <f>D20*D19</f>
        <v>2472300</v>
      </c>
      <c r="E21" s="333">
        <f>E20*E19</f>
        <v>0</v>
      </c>
      <c r="F21" s="333">
        <f t="shared" ref="F21" si="3">F20*F19</f>
        <v>0</v>
      </c>
      <c r="G21" s="333">
        <f t="shared" ref="G21:H21" si="4">G20*G19</f>
        <v>94600</v>
      </c>
      <c r="H21" s="341">
        <f t="shared" si="4"/>
        <v>335100</v>
      </c>
      <c r="I21" s="435">
        <f>I20*I19*10</f>
        <v>24723000</v>
      </c>
      <c r="J21" s="436">
        <f t="shared" ref="J21:M21" si="5">J20*J19*10</f>
        <v>0</v>
      </c>
      <c r="K21" s="436">
        <f t="shared" ref="K21" si="6">K20*K19*10</f>
        <v>0</v>
      </c>
      <c r="L21" s="436">
        <f t="shared" si="5"/>
        <v>946000</v>
      </c>
      <c r="M21" s="437">
        <f t="shared" si="5"/>
        <v>3351000</v>
      </c>
      <c r="N21" s="344">
        <f>SUM(D21:H21)</f>
        <v>2902000</v>
      </c>
      <c r="O21" s="334">
        <f>SUM(I21:M21)</f>
        <v>29020000</v>
      </c>
      <c r="P21" s="348">
        <f>P20*P19</f>
        <v>450400</v>
      </c>
      <c r="Q21" s="349">
        <f>N21+O21+P21</f>
        <v>32372400</v>
      </c>
    </row>
    <row r="22" spans="1:17" ht="12.75" customHeight="1" x14ac:dyDescent="0.2">
      <c r="A22" s="629"/>
      <c r="B22" s="624" t="str">
        <f>+'B) Reajuste Tarifas y Ocupación'!B13</f>
        <v xml:space="preserve">Doble jornada </v>
      </c>
      <c r="C22" s="329" t="s">
        <v>144</v>
      </c>
      <c r="D22" s="336">
        <f t="shared" ref="D22:D23" si="7">+I22</f>
        <v>89800</v>
      </c>
      <c r="E22" s="330">
        <f t="shared" ref="E22:E23" si="8">+J22</f>
        <v>107800</v>
      </c>
      <c r="F22" s="330">
        <f t="shared" ref="F22:F23" si="9">+K22</f>
        <v>107800</v>
      </c>
      <c r="G22" s="330">
        <f t="shared" ref="G22:G23" si="10">+L22</f>
        <v>134800</v>
      </c>
      <c r="H22" s="434">
        <f t="shared" ref="H22:H23" si="11">+M22</f>
        <v>158000</v>
      </c>
      <c r="I22" s="336">
        <f>+'B) Reajuste Tarifas y Ocupación'!M13</f>
        <v>89800</v>
      </c>
      <c r="J22" s="330">
        <f>+'B) Reajuste Tarifas y Ocupación'!N13</f>
        <v>107800</v>
      </c>
      <c r="K22" s="330">
        <f>+'B) Reajuste Tarifas y Ocupación'!O13</f>
        <v>107800</v>
      </c>
      <c r="L22" s="330">
        <f>+'B) Reajuste Tarifas y Ocupación'!P13</f>
        <v>134800</v>
      </c>
      <c r="M22" s="337">
        <f>+'B) Reajuste Tarifas y Ocupación'!Q13</f>
        <v>158000</v>
      </c>
      <c r="N22" s="342"/>
      <c r="O22" s="331"/>
      <c r="P22" s="346">
        <f>+'B) Reajuste Tarifas y Ocupación'!C13</f>
        <v>83900</v>
      </c>
      <c r="Q22" s="633"/>
    </row>
    <row r="23" spans="1:17" x14ac:dyDescent="0.2">
      <c r="A23" s="629"/>
      <c r="B23" s="625"/>
      <c r="C23" s="323" t="s">
        <v>7</v>
      </c>
      <c r="D23" s="338">
        <f t="shared" si="7"/>
        <v>10</v>
      </c>
      <c r="E23" s="328">
        <f t="shared" si="8"/>
        <v>0</v>
      </c>
      <c r="F23" s="328">
        <f t="shared" si="9"/>
        <v>0</v>
      </c>
      <c r="G23" s="328">
        <f t="shared" si="10"/>
        <v>0</v>
      </c>
      <c r="H23" s="438">
        <f t="shared" si="11"/>
        <v>0</v>
      </c>
      <c r="I23" s="338">
        <f>+'B) Reajuste Tarifas y Ocupación'!C24</f>
        <v>10</v>
      </c>
      <c r="J23" s="328">
        <f>+'B) Reajuste Tarifas y Ocupación'!D24</f>
        <v>0</v>
      </c>
      <c r="K23" s="328">
        <f>+'B) Reajuste Tarifas y Ocupación'!E24</f>
        <v>0</v>
      </c>
      <c r="L23" s="328">
        <f>+'B) Reajuste Tarifas y Ocupación'!F24</f>
        <v>0</v>
      </c>
      <c r="M23" s="339">
        <f>+'B) Reajuste Tarifas y Ocupación'!G24</f>
        <v>0</v>
      </c>
      <c r="N23" s="343"/>
      <c r="O23" s="327"/>
      <c r="P23" s="347">
        <v>14</v>
      </c>
      <c r="Q23" s="634"/>
    </row>
    <row r="24" spans="1:17" ht="13.5" thickBot="1" x14ac:dyDescent="0.25">
      <c r="A24" s="629"/>
      <c r="B24" s="626"/>
      <c r="C24" s="332" t="s">
        <v>9</v>
      </c>
      <c r="D24" s="340">
        <f>D23*D22</f>
        <v>898000</v>
      </c>
      <c r="E24" s="333">
        <f>E23*E22</f>
        <v>0</v>
      </c>
      <c r="F24" s="333">
        <f t="shared" ref="F24:H24" si="12">F23*F22</f>
        <v>0</v>
      </c>
      <c r="G24" s="333">
        <f t="shared" si="12"/>
        <v>0</v>
      </c>
      <c r="H24" s="348">
        <f t="shared" si="12"/>
        <v>0</v>
      </c>
      <c r="I24" s="340">
        <f>I23*I22*10</f>
        <v>8980000</v>
      </c>
      <c r="J24" s="333">
        <f t="shared" ref="J24:M24" si="13">J23*J22*10</f>
        <v>0</v>
      </c>
      <c r="K24" s="333">
        <f t="shared" si="13"/>
        <v>0</v>
      </c>
      <c r="L24" s="333">
        <f t="shared" si="13"/>
        <v>0</v>
      </c>
      <c r="M24" s="341">
        <f t="shared" si="13"/>
        <v>0</v>
      </c>
      <c r="N24" s="344">
        <f>SUM(D24:H24)</f>
        <v>898000</v>
      </c>
      <c r="O24" s="334">
        <f>SUM(I24:M24)</f>
        <v>8980000</v>
      </c>
      <c r="P24" s="348">
        <f>P23*P22</f>
        <v>1174600</v>
      </c>
      <c r="Q24" s="349">
        <f>N24+O24+P24</f>
        <v>11052600</v>
      </c>
    </row>
    <row r="25" spans="1:17" x14ac:dyDescent="0.2">
      <c r="A25" s="629"/>
      <c r="B25" s="624" t="str">
        <f>+'B) Reajuste Tarifas y Ocupación'!B14</f>
        <v>Jornada completa</v>
      </c>
      <c r="C25" s="329" t="s">
        <v>144</v>
      </c>
      <c r="D25" s="336">
        <f t="shared" ref="D25:F26" si="14">+I25</f>
        <v>140200</v>
      </c>
      <c r="E25" s="330">
        <f t="shared" si="14"/>
        <v>168300</v>
      </c>
      <c r="F25" s="330">
        <f t="shared" si="14"/>
        <v>168300</v>
      </c>
      <c r="G25" s="330">
        <f t="shared" ref="G25:H26" si="15">+L25</f>
        <v>175300</v>
      </c>
      <c r="H25" s="337">
        <f t="shared" si="15"/>
        <v>182300</v>
      </c>
      <c r="I25" s="439">
        <f>+'B) Reajuste Tarifas y Ocupación'!M14</f>
        <v>140200</v>
      </c>
      <c r="J25" s="440">
        <f>+'B) Reajuste Tarifas y Ocupación'!N14</f>
        <v>168300</v>
      </c>
      <c r="K25" s="440">
        <f>+'B) Reajuste Tarifas y Ocupación'!O14</f>
        <v>168300</v>
      </c>
      <c r="L25" s="440">
        <f>+'B) Reajuste Tarifas y Ocupación'!P14</f>
        <v>175300</v>
      </c>
      <c r="M25" s="441">
        <f>+'B) Reajuste Tarifas y Ocupación'!Q14</f>
        <v>182300</v>
      </c>
      <c r="N25" s="342"/>
      <c r="O25" s="331"/>
      <c r="P25" s="346">
        <f>+'B) Reajuste Tarifas y Ocupación'!C14</f>
        <v>0</v>
      </c>
      <c r="Q25" s="633"/>
    </row>
    <row r="26" spans="1:17" x14ac:dyDescent="0.2">
      <c r="A26" s="629"/>
      <c r="B26" s="625"/>
      <c r="C26" s="323" t="s">
        <v>7</v>
      </c>
      <c r="D26" s="338">
        <f t="shared" si="14"/>
        <v>25</v>
      </c>
      <c r="E26" s="328">
        <f t="shared" si="14"/>
        <v>0</v>
      </c>
      <c r="F26" s="328">
        <f t="shared" si="14"/>
        <v>0</v>
      </c>
      <c r="G26" s="328">
        <f t="shared" si="15"/>
        <v>0</v>
      </c>
      <c r="H26" s="339">
        <f t="shared" si="15"/>
        <v>4</v>
      </c>
      <c r="I26" s="338">
        <f>+'B) Reajuste Tarifas y Ocupación'!C25</f>
        <v>25</v>
      </c>
      <c r="J26" s="328">
        <f>+'B) Reajuste Tarifas y Ocupación'!D25</f>
        <v>0</v>
      </c>
      <c r="K26" s="328">
        <f>+'B) Reajuste Tarifas y Ocupación'!E25</f>
        <v>0</v>
      </c>
      <c r="L26" s="328">
        <f>+'B) Reajuste Tarifas y Ocupación'!F25</f>
        <v>0</v>
      </c>
      <c r="M26" s="339">
        <f>+'B) Reajuste Tarifas y Ocupación'!G25</f>
        <v>4</v>
      </c>
      <c r="N26" s="343"/>
      <c r="O26" s="327"/>
      <c r="P26" s="347">
        <v>0</v>
      </c>
      <c r="Q26" s="634"/>
    </row>
    <row r="27" spans="1:17" ht="13.5" thickBot="1" x14ac:dyDescent="0.25">
      <c r="A27" s="629"/>
      <c r="B27" s="626"/>
      <c r="C27" s="332" t="s">
        <v>9</v>
      </c>
      <c r="D27" s="340">
        <f t="shared" ref="D27:H27" si="16">D26*D25</f>
        <v>3505000</v>
      </c>
      <c r="E27" s="333">
        <f t="shared" si="16"/>
        <v>0</v>
      </c>
      <c r="F27" s="333">
        <f t="shared" ref="F27" si="17">F26*F25</f>
        <v>0</v>
      </c>
      <c r="G27" s="333">
        <f t="shared" si="16"/>
        <v>0</v>
      </c>
      <c r="H27" s="341">
        <f t="shared" si="16"/>
        <v>729200</v>
      </c>
      <c r="I27" s="340">
        <f t="shared" ref="I27:M27" si="18">I26*I25*10</f>
        <v>35050000</v>
      </c>
      <c r="J27" s="333">
        <f t="shared" si="18"/>
        <v>0</v>
      </c>
      <c r="K27" s="333">
        <f t="shared" ref="K27" si="19">K26*K25*10</f>
        <v>0</v>
      </c>
      <c r="L27" s="333">
        <f t="shared" si="18"/>
        <v>0</v>
      </c>
      <c r="M27" s="341">
        <f t="shared" si="18"/>
        <v>7292000</v>
      </c>
      <c r="N27" s="370">
        <f>SUM(D27:H27)</f>
        <v>4234200</v>
      </c>
      <c r="O27" s="371">
        <f>SUM(I27:M27)</f>
        <v>42342000</v>
      </c>
      <c r="P27" s="372">
        <f>P26*P25</f>
        <v>0</v>
      </c>
      <c r="Q27" s="373">
        <f>N27+O27+P27</f>
        <v>46576200</v>
      </c>
    </row>
    <row r="28" spans="1:17" s="10" customFormat="1" ht="15.75" thickBot="1" x14ac:dyDescent="0.25">
      <c r="A28" s="630"/>
      <c r="B28" s="627" t="s">
        <v>10</v>
      </c>
      <c r="C28" s="627"/>
      <c r="D28" s="442">
        <f>+D21+D27</f>
        <v>5977300</v>
      </c>
      <c r="E28" s="443">
        <f t="shared" ref="E28:G28" si="20">+E21+E27</f>
        <v>0</v>
      </c>
      <c r="F28" s="443">
        <f t="shared" si="20"/>
        <v>0</v>
      </c>
      <c r="G28" s="443">
        <f t="shared" si="20"/>
        <v>94600</v>
      </c>
      <c r="H28" s="444">
        <f>+H21+H27</f>
        <v>1064300</v>
      </c>
      <c r="I28" s="442">
        <f t="shared" ref="I28:L28" si="21">+I21+I27</f>
        <v>59773000</v>
      </c>
      <c r="J28" s="443">
        <f t="shared" si="21"/>
        <v>0</v>
      </c>
      <c r="K28" s="443">
        <f t="shared" si="21"/>
        <v>0</v>
      </c>
      <c r="L28" s="443">
        <f t="shared" si="21"/>
        <v>946000</v>
      </c>
      <c r="M28" s="445">
        <f>+M21+M27</f>
        <v>10643000</v>
      </c>
      <c r="N28" s="446">
        <f t="shared" ref="N28:P28" si="22">+N21+N24+N27</f>
        <v>8034200</v>
      </c>
      <c r="O28" s="447">
        <f t="shared" si="22"/>
        <v>80342000</v>
      </c>
      <c r="P28" s="448">
        <f t="shared" si="22"/>
        <v>1625000</v>
      </c>
      <c r="Q28" s="449">
        <f>+Q21+Q24+Q27</f>
        <v>90001200</v>
      </c>
    </row>
    <row r="29" spans="1:17" ht="15" customHeight="1" thickBot="1" x14ac:dyDescent="0.25">
      <c r="A29" s="631" t="s">
        <v>8</v>
      </c>
      <c r="B29" s="632"/>
      <c r="C29" s="632"/>
      <c r="D29" s="450">
        <f>+D28</f>
        <v>5977300</v>
      </c>
      <c r="E29" s="451">
        <f t="shared" ref="E29:H29" si="23">+E28</f>
        <v>0</v>
      </c>
      <c r="F29" s="451">
        <f t="shared" si="23"/>
        <v>0</v>
      </c>
      <c r="G29" s="451">
        <f t="shared" si="23"/>
        <v>94600</v>
      </c>
      <c r="H29" s="452">
        <f t="shared" si="23"/>
        <v>1064300</v>
      </c>
      <c r="I29" s="450">
        <f t="shared" ref="I29" si="24">+I28</f>
        <v>59773000</v>
      </c>
      <c r="J29" s="451">
        <f t="shared" ref="J29" si="25">+J28</f>
        <v>0</v>
      </c>
      <c r="K29" s="451">
        <f t="shared" ref="K29" si="26">+K28</f>
        <v>0</v>
      </c>
      <c r="L29" s="451">
        <f t="shared" ref="L29" si="27">+L28</f>
        <v>946000</v>
      </c>
      <c r="M29" s="453">
        <f t="shared" ref="M29" si="28">+M28</f>
        <v>10643000</v>
      </c>
      <c r="N29" s="454">
        <f t="shared" ref="N29" si="29">+N28</f>
        <v>8034200</v>
      </c>
      <c r="O29" s="455">
        <f t="shared" ref="O29" si="30">+O28</f>
        <v>80342000</v>
      </c>
      <c r="P29" s="456">
        <f t="shared" ref="P29" si="31">+P28</f>
        <v>1625000</v>
      </c>
      <c r="Q29" s="457">
        <f t="shared" ref="Q29" si="32">+Q28</f>
        <v>90001200</v>
      </c>
    </row>
  </sheetData>
  <sheetProtection password="9C6E" sheet="1" objects="1" scenarios="1"/>
  <mergeCells count="22">
    <mergeCell ref="Q25:Q26"/>
    <mergeCell ref="C4:D4"/>
    <mergeCell ref="E4:G4"/>
    <mergeCell ref="C17:C18"/>
    <mergeCell ref="D17:H17"/>
    <mergeCell ref="I17:M17"/>
    <mergeCell ref="Q22:Q23"/>
    <mergeCell ref="P17:P18"/>
    <mergeCell ref="N17:N18"/>
    <mergeCell ref="O17:O18"/>
    <mergeCell ref="Q17:Q18"/>
    <mergeCell ref="Q19:Q20"/>
    <mergeCell ref="A6:D6"/>
    <mergeCell ref="A15:D15"/>
    <mergeCell ref="A17:A18"/>
    <mergeCell ref="B17:B18"/>
    <mergeCell ref="B22:B24"/>
    <mergeCell ref="B28:C28"/>
    <mergeCell ref="A19:A28"/>
    <mergeCell ref="B19:B21"/>
    <mergeCell ref="A29:C29"/>
    <mergeCell ref="B25:B27"/>
  </mergeCells>
  <conditionalFormatting sqref="D12:N14 C11:N11 E15:N15 B9:I10">
    <cfRule type="cellIs" dxfId="2" priority="7" stopIfTrue="1" operator="lessThan">
      <formula>0</formula>
    </cfRule>
  </conditionalFormatting>
  <pageMargins left="0.19652777777777777" right="0.19652777777777777" top="0.27500000000000002" bottom="0.19652777777777777" header="0.19652777777777777" footer="0.51180555555555551"/>
  <pageSetup firstPageNumber="0" fitToHeight="14" orientation="landscape" horizontalDpi="300" verticalDpi="300" r:id="rId1"/>
  <headerFooter alignWithMargins="0">
    <oddHeader>&amp;LSEPT - 2004&amp;CDIRECTIVA D.B.S.A.
ORDINARIA&amp;R02-BS/0307/02
Pag &amp;P de &amp;N</oddHeader>
  </headerFooter>
  <ignoredErrors>
    <ignoredError sqref="D20:H20 D19:H19 J19 D25:Q25 I21:Q21 J20:O20 L19:Q19 Q20 D27:Q27 D26:O26 Q26 D28:M28" unlockedFormula="1"/>
    <ignoredError sqref="F21:H21" formula="1" unlockedFormula="1"/>
    <ignoredError sqref="D21:E21"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autoPageBreaks="0"/>
  </sheetPr>
  <dimension ref="A1:IV25"/>
  <sheetViews>
    <sheetView showGridLines="0" tabSelected="1" topLeftCell="B6" zoomScale="80" zoomScaleNormal="80" workbookViewId="0">
      <selection activeCell="Q15" sqref="Q15"/>
    </sheetView>
  </sheetViews>
  <sheetFormatPr baseColWidth="10" defaultColWidth="11.42578125" defaultRowHeight="12.75" x14ac:dyDescent="0.2"/>
  <cols>
    <col min="1" max="1" width="56.5703125" style="46" customWidth="1"/>
    <col min="2" max="2" width="33.85546875" style="30" customWidth="1"/>
    <col min="3" max="3" width="12.28515625" style="46" customWidth="1"/>
    <col min="4" max="4" width="13.7109375" style="46" bestFit="1" customWidth="1"/>
    <col min="5" max="5" width="15.5703125" style="46" bestFit="1" customWidth="1"/>
    <col min="6" max="6" width="14.5703125" style="46" customWidth="1"/>
    <col min="7" max="7" width="14.85546875" style="46" customWidth="1"/>
    <col min="8" max="8" width="11.85546875" style="46" bestFit="1" customWidth="1"/>
    <col min="9" max="9" width="14.5703125" style="46" bestFit="1" customWidth="1"/>
    <col min="10" max="10" width="14.5703125" style="46" customWidth="1"/>
    <col min="11" max="12" width="11.85546875" style="46" customWidth="1"/>
    <col min="13" max="13" width="14" style="46" customWidth="1"/>
    <col min="14" max="15" width="14.5703125" style="46" customWidth="1"/>
    <col min="16" max="17" width="11.85546875" style="46" customWidth="1"/>
    <col min="18" max="18" width="11.85546875" style="30" customWidth="1"/>
    <col min="19" max="19" width="32.7109375" style="46" customWidth="1"/>
    <col min="20" max="20" width="33" style="30" bestFit="1" customWidth="1"/>
    <col min="21" max="21" width="13.85546875" style="46" customWidth="1"/>
    <col min="22" max="22" width="14.5703125" style="46" bestFit="1" customWidth="1"/>
    <col min="23" max="23" width="14.5703125" style="46" customWidth="1"/>
    <col min="24" max="24" width="12.85546875" style="46" bestFit="1" customWidth="1"/>
    <col min="25" max="16384" width="11.42578125" style="46"/>
  </cols>
  <sheetData>
    <row r="1" spans="1:256" s="6" customFormat="1" x14ac:dyDescent="0.2">
      <c r="A1" s="5"/>
      <c r="C1" s="7"/>
      <c r="D1" s="7"/>
      <c r="E1" s="7"/>
      <c r="F1" s="45" t="s">
        <v>213</v>
      </c>
      <c r="G1" s="7"/>
      <c r="R1" s="14"/>
      <c r="S1" s="5"/>
      <c r="IU1" s="4"/>
      <c r="IV1" s="4"/>
    </row>
    <row r="2" spans="1:256" s="6" customFormat="1" x14ac:dyDescent="0.2">
      <c r="A2" s="8"/>
      <c r="C2" s="7"/>
      <c r="D2" s="7"/>
      <c r="E2" s="7"/>
      <c r="F2" s="45" t="s">
        <v>206</v>
      </c>
      <c r="G2" s="7"/>
      <c r="R2" s="14"/>
      <c r="S2" s="8"/>
      <c r="V2" s="7"/>
      <c r="W2" s="7"/>
      <c r="X2" s="7"/>
      <c r="IU2" s="4"/>
      <c r="IV2" s="4"/>
    </row>
    <row r="3" spans="1:256" s="6" customFormat="1" x14ac:dyDescent="0.2">
      <c r="A3" s="4"/>
      <c r="R3" s="14"/>
      <c r="S3" s="4"/>
      <c r="IU3" s="4"/>
      <c r="IV3" s="4"/>
    </row>
    <row r="4" spans="1:256" s="6" customFormat="1" ht="13.5" thickBot="1" x14ac:dyDescent="0.25">
      <c r="A4" s="23"/>
      <c r="B4" s="24"/>
      <c r="C4" s="7"/>
      <c r="D4" s="7"/>
      <c r="E4" s="7"/>
      <c r="F4" s="7"/>
      <c r="G4" s="7"/>
      <c r="H4" s="7"/>
      <c r="I4" s="7"/>
      <c r="J4" s="7"/>
      <c r="K4" s="7"/>
      <c r="L4" s="7"/>
      <c r="M4" s="7"/>
      <c r="N4" s="7"/>
      <c r="O4" s="7"/>
      <c r="P4" s="7"/>
      <c r="Q4" s="7"/>
      <c r="R4" s="48"/>
      <c r="S4" s="23"/>
      <c r="T4" s="24"/>
      <c r="U4" s="7"/>
      <c r="V4" s="7"/>
      <c r="W4" s="7"/>
      <c r="X4" s="7"/>
      <c r="Y4" s="7"/>
      <c r="IL4" s="4"/>
      <c r="IM4" s="4"/>
      <c r="IN4" s="4"/>
      <c r="IO4" s="4"/>
      <c r="IP4" s="4"/>
      <c r="IQ4" s="4"/>
    </row>
    <row r="5" spans="1:256" s="6" customFormat="1" ht="18" customHeight="1" thickBot="1" x14ac:dyDescent="0.25">
      <c r="A5" s="23"/>
      <c r="B5" s="24"/>
      <c r="C5" s="635" t="s">
        <v>0</v>
      </c>
      <c r="D5" s="689"/>
      <c r="E5" s="122"/>
      <c r="F5" s="663" t="s">
        <v>224</v>
      </c>
      <c r="G5" s="664"/>
      <c r="R5" s="14"/>
      <c r="S5" s="23"/>
      <c r="T5" s="24"/>
      <c r="V5" s="3"/>
      <c r="W5" s="3"/>
      <c r="IL5" s="4"/>
      <c r="IM5" s="4"/>
      <c r="IN5" s="4"/>
      <c r="IO5" s="4"/>
      <c r="IP5" s="4"/>
      <c r="IQ5" s="4"/>
    </row>
    <row r="6" spans="1:256" s="6" customFormat="1" ht="18" customHeight="1" x14ac:dyDescent="0.2">
      <c r="A6" s="23"/>
      <c r="B6" s="24"/>
      <c r="C6" s="122"/>
      <c r="D6" s="122"/>
      <c r="E6" s="122"/>
      <c r="F6" s="125"/>
      <c r="G6" s="125"/>
      <c r="R6" s="14"/>
      <c r="S6" s="23"/>
      <c r="T6" s="24"/>
      <c r="V6" s="3"/>
      <c r="W6" s="3"/>
      <c r="IL6" s="4"/>
      <c r="IM6" s="4"/>
      <c r="IN6" s="4"/>
      <c r="IO6" s="4"/>
      <c r="IP6" s="4"/>
      <c r="IQ6" s="4"/>
    </row>
    <row r="7" spans="1:256" s="6" customFormat="1" ht="18" customHeight="1" x14ac:dyDescent="0.2">
      <c r="A7" s="23"/>
      <c r="B7" s="24"/>
      <c r="C7" s="122"/>
      <c r="D7" s="122"/>
      <c r="E7" s="122"/>
      <c r="F7" s="125"/>
      <c r="G7" s="125"/>
      <c r="R7" s="14"/>
      <c r="S7" s="23"/>
      <c r="T7" s="24"/>
      <c r="V7" s="62"/>
      <c r="W7" s="62"/>
      <c r="IL7" s="4"/>
      <c r="IM7" s="4"/>
      <c r="IN7" s="4"/>
      <c r="IO7" s="4"/>
      <c r="IP7" s="4"/>
      <c r="IQ7" s="4"/>
    </row>
    <row r="8" spans="1:256" s="14" customFormat="1" ht="15.75" x14ac:dyDescent="0.2">
      <c r="A8" s="673" t="s">
        <v>158</v>
      </c>
      <c r="B8" s="673"/>
      <c r="C8" s="673"/>
      <c r="D8" s="673"/>
      <c r="E8" s="123"/>
      <c r="F8" s="125"/>
      <c r="G8" s="125"/>
      <c r="IL8" s="10"/>
      <c r="IM8" s="10"/>
      <c r="IN8" s="10"/>
      <c r="IO8" s="10"/>
      <c r="IP8" s="10"/>
      <c r="IQ8" s="10"/>
    </row>
    <row r="9" spans="1:256" ht="13.5" customHeight="1" thickBot="1" x14ac:dyDescent="0.25"/>
    <row r="10" spans="1:256" ht="15.75" customHeight="1" x14ac:dyDescent="0.2">
      <c r="A10" s="674" t="s">
        <v>136</v>
      </c>
      <c r="B10" s="668" t="s">
        <v>5</v>
      </c>
      <c r="C10" s="670" t="s">
        <v>87</v>
      </c>
      <c r="D10" s="671"/>
      <c r="E10" s="671"/>
      <c r="F10" s="671"/>
      <c r="G10" s="672"/>
      <c r="H10" s="683" t="s">
        <v>109</v>
      </c>
      <c r="I10" s="684"/>
      <c r="J10" s="684"/>
      <c r="K10" s="684"/>
      <c r="L10" s="685"/>
      <c r="M10" s="680" t="s">
        <v>139</v>
      </c>
      <c r="N10" s="681"/>
      <c r="O10" s="681"/>
      <c r="P10" s="681"/>
      <c r="Q10" s="682"/>
      <c r="R10" s="17"/>
    </row>
    <row r="11" spans="1:256" ht="64.5" thickBot="1" x14ac:dyDescent="0.25">
      <c r="A11" s="675"/>
      <c r="B11" s="669"/>
      <c r="C11" s="102" t="s">
        <v>88</v>
      </c>
      <c r="D11" s="103" t="s">
        <v>137</v>
      </c>
      <c r="E11" s="103" t="s">
        <v>138</v>
      </c>
      <c r="F11" s="103" t="s">
        <v>89</v>
      </c>
      <c r="G11" s="109" t="s">
        <v>90</v>
      </c>
      <c r="H11" s="110" t="s">
        <v>88</v>
      </c>
      <c r="I11" s="111" t="s">
        <v>137</v>
      </c>
      <c r="J11" s="111" t="s">
        <v>138</v>
      </c>
      <c r="K11" s="112" t="s">
        <v>89</v>
      </c>
      <c r="L11" s="113" t="s">
        <v>90</v>
      </c>
      <c r="M11" s="105" t="s">
        <v>88</v>
      </c>
      <c r="N11" s="106" t="s">
        <v>137</v>
      </c>
      <c r="O11" s="106" t="s">
        <v>138</v>
      </c>
      <c r="P11" s="106" t="s">
        <v>89</v>
      </c>
      <c r="Q11" s="107" t="s">
        <v>90</v>
      </c>
      <c r="R11" s="17"/>
    </row>
    <row r="12" spans="1:256" ht="13.5" customHeight="1" x14ac:dyDescent="0.2">
      <c r="A12" s="686" t="s">
        <v>220</v>
      </c>
      <c r="B12" s="182" t="s">
        <v>128</v>
      </c>
      <c r="C12" s="183">
        <v>56300</v>
      </c>
      <c r="D12" s="183">
        <v>67600</v>
      </c>
      <c r="E12" s="183">
        <v>67600</v>
      </c>
      <c r="F12" s="183">
        <v>88400</v>
      </c>
      <c r="G12" s="184">
        <v>104300</v>
      </c>
      <c r="H12" s="114">
        <v>7.0000000000000007E-2</v>
      </c>
      <c r="I12" s="381">
        <f>+H12</f>
        <v>7.0000000000000007E-2</v>
      </c>
      <c r="J12" s="381">
        <f>+H12</f>
        <v>7.0000000000000007E-2</v>
      </c>
      <c r="K12" s="381">
        <f>+H12</f>
        <v>7.0000000000000007E-2</v>
      </c>
      <c r="L12" s="186">
        <f>+H12</f>
        <v>7.0000000000000007E-2</v>
      </c>
      <c r="M12" s="108">
        <f>CEILING(C12*(1+H12),100)</f>
        <v>60300</v>
      </c>
      <c r="N12" s="385">
        <f>+CEILING(C12*(1.2)*(1+I12),100)</f>
        <v>72300</v>
      </c>
      <c r="O12" s="385">
        <f>+CEILING(C12*(1.2)*(1+J12),100)</f>
        <v>72300</v>
      </c>
      <c r="P12" s="385">
        <f>+CEILING(F12*(1+K12),100)</f>
        <v>94600</v>
      </c>
      <c r="Q12" s="314">
        <f>+CEILING(G12*(1+L12),100)</f>
        <v>111700</v>
      </c>
      <c r="R12" s="85"/>
    </row>
    <row r="13" spans="1:256" ht="13.5" customHeight="1" x14ac:dyDescent="0.2">
      <c r="A13" s="687"/>
      <c r="B13" s="318" t="s">
        <v>221</v>
      </c>
      <c r="C13" s="319">
        <v>83900</v>
      </c>
      <c r="D13" s="319">
        <v>100700</v>
      </c>
      <c r="E13" s="319">
        <v>100700</v>
      </c>
      <c r="F13" s="319">
        <v>125900</v>
      </c>
      <c r="G13" s="320">
        <v>147600</v>
      </c>
      <c r="H13" s="382">
        <v>7.0000000000000007E-2</v>
      </c>
      <c r="I13" s="380">
        <f>+H13</f>
        <v>7.0000000000000007E-2</v>
      </c>
      <c r="J13" s="380">
        <f>+H13</f>
        <v>7.0000000000000007E-2</v>
      </c>
      <c r="K13" s="380">
        <f>+H13</f>
        <v>7.0000000000000007E-2</v>
      </c>
      <c r="L13" s="383">
        <f>+H13</f>
        <v>7.0000000000000007E-2</v>
      </c>
      <c r="M13" s="386">
        <f>CEILING(C13*(1+H13),100)</f>
        <v>89800</v>
      </c>
      <c r="N13" s="384">
        <f>+CEILING(C13*(1.2)*(1+I13),100)</f>
        <v>107800</v>
      </c>
      <c r="O13" s="384">
        <f>+CEILING(C13*(1.2)*(1+J13),100)</f>
        <v>107800</v>
      </c>
      <c r="P13" s="384">
        <f>+CEILING(F13*(1+K13),100)</f>
        <v>134800</v>
      </c>
      <c r="Q13" s="387">
        <f>+CEILING(G13*(1+L13),100)</f>
        <v>158000</v>
      </c>
      <c r="R13" s="85"/>
    </row>
    <row r="14" spans="1:256" ht="13.5" customHeight="1" thickBot="1" x14ac:dyDescent="0.25">
      <c r="A14" s="688"/>
      <c r="B14" s="185" t="s">
        <v>222</v>
      </c>
      <c r="C14" s="463"/>
      <c r="D14" s="463"/>
      <c r="E14" s="463"/>
      <c r="F14" s="463"/>
      <c r="G14" s="464"/>
      <c r="H14" s="467"/>
      <c r="I14" s="465"/>
      <c r="J14" s="465"/>
      <c r="K14" s="465"/>
      <c r="L14" s="466"/>
      <c r="M14" s="244">
        <v>140200</v>
      </c>
      <c r="N14" s="238">
        <v>168300</v>
      </c>
      <c r="O14" s="238">
        <v>168300</v>
      </c>
      <c r="P14" s="238">
        <v>175300</v>
      </c>
      <c r="Q14" s="468">
        <v>182300</v>
      </c>
    </row>
    <row r="15" spans="1:256" ht="12.75" customHeight="1" x14ac:dyDescent="0.2">
      <c r="B15" s="46"/>
      <c r="R15" s="46"/>
    </row>
    <row r="18" spans="1:8" x14ac:dyDescent="0.2">
      <c r="D18" s="187"/>
    </row>
    <row r="19" spans="1:8" ht="15.75" x14ac:dyDescent="0.2">
      <c r="A19" s="673" t="s">
        <v>159</v>
      </c>
      <c r="B19" s="673"/>
      <c r="C19" s="673"/>
      <c r="D19" s="673"/>
      <c r="E19" s="673"/>
      <c r="F19" s="673"/>
      <c r="G19" s="14"/>
      <c r="H19" s="14"/>
    </row>
    <row r="20" spans="1:8" ht="13.5" thickBot="1" x14ac:dyDescent="0.25"/>
    <row r="21" spans="1:8" ht="16.5" thickBot="1" x14ac:dyDescent="0.25">
      <c r="A21" s="678" t="s">
        <v>136</v>
      </c>
      <c r="B21" s="676" t="s">
        <v>5</v>
      </c>
      <c r="C21" s="665" t="s">
        <v>140</v>
      </c>
      <c r="D21" s="666"/>
      <c r="E21" s="666"/>
      <c r="F21" s="666"/>
      <c r="G21" s="666"/>
      <c r="H21" s="667"/>
    </row>
    <row r="22" spans="1:8" ht="64.5" thickBot="1" x14ac:dyDescent="0.25">
      <c r="A22" s="679"/>
      <c r="B22" s="677"/>
      <c r="C22" s="115" t="s">
        <v>88</v>
      </c>
      <c r="D22" s="116" t="s">
        <v>137</v>
      </c>
      <c r="E22" s="116" t="s">
        <v>138</v>
      </c>
      <c r="F22" s="116" t="s">
        <v>89</v>
      </c>
      <c r="G22" s="117" t="s">
        <v>90</v>
      </c>
      <c r="H22" s="118" t="s">
        <v>135</v>
      </c>
    </row>
    <row r="23" spans="1:8" ht="20.100000000000001" customHeight="1" x14ac:dyDescent="0.2">
      <c r="A23" s="660" t="str">
        <f>+A12</f>
        <v>Jardín Infantil Mar y Cielo</v>
      </c>
      <c r="B23" s="377" t="str">
        <f>+B12</f>
        <v>Media jornada</v>
      </c>
      <c r="C23" s="374">
        <v>41</v>
      </c>
      <c r="D23" s="178">
        <v>0</v>
      </c>
      <c r="E23" s="178">
        <v>0</v>
      </c>
      <c r="F23" s="178">
        <v>1</v>
      </c>
      <c r="G23" s="178">
        <v>3</v>
      </c>
      <c r="H23" s="180">
        <f>SUM(C23:G23)</f>
        <v>45</v>
      </c>
    </row>
    <row r="24" spans="1:8" ht="20.100000000000001" customHeight="1" x14ac:dyDescent="0.2">
      <c r="A24" s="661"/>
      <c r="B24" s="378" t="str">
        <f t="shared" ref="B24:B25" si="0">+B13</f>
        <v xml:space="preserve">Doble jornada </v>
      </c>
      <c r="C24" s="375">
        <v>10</v>
      </c>
      <c r="D24" s="321">
        <v>0</v>
      </c>
      <c r="E24" s="321">
        <v>0</v>
      </c>
      <c r="F24" s="321">
        <v>0</v>
      </c>
      <c r="G24" s="321">
        <v>0</v>
      </c>
      <c r="H24" s="322">
        <f>SUM(C24:G24)</f>
        <v>10</v>
      </c>
    </row>
    <row r="25" spans="1:8" ht="20.100000000000001" customHeight="1" thickBot="1" x14ac:dyDescent="0.25">
      <c r="A25" s="662"/>
      <c r="B25" s="379" t="str">
        <f t="shared" si="0"/>
        <v>Jornada completa</v>
      </c>
      <c r="C25" s="376">
        <v>25</v>
      </c>
      <c r="D25" s="179">
        <v>0</v>
      </c>
      <c r="E25" s="179">
        <v>0</v>
      </c>
      <c r="F25" s="179">
        <v>0</v>
      </c>
      <c r="G25" s="179">
        <v>4</v>
      </c>
      <c r="H25" s="181">
        <f t="shared" ref="H25" si="1">SUM(C25:G25)</f>
        <v>29</v>
      </c>
    </row>
  </sheetData>
  <sheetProtection password="9C6E" sheet="1" objects="1" scenarios="1"/>
  <mergeCells count="14">
    <mergeCell ref="M10:Q10"/>
    <mergeCell ref="A19:F19"/>
    <mergeCell ref="H10:L10"/>
    <mergeCell ref="A12:A14"/>
    <mergeCell ref="C5:D5"/>
    <mergeCell ref="A23:A25"/>
    <mergeCell ref="F5:G5"/>
    <mergeCell ref="C21:H21"/>
    <mergeCell ref="B10:B11"/>
    <mergeCell ref="C10:G10"/>
    <mergeCell ref="A8:D8"/>
    <mergeCell ref="A10:A11"/>
    <mergeCell ref="B21:B22"/>
    <mergeCell ref="A21:A22"/>
  </mergeCells>
  <pageMargins left="0.7" right="0.7" top="0.75" bottom="0.75" header="0.3" footer="0.3"/>
  <pageSetup paperSize="9" orientation="portrait" r:id="rId1"/>
  <ignoredErrors>
    <ignoredError sqref="K12:L12"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L93"/>
  <sheetViews>
    <sheetView showGridLines="0" topLeftCell="C34" zoomScale="90" zoomScaleNormal="90" workbookViewId="0">
      <selection activeCell="N67" sqref="N67"/>
    </sheetView>
  </sheetViews>
  <sheetFormatPr baseColWidth="10" defaultColWidth="11.42578125" defaultRowHeight="12.75" x14ac:dyDescent="0.2"/>
  <cols>
    <col min="1" max="1" width="30.28515625" style="10" customWidth="1"/>
    <col min="2" max="2" width="21.140625" style="4" customWidth="1"/>
    <col min="3" max="3" width="57.42578125" style="4" bestFit="1" customWidth="1"/>
    <col min="4" max="4" width="17" style="4" customWidth="1"/>
    <col min="5" max="5" width="14.28515625" style="4" customWidth="1"/>
    <col min="6" max="6" width="14.42578125" style="25" customWidth="1"/>
    <col min="7" max="7" width="14.28515625" style="6" customWidth="1"/>
    <col min="8" max="8" width="23" style="6" customWidth="1"/>
    <col min="9" max="9" width="0" style="4" hidden="1" customWidth="1"/>
    <col min="10" max="10" width="31.5703125" style="4" hidden="1" customWidth="1"/>
    <col min="11" max="11" width="59.42578125" style="4" hidden="1" customWidth="1"/>
    <col min="12" max="12" width="14.42578125" style="4" hidden="1" customWidth="1"/>
    <col min="13" max="13" width="11.42578125" style="4"/>
    <col min="14" max="14" width="95.85546875" style="4" bestFit="1" customWidth="1"/>
    <col min="15" max="15" width="14.42578125" style="4" customWidth="1"/>
    <col min="16" max="16" width="13.5703125" style="4" customWidth="1"/>
    <col min="17" max="17" width="13.7109375" style="4" customWidth="1"/>
    <col min="18" max="18" width="12.85546875" style="4" bestFit="1" customWidth="1"/>
    <col min="19" max="16384" width="11.42578125" style="4"/>
  </cols>
  <sheetData>
    <row r="1" spans="1:12" x14ac:dyDescent="0.2">
      <c r="C1" s="45"/>
      <c r="D1" s="45" t="s">
        <v>214</v>
      </c>
      <c r="E1" s="45"/>
      <c r="F1" s="45"/>
      <c r="G1" s="45"/>
      <c r="H1" s="45"/>
    </row>
    <row r="2" spans="1:12" x14ac:dyDescent="0.2">
      <c r="C2" s="45"/>
      <c r="D2" s="45" t="s">
        <v>223</v>
      </c>
      <c r="E2" s="45"/>
      <c r="F2" s="45"/>
      <c r="G2" s="45"/>
      <c r="H2" s="45"/>
      <c r="K2" s="45"/>
    </row>
    <row r="3" spans="1:12" x14ac:dyDescent="0.2">
      <c r="C3" s="45"/>
      <c r="E3" s="45"/>
      <c r="F3" s="45"/>
      <c r="G3" s="45"/>
      <c r="H3" s="45"/>
      <c r="K3" s="45"/>
    </row>
    <row r="4" spans="1:12" ht="19.5" customHeight="1" x14ac:dyDescent="0.2">
      <c r="C4" s="270" t="s">
        <v>0</v>
      </c>
      <c r="D4" s="714" t="s">
        <v>224</v>
      </c>
      <c r="E4" s="715"/>
      <c r="F4" s="45"/>
      <c r="G4" s="45"/>
      <c r="H4" s="45"/>
      <c r="K4" s="45"/>
    </row>
    <row r="5" spans="1:12" x14ac:dyDescent="0.2">
      <c r="B5" s="45"/>
      <c r="C5" s="271"/>
      <c r="D5" s="45"/>
      <c r="E5" s="45"/>
      <c r="F5" s="45"/>
      <c r="G5" s="45"/>
      <c r="H5" s="45"/>
      <c r="K5" s="45"/>
    </row>
    <row r="6" spans="1:12" x14ac:dyDescent="0.2">
      <c r="B6" s="45"/>
      <c r="C6" s="271"/>
      <c r="D6" s="45"/>
      <c r="E6" s="45"/>
      <c r="F6" s="45"/>
      <c r="G6" s="45"/>
      <c r="H6" s="45"/>
      <c r="K6" s="45"/>
    </row>
    <row r="7" spans="1:12" x14ac:dyDescent="0.2">
      <c r="C7" s="6"/>
      <c r="K7" s="45"/>
    </row>
    <row r="8" spans="1:12" ht="15.75" x14ac:dyDescent="0.2">
      <c r="A8" s="673" t="s">
        <v>160</v>
      </c>
      <c r="B8" s="673"/>
      <c r="C8" s="673"/>
      <c r="D8" s="271"/>
      <c r="G8" s="4"/>
      <c r="K8" s="1"/>
    </row>
    <row r="9" spans="1:12" x14ac:dyDescent="0.2">
      <c r="K9" s="45"/>
    </row>
    <row r="10" spans="1:12" ht="12.75" customHeight="1" x14ac:dyDescent="0.2">
      <c r="A10" s="706" t="s">
        <v>115</v>
      </c>
      <c r="B10" s="704" t="s">
        <v>76</v>
      </c>
      <c r="C10" s="712" t="s">
        <v>77</v>
      </c>
      <c r="D10" s="709" t="s">
        <v>78</v>
      </c>
      <c r="E10" s="708" t="s">
        <v>79</v>
      </c>
      <c r="F10" s="708"/>
      <c r="G10" s="708"/>
      <c r="H10" s="710" t="s">
        <v>143</v>
      </c>
      <c r="I10" s="698" t="s">
        <v>75</v>
      </c>
      <c r="J10" s="699"/>
      <c r="K10" s="699"/>
      <c r="L10" s="700"/>
    </row>
    <row r="11" spans="1:12" ht="25.5" x14ac:dyDescent="0.2">
      <c r="A11" s="707"/>
      <c r="B11" s="705"/>
      <c r="C11" s="713"/>
      <c r="D11" s="709"/>
      <c r="E11" s="302" t="s">
        <v>67</v>
      </c>
      <c r="F11" s="303" t="s">
        <v>68</v>
      </c>
      <c r="G11" s="304" t="s">
        <v>6</v>
      </c>
      <c r="H11" s="711"/>
      <c r="I11" s="701"/>
      <c r="J11" s="702"/>
      <c r="K11" s="702"/>
      <c r="L11" s="703"/>
    </row>
    <row r="12" spans="1:12" ht="15.75" customHeight="1" x14ac:dyDescent="0.2">
      <c r="A12" s="692" t="str">
        <f>+'B) Reajuste Tarifas y Ocupación'!A12</f>
        <v>Jardín Infantil Mar y Cielo</v>
      </c>
      <c r="B12" s="57"/>
      <c r="C12" s="288" t="s">
        <v>11</v>
      </c>
      <c r="D12" s="297">
        <f>SUM(D13,D18)</f>
        <v>60660668.622000001</v>
      </c>
      <c r="E12" s="298"/>
      <c r="F12" s="298"/>
      <c r="G12" s="305">
        <f>SUM(G13,G18)</f>
        <v>15047706.24</v>
      </c>
      <c r="H12" s="295">
        <f>SUM(H13,H18)</f>
        <v>75708374.862000003</v>
      </c>
      <c r="I12" s="695"/>
      <c r="J12" s="696"/>
      <c r="K12" s="696"/>
      <c r="L12" s="697"/>
    </row>
    <row r="13" spans="1:12" x14ac:dyDescent="0.2">
      <c r="A13" s="693"/>
      <c r="B13" s="58"/>
      <c r="C13" s="284" t="s">
        <v>12</v>
      </c>
      <c r="D13" s="286">
        <f>SUM(D14:D17)</f>
        <v>54633255.32</v>
      </c>
      <c r="E13" s="287"/>
      <c r="F13" s="287"/>
      <c r="G13" s="306">
        <f>SUM(G14:G17)</f>
        <v>0</v>
      </c>
      <c r="H13" s="291">
        <f>SUM(H14:H17)</f>
        <v>54633255.32</v>
      </c>
      <c r="I13" s="695"/>
      <c r="J13" s="696"/>
      <c r="K13" s="696"/>
      <c r="L13" s="697"/>
    </row>
    <row r="14" spans="1:12" x14ac:dyDescent="0.2">
      <c r="A14" s="693"/>
      <c r="B14" s="59">
        <v>53103040100000</v>
      </c>
      <c r="C14" s="278" t="s">
        <v>96</v>
      </c>
      <c r="D14" s="313">
        <f>+'F) Remuneraciones'!L11</f>
        <v>54092332</v>
      </c>
      <c r="E14" s="307">
        <v>0</v>
      </c>
      <c r="F14" s="308">
        <v>0</v>
      </c>
      <c r="G14" s="296">
        <f>E14*F14</f>
        <v>0</v>
      </c>
      <c r="H14" s="290">
        <f>D14+G14</f>
        <v>54092332</v>
      </c>
      <c r="I14" s="695"/>
      <c r="J14" s="696"/>
      <c r="K14" s="696"/>
      <c r="L14" s="697"/>
    </row>
    <row r="15" spans="1:12" x14ac:dyDescent="0.2">
      <c r="A15" s="693"/>
      <c r="B15" s="59">
        <v>53103050000000</v>
      </c>
      <c r="C15" s="278" t="s">
        <v>179</v>
      </c>
      <c r="D15" s="281">
        <v>0</v>
      </c>
      <c r="E15" s="283">
        <v>0</v>
      </c>
      <c r="F15" s="282">
        <v>0</v>
      </c>
      <c r="G15" s="296">
        <f>E15*F15</f>
        <v>0</v>
      </c>
      <c r="H15" s="290">
        <f>D15+G15</f>
        <v>0</v>
      </c>
      <c r="I15" s="695"/>
      <c r="J15" s="696"/>
      <c r="K15" s="696"/>
      <c r="L15" s="697"/>
    </row>
    <row r="16" spans="1:12" x14ac:dyDescent="0.2">
      <c r="A16" s="693"/>
      <c r="B16" s="310">
        <v>53103040400000</v>
      </c>
      <c r="C16" s="311" t="s">
        <v>180</v>
      </c>
      <c r="D16" s="281">
        <f>D14*0.01</f>
        <v>540923.32000000007</v>
      </c>
      <c r="E16" s="283">
        <v>0</v>
      </c>
      <c r="F16" s="282">
        <v>0</v>
      </c>
      <c r="G16" s="296">
        <f>E16*F16</f>
        <v>0</v>
      </c>
      <c r="H16" s="290">
        <f>D16+G16</f>
        <v>540923.32000000007</v>
      </c>
      <c r="I16" s="695"/>
      <c r="J16" s="696"/>
      <c r="K16" s="696"/>
      <c r="L16" s="697"/>
    </row>
    <row r="17" spans="1:12" x14ac:dyDescent="0.2">
      <c r="A17" s="693"/>
      <c r="B17" s="59">
        <v>53103080010000</v>
      </c>
      <c r="C17" s="278" t="s">
        <v>181</v>
      </c>
      <c r="D17" s="281">
        <v>0</v>
      </c>
      <c r="E17" s="283">
        <v>0</v>
      </c>
      <c r="F17" s="282">
        <v>0</v>
      </c>
      <c r="G17" s="296">
        <f>E17*F17</f>
        <v>0</v>
      </c>
      <c r="H17" s="290">
        <f>D17+G17</f>
        <v>0</v>
      </c>
      <c r="I17" s="695"/>
      <c r="J17" s="696"/>
      <c r="K17" s="696"/>
      <c r="L17" s="697"/>
    </row>
    <row r="18" spans="1:12" x14ac:dyDescent="0.2">
      <c r="A18" s="693"/>
      <c r="B18" s="58"/>
      <c r="C18" s="284" t="s">
        <v>16</v>
      </c>
      <c r="D18" s="286">
        <f>SUM(D19:D38)</f>
        <v>6027413.3019999992</v>
      </c>
      <c r="E18" s="287"/>
      <c r="F18" s="287"/>
      <c r="G18" s="286">
        <f>SUM(G19:G38)</f>
        <v>15047706.24</v>
      </c>
      <c r="H18" s="291">
        <f>SUM(H19:H38)</f>
        <v>21075119.542000003</v>
      </c>
      <c r="I18" s="695"/>
      <c r="J18" s="696"/>
      <c r="K18" s="696"/>
      <c r="L18" s="697"/>
    </row>
    <row r="19" spans="1:12" x14ac:dyDescent="0.2">
      <c r="A19" s="693"/>
      <c r="B19" s="59">
        <v>53201010100000</v>
      </c>
      <c r="C19" s="277" t="s">
        <v>182</v>
      </c>
      <c r="D19" s="281"/>
      <c r="E19" s="283">
        <f>2240*1.034</f>
        <v>2316.16</v>
      </c>
      <c r="F19" s="282">
        <f>(21*11*7)+(21*7*1)</f>
        <v>1764</v>
      </c>
      <c r="G19" s="296">
        <f t="shared" ref="G19:G38" si="0">E19*F19</f>
        <v>4085706.2399999998</v>
      </c>
      <c r="H19" s="290">
        <f t="shared" ref="H19:H38" si="1">D19+G19</f>
        <v>4085706.2399999998</v>
      </c>
      <c r="I19" s="695"/>
      <c r="J19" s="696"/>
      <c r="K19" s="696"/>
      <c r="L19" s="697"/>
    </row>
    <row r="20" spans="1:12" x14ac:dyDescent="0.2">
      <c r="A20" s="693"/>
      <c r="B20" s="59">
        <v>53201010100000</v>
      </c>
      <c r="C20" s="277" t="s">
        <v>183</v>
      </c>
      <c r="D20" s="281">
        <v>0</v>
      </c>
      <c r="E20" s="283">
        <v>1800</v>
      </c>
      <c r="F20" s="282">
        <f>(21*10)*29</f>
        <v>6090</v>
      </c>
      <c r="G20" s="296">
        <f t="shared" ref="G20:G21" si="2">E20*F20</f>
        <v>10962000</v>
      </c>
      <c r="H20" s="290">
        <f t="shared" ref="H20:H21" si="3">D20+G20</f>
        <v>10962000</v>
      </c>
      <c r="I20" s="273"/>
      <c r="J20" s="274"/>
      <c r="K20" s="274"/>
      <c r="L20" s="275"/>
    </row>
    <row r="21" spans="1:12" x14ac:dyDescent="0.2">
      <c r="A21" s="693"/>
      <c r="B21" s="59">
        <v>53201010100000</v>
      </c>
      <c r="C21" s="277" t="s">
        <v>184</v>
      </c>
      <c r="D21" s="281">
        <v>0</v>
      </c>
      <c r="E21" s="283">
        <v>0</v>
      </c>
      <c r="F21" s="282">
        <v>0</v>
      </c>
      <c r="G21" s="296">
        <f t="shared" si="2"/>
        <v>0</v>
      </c>
      <c r="H21" s="290">
        <f t="shared" si="3"/>
        <v>0</v>
      </c>
      <c r="I21" s="273"/>
      <c r="J21" s="274"/>
      <c r="K21" s="274"/>
      <c r="L21" s="275"/>
    </row>
    <row r="22" spans="1:12" x14ac:dyDescent="0.2">
      <c r="A22" s="693"/>
      <c r="B22" s="59">
        <v>53202010100000</v>
      </c>
      <c r="C22" s="277" t="s">
        <v>185</v>
      </c>
      <c r="D22" s="281">
        <f>250000*1.034</f>
        <v>258500</v>
      </c>
      <c r="E22" s="283">
        <v>0</v>
      </c>
      <c r="F22" s="282">
        <v>0</v>
      </c>
      <c r="G22" s="296">
        <f t="shared" si="0"/>
        <v>0</v>
      </c>
      <c r="H22" s="290">
        <f t="shared" si="1"/>
        <v>258500</v>
      </c>
      <c r="I22" s="695"/>
      <c r="J22" s="696"/>
      <c r="K22" s="696"/>
      <c r="L22" s="697"/>
    </row>
    <row r="23" spans="1:12" x14ac:dyDescent="0.2">
      <c r="A23" s="693"/>
      <c r="B23" s="59">
        <v>53203010100000</v>
      </c>
      <c r="C23" s="277" t="s">
        <v>19</v>
      </c>
      <c r="D23" s="281">
        <v>0</v>
      </c>
      <c r="E23" s="283">
        <v>0</v>
      </c>
      <c r="F23" s="282">
        <v>0</v>
      </c>
      <c r="G23" s="296">
        <f t="shared" si="0"/>
        <v>0</v>
      </c>
      <c r="H23" s="290">
        <f t="shared" si="1"/>
        <v>0</v>
      </c>
      <c r="I23" s="695"/>
      <c r="J23" s="696"/>
      <c r="K23" s="696"/>
      <c r="L23" s="697"/>
    </row>
    <row r="24" spans="1:12" x14ac:dyDescent="0.2">
      <c r="A24" s="693"/>
      <c r="B24" s="59">
        <v>53203030000000</v>
      </c>
      <c r="C24" s="277" t="s">
        <v>186</v>
      </c>
      <c r="D24" s="281">
        <v>0</v>
      </c>
      <c r="E24" s="283">
        <v>0</v>
      </c>
      <c r="F24" s="282">
        <v>0</v>
      </c>
      <c r="G24" s="296">
        <f t="shared" si="0"/>
        <v>0</v>
      </c>
      <c r="H24" s="290">
        <f t="shared" si="1"/>
        <v>0</v>
      </c>
      <c r="I24" s="695"/>
      <c r="J24" s="696"/>
      <c r="K24" s="696"/>
      <c r="L24" s="697"/>
    </row>
    <row r="25" spans="1:12" x14ac:dyDescent="0.2">
      <c r="A25" s="693"/>
      <c r="B25" s="59">
        <v>53204030000000</v>
      </c>
      <c r="C25" s="278" t="s">
        <v>187</v>
      </c>
      <c r="D25" s="281">
        <f>50000*1.034</f>
        <v>51700</v>
      </c>
      <c r="E25" s="283">
        <v>0</v>
      </c>
      <c r="F25" s="282">
        <v>0</v>
      </c>
      <c r="G25" s="296">
        <f t="shared" si="0"/>
        <v>0</v>
      </c>
      <c r="H25" s="290">
        <f>D25+G25</f>
        <v>51700</v>
      </c>
      <c r="I25" s="695"/>
      <c r="J25" s="696"/>
      <c r="K25" s="696"/>
      <c r="L25" s="697"/>
    </row>
    <row r="26" spans="1:12" x14ac:dyDescent="0.2">
      <c r="A26" s="693"/>
      <c r="B26" s="59">
        <v>53204100100001</v>
      </c>
      <c r="C26" s="278" t="s">
        <v>22</v>
      </c>
      <c r="D26" s="281">
        <v>200000</v>
      </c>
      <c r="E26" s="283">
        <v>0</v>
      </c>
      <c r="F26" s="282">
        <v>0</v>
      </c>
      <c r="G26" s="296">
        <f t="shared" si="0"/>
        <v>0</v>
      </c>
      <c r="H26" s="290">
        <f t="shared" si="1"/>
        <v>200000</v>
      </c>
      <c r="I26" s="695"/>
      <c r="J26" s="696"/>
      <c r="K26" s="696"/>
      <c r="L26" s="697"/>
    </row>
    <row r="27" spans="1:12" x14ac:dyDescent="0.2">
      <c r="A27" s="693"/>
      <c r="B27" s="59">
        <v>53204130100000</v>
      </c>
      <c r="C27" s="278" t="s">
        <v>189</v>
      </c>
      <c r="D27" s="281">
        <f>300000+90000</f>
        <v>390000</v>
      </c>
      <c r="E27" s="283">
        <v>0</v>
      </c>
      <c r="F27" s="282">
        <v>0</v>
      </c>
      <c r="G27" s="296">
        <f t="shared" si="0"/>
        <v>0</v>
      </c>
      <c r="H27" s="290">
        <f t="shared" si="1"/>
        <v>390000</v>
      </c>
      <c r="I27" s="695"/>
      <c r="J27" s="696"/>
      <c r="K27" s="696"/>
      <c r="L27" s="697"/>
    </row>
    <row r="28" spans="1:12" x14ac:dyDescent="0.2">
      <c r="A28" s="693"/>
      <c r="B28" s="59">
        <v>53205010100000</v>
      </c>
      <c r="C28" s="278" t="s">
        <v>24</v>
      </c>
      <c r="D28" s="281">
        <f>(1129800*1.2)*1.034</f>
        <v>1401855.84</v>
      </c>
      <c r="E28" s="283">
        <v>0</v>
      </c>
      <c r="F28" s="282">
        <v>0</v>
      </c>
      <c r="G28" s="296">
        <f t="shared" si="0"/>
        <v>0</v>
      </c>
      <c r="H28" s="290">
        <f t="shared" si="1"/>
        <v>1401855.84</v>
      </c>
      <c r="I28" s="695"/>
      <c r="J28" s="696"/>
      <c r="K28" s="696"/>
      <c r="L28" s="697"/>
    </row>
    <row r="29" spans="1:12" x14ac:dyDescent="0.2">
      <c r="A29" s="693"/>
      <c r="B29" s="59">
        <v>53205020100000</v>
      </c>
      <c r="C29" s="278" t="s">
        <v>25</v>
      </c>
      <c r="D29" s="281">
        <f>(412360*1.2)*1.034</f>
        <v>511656.288</v>
      </c>
      <c r="E29" s="283">
        <v>0</v>
      </c>
      <c r="F29" s="282">
        <v>0</v>
      </c>
      <c r="G29" s="296">
        <f t="shared" si="0"/>
        <v>0</v>
      </c>
      <c r="H29" s="290">
        <f t="shared" si="1"/>
        <v>511656.288</v>
      </c>
      <c r="I29" s="695"/>
      <c r="J29" s="696"/>
      <c r="K29" s="696"/>
      <c r="L29" s="697"/>
    </row>
    <row r="30" spans="1:12" x14ac:dyDescent="0.2">
      <c r="A30" s="693"/>
      <c r="B30" s="59">
        <v>53205030100000</v>
      </c>
      <c r="C30" s="278" t="s">
        <v>26</v>
      </c>
      <c r="D30" s="281">
        <f>(1228900*1.2)*1.034</f>
        <v>1524819.12</v>
      </c>
      <c r="E30" s="283">
        <v>0</v>
      </c>
      <c r="F30" s="282">
        <v>0</v>
      </c>
      <c r="G30" s="296">
        <f t="shared" si="0"/>
        <v>0</v>
      </c>
      <c r="H30" s="290">
        <f t="shared" si="1"/>
        <v>1524819.12</v>
      </c>
      <c r="I30" s="695"/>
      <c r="J30" s="696"/>
      <c r="K30" s="696"/>
      <c r="L30" s="697"/>
    </row>
    <row r="31" spans="1:12" x14ac:dyDescent="0.2">
      <c r="A31" s="693"/>
      <c r="B31" s="59">
        <v>53205050100000</v>
      </c>
      <c r="C31" s="278" t="s">
        <v>27</v>
      </c>
      <c r="D31" s="281">
        <v>0</v>
      </c>
      <c r="E31" s="283">
        <v>0</v>
      </c>
      <c r="F31" s="282">
        <v>0</v>
      </c>
      <c r="G31" s="296">
        <f t="shared" si="0"/>
        <v>0</v>
      </c>
      <c r="H31" s="290">
        <f t="shared" si="1"/>
        <v>0</v>
      </c>
      <c r="I31" s="695"/>
      <c r="J31" s="696"/>
      <c r="K31" s="696"/>
      <c r="L31" s="697"/>
    </row>
    <row r="32" spans="1:12" x14ac:dyDescent="0.2">
      <c r="A32" s="693"/>
      <c r="B32" s="59">
        <v>53205070100000</v>
      </c>
      <c r="C32" s="278" t="s">
        <v>29</v>
      </c>
      <c r="D32" s="281">
        <f>299031*1.034</f>
        <v>309198.054</v>
      </c>
      <c r="E32" s="283">
        <v>0</v>
      </c>
      <c r="F32" s="282">
        <v>0</v>
      </c>
      <c r="G32" s="296">
        <f t="shared" si="0"/>
        <v>0</v>
      </c>
      <c r="H32" s="290">
        <f t="shared" si="1"/>
        <v>309198.054</v>
      </c>
      <c r="I32" s="695"/>
      <c r="J32" s="696"/>
      <c r="K32" s="696"/>
      <c r="L32" s="697"/>
    </row>
    <row r="33" spans="1:12" x14ac:dyDescent="0.2">
      <c r="A33" s="693"/>
      <c r="B33" s="59">
        <v>53208010100000</v>
      </c>
      <c r="C33" s="278" t="s">
        <v>30</v>
      </c>
      <c r="D33" s="281">
        <v>0</v>
      </c>
      <c r="E33" s="283">
        <v>0</v>
      </c>
      <c r="F33" s="282">
        <v>0</v>
      </c>
      <c r="G33" s="296">
        <f t="shared" si="0"/>
        <v>0</v>
      </c>
      <c r="H33" s="290">
        <f t="shared" si="1"/>
        <v>0</v>
      </c>
      <c r="I33" s="695"/>
      <c r="J33" s="696"/>
      <c r="K33" s="696"/>
      <c r="L33" s="697"/>
    </row>
    <row r="34" spans="1:12" x14ac:dyDescent="0.2">
      <c r="A34" s="693"/>
      <c r="B34" s="59">
        <v>53208070100001</v>
      </c>
      <c r="C34" s="278" t="s">
        <v>31</v>
      </c>
      <c r="D34" s="281">
        <f>400000*2</f>
        <v>800000</v>
      </c>
      <c r="E34" s="283">
        <v>0</v>
      </c>
      <c r="F34" s="282">
        <v>0</v>
      </c>
      <c r="G34" s="296">
        <f t="shared" si="0"/>
        <v>0</v>
      </c>
      <c r="H34" s="290">
        <f t="shared" si="1"/>
        <v>800000</v>
      </c>
      <c r="I34" s="695"/>
      <c r="J34" s="696"/>
      <c r="K34" s="696"/>
      <c r="L34" s="697"/>
    </row>
    <row r="35" spans="1:12" x14ac:dyDescent="0.2">
      <c r="A35" s="693"/>
      <c r="B35" s="59">
        <v>53208100100001</v>
      </c>
      <c r="C35" s="278" t="s">
        <v>190</v>
      </c>
      <c r="D35" s="281">
        <v>0</v>
      </c>
      <c r="E35" s="283">
        <v>0</v>
      </c>
      <c r="F35" s="282">
        <v>0</v>
      </c>
      <c r="G35" s="296">
        <f t="shared" si="0"/>
        <v>0</v>
      </c>
      <c r="H35" s="290">
        <f t="shared" si="1"/>
        <v>0</v>
      </c>
      <c r="I35" s="695"/>
      <c r="J35" s="696"/>
      <c r="K35" s="696"/>
      <c r="L35" s="697"/>
    </row>
    <row r="36" spans="1:12" x14ac:dyDescent="0.2">
      <c r="A36" s="693"/>
      <c r="B36" s="59">
        <v>53211030000000</v>
      </c>
      <c r="C36" s="278" t="s">
        <v>32</v>
      </c>
      <c r="D36" s="281">
        <v>0</v>
      </c>
      <c r="E36" s="283">
        <v>0</v>
      </c>
      <c r="F36" s="282">
        <v>0</v>
      </c>
      <c r="G36" s="296">
        <f t="shared" si="0"/>
        <v>0</v>
      </c>
      <c r="H36" s="290">
        <f t="shared" si="1"/>
        <v>0</v>
      </c>
      <c r="I36" s="695"/>
      <c r="J36" s="696"/>
      <c r="K36" s="696"/>
      <c r="L36" s="697"/>
    </row>
    <row r="37" spans="1:12" x14ac:dyDescent="0.2">
      <c r="A37" s="693"/>
      <c r="B37" s="59">
        <v>53212020100000</v>
      </c>
      <c r="C37" s="278" t="s">
        <v>191</v>
      </c>
      <c r="D37" s="281">
        <f>(360500*1.2)*1.34</f>
        <v>579684</v>
      </c>
      <c r="E37" s="283">
        <v>0</v>
      </c>
      <c r="F37" s="282">
        <v>0</v>
      </c>
      <c r="G37" s="296">
        <f t="shared" si="0"/>
        <v>0</v>
      </c>
      <c r="H37" s="290">
        <f t="shared" si="1"/>
        <v>579684</v>
      </c>
      <c r="I37" s="695"/>
      <c r="J37" s="696"/>
      <c r="K37" s="696"/>
      <c r="L37" s="697"/>
    </row>
    <row r="38" spans="1:12" x14ac:dyDescent="0.2">
      <c r="A38" s="693"/>
      <c r="B38" s="59">
        <v>53214020000000</v>
      </c>
      <c r="C38" s="278" t="s">
        <v>192</v>
      </c>
      <c r="D38" s="281">
        <v>0</v>
      </c>
      <c r="E38" s="283">
        <v>0</v>
      </c>
      <c r="F38" s="282">
        <v>0</v>
      </c>
      <c r="G38" s="296">
        <f t="shared" si="0"/>
        <v>0</v>
      </c>
      <c r="H38" s="290">
        <f t="shared" si="1"/>
        <v>0</v>
      </c>
      <c r="I38" s="695"/>
      <c r="J38" s="696"/>
      <c r="K38" s="696"/>
      <c r="L38" s="697"/>
    </row>
    <row r="39" spans="1:12" ht="15.75" customHeight="1" x14ac:dyDescent="0.2">
      <c r="A39" s="693"/>
      <c r="B39" s="57"/>
      <c r="C39" s="288" t="s">
        <v>34</v>
      </c>
      <c r="D39" s="297">
        <v>0</v>
      </c>
      <c r="E39" s="298"/>
      <c r="F39" s="298"/>
      <c r="G39" s="297">
        <f>SUM(G40,G45,G47,G56,G65,G73)</f>
        <v>3132153.6020800001</v>
      </c>
      <c r="H39" s="292">
        <f>SUM(H40,H45,H47,H56,H65,H73)</f>
        <v>16807227.48708</v>
      </c>
      <c r="I39" s="695"/>
      <c r="J39" s="696"/>
      <c r="K39" s="696"/>
      <c r="L39" s="697"/>
    </row>
    <row r="40" spans="1:12" x14ac:dyDescent="0.2">
      <c r="A40" s="693"/>
      <c r="B40" s="58"/>
      <c r="C40" s="284" t="s">
        <v>35</v>
      </c>
      <c r="D40" s="286">
        <f>SUM(D41:D44)</f>
        <v>1291360</v>
      </c>
      <c r="E40" s="287"/>
      <c r="F40" s="287"/>
      <c r="G40" s="299">
        <f>SUM(G41:G44)</f>
        <v>400000</v>
      </c>
      <c r="H40" s="293">
        <f>SUM(H41:H44)</f>
        <v>1691360</v>
      </c>
      <c r="I40" s="695"/>
      <c r="J40" s="696"/>
      <c r="K40" s="696"/>
      <c r="L40" s="697"/>
    </row>
    <row r="41" spans="1:12" x14ac:dyDescent="0.2">
      <c r="A41" s="693"/>
      <c r="B41" s="59">
        <v>53202020100000</v>
      </c>
      <c r="C41" s="278" t="s">
        <v>193</v>
      </c>
      <c r="D41" s="281">
        <v>0</v>
      </c>
      <c r="E41" s="283">
        <v>40000</v>
      </c>
      <c r="F41" s="282">
        <v>10</v>
      </c>
      <c r="G41" s="296">
        <f>E41*F41</f>
        <v>400000</v>
      </c>
      <c r="H41" s="290">
        <f t="shared" ref="H41:H74" si="4">D41+G41</f>
        <v>400000</v>
      </c>
      <c r="I41" s="695"/>
      <c r="J41" s="696"/>
      <c r="K41" s="696"/>
      <c r="L41" s="697"/>
    </row>
    <row r="42" spans="1:12" x14ac:dyDescent="0.2">
      <c r="A42" s="693"/>
      <c r="B42" s="59">
        <v>53202030000000</v>
      </c>
      <c r="C42" s="278" t="s">
        <v>194</v>
      </c>
      <c r="D42" s="281">
        <f>40000*1.034</f>
        <v>41360</v>
      </c>
      <c r="E42" s="283">
        <v>0</v>
      </c>
      <c r="F42" s="282">
        <v>0</v>
      </c>
      <c r="G42" s="296">
        <f t="shared" ref="G42:G74" si="5">E42*F42</f>
        <v>0</v>
      </c>
      <c r="H42" s="290">
        <f t="shared" si="4"/>
        <v>41360</v>
      </c>
      <c r="I42" s="695"/>
      <c r="J42" s="696"/>
      <c r="K42" s="696"/>
      <c r="L42" s="697"/>
    </row>
    <row r="43" spans="1:12" x14ac:dyDescent="0.2">
      <c r="A43" s="693"/>
      <c r="B43" s="59">
        <v>53211020000000</v>
      </c>
      <c r="C43" s="278" t="s">
        <v>41</v>
      </c>
      <c r="D43" s="281">
        <v>850000</v>
      </c>
      <c r="E43" s="283">
        <v>0</v>
      </c>
      <c r="F43" s="282">
        <v>0</v>
      </c>
      <c r="G43" s="296">
        <f t="shared" si="5"/>
        <v>0</v>
      </c>
      <c r="H43" s="290">
        <f t="shared" si="4"/>
        <v>850000</v>
      </c>
      <c r="I43" s="695"/>
      <c r="J43" s="696"/>
      <c r="K43" s="696"/>
      <c r="L43" s="697"/>
    </row>
    <row r="44" spans="1:12" x14ac:dyDescent="0.2">
      <c r="A44" s="693"/>
      <c r="B44" s="59">
        <v>53101040600000</v>
      </c>
      <c r="C44" s="279" t="s">
        <v>195</v>
      </c>
      <c r="D44" s="281">
        <f>200000*2</f>
        <v>400000</v>
      </c>
      <c r="E44" s="283">
        <v>0</v>
      </c>
      <c r="F44" s="282">
        <v>0</v>
      </c>
      <c r="G44" s="296">
        <f t="shared" si="5"/>
        <v>0</v>
      </c>
      <c r="H44" s="290">
        <f t="shared" si="4"/>
        <v>400000</v>
      </c>
      <c r="I44" s="695"/>
      <c r="J44" s="696"/>
      <c r="K44" s="696"/>
      <c r="L44" s="697"/>
    </row>
    <row r="45" spans="1:12" x14ac:dyDescent="0.2">
      <c r="A45" s="693"/>
      <c r="B45" s="58"/>
      <c r="C45" s="284" t="s">
        <v>42</v>
      </c>
      <c r="D45" s="286">
        <f>SUM(D46:D46)</f>
        <v>0</v>
      </c>
      <c r="E45" s="287"/>
      <c r="F45" s="287"/>
      <c r="G45" s="299">
        <f>SUM(G46:G46)</f>
        <v>0</v>
      </c>
      <c r="H45" s="293">
        <f>SUM(H46:H46)</f>
        <v>0</v>
      </c>
      <c r="I45" s="695"/>
      <c r="J45" s="696"/>
      <c r="K45" s="696"/>
      <c r="L45" s="697"/>
    </row>
    <row r="46" spans="1:12" x14ac:dyDescent="0.2">
      <c r="A46" s="693"/>
      <c r="B46" s="276">
        <v>53205990000000</v>
      </c>
      <c r="C46" s="280" t="s">
        <v>44</v>
      </c>
      <c r="D46" s="281">
        <v>0</v>
      </c>
      <c r="E46" s="283">
        <v>0</v>
      </c>
      <c r="F46" s="282">
        <v>0</v>
      </c>
      <c r="G46" s="296">
        <f t="shared" si="5"/>
        <v>0</v>
      </c>
      <c r="H46" s="290">
        <f t="shared" si="4"/>
        <v>0</v>
      </c>
      <c r="I46" s="695"/>
      <c r="J46" s="696"/>
      <c r="K46" s="696"/>
      <c r="L46" s="697"/>
    </row>
    <row r="47" spans="1:12" x14ac:dyDescent="0.2">
      <c r="A47" s="693"/>
      <c r="B47" s="58"/>
      <c r="C47" s="284" t="s">
        <v>45</v>
      </c>
      <c r="D47" s="286">
        <f>SUM(D48:D55)</f>
        <v>3786089.213</v>
      </c>
      <c r="E47" s="287"/>
      <c r="F47" s="287"/>
      <c r="G47" s="286">
        <f>SUM(G48:G55)</f>
        <v>0</v>
      </c>
      <c r="H47" s="291">
        <f>SUM(H48:H55)</f>
        <v>3786089.213</v>
      </c>
      <c r="I47" s="695"/>
      <c r="J47" s="696"/>
      <c r="K47" s="696"/>
      <c r="L47" s="697"/>
    </row>
    <row r="48" spans="1:12" x14ac:dyDescent="0.2">
      <c r="A48" s="693"/>
      <c r="B48" s="59">
        <v>53204010000000</v>
      </c>
      <c r="C48" s="278" t="s">
        <v>47</v>
      </c>
      <c r="D48" s="281">
        <f>250000+50000+40000</f>
        <v>340000</v>
      </c>
      <c r="E48" s="281">
        <v>0</v>
      </c>
      <c r="F48" s="282">
        <v>0</v>
      </c>
      <c r="G48" s="296">
        <f t="shared" si="5"/>
        <v>0</v>
      </c>
      <c r="H48" s="290">
        <f t="shared" si="4"/>
        <v>340000</v>
      </c>
      <c r="I48" s="695"/>
      <c r="J48" s="696"/>
      <c r="K48" s="696"/>
      <c r="L48" s="697"/>
    </row>
    <row r="49" spans="1:12" x14ac:dyDescent="0.2">
      <c r="A49" s="693"/>
      <c r="B49" s="276">
        <v>53204040200000</v>
      </c>
      <c r="C49" s="280" t="s">
        <v>204</v>
      </c>
      <c r="D49" s="281">
        <f>40000+30000</f>
        <v>70000</v>
      </c>
      <c r="E49" s="281">
        <v>0</v>
      </c>
      <c r="F49" s="282">
        <v>0</v>
      </c>
      <c r="G49" s="296">
        <f t="shared" si="5"/>
        <v>0</v>
      </c>
      <c r="H49" s="290">
        <f t="shared" si="4"/>
        <v>70000</v>
      </c>
      <c r="I49" s="695"/>
      <c r="J49" s="696"/>
      <c r="K49" s="696"/>
      <c r="L49" s="697"/>
    </row>
    <row r="50" spans="1:12" x14ac:dyDescent="0.2">
      <c r="A50" s="693"/>
      <c r="B50" s="59">
        <v>53204060000000</v>
      </c>
      <c r="C50" s="278" t="s">
        <v>49</v>
      </c>
      <c r="D50" s="281">
        <v>0</v>
      </c>
      <c r="E50" s="281">
        <v>0</v>
      </c>
      <c r="F50" s="282">
        <v>0</v>
      </c>
      <c r="G50" s="296">
        <f t="shared" si="5"/>
        <v>0</v>
      </c>
      <c r="H50" s="290">
        <f t="shared" si="4"/>
        <v>0</v>
      </c>
      <c r="I50" s="695"/>
      <c r="J50" s="696"/>
      <c r="K50" s="696"/>
      <c r="L50" s="697"/>
    </row>
    <row r="51" spans="1:12" x14ac:dyDescent="0.2">
      <c r="A51" s="693"/>
      <c r="B51" s="59">
        <v>53204070000000</v>
      </c>
      <c r="C51" s="278" t="s">
        <v>50</v>
      </c>
      <c r="D51" s="281">
        <f>(416563*1.5)*1.034</f>
        <v>646089.21299999999</v>
      </c>
      <c r="E51" s="281">
        <v>0</v>
      </c>
      <c r="F51" s="282">
        <v>0</v>
      </c>
      <c r="G51" s="296">
        <f t="shared" si="5"/>
        <v>0</v>
      </c>
      <c r="H51" s="290">
        <f t="shared" si="4"/>
        <v>646089.21299999999</v>
      </c>
      <c r="I51" s="695"/>
      <c r="J51" s="696"/>
      <c r="K51" s="696"/>
      <c r="L51" s="697"/>
    </row>
    <row r="52" spans="1:12" x14ac:dyDescent="0.2">
      <c r="A52" s="693"/>
      <c r="B52" s="59">
        <v>53204080000000</v>
      </c>
      <c r="C52" s="277" t="s">
        <v>51</v>
      </c>
      <c r="D52" s="281">
        <v>0</v>
      </c>
      <c r="E52" s="281">
        <v>0</v>
      </c>
      <c r="F52" s="282">
        <v>0</v>
      </c>
      <c r="G52" s="296">
        <f t="shared" si="5"/>
        <v>0</v>
      </c>
      <c r="H52" s="290">
        <f t="shared" si="4"/>
        <v>0</v>
      </c>
      <c r="I52" s="695"/>
      <c r="J52" s="696"/>
      <c r="K52" s="696"/>
      <c r="L52" s="697"/>
    </row>
    <row r="53" spans="1:12" x14ac:dyDescent="0.2">
      <c r="A53" s="693"/>
      <c r="B53" s="59">
        <v>53214010000000</v>
      </c>
      <c r="C53" s="278" t="s">
        <v>52</v>
      </c>
      <c r="D53" s="281">
        <f>60000*3</f>
        <v>180000</v>
      </c>
      <c r="E53" s="281">
        <v>0</v>
      </c>
      <c r="F53" s="282">
        <v>0</v>
      </c>
      <c r="G53" s="296">
        <f t="shared" si="5"/>
        <v>0</v>
      </c>
      <c r="H53" s="290">
        <f t="shared" si="4"/>
        <v>180000</v>
      </c>
      <c r="I53" s="695"/>
      <c r="J53" s="696"/>
      <c r="K53" s="696"/>
      <c r="L53" s="697"/>
    </row>
    <row r="54" spans="1:12" x14ac:dyDescent="0.2">
      <c r="A54" s="693"/>
      <c r="B54" s="59">
        <v>53214040000000</v>
      </c>
      <c r="C54" s="278" t="s">
        <v>196</v>
      </c>
      <c r="D54" s="281">
        <f>400000+150000</f>
        <v>550000</v>
      </c>
      <c r="E54" s="281">
        <v>0</v>
      </c>
      <c r="F54" s="282">
        <v>0</v>
      </c>
      <c r="G54" s="296">
        <f t="shared" si="5"/>
        <v>0</v>
      </c>
      <c r="H54" s="290">
        <f t="shared" si="4"/>
        <v>550000</v>
      </c>
      <c r="I54" s="695"/>
      <c r="J54" s="696"/>
      <c r="K54" s="696"/>
      <c r="L54" s="697"/>
    </row>
    <row r="55" spans="1:12" x14ac:dyDescent="0.2">
      <c r="A55" s="693"/>
      <c r="B55" s="310">
        <v>53204020100000</v>
      </c>
      <c r="C55" s="311" t="s">
        <v>188</v>
      </c>
      <c r="D55" s="281">
        <v>2000000</v>
      </c>
      <c r="E55" s="281">
        <v>0</v>
      </c>
      <c r="F55" s="282">
        <v>0</v>
      </c>
      <c r="G55" s="296">
        <f t="shared" si="5"/>
        <v>0</v>
      </c>
      <c r="H55" s="290">
        <f t="shared" si="4"/>
        <v>2000000</v>
      </c>
      <c r="I55" s="695"/>
      <c r="J55" s="696"/>
      <c r="K55" s="696"/>
      <c r="L55" s="697"/>
    </row>
    <row r="56" spans="1:12" x14ac:dyDescent="0.2">
      <c r="A56" s="693"/>
      <c r="B56" s="58"/>
      <c r="C56" s="284" t="s">
        <v>55</v>
      </c>
      <c r="D56" s="286">
        <f>SUM(D57:D64)</f>
        <v>2308930.2719999999</v>
      </c>
      <c r="E56" s="287"/>
      <c r="F56" s="287"/>
      <c r="G56" s="286">
        <f>SUM(G57:G64)</f>
        <v>632153.6020800001</v>
      </c>
      <c r="H56" s="291">
        <f>SUM(H57:H64)</f>
        <v>2941083.8740800004</v>
      </c>
      <c r="I56" s="695"/>
      <c r="J56" s="696"/>
      <c r="K56" s="696"/>
      <c r="L56" s="697"/>
    </row>
    <row r="57" spans="1:12" x14ac:dyDescent="0.2">
      <c r="A57" s="693"/>
      <c r="B57" s="59">
        <v>53207010000000</v>
      </c>
      <c r="C57" s="278" t="s">
        <v>56</v>
      </c>
      <c r="D57" s="281">
        <v>0</v>
      </c>
      <c r="E57" s="281">
        <v>0</v>
      </c>
      <c r="F57" s="282">
        <v>0</v>
      </c>
      <c r="G57" s="296">
        <f t="shared" si="5"/>
        <v>0</v>
      </c>
      <c r="H57" s="290">
        <f t="shared" si="4"/>
        <v>0</v>
      </c>
      <c r="I57" s="695"/>
      <c r="J57" s="696"/>
      <c r="K57" s="696"/>
      <c r="L57" s="697"/>
    </row>
    <row r="58" spans="1:12" x14ac:dyDescent="0.2">
      <c r="A58" s="693"/>
      <c r="B58" s="59">
        <v>53207020000000</v>
      </c>
      <c r="C58" s="278" t="s">
        <v>57</v>
      </c>
      <c r="D58" s="281">
        <f>(300000*1.2)*1.034</f>
        <v>372240</v>
      </c>
      <c r="E58" s="281">
        <v>0</v>
      </c>
      <c r="F58" s="282">
        <v>0</v>
      </c>
      <c r="G58" s="296">
        <f t="shared" si="5"/>
        <v>0</v>
      </c>
      <c r="H58" s="290">
        <f t="shared" si="4"/>
        <v>372240</v>
      </c>
      <c r="I58" s="695"/>
      <c r="J58" s="696"/>
      <c r="K58" s="696"/>
      <c r="L58" s="697"/>
    </row>
    <row r="59" spans="1:12" x14ac:dyDescent="0.2">
      <c r="A59" s="693"/>
      <c r="B59" s="59">
        <v>53208020000000</v>
      </c>
      <c r="C59" s="277" t="s">
        <v>178</v>
      </c>
      <c r="D59" s="281">
        <v>0</v>
      </c>
      <c r="E59" s="281">
        <v>0</v>
      </c>
      <c r="F59" s="282">
        <v>0</v>
      </c>
      <c r="G59" s="296">
        <f t="shared" si="5"/>
        <v>0</v>
      </c>
      <c r="H59" s="290">
        <f t="shared" si="4"/>
        <v>0</v>
      </c>
      <c r="I59" s="695"/>
      <c r="J59" s="696"/>
      <c r="K59" s="696"/>
      <c r="L59" s="697"/>
    </row>
    <row r="60" spans="1:12" x14ac:dyDescent="0.2">
      <c r="A60" s="693"/>
      <c r="B60" s="59">
        <v>53208990000000</v>
      </c>
      <c r="C60" s="277" t="s">
        <v>197</v>
      </c>
      <c r="D60" s="281">
        <f>323418*1.034</f>
        <v>334414.212</v>
      </c>
      <c r="E60" s="281">
        <v>0</v>
      </c>
      <c r="F60" s="282">
        <v>0</v>
      </c>
      <c r="G60" s="296">
        <f t="shared" si="5"/>
        <v>0</v>
      </c>
      <c r="H60" s="290">
        <f t="shared" si="4"/>
        <v>334414.212</v>
      </c>
      <c r="I60" s="695"/>
      <c r="J60" s="696"/>
      <c r="K60" s="696"/>
      <c r="L60" s="697"/>
    </row>
    <row r="61" spans="1:12" x14ac:dyDescent="0.2">
      <c r="A61" s="693"/>
      <c r="B61" s="310">
        <v>53210020300000</v>
      </c>
      <c r="C61" s="312" t="s">
        <v>200</v>
      </c>
      <c r="D61" s="281"/>
      <c r="E61" s="281">
        <f>(27993*0.26)*1.034</f>
        <v>7525.6381200000005</v>
      </c>
      <c r="F61" s="282">
        <v>84</v>
      </c>
      <c r="G61" s="296">
        <f t="shared" si="5"/>
        <v>632153.6020800001</v>
      </c>
      <c r="H61" s="290">
        <f t="shared" si="4"/>
        <v>632153.6020800001</v>
      </c>
      <c r="I61" s="695"/>
      <c r="J61" s="696"/>
      <c r="K61" s="696"/>
      <c r="L61" s="697"/>
    </row>
    <row r="62" spans="1:12" x14ac:dyDescent="0.2">
      <c r="A62" s="693"/>
      <c r="B62" s="59">
        <v>53208990000000</v>
      </c>
      <c r="C62" s="277" t="s">
        <v>201</v>
      </c>
      <c r="D62" s="281">
        <v>0</v>
      </c>
      <c r="E62" s="281">
        <v>0</v>
      </c>
      <c r="F62" s="282">
        <v>0</v>
      </c>
      <c r="G62" s="296">
        <f t="shared" si="5"/>
        <v>0</v>
      </c>
      <c r="H62" s="290">
        <f t="shared" si="4"/>
        <v>0</v>
      </c>
      <c r="I62" s="695"/>
      <c r="J62" s="696"/>
      <c r="K62" s="696"/>
      <c r="L62" s="697"/>
    </row>
    <row r="63" spans="1:12" x14ac:dyDescent="0.2">
      <c r="A63" s="693"/>
      <c r="B63" s="59">
        <v>53209990000000</v>
      </c>
      <c r="C63" s="277" t="s">
        <v>199</v>
      </c>
      <c r="D63" s="281"/>
      <c r="E63" s="281">
        <v>0</v>
      </c>
      <c r="F63" s="282">
        <v>0</v>
      </c>
      <c r="G63" s="296">
        <f t="shared" si="5"/>
        <v>0</v>
      </c>
      <c r="H63" s="290">
        <f t="shared" si="4"/>
        <v>0</v>
      </c>
      <c r="I63" s="695"/>
      <c r="J63" s="696"/>
      <c r="K63" s="696"/>
      <c r="L63" s="697"/>
    </row>
    <row r="64" spans="1:12" x14ac:dyDescent="0.2">
      <c r="A64" s="693"/>
      <c r="B64" s="59">
        <v>53210020100000</v>
      </c>
      <c r="C64" s="278" t="s">
        <v>64</v>
      </c>
      <c r="D64" s="281">
        <f>1549590*1.034</f>
        <v>1602276.06</v>
      </c>
      <c r="E64" s="281">
        <v>0</v>
      </c>
      <c r="F64" s="282">
        <v>0</v>
      </c>
      <c r="G64" s="296">
        <f t="shared" si="5"/>
        <v>0</v>
      </c>
      <c r="H64" s="290">
        <f t="shared" si="4"/>
        <v>1602276.06</v>
      </c>
      <c r="I64" s="695"/>
      <c r="J64" s="696"/>
      <c r="K64" s="696"/>
      <c r="L64" s="697"/>
    </row>
    <row r="65" spans="1:12" x14ac:dyDescent="0.2">
      <c r="A65" s="693"/>
      <c r="B65" s="58"/>
      <c r="C65" s="284" t="s">
        <v>65</v>
      </c>
      <c r="D65" s="286">
        <f>SUM(D66:D72)</f>
        <v>6288694.4000000004</v>
      </c>
      <c r="E65" s="287"/>
      <c r="F65" s="287"/>
      <c r="G65" s="286">
        <f>SUM(G66:G72)</f>
        <v>0</v>
      </c>
      <c r="H65" s="291">
        <f>SUM(H66:H72)</f>
        <v>6288694.4000000004</v>
      </c>
      <c r="I65" s="695"/>
      <c r="J65" s="696"/>
      <c r="K65" s="696"/>
      <c r="L65" s="697"/>
    </row>
    <row r="66" spans="1:12" x14ac:dyDescent="0.2">
      <c r="A66" s="693"/>
      <c r="B66" s="59">
        <v>53206030000000</v>
      </c>
      <c r="C66" s="278" t="s">
        <v>100</v>
      </c>
      <c r="D66" s="281">
        <f>[1]Hoja2!$I$72</f>
        <v>5850692</v>
      </c>
      <c r="E66" s="281">
        <v>0</v>
      </c>
      <c r="F66" s="282">
        <v>0</v>
      </c>
      <c r="G66" s="296">
        <f t="shared" si="5"/>
        <v>0</v>
      </c>
      <c r="H66" s="290">
        <f t="shared" si="4"/>
        <v>5850692</v>
      </c>
      <c r="I66" s="695"/>
      <c r="J66" s="696"/>
      <c r="K66" s="696"/>
      <c r="L66" s="697"/>
    </row>
    <row r="67" spans="1:12" x14ac:dyDescent="0.2">
      <c r="A67" s="693"/>
      <c r="B67" s="59">
        <v>53206040000000</v>
      </c>
      <c r="C67" s="278" t="s">
        <v>101</v>
      </c>
      <c r="D67" s="281">
        <v>0</v>
      </c>
      <c r="E67" s="281">
        <v>0</v>
      </c>
      <c r="F67" s="282">
        <v>0</v>
      </c>
      <c r="G67" s="296">
        <f t="shared" si="5"/>
        <v>0</v>
      </c>
      <c r="H67" s="290">
        <f t="shared" si="4"/>
        <v>0</v>
      </c>
      <c r="I67" s="695"/>
      <c r="J67" s="696"/>
      <c r="K67" s="696"/>
      <c r="L67" s="697"/>
    </row>
    <row r="68" spans="1:12" x14ac:dyDescent="0.2">
      <c r="A68" s="693"/>
      <c r="B68" s="59">
        <v>53206060000000</v>
      </c>
      <c r="C68" s="278" t="s">
        <v>202</v>
      </c>
      <c r="D68" s="281">
        <v>0</v>
      </c>
      <c r="E68" s="281">
        <v>0</v>
      </c>
      <c r="F68" s="282">
        <v>0</v>
      </c>
      <c r="G68" s="296">
        <f t="shared" si="5"/>
        <v>0</v>
      </c>
      <c r="H68" s="290">
        <f t="shared" si="4"/>
        <v>0</v>
      </c>
      <c r="I68" s="695"/>
      <c r="J68" s="696"/>
      <c r="K68" s="696"/>
      <c r="L68" s="697"/>
    </row>
    <row r="69" spans="1:12" x14ac:dyDescent="0.2">
      <c r="A69" s="693"/>
      <c r="B69" s="59">
        <v>53206070000000</v>
      </c>
      <c r="C69" s="278" t="s">
        <v>103</v>
      </c>
      <c r="D69" s="281">
        <v>0</v>
      </c>
      <c r="E69" s="281">
        <v>0</v>
      </c>
      <c r="F69" s="282">
        <v>0</v>
      </c>
      <c r="G69" s="296">
        <f t="shared" si="5"/>
        <v>0</v>
      </c>
      <c r="H69" s="290">
        <f t="shared" si="4"/>
        <v>0</v>
      </c>
      <c r="I69" s="695"/>
      <c r="J69" s="696"/>
      <c r="K69" s="696"/>
      <c r="L69" s="697"/>
    </row>
    <row r="70" spans="1:12" x14ac:dyDescent="0.2">
      <c r="A70" s="693"/>
      <c r="B70" s="59">
        <v>53206990000000</v>
      </c>
      <c r="C70" s="278" t="s">
        <v>203</v>
      </c>
      <c r="D70" s="281">
        <v>0</v>
      </c>
      <c r="E70" s="281">
        <v>0</v>
      </c>
      <c r="F70" s="282">
        <v>0</v>
      </c>
      <c r="G70" s="296">
        <f t="shared" si="5"/>
        <v>0</v>
      </c>
      <c r="H70" s="290">
        <f t="shared" si="4"/>
        <v>0</v>
      </c>
      <c r="I70" s="695"/>
      <c r="J70" s="696"/>
      <c r="K70" s="696"/>
      <c r="L70" s="697"/>
    </row>
    <row r="71" spans="1:12" x14ac:dyDescent="0.2">
      <c r="A71" s="693"/>
      <c r="B71" s="59">
        <v>53208030000000</v>
      </c>
      <c r="C71" s="278" t="s">
        <v>105</v>
      </c>
      <c r="D71" s="281">
        <f>123600*1.034</f>
        <v>127802.40000000001</v>
      </c>
      <c r="E71" s="281">
        <v>0</v>
      </c>
      <c r="F71" s="282">
        <v>0</v>
      </c>
      <c r="G71" s="296">
        <f t="shared" si="5"/>
        <v>0</v>
      </c>
      <c r="H71" s="290">
        <f t="shared" si="4"/>
        <v>127802.40000000001</v>
      </c>
      <c r="I71" s="695"/>
      <c r="J71" s="696"/>
      <c r="K71" s="696"/>
      <c r="L71" s="697"/>
    </row>
    <row r="72" spans="1:12" x14ac:dyDescent="0.2">
      <c r="A72" s="693"/>
      <c r="B72" s="59">
        <v>53212060000000</v>
      </c>
      <c r="C72" s="278" t="s">
        <v>98</v>
      </c>
      <c r="D72" s="281">
        <f>300000*1.034</f>
        <v>310200</v>
      </c>
      <c r="E72" s="281">
        <v>0</v>
      </c>
      <c r="F72" s="282">
        <v>0</v>
      </c>
      <c r="G72" s="296">
        <f t="shared" si="5"/>
        <v>0</v>
      </c>
      <c r="H72" s="290">
        <f t="shared" si="4"/>
        <v>310200</v>
      </c>
      <c r="I72" s="695"/>
      <c r="J72" s="696"/>
      <c r="K72" s="696"/>
      <c r="L72" s="697"/>
    </row>
    <row r="73" spans="1:12" x14ac:dyDescent="0.2">
      <c r="A73" s="693"/>
      <c r="B73" s="58"/>
      <c r="C73" s="284" t="s">
        <v>66</v>
      </c>
      <c r="D73" s="286">
        <f>SUM(D74:D74)</f>
        <v>0</v>
      </c>
      <c r="E73" s="287"/>
      <c r="F73" s="287"/>
      <c r="G73" s="286">
        <f>SUM(G74:G74)</f>
        <v>2100000</v>
      </c>
      <c r="H73" s="291">
        <f>SUM(H74:H74)</f>
        <v>2100000</v>
      </c>
      <c r="I73" s="695"/>
      <c r="J73" s="696"/>
      <c r="K73" s="696"/>
      <c r="L73" s="697"/>
    </row>
    <row r="74" spans="1:12" x14ac:dyDescent="0.2">
      <c r="A74" s="693"/>
      <c r="B74" s="65">
        <v>53204999000000</v>
      </c>
      <c r="C74" s="285" t="s">
        <v>198</v>
      </c>
      <c r="D74" s="281"/>
      <c r="E74" s="281">
        <f>2500*10</f>
        <v>25000</v>
      </c>
      <c r="F74" s="282">
        <v>84</v>
      </c>
      <c r="G74" s="296">
        <f t="shared" si="5"/>
        <v>2100000</v>
      </c>
      <c r="H74" s="294">
        <f t="shared" si="4"/>
        <v>2100000</v>
      </c>
      <c r="I74" s="716"/>
      <c r="J74" s="717"/>
      <c r="K74" s="717"/>
      <c r="L74" s="718"/>
    </row>
    <row r="75" spans="1:12" collapsed="1" x14ac:dyDescent="0.2">
      <c r="A75" s="694"/>
      <c r="B75" s="67"/>
      <c r="C75" s="289" t="s">
        <v>106</v>
      </c>
      <c r="D75" s="300">
        <f>SUM(D12,D39)</f>
        <v>60660668.622000001</v>
      </c>
      <c r="E75" s="301"/>
      <c r="F75" s="301"/>
      <c r="G75" s="300">
        <f>SUM(G12,G39)</f>
        <v>18179859.842080001</v>
      </c>
      <c r="H75" s="68">
        <f>SUM(H12,H39)</f>
        <v>92515602.349079996</v>
      </c>
      <c r="I75" s="719"/>
      <c r="J75" s="720"/>
      <c r="K75" s="720"/>
      <c r="L75" s="721"/>
    </row>
    <row r="76" spans="1:12" ht="15.75" customHeight="1" x14ac:dyDescent="0.2">
      <c r="A76" s="690" t="s">
        <v>110</v>
      </c>
      <c r="B76" s="690"/>
      <c r="C76" s="690"/>
      <c r="D76" s="690"/>
      <c r="E76" s="690"/>
      <c r="F76" s="690"/>
      <c r="G76" s="691"/>
      <c r="H76" s="66">
        <f>+H75</f>
        <v>92515602.349079996</v>
      </c>
    </row>
    <row r="79" spans="1:12" x14ac:dyDescent="0.2">
      <c r="H79" s="617">
        <f>+H76-'F) Remuneraciones'!L32</f>
        <v>38423270.349079996</v>
      </c>
    </row>
    <row r="83" spans="2:8" x14ac:dyDescent="0.2">
      <c r="D83" s="45"/>
    </row>
    <row r="85" spans="2:8" x14ac:dyDescent="0.2">
      <c r="B85" s="23"/>
      <c r="C85" s="49"/>
      <c r="D85" s="18"/>
      <c r="E85" s="50"/>
      <c r="F85" s="51"/>
      <c r="G85" s="50"/>
      <c r="H85" s="54"/>
    </row>
    <row r="86" spans="2:8" x14ac:dyDescent="0.2">
      <c r="B86" s="23"/>
      <c r="C86" s="49"/>
      <c r="D86" s="18"/>
      <c r="E86" s="50"/>
      <c r="F86" s="51"/>
      <c r="G86" s="50"/>
      <c r="H86" s="54"/>
    </row>
    <row r="87" spans="2:8" x14ac:dyDescent="0.2">
      <c r="B87" s="23"/>
      <c r="C87" s="49"/>
      <c r="E87" s="50"/>
      <c r="F87" s="51"/>
      <c r="G87" s="50"/>
      <c r="H87" s="54"/>
    </row>
    <row r="88" spans="2:8" x14ac:dyDescent="0.2">
      <c r="B88" s="23"/>
      <c r="C88" s="49"/>
      <c r="D88" s="18"/>
      <c r="E88" s="50"/>
      <c r="F88" s="51"/>
      <c r="G88" s="50"/>
      <c r="H88" s="54"/>
    </row>
    <row r="89" spans="2:8" x14ac:dyDescent="0.2">
      <c r="B89" s="23"/>
      <c r="C89" s="49"/>
      <c r="E89" s="50"/>
      <c r="F89" s="51"/>
      <c r="G89" s="50"/>
      <c r="H89" s="54"/>
    </row>
    <row r="90" spans="2:8" x14ac:dyDescent="0.2">
      <c r="B90" s="23"/>
      <c r="C90" s="49"/>
      <c r="D90" s="18"/>
      <c r="E90" s="50"/>
      <c r="F90" s="51"/>
      <c r="G90" s="50"/>
      <c r="H90" s="54"/>
    </row>
    <row r="91" spans="2:8" x14ac:dyDescent="0.2">
      <c r="B91" s="23"/>
      <c r="E91" s="50"/>
      <c r="F91" s="51"/>
      <c r="G91" s="50"/>
      <c r="H91" s="54"/>
    </row>
    <row r="92" spans="2:8" x14ac:dyDescent="0.2">
      <c r="B92" s="23"/>
      <c r="E92" s="50"/>
      <c r="F92" s="51"/>
      <c r="G92" s="50"/>
      <c r="H92" s="54"/>
    </row>
    <row r="93" spans="2:8" x14ac:dyDescent="0.2">
      <c r="B93" s="23"/>
      <c r="E93" s="53"/>
      <c r="F93" s="53"/>
      <c r="G93" s="52"/>
      <c r="H93" s="55"/>
    </row>
  </sheetData>
  <sheetProtection password="9C6E" sheet="1" objects="1" scenarios="1"/>
  <mergeCells count="73">
    <mergeCell ref="D4:E4"/>
    <mergeCell ref="I72:L72"/>
    <mergeCell ref="I73:L73"/>
    <mergeCell ref="I74:L74"/>
    <mergeCell ref="I75:L75"/>
    <mergeCell ref="I62:L62"/>
    <mergeCell ref="I63:L63"/>
    <mergeCell ref="I64:L64"/>
    <mergeCell ref="I65:L65"/>
    <mergeCell ref="I66:L66"/>
    <mergeCell ref="I67:L67"/>
    <mergeCell ref="I68:L68"/>
    <mergeCell ref="I69:L69"/>
    <mergeCell ref="I47:L47"/>
    <mergeCell ref="I48:L48"/>
    <mergeCell ref="I49:L49"/>
    <mergeCell ref="I50:L50"/>
    <mergeCell ref="I51:L51"/>
    <mergeCell ref="I52:L52"/>
    <mergeCell ref="I53:L53"/>
    <mergeCell ref="I61:L61"/>
    <mergeCell ref="I59:L59"/>
    <mergeCell ref="I60:L60"/>
    <mergeCell ref="I70:L70"/>
    <mergeCell ref="I71:L71"/>
    <mergeCell ref="I45:L45"/>
    <mergeCell ref="I32:L32"/>
    <mergeCell ref="I33:L33"/>
    <mergeCell ref="I34:L34"/>
    <mergeCell ref="I35:L35"/>
    <mergeCell ref="I36:L36"/>
    <mergeCell ref="I37:L37"/>
    <mergeCell ref="I38:L38"/>
    <mergeCell ref="I39:L39"/>
    <mergeCell ref="I54:L54"/>
    <mergeCell ref="I55:L55"/>
    <mergeCell ref="I56:L56"/>
    <mergeCell ref="I57:L57"/>
    <mergeCell ref="I58:L58"/>
    <mergeCell ref="A10:A11"/>
    <mergeCell ref="E10:G10"/>
    <mergeCell ref="D10:D11"/>
    <mergeCell ref="H10:H11"/>
    <mergeCell ref="C10:C11"/>
    <mergeCell ref="I42:L42"/>
    <mergeCell ref="I43:L43"/>
    <mergeCell ref="I46:L46"/>
    <mergeCell ref="I22:L22"/>
    <mergeCell ref="B10:B11"/>
    <mergeCell ref="I23:L23"/>
    <mergeCell ref="I24:L24"/>
    <mergeCell ref="I25:L25"/>
    <mergeCell ref="I26:L26"/>
    <mergeCell ref="I27:L27"/>
    <mergeCell ref="I28:L28"/>
    <mergeCell ref="I29:L29"/>
    <mergeCell ref="I30:L30"/>
    <mergeCell ref="A76:G76"/>
    <mergeCell ref="A8:C8"/>
    <mergeCell ref="A12:A75"/>
    <mergeCell ref="I44:L44"/>
    <mergeCell ref="I10:L11"/>
    <mergeCell ref="I12:L12"/>
    <mergeCell ref="I13:L13"/>
    <mergeCell ref="I14:L14"/>
    <mergeCell ref="I15:L15"/>
    <mergeCell ref="I16:L16"/>
    <mergeCell ref="I17:L17"/>
    <mergeCell ref="I18:L18"/>
    <mergeCell ref="I19:L19"/>
    <mergeCell ref="I31:L31"/>
    <mergeCell ref="I40:L40"/>
    <mergeCell ref="I41:L41"/>
  </mergeCells>
  <pageMargins left="0.85" right="0.75" top="0.57013888888888886" bottom="0.90972222222222221" header="0" footer="0.51180555555555551"/>
  <pageSetup firstPageNumber="0" fitToHeight="12" orientation="landscape" horizontalDpi="300" verticalDpi="300" r:id="rId1"/>
  <headerFooter alignWithMargins="0">
    <oddHeader>&amp;LSEPT - 2004&amp;CDIRECTIVA D.B.S.A.
ORDINARIO&amp;R02-BS/0307/02
pag &amp;P de &amp;N</oddHeader>
  </headerFooter>
  <ignoredErrors>
    <ignoredError sqref="G19:H19 G45:H45 G47:H47 G65:H65 G73:H73 G56:H56 H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H101"/>
  <sheetViews>
    <sheetView showGridLines="0" topLeftCell="E6" zoomScale="90" zoomScaleNormal="90" workbookViewId="0">
      <selection activeCell="I38" sqref="I38"/>
    </sheetView>
  </sheetViews>
  <sheetFormatPr baseColWidth="10" defaultColWidth="11.42578125" defaultRowHeight="12.75" x14ac:dyDescent="0.2"/>
  <cols>
    <col min="1" max="1" width="11.5703125" style="29" customWidth="1"/>
    <col min="2" max="2" width="28" style="29" customWidth="1"/>
    <col min="3" max="3" width="28.7109375" style="29" customWidth="1"/>
    <col min="4" max="4" width="24.140625" style="29" customWidth="1"/>
    <col min="5" max="5" width="25.140625" style="29" customWidth="1"/>
    <col min="6" max="6" width="22.140625" style="29" customWidth="1"/>
    <col min="7" max="7" width="14.85546875" style="29" customWidth="1"/>
    <col min="8" max="8" width="15" style="29" customWidth="1"/>
    <col min="9" max="9" width="15.140625" style="29" customWidth="1"/>
    <col min="10" max="10" width="17.42578125" style="29" customWidth="1"/>
    <col min="11" max="11" width="19.140625" style="29" customWidth="1"/>
    <col min="12" max="12" width="4.85546875" style="29" customWidth="1"/>
    <col min="13" max="13" width="19.140625" style="29" customWidth="1"/>
    <col min="14" max="14" width="16.140625" style="29" customWidth="1"/>
    <col min="15" max="15" width="17.140625" style="29" customWidth="1"/>
    <col min="16" max="16" width="14.85546875" style="29" customWidth="1"/>
    <col min="17" max="17" width="17.7109375" style="29" customWidth="1"/>
    <col min="18" max="18" width="17.140625" style="29" customWidth="1"/>
    <col min="19" max="19" width="17.42578125" style="29" customWidth="1"/>
    <col min="20" max="20" width="5" style="29" customWidth="1"/>
    <col min="21" max="21" width="19.85546875" style="29" bestFit="1" customWidth="1"/>
    <col min="22" max="22" width="52.140625" style="29" bestFit="1" customWidth="1"/>
    <col min="23" max="23" width="18.28515625" style="29" customWidth="1"/>
    <col min="24" max="24" width="5.7109375" style="29" customWidth="1"/>
    <col min="25" max="25" width="11.42578125" style="29" customWidth="1"/>
    <col min="26" max="31" width="14.28515625" style="29" customWidth="1"/>
    <col min="32" max="32" width="11.28515625" style="29" customWidth="1"/>
    <col min="33" max="38" width="14.28515625" style="29" customWidth="1"/>
    <col min="39" max="39" width="11.42578125" style="29"/>
    <col min="40" max="45" width="14.28515625" style="29" customWidth="1"/>
    <col min="46" max="16384" width="11.42578125" style="29"/>
  </cols>
  <sheetData>
    <row r="1" spans="1:242" s="6" customFormat="1" x14ac:dyDescent="0.2">
      <c r="C1" s="7"/>
      <c r="D1" s="7"/>
      <c r="E1" s="45" t="s">
        <v>215</v>
      </c>
      <c r="F1" s="45"/>
      <c r="G1" s="45"/>
      <c r="H1" s="45"/>
      <c r="I1" s="45"/>
      <c r="J1" s="7"/>
      <c r="K1" s="7"/>
      <c r="L1" s="7"/>
      <c r="IG1" s="4"/>
      <c r="IH1" s="4"/>
    </row>
    <row r="2" spans="1:242" s="6" customFormat="1" x14ac:dyDescent="0.2">
      <c r="E2" s="45" t="s">
        <v>207</v>
      </c>
      <c r="F2" s="45"/>
      <c r="G2" s="45"/>
      <c r="H2" s="45"/>
      <c r="I2" s="45"/>
      <c r="IG2" s="4"/>
      <c r="IH2" s="4"/>
    </row>
    <row r="3" spans="1:242" s="6" customFormat="1" x14ac:dyDescent="0.2">
      <c r="B3" s="24"/>
      <c r="C3" s="7"/>
      <c r="D3" s="7"/>
      <c r="E3" s="7"/>
      <c r="F3" s="7"/>
      <c r="G3" s="7"/>
      <c r="H3" s="7"/>
      <c r="I3" s="7"/>
      <c r="J3" s="7"/>
      <c r="K3" s="7"/>
      <c r="L3" s="7"/>
      <c r="M3" s="7"/>
      <c r="N3" s="7"/>
      <c r="O3" s="7"/>
      <c r="P3" s="7"/>
      <c r="Q3" s="7"/>
      <c r="HX3" s="4"/>
      <c r="HY3" s="4"/>
      <c r="HZ3" s="4"/>
      <c r="IA3" s="4"/>
      <c r="IB3" s="4"/>
      <c r="IC3" s="4"/>
    </row>
    <row r="4" spans="1:242" s="6" customFormat="1" ht="18.75" customHeight="1" x14ac:dyDescent="0.2">
      <c r="B4" s="24"/>
      <c r="D4" s="121" t="s">
        <v>0</v>
      </c>
      <c r="E4" s="189" t="str">
        <f>+'B) Reajuste Tarifas y Ocupación'!F5</f>
        <v>BIENMAG</v>
      </c>
      <c r="F4" s="73"/>
      <c r="G4" s="74"/>
      <c r="H4" s="74"/>
      <c r="I4" s="74"/>
      <c r="J4" s="74"/>
      <c r="O4" s="3"/>
      <c r="HX4" s="4"/>
      <c r="HY4" s="4"/>
      <c r="HZ4" s="4"/>
      <c r="IA4" s="4"/>
      <c r="IB4" s="4"/>
      <c r="IC4" s="4"/>
    </row>
    <row r="5" spans="1:242" s="6" customFormat="1" x14ac:dyDescent="0.2">
      <c r="B5" s="24"/>
      <c r="D5" s="122"/>
      <c r="E5" s="125"/>
      <c r="F5" s="125"/>
      <c r="G5" s="125"/>
      <c r="H5" s="125"/>
      <c r="I5" s="125"/>
      <c r="J5" s="125"/>
      <c r="O5" s="3"/>
      <c r="HX5" s="4"/>
      <c r="HY5" s="4"/>
      <c r="HZ5" s="4"/>
      <c r="IA5" s="4"/>
      <c r="IB5" s="4"/>
      <c r="IC5" s="4"/>
    </row>
    <row r="6" spans="1:242" s="6" customFormat="1" ht="13.5" thickBot="1" x14ac:dyDescent="0.25">
      <c r="B6" s="24"/>
      <c r="D6" s="122"/>
      <c r="E6" s="125"/>
      <c r="F6" s="125"/>
      <c r="G6" s="125"/>
      <c r="H6" s="125"/>
      <c r="I6" s="125"/>
      <c r="J6" s="125"/>
      <c r="O6" s="3"/>
      <c r="HX6" s="4"/>
      <c r="HY6" s="4"/>
      <c r="HZ6" s="4"/>
      <c r="IA6" s="4"/>
      <c r="IB6" s="4"/>
      <c r="IC6" s="4"/>
    </row>
    <row r="7" spans="1:242" x14ac:dyDescent="0.2">
      <c r="B7" s="27"/>
      <c r="C7" s="27"/>
      <c r="D7" s="27"/>
      <c r="E7" s="27"/>
      <c r="F7" s="27"/>
      <c r="G7" s="27"/>
      <c r="H7" s="27"/>
      <c r="I7" s="27"/>
      <c r="J7" s="38"/>
      <c r="K7" s="38"/>
      <c r="L7" s="38"/>
      <c r="M7" s="38"/>
      <c r="N7" s="38"/>
      <c r="O7" s="38"/>
      <c r="P7" s="38"/>
      <c r="Q7" s="38"/>
      <c r="R7" s="38"/>
      <c r="Y7" s="212"/>
      <c r="Z7" s="213"/>
      <c r="AA7" s="213"/>
      <c r="AB7" s="213"/>
      <c r="AC7" s="213"/>
      <c r="AD7" s="213"/>
      <c r="AE7" s="213"/>
      <c r="AF7" s="213"/>
      <c r="AG7" s="213"/>
      <c r="AH7" s="213"/>
      <c r="AI7" s="213"/>
      <c r="AJ7" s="213"/>
      <c r="AK7" s="213"/>
      <c r="AL7" s="213"/>
      <c r="AM7" s="213"/>
      <c r="AN7" s="213"/>
      <c r="AO7" s="213"/>
      <c r="AP7" s="213"/>
      <c r="AQ7" s="213"/>
      <c r="AR7" s="213"/>
      <c r="AS7" s="213"/>
      <c r="AT7" s="214"/>
    </row>
    <row r="8" spans="1:242" x14ac:dyDescent="0.2">
      <c r="B8" s="27"/>
      <c r="C8" s="27"/>
      <c r="D8" s="27"/>
      <c r="E8" s="27"/>
      <c r="F8" s="27"/>
      <c r="G8" s="27"/>
      <c r="H8" s="27"/>
      <c r="I8" s="27"/>
      <c r="J8" s="38"/>
      <c r="K8" s="38"/>
      <c r="L8" s="38"/>
      <c r="M8" s="38"/>
      <c r="N8" s="38"/>
      <c r="O8" s="38"/>
      <c r="P8" s="38"/>
      <c r="Q8" s="38"/>
      <c r="R8" s="38"/>
      <c r="Y8" s="215"/>
      <c r="Z8" s="40"/>
      <c r="AA8" s="40"/>
      <c r="AB8" s="40"/>
      <c r="AC8" s="40"/>
      <c r="AD8" s="40"/>
      <c r="AE8" s="40"/>
      <c r="AF8" s="40"/>
      <c r="AG8" s="40"/>
      <c r="AH8" s="40"/>
      <c r="AI8" s="40"/>
      <c r="AJ8" s="40"/>
      <c r="AK8" s="40"/>
      <c r="AL8" s="40"/>
      <c r="AM8" s="40"/>
      <c r="AN8" s="40"/>
      <c r="AO8" s="40"/>
      <c r="AP8" s="40"/>
      <c r="AQ8" s="40"/>
      <c r="AR8" s="40"/>
      <c r="AS8" s="40"/>
      <c r="AT8" s="216"/>
    </row>
    <row r="9" spans="1:242" ht="15.75" customHeight="1" x14ac:dyDescent="0.2">
      <c r="A9" s="766" t="s">
        <v>161</v>
      </c>
      <c r="B9" s="766"/>
      <c r="C9" s="766"/>
      <c r="D9" s="766"/>
      <c r="E9" s="766"/>
      <c r="F9" s="766"/>
      <c r="G9" s="766"/>
      <c r="H9" s="766"/>
      <c r="I9" s="124"/>
      <c r="J9" s="124"/>
      <c r="K9" s="124"/>
      <c r="L9" s="124"/>
      <c r="M9" s="731" t="s">
        <v>162</v>
      </c>
      <c r="N9" s="731"/>
      <c r="O9" s="731"/>
      <c r="P9" s="731"/>
      <c r="Q9" s="731"/>
      <c r="R9" s="731"/>
      <c r="S9" s="731"/>
      <c r="U9" s="731" t="s">
        <v>163</v>
      </c>
      <c r="V9" s="731"/>
      <c r="W9" s="731"/>
      <c r="X9" s="158"/>
      <c r="Y9" s="217"/>
      <c r="Z9" s="731" t="s">
        <v>219</v>
      </c>
      <c r="AA9" s="731"/>
      <c r="AB9" s="731"/>
      <c r="AC9" s="731"/>
      <c r="AD9" s="731"/>
      <c r="AE9" s="731"/>
      <c r="AF9" s="158"/>
      <c r="AG9" s="731" t="s">
        <v>165</v>
      </c>
      <c r="AH9" s="731"/>
      <c r="AI9" s="731"/>
      <c r="AJ9" s="731"/>
      <c r="AK9" s="731"/>
      <c r="AL9" s="731"/>
      <c r="AM9" s="40"/>
      <c r="AN9" s="731" t="s">
        <v>166</v>
      </c>
      <c r="AO9" s="731"/>
      <c r="AP9" s="731"/>
      <c r="AQ9" s="731"/>
      <c r="AR9" s="731"/>
      <c r="AS9" s="731"/>
      <c r="AT9" s="216"/>
    </row>
    <row r="10" spans="1:242" ht="13.5" customHeight="1" x14ac:dyDescent="0.2">
      <c r="B10" s="24"/>
      <c r="C10" s="122"/>
      <c r="D10" s="122"/>
      <c r="E10" s="125"/>
      <c r="F10" s="125"/>
      <c r="G10" s="125"/>
      <c r="H10" s="125"/>
      <c r="I10" s="125"/>
      <c r="J10" s="125"/>
      <c r="M10" s="731"/>
      <c r="N10" s="731"/>
      <c r="O10" s="731"/>
      <c r="P10" s="731"/>
      <c r="Q10" s="731"/>
      <c r="R10" s="731"/>
      <c r="S10" s="731"/>
      <c r="U10" s="731"/>
      <c r="V10" s="731"/>
      <c r="W10" s="731"/>
      <c r="Y10" s="215"/>
      <c r="Z10" s="731"/>
      <c r="AA10" s="731"/>
      <c r="AB10" s="731"/>
      <c r="AC10" s="731"/>
      <c r="AD10" s="731"/>
      <c r="AE10" s="731"/>
      <c r="AF10" s="40"/>
      <c r="AG10" s="731"/>
      <c r="AH10" s="731"/>
      <c r="AI10" s="731"/>
      <c r="AJ10" s="731"/>
      <c r="AK10" s="731"/>
      <c r="AL10" s="731"/>
      <c r="AM10" s="40"/>
      <c r="AN10" s="731"/>
      <c r="AO10" s="731"/>
      <c r="AP10" s="731"/>
      <c r="AQ10" s="731"/>
      <c r="AR10" s="731"/>
      <c r="AS10" s="731"/>
      <c r="AT10" s="216"/>
    </row>
    <row r="11" spans="1:242" x14ac:dyDescent="0.2">
      <c r="J11" s="78" t="s">
        <v>4</v>
      </c>
      <c r="K11" s="76">
        <v>2.8000000000000001E-2</v>
      </c>
      <c r="Y11" s="215"/>
      <c r="Z11" s="40"/>
      <c r="AA11" s="40"/>
      <c r="AB11" s="40"/>
      <c r="AC11" s="40"/>
      <c r="AD11" s="40"/>
      <c r="AE11" s="40"/>
      <c r="AF11" s="40"/>
      <c r="AG11" s="40"/>
      <c r="AH11" s="40"/>
      <c r="AI11" s="40"/>
      <c r="AJ11" s="40"/>
      <c r="AK11" s="40"/>
      <c r="AL11" s="40"/>
      <c r="AM11" s="40"/>
      <c r="AN11" s="40"/>
      <c r="AO11" s="40"/>
      <c r="AP11" s="40"/>
      <c r="AQ11" s="40"/>
      <c r="AR11" s="40"/>
      <c r="AS11" s="40"/>
      <c r="AT11" s="216"/>
    </row>
    <row r="12" spans="1:242" ht="12.75" customHeight="1" thickBot="1" x14ac:dyDescent="0.25">
      <c r="K12" s="40"/>
      <c r="L12" s="40"/>
      <c r="M12" s="786"/>
      <c r="N12" s="786"/>
      <c r="O12" s="786"/>
      <c r="P12" s="786"/>
      <c r="Q12" s="786"/>
      <c r="R12" s="786"/>
      <c r="Y12" s="215"/>
      <c r="Z12" s="40"/>
      <c r="AA12" s="40"/>
      <c r="AB12" s="40"/>
      <c r="AC12" s="40"/>
      <c r="AD12" s="40"/>
      <c r="AE12" s="40"/>
      <c r="AF12" s="40"/>
      <c r="AG12" s="40"/>
      <c r="AH12" s="40"/>
      <c r="AI12" s="40"/>
      <c r="AJ12" s="40"/>
      <c r="AK12" s="40"/>
      <c r="AL12" s="40"/>
      <c r="AM12" s="40"/>
      <c r="AN12" s="40"/>
      <c r="AO12" s="40"/>
      <c r="AP12" s="40"/>
      <c r="AQ12" s="40"/>
      <c r="AR12" s="40"/>
      <c r="AS12" s="40"/>
      <c r="AT12" s="216"/>
    </row>
    <row r="13" spans="1:242" ht="21.75" customHeight="1" x14ac:dyDescent="0.2">
      <c r="A13" s="775" t="s">
        <v>120</v>
      </c>
      <c r="B13" s="776"/>
      <c r="C13" s="779" t="s">
        <v>73</v>
      </c>
      <c r="D13" s="779" t="s">
        <v>74</v>
      </c>
      <c r="E13" s="781" t="s">
        <v>3</v>
      </c>
      <c r="F13" s="781" t="s">
        <v>82</v>
      </c>
      <c r="G13" s="783" t="s">
        <v>147</v>
      </c>
      <c r="H13" s="784"/>
      <c r="I13" s="784"/>
      <c r="J13" s="785"/>
      <c r="K13" s="771" t="s">
        <v>149</v>
      </c>
      <c r="L13" s="38"/>
      <c r="M13" s="745" t="s">
        <v>69</v>
      </c>
      <c r="N13" s="773"/>
      <c r="O13" s="733" t="s">
        <v>70</v>
      </c>
      <c r="P13" s="734"/>
      <c r="Q13" s="774" t="s">
        <v>71</v>
      </c>
      <c r="R13" s="736"/>
      <c r="S13" s="729" t="s">
        <v>153</v>
      </c>
      <c r="U13" s="767" t="s">
        <v>76</v>
      </c>
      <c r="V13" s="769" t="s">
        <v>77</v>
      </c>
      <c r="W13" s="732" t="s">
        <v>150</v>
      </c>
      <c r="Y13" s="215"/>
      <c r="Z13" s="739" t="s">
        <v>69</v>
      </c>
      <c r="AA13" s="740"/>
      <c r="AB13" s="741" t="s">
        <v>70</v>
      </c>
      <c r="AC13" s="742"/>
      <c r="AD13" s="743" t="s">
        <v>71</v>
      </c>
      <c r="AE13" s="744"/>
      <c r="AF13" s="40"/>
      <c r="AG13" s="745" t="s">
        <v>69</v>
      </c>
      <c r="AH13" s="746"/>
      <c r="AI13" s="733" t="s">
        <v>70</v>
      </c>
      <c r="AJ13" s="734"/>
      <c r="AK13" s="735" t="s">
        <v>71</v>
      </c>
      <c r="AL13" s="736"/>
      <c r="AM13" s="40"/>
      <c r="AN13" s="745" t="s">
        <v>69</v>
      </c>
      <c r="AO13" s="746"/>
      <c r="AP13" s="733" t="s">
        <v>70</v>
      </c>
      <c r="AQ13" s="734"/>
      <c r="AR13" s="735" t="s">
        <v>71</v>
      </c>
      <c r="AS13" s="736"/>
      <c r="AT13" s="216"/>
    </row>
    <row r="14" spans="1:242" s="40" customFormat="1" ht="39" thickBot="1" x14ac:dyDescent="0.25">
      <c r="A14" s="777"/>
      <c r="B14" s="778"/>
      <c r="C14" s="780"/>
      <c r="D14" s="780"/>
      <c r="E14" s="782"/>
      <c r="F14" s="782"/>
      <c r="G14" s="143" t="s">
        <v>117</v>
      </c>
      <c r="H14" s="143" t="s">
        <v>118</v>
      </c>
      <c r="I14" s="144" t="s">
        <v>119</v>
      </c>
      <c r="J14" s="145" t="s">
        <v>148</v>
      </c>
      <c r="K14" s="772"/>
      <c r="L14" s="38"/>
      <c r="M14" s="199" t="s">
        <v>36</v>
      </c>
      <c r="N14" s="201" t="s">
        <v>37</v>
      </c>
      <c r="O14" s="206" t="s">
        <v>36</v>
      </c>
      <c r="P14" s="207" t="s">
        <v>37</v>
      </c>
      <c r="Q14" s="202" t="s">
        <v>36</v>
      </c>
      <c r="R14" s="200" t="s">
        <v>37</v>
      </c>
      <c r="S14" s="730"/>
      <c r="U14" s="768"/>
      <c r="V14" s="770"/>
      <c r="W14" s="732"/>
      <c r="Y14" s="215"/>
      <c r="Z14" s="199" t="s">
        <v>36</v>
      </c>
      <c r="AA14" s="201" t="s">
        <v>37</v>
      </c>
      <c r="AB14" s="206" t="s">
        <v>36</v>
      </c>
      <c r="AC14" s="207" t="s">
        <v>37</v>
      </c>
      <c r="AD14" s="202" t="s">
        <v>36</v>
      </c>
      <c r="AE14" s="200" t="s">
        <v>37</v>
      </c>
      <c r="AG14" s="218" t="s">
        <v>36</v>
      </c>
      <c r="AH14" s="219" t="s">
        <v>37</v>
      </c>
      <c r="AI14" s="220" t="s">
        <v>36</v>
      </c>
      <c r="AJ14" s="221" t="s">
        <v>37</v>
      </c>
      <c r="AK14" s="222" t="s">
        <v>36</v>
      </c>
      <c r="AL14" s="223" t="s">
        <v>37</v>
      </c>
      <c r="AN14" s="737" t="s">
        <v>154</v>
      </c>
      <c r="AO14" s="738"/>
      <c r="AP14" s="724" t="s">
        <v>154</v>
      </c>
      <c r="AQ14" s="725"/>
      <c r="AR14" s="726" t="s">
        <v>155</v>
      </c>
      <c r="AS14" s="727"/>
      <c r="AT14" s="216"/>
    </row>
    <row r="15" spans="1:242" s="40" customFormat="1" ht="12.75" customHeight="1" thickBot="1" x14ac:dyDescent="0.25">
      <c r="A15" s="753" t="s">
        <v>146</v>
      </c>
      <c r="B15" s="756" t="s">
        <v>94</v>
      </c>
      <c r="C15" s="478" t="s">
        <v>225</v>
      </c>
      <c r="D15" s="235" t="s">
        <v>226</v>
      </c>
      <c r="E15" s="479" t="s">
        <v>227</v>
      </c>
      <c r="F15" s="480" t="s">
        <v>121</v>
      </c>
      <c r="G15" s="236">
        <v>7884000</v>
      </c>
      <c r="H15" s="236">
        <v>330000</v>
      </c>
      <c r="I15" s="481">
        <v>128000</v>
      </c>
      <c r="J15" s="149">
        <f>SUM(G15:I15)</f>
        <v>8342000</v>
      </c>
      <c r="K15" s="141">
        <f t="shared" ref="K15:K69" si="0">+J15*(1+$K$11)</f>
        <v>8575576</v>
      </c>
      <c r="L15" s="38"/>
      <c r="M15" s="591">
        <f>57%+16.08%</f>
        <v>0.73079999999999989</v>
      </c>
      <c r="N15" s="192">
        <f t="shared" ref="N15:N61" si="1">+$K15*M15</f>
        <v>6267030.9407999991</v>
      </c>
      <c r="O15" s="591">
        <f>11%+3.1%</f>
        <v>0.14100000000000001</v>
      </c>
      <c r="P15" s="203">
        <f t="shared" ref="P15:P61" si="2">+$K15*O15</f>
        <v>1209156.216</v>
      </c>
      <c r="Q15" s="595">
        <f>10%+2.82%</f>
        <v>0.12820000000000001</v>
      </c>
      <c r="R15" s="192">
        <f t="shared" ref="R15:R61" si="3">+$K15*Q15</f>
        <v>1099388.8432</v>
      </c>
      <c r="S15" s="195">
        <f>+M15+O15+Q15</f>
        <v>0.99999999999999989</v>
      </c>
      <c r="U15" s="162"/>
      <c r="V15" s="159" t="s">
        <v>11</v>
      </c>
      <c r="W15" s="165">
        <f>SUM(W16,W20)</f>
        <v>-2810406</v>
      </c>
      <c r="Y15" s="215"/>
      <c r="Z15" s="208">
        <f t="shared" ref="Z15:AE15" si="4">+M62</f>
        <v>0.62081873767774587</v>
      </c>
      <c r="AA15" s="210">
        <f t="shared" si="4"/>
        <v>73157056.553200006</v>
      </c>
      <c r="AB15" s="208">
        <f t="shared" si="4"/>
        <v>0.18384387594870455</v>
      </c>
      <c r="AC15" s="211">
        <f t="shared" si="4"/>
        <v>21664096.158000004</v>
      </c>
      <c r="AD15" s="209">
        <f t="shared" si="4"/>
        <v>0.19532282386809735</v>
      </c>
      <c r="AE15" s="211">
        <f t="shared" si="4"/>
        <v>23016771.248399999</v>
      </c>
      <c r="AG15" s="230">
        <f>+Z15</f>
        <v>0.62081873767774587</v>
      </c>
      <c r="AH15" s="224">
        <f>+AG15*W80</f>
        <v>20062161.040235847</v>
      </c>
      <c r="AI15" s="231">
        <f>+AB15</f>
        <v>0.18384387594870455</v>
      </c>
      <c r="AJ15" s="224">
        <f>+AI15*W80</f>
        <v>5941034.3498017546</v>
      </c>
      <c r="AK15" s="232">
        <f>+AD15</f>
        <v>0.19532282386809735</v>
      </c>
      <c r="AL15" s="225">
        <f>+AK15*W80</f>
        <v>6311984.0131330797</v>
      </c>
      <c r="AN15" s="722">
        <f>+AH15+AA15</f>
        <v>93219217.593435854</v>
      </c>
      <c r="AO15" s="723"/>
      <c r="AP15" s="722">
        <f>+AJ15+AC15+K70</f>
        <v>27605130.507801756</v>
      </c>
      <c r="AQ15" s="723"/>
      <c r="AR15" s="722">
        <f>+AL15+AE15</f>
        <v>29328755.261533078</v>
      </c>
      <c r="AS15" s="728"/>
      <c r="AT15" s="216"/>
    </row>
    <row r="16" spans="1:242" s="40" customFormat="1" x14ac:dyDescent="0.2">
      <c r="A16" s="754"/>
      <c r="B16" s="757"/>
      <c r="C16" s="482" t="s">
        <v>228</v>
      </c>
      <c r="D16" s="234" t="s">
        <v>229</v>
      </c>
      <c r="E16" s="483" t="s">
        <v>230</v>
      </c>
      <c r="F16" s="484" t="s">
        <v>121</v>
      </c>
      <c r="G16" s="190">
        <v>9168000</v>
      </c>
      <c r="H16" s="190">
        <v>330000</v>
      </c>
      <c r="I16" s="485">
        <v>133000</v>
      </c>
      <c r="J16" s="150">
        <f t="shared" ref="J16:J69" si="5">SUM(G16:I16)</f>
        <v>9631000</v>
      </c>
      <c r="K16" s="142">
        <f t="shared" si="0"/>
        <v>9900668</v>
      </c>
      <c r="L16" s="38"/>
      <c r="M16" s="592">
        <f>40%+7.06%</f>
        <v>0.47060000000000002</v>
      </c>
      <c r="N16" s="193">
        <f t="shared" si="1"/>
        <v>4659254.3607999999</v>
      </c>
      <c r="O16" s="592">
        <f>30%+5.29%</f>
        <v>0.35289999999999999</v>
      </c>
      <c r="P16" s="191">
        <f t="shared" si="2"/>
        <v>3493945.7371999999</v>
      </c>
      <c r="Q16" s="596">
        <f>15%+2.65%</f>
        <v>0.17649999999999999</v>
      </c>
      <c r="R16" s="193">
        <f t="shared" si="3"/>
        <v>1747467.902</v>
      </c>
      <c r="S16" s="196">
        <f t="shared" ref="S16:S61" si="6">+M16+O16+Q16</f>
        <v>1</v>
      </c>
      <c r="U16" s="163"/>
      <c r="V16" s="160" t="s">
        <v>12</v>
      </c>
      <c r="W16" s="166">
        <f>SUM(W17:W19)</f>
        <v>-34000000</v>
      </c>
      <c r="Y16" s="215"/>
      <c r="AT16" s="216"/>
    </row>
    <row r="17" spans="1:46" s="40" customFormat="1" ht="12.75" customHeight="1" x14ac:dyDescent="0.2">
      <c r="A17" s="754"/>
      <c r="B17" s="757"/>
      <c r="C17" s="482" t="s">
        <v>231</v>
      </c>
      <c r="D17" s="234" t="s">
        <v>232</v>
      </c>
      <c r="E17" s="483" t="s">
        <v>233</v>
      </c>
      <c r="F17" s="484" t="s">
        <v>121</v>
      </c>
      <c r="G17" s="190">
        <v>8868000</v>
      </c>
      <c r="H17" s="190">
        <v>330000</v>
      </c>
      <c r="I17" s="485">
        <v>133000</v>
      </c>
      <c r="J17" s="150">
        <f t="shared" si="5"/>
        <v>9331000</v>
      </c>
      <c r="K17" s="142">
        <f t="shared" si="0"/>
        <v>9592268</v>
      </c>
      <c r="L17" s="38"/>
      <c r="M17" s="592">
        <f>57%+15.15%</f>
        <v>0.72149999999999992</v>
      </c>
      <c r="N17" s="193">
        <f t="shared" si="1"/>
        <v>6920821.3619999988</v>
      </c>
      <c r="O17" s="592">
        <f>11%+2.92%</f>
        <v>0.13919999999999999</v>
      </c>
      <c r="P17" s="191">
        <f t="shared" si="2"/>
        <v>1335243.7056</v>
      </c>
      <c r="Q17" s="596">
        <f>11%+2.92%</f>
        <v>0.13919999999999999</v>
      </c>
      <c r="R17" s="193">
        <f t="shared" si="3"/>
        <v>1335243.7056</v>
      </c>
      <c r="S17" s="196">
        <f t="shared" si="6"/>
        <v>0.9998999999999999</v>
      </c>
      <c r="U17" s="164">
        <v>53103050000000</v>
      </c>
      <c r="V17" s="161" t="s">
        <v>13</v>
      </c>
      <c r="W17" s="167">
        <v>0</v>
      </c>
      <c r="Y17" s="215"/>
      <c r="AT17" s="216"/>
    </row>
    <row r="18" spans="1:46" s="40" customFormat="1" ht="13.5" customHeight="1" thickBot="1" x14ac:dyDescent="0.25">
      <c r="A18" s="754"/>
      <c r="B18" s="757"/>
      <c r="C18" s="482" t="s">
        <v>234</v>
      </c>
      <c r="D18" s="234" t="s">
        <v>235</v>
      </c>
      <c r="E18" s="483" t="s">
        <v>236</v>
      </c>
      <c r="F18" s="484" t="s">
        <v>121</v>
      </c>
      <c r="G18" s="190">
        <v>6900000</v>
      </c>
      <c r="H18" s="190">
        <v>330000</v>
      </c>
      <c r="I18" s="485">
        <v>132000</v>
      </c>
      <c r="J18" s="150">
        <f t="shared" si="5"/>
        <v>7362000</v>
      </c>
      <c r="K18" s="142">
        <f t="shared" si="0"/>
        <v>7568136</v>
      </c>
      <c r="L18" s="38"/>
      <c r="M18" s="592">
        <f>25%+34.52%</f>
        <v>0.59519999999999995</v>
      </c>
      <c r="N18" s="193">
        <f t="shared" si="1"/>
        <v>4504554.5471999999</v>
      </c>
      <c r="O18" s="592">
        <f>5%+6.9%</f>
        <v>0.11900000000000001</v>
      </c>
      <c r="P18" s="191">
        <f t="shared" si="2"/>
        <v>900608.18400000001</v>
      </c>
      <c r="Q18" s="596">
        <f>12%+16.57%</f>
        <v>0.28570000000000001</v>
      </c>
      <c r="R18" s="193">
        <f t="shared" si="3"/>
        <v>2162216.4552000002</v>
      </c>
      <c r="S18" s="196">
        <f t="shared" si="6"/>
        <v>0.99990000000000001</v>
      </c>
      <c r="U18" s="164">
        <v>53103060000000</v>
      </c>
      <c r="V18" s="161" t="s">
        <v>14</v>
      </c>
      <c r="W18" s="167">
        <v>0</v>
      </c>
      <c r="Y18" s="226"/>
      <c r="Z18" s="227"/>
      <c r="AA18" s="227"/>
      <c r="AB18" s="227"/>
      <c r="AC18" s="227"/>
      <c r="AD18" s="227"/>
      <c r="AE18" s="227"/>
      <c r="AF18" s="227"/>
      <c r="AG18" s="227"/>
      <c r="AH18" s="227"/>
      <c r="AI18" s="227"/>
      <c r="AJ18" s="227"/>
      <c r="AK18" s="227"/>
      <c r="AL18" s="227"/>
      <c r="AM18" s="227"/>
      <c r="AN18" s="227"/>
      <c r="AO18" s="227"/>
      <c r="AP18" s="227"/>
      <c r="AQ18" s="227"/>
      <c r="AR18" s="227"/>
      <c r="AS18" s="227"/>
      <c r="AT18" s="228"/>
    </row>
    <row r="19" spans="1:46" s="40" customFormat="1" x14ac:dyDescent="0.2">
      <c r="A19" s="754"/>
      <c r="B19" s="757"/>
      <c r="C19" s="482" t="s">
        <v>237</v>
      </c>
      <c r="D19" s="234" t="s">
        <v>238</v>
      </c>
      <c r="E19" s="483" t="s">
        <v>239</v>
      </c>
      <c r="F19" s="484" t="s">
        <v>121</v>
      </c>
      <c r="G19" s="190">
        <v>7008000</v>
      </c>
      <c r="H19" s="190">
        <v>330000</v>
      </c>
      <c r="I19" s="485">
        <v>132000</v>
      </c>
      <c r="J19" s="150">
        <f t="shared" si="5"/>
        <v>7470000</v>
      </c>
      <c r="K19" s="142">
        <f t="shared" si="0"/>
        <v>7679160</v>
      </c>
      <c r="L19" s="38"/>
      <c r="M19" s="592">
        <f>50%+2.08%</f>
        <v>0.52080000000000004</v>
      </c>
      <c r="N19" s="193">
        <f t="shared" si="1"/>
        <v>3999306.5280000004</v>
      </c>
      <c r="O19" s="592">
        <f>23%+0.96%</f>
        <v>0.23960000000000001</v>
      </c>
      <c r="P19" s="191">
        <f t="shared" si="2"/>
        <v>1839926.736</v>
      </c>
      <c r="Q19" s="596">
        <f>23%+0.96%</f>
        <v>0.23960000000000001</v>
      </c>
      <c r="R19" s="193">
        <f t="shared" si="3"/>
        <v>1839926.736</v>
      </c>
      <c r="S19" s="196">
        <f t="shared" si="6"/>
        <v>1</v>
      </c>
      <c r="U19" s="164">
        <v>53103080010000</v>
      </c>
      <c r="V19" s="161" t="s">
        <v>15</v>
      </c>
      <c r="W19" s="167">
        <v>-34000000</v>
      </c>
    </row>
    <row r="20" spans="1:46" s="40" customFormat="1" x14ac:dyDescent="0.2">
      <c r="A20" s="754"/>
      <c r="B20" s="757"/>
      <c r="C20" s="482" t="s">
        <v>243</v>
      </c>
      <c r="D20" s="234" t="s">
        <v>244</v>
      </c>
      <c r="E20" s="483" t="s">
        <v>245</v>
      </c>
      <c r="F20" s="484" t="s">
        <v>121</v>
      </c>
      <c r="G20" s="190">
        <v>6876000</v>
      </c>
      <c r="H20" s="190">
        <v>330000</v>
      </c>
      <c r="I20" s="485">
        <v>132000</v>
      </c>
      <c r="J20" s="150">
        <f t="shared" si="5"/>
        <v>7338000</v>
      </c>
      <c r="K20" s="142">
        <f t="shared" si="0"/>
        <v>7543464</v>
      </c>
      <c r="L20" s="38"/>
      <c r="M20" s="592">
        <f>34%+43.28%</f>
        <v>0.77280000000000004</v>
      </c>
      <c r="N20" s="193">
        <f t="shared" si="1"/>
        <v>5829588.9791999999</v>
      </c>
      <c r="O20" s="592">
        <f>5%+6.36%</f>
        <v>0.11360000000000001</v>
      </c>
      <c r="P20" s="191">
        <f t="shared" si="2"/>
        <v>856937.51040000003</v>
      </c>
      <c r="Q20" s="596">
        <f>5%+6.36%</f>
        <v>0.11360000000000001</v>
      </c>
      <c r="R20" s="193">
        <f t="shared" si="3"/>
        <v>856937.51040000003</v>
      </c>
      <c r="S20" s="196">
        <f t="shared" si="6"/>
        <v>1</v>
      </c>
      <c r="U20" s="163"/>
      <c r="V20" s="160" t="s">
        <v>16</v>
      </c>
      <c r="W20" s="229">
        <f>SUM(W21:W39)</f>
        <v>31189594</v>
      </c>
    </row>
    <row r="21" spans="1:46" s="40" customFormat="1" x14ac:dyDescent="0.2">
      <c r="A21" s="754"/>
      <c r="B21" s="757"/>
      <c r="C21" s="482" t="s">
        <v>246</v>
      </c>
      <c r="D21" s="234" t="s">
        <v>247</v>
      </c>
      <c r="E21" s="483" t="s">
        <v>248</v>
      </c>
      <c r="F21" s="484" t="s">
        <v>121</v>
      </c>
      <c r="G21" s="190">
        <v>12036000</v>
      </c>
      <c r="H21" s="190">
        <v>190000</v>
      </c>
      <c r="I21" s="485">
        <v>131000</v>
      </c>
      <c r="J21" s="150">
        <f t="shared" si="5"/>
        <v>12357000</v>
      </c>
      <c r="K21" s="142">
        <f t="shared" si="0"/>
        <v>12702996</v>
      </c>
      <c r="L21" s="38"/>
      <c r="M21" s="593">
        <f>23%+42.72%</f>
        <v>0.65720000000000001</v>
      </c>
      <c r="N21" s="193">
        <f t="shared" si="1"/>
        <v>8348408.9712000005</v>
      </c>
      <c r="O21" s="592">
        <f>6%+11.14%</f>
        <v>0.1714</v>
      </c>
      <c r="P21" s="191">
        <f t="shared" si="2"/>
        <v>2177293.5143999998</v>
      </c>
      <c r="Q21" s="596">
        <f>6%+11.14%</f>
        <v>0.1714</v>
      </c>
      <c r="R21" s="193">
        <f t="shared" si="3"/>
        <v>2177293.5143999998</v>
      </c>
      <c r="S21" s="196">
        <f t="shared" si="6"/>
        <v>1</v>
      </c>
      <c r="U21" s="164">
        <v>53201010100000</v>
      </c>
      <c r="V21" s="161" t="s">
        <v>17</v>
      </c>
      <c r="W21" s="167">
        <v>8776568</v>
      </c>
    </row>
    <row r="22" spans="1:46" s="40" customFormat="1" x14ac:dyDescent="0.2">
      <c r="A22" s="754"/>
      <c r="B22" s="757"/>
      <c r="C22" s="482" t="s">
        <v>240</v>
      </c>
      <c r="D22" s="234" t="s">
        <v>241</v>
      </c>
      <c r="E22" s="483" t="s">
        <v>242</v>
      </c>
      <c r="F22" s="484" t="s">
        <v>121</v>
      </c>
      <c r="G22" s="190">
        <v>10680000</v>
      </c>
      <c r="H22" s="190">
        <v>330000</v>
      </c>
      <c r="I22" s="485">
        <v>131000</v>
      </c>
      <c r="J22" s="150">
        <f t="shared" si="5"/>
        <v>11141000</v>
      </c>
      <c r="K22" s="142">
        <f t="shared" si="0"/>
        <v>11452948</v>
      </c>
      <c r="L22" s="38"/>
      <c r="M22" s="592">
        <f>41%+20.2%</f>
        <v>0.61199999999999999</v>
      </c>
      <c r="N22" s="193">
        <f t="shared" si="1"/>
        <v>7009204.176</v>
      </c>
      <c r="O22" s="592">
        <f>5%+2.46%</f>
        <v>7.46E-2</v>
      </c>
      <c r="P22" s="191">
        <f t="shared" si="2"/>
        <v>854389.92079999996</v>
      </c>
      <c r="Q22" s="596">
        <f>21%+10.34%</f>
        <v>0.31340000000000001</v>
      </c>
      <c r="R22" s="193">
        <f t="shared" si="3"/>
        <v>3589353.9032000001</v>
      </c>
      <c r="S22" s="196">
        <f t="shared" si="6"/>
        <v>1</v>
      </c>
      <c r="U22" s="164">
        <v>53202010100000</v>
      </c>
      <c r="V22" s="161" t="s">
        <v>18</v>
      </c>
      <c r="W22" s="167">
        <v>0</v>
      </c>
    </row>
    <row r="23" spans="1:46" s="40" customFormat="1" x14ac:dyDescent="0.2">
      <c r="A23" s="754"/>
      <c r="B23" s="757"/>
      <c r="C23" s="86"/>
      <c r="D23" s="137"/>
      <c r="E23" s="138"/>
      <c r="F23" s="139"/>
      <c r="G23" s="127"/>
      <c r="H23" s="127"/>
      <c r="I23" s="147"/>
      <c r="J23" s="150">
        <f t="shared" si="5"/>
        <v>0</v>
      </c>
      <c r="K23" s="142">
        <f t="shared" si="0"/>
        <v>0</v>
      </c>
      <c r="L23" s="38"/>
      <c r="M23" s="592"/>
      <c r="N23" s="193">
        <f t="shared" si="1"/>
        <v>0</v>
      </c>
      <c r="O23" s="592"/>
      <c r="P23" s="191">
        <f t="shared" si="2"/>
        <v>0</v>
      </c>
      <c r="Q23" s="596"/>
      <c r="R23" s="193">
        <f t="shared" si="3"/>
        <v>0</v>
      </c>
      <c r="S23" s="196">
        <f t="shared" si="6"/>
        <v>0</v>
      </c>
      <c r="U23" s="164">
        <v>53203010100000</v>
      </c>
      <c r="V23" s="161" t="s">
        <v>19</v>
      </c>
      <c r="W23" s="167">
        <v>4000000</v>
      </c>
    </row>
    <row r="24" spans="1:46" s="40" customFormat="1" ht="13.5" thickBot="1" x14ac:dyDescent="0.25">
      <c r="A24" s="754"/>
      <c r="B24" s="758"/>
      <c r="C24" s="157"/>
      <c r="D24" s="128"/>
      <c r="E24" s="129"/>
      <c r="F24" s="130"/>
      <c r="G24" s="131"/>
      <c r="H24" s="131"/>
      <c r="I24" s="148"/>
      <c r="J24" s="151">
        <f t="shared" si="5"/>
        <v>0</v>
      </c>
      <c r="K24" s="140">
        <f t="shared" si="0"/>
        <v>0</v>
      </c>
      <c r="L24" s="38"/>
      <c r="M24" s="594"/>
      <c r="N24" s="194">
        <f t="shared" si="1"/>
        <v>0</v>
      </c>
      <c r="O24" s="594"/>
      <c r="P24" s="204">
        <f t="shared" si="2"/>
        <v>0</v>
      </c>
      <c r="Q24" s="597"/>
      <c r="R24" s="194">
        <f t="shared" si="3"/>
        <v>0</v>
      </c>
      <c r="S24" s="197">
        <f t="shared" si="6"/>
        <v>0</v>
      </c>
      <c r="U24" s="164">
        <v>53203030000000</v>
      </c>
      <c r="V24" s="161" t="s">
        <v>20</v>
      </c>
      <c r="W24" s="167">
        <v>0</v>
      </c>
    </row>
    <row r="25" spans="1:46" s="40" customFormat="1" ht="12.75" customHeight="1" x14ac:dyDescent="0.2">
      <c r="A25" s="754"/>
      <c r="B25" s="756" t="s">
        <v>93</v>
      </c>
      <c r="C25" s="478" t="s">
        <v>249</v>
      </c>
      <c r="D25" s="235" t="s">
        <v>250</v>
      </c>
      <c r="E25" s="479" t="s">
        <v>251</v>
      </c>
      <c r="F25" s="480" t="s">
        <v>121</v>
      </c>
      <c r="G25" s="236">
        <v>17256000</v>
      </c>
      <c r="H25" s="236">
        <v>190000</v>
      </c>
      <c r="I25" s="481">
        <v>130000</v>
      </c>
      <c r="J25" s="149">
        <f t="shared" si="5"/>
        <v>17576000</v>
      </c>
      <c r="K25" s="141">
        <f t="shared" si="0"/>
        <v>18068128</v>
      </c>
      <c r="L25" s="38"/>
      <c r="M25" s="591">
        <f>33%+21.1%</f>
        <v>0.54100000000000004</v>
      </c>
      <c r="N25" s="192">
        <f t="shared" si="1"/>
        <v>9774857.2480000015</v>
      </c>
      <c r="O25" s="591">
        <f>17%+10.87%</f>
        <v>0.2787</v>
      </c>
      <c r="P25" s="203">
        <f t="shared" si="2"/>
        <v>5035587.2736</v>
      </c>
      <c r="Q25" s="595">
        <f>11%+7.03%</f>
        <v>0.18030000000000002</v>
      </c>
      <c r="R25" s="192">
        <f t="shared" si="3"/>
        <v>3257683.4784000004</v>
      </c>
      <c r="S25" s="195">
        <f t="shared" si="6"/>
        <v>1</v>
      </c>
      <c r="U25" s="164">
        <v>53204030000000</v>
      </c>
      <c r="V25" s="161" t="s">
        <v>21</v>
      </c>
      <c r="W25" s="167">
        <v>41200</v>
      </c>
      <c r="AG25" s="29"/>
    </row>
    <row r="26" spans="1:46" s="40" customFormat="1" ht="12.75" customHeight="1" x14ac:dyDescent="0.2">
      <c r="A26" s="754"/>
      <c r="B26" s="757"/>
      <c r="C26" s="86"/>
      <c r="D26" s="137"/>
      <c r="E26" s="138"/>
      <c r="F26" s="139"/>
      <c r="G26" s="127"/>
      <c r="H26" s="127"/>
      <c r="I26" s="147"/>
      <c r="J26" s="150">
        <f t="shared" si="5"/>
        <v>0</v>
      </c>
      <c r="K26" s="142">
        <f t="shared" si="0"/>
        <v>0</v>
      </c>
      <c r="L26" s="38"/>
      <c r="M26" s="592"/>
      <c r="N26" s="193">
        <f t="shared" si="1"/>
        <v>0</v>
      </c>
      <c r="O26" s="592"/>
      <c r="P26" s="191">
        <f t="shared" si="2"/>
        <v>0</v>
      </c>
      <c r="Q26" s="596"/>
      <c r="R26" s="193">
        <f t="shared" si="3"/>
        <v>0</v>
      </c>
      <c r="S26" s="196">
        <f t="shared" si="6"/>
        <v>0</v>
      </c>
      <c r="U26" s="164">
        <v>53204100100001</v>
      </c>
      <c r="V26" s="161" t="s">
        <v>22</v>
      </c>
      <c r="W26" s="167">
        <v>1870000</v>
      </c>
      <c r="AG26" s="29"/>
    </row>
    <row r="27" spans="1:46" s="40" customFormat="1" ht="12.75" customHeight="1" x14ac:dyDescent="0.2">
      <c r="A27" s="754"/>
      <c r="B27" s="757"/>
      <c r="C27" s="86"/>
      <c r="D27" s="137"/>
      <c r="E27" s="138"/>
      <c r="F27" s="139"/>
      <c r="G27" s="127"/>
      <c r="H27" s="127"/>
      <c r="I27" s="147"/>
      <c r="J27" s="150">
        <f t="shared" si="5"/>
        <v>0</v>
      </c>
      <c r="K27" s="142">
        <f t="shared" si="0"/>
        <v>0</v>
      </c>
      <c r="L27" s="38"/>
      <c r="M27" s="592"/>
      <c r="N27" s="193">
        <f t="shared" si="1"/>
        <v>0</v>
      </c>
      <c r="O27" s="592"/>
      <c r="P27" s="191">
        <f t="shared" si="2"/>
        <v>0</v>
      </c>
      <c r="Q27" s="596"/>
      <c r="R27" s="193">
        <f t="shared" si="3"/>
        <v>0</v>
      </c>
      <c r="S27" s="196">
        <f t="shared" si="6"/>
        <v>0</v>
      </c>
      <c r="U27" s="164">
        <v>53204130100000</v>
      </c>
      <c r="V27" s="161" t="s">
        <v>23</v>
      </c>
      <c r="W27" s="167">
        <v>0</v>
      </c>
      <c r="AG27" s="29"/>
    </row>
    <row r="28" spans="1:46" s="40" customFormat="1" ht="12.75" customHeight="1" x14ac:dyDescent="0.2">
      <c r="A28" s="754"/>
      <c r="B28" s="757"/>
      <c r="C28" s="86"/>
      <c r="D28" s="137"/>
      <c r="E28" s="138"/>
      <c r="F28" s="139"/>
      <c r="G28" s="127"/>
      <c r="H28" s="127"/>
      <c r="I28" s="147"/>
      <c r="J28" s="150">
        <f t="shared" si="5"/>
        <v>0</v>
      </c>
      <c r="K28" s="142">
        <f t="shared" si="0"/>
        <v>0</v>
      </c>
      <c r="L28" s="38"/>
      <c r="M28" s="592"/>
      <c r="N28" s="193">
        <f t="shared" si="1"/>
        <v>0</v>
      </c>
      <c r="O28" s="592"/>
      <c r="P28" s="191">
        <f t="shared" si="2"/>
        <v>0</v>
      </c>
      <c r="Q28" s="596"/>
      <c r="R28" s="193">
        <f t="shared" si="3"/>
        <v>0</v>
      </c>
      <c r="S28" s="196">
        <f t="shared" si="6"/>
        <v>0</v>
      </c>
      <c r="U28" s="164">
        <v>53205010100000</v>
      </c>
      <c r="V28" s="161" t="s">
        <v>24</v>
      </c>
      <c r="W28" s="167">
        <v>1174213</v>
      </c>
      <c r="AG28" s="29"/>
    </row>
    <row r="29" spans="1:46" s="40" customFormat="1" ht="12.75" customHeight="1" x14ac:dyDescent="0.2">
      <c r="A29" s="754"/>
      <c r="B29" s="757"/>
      <c r="C29" s="86"/>
      <c r="D29" s="137"/>
      <c r="E29" s="138"/>
      <c r="F29" s="139"/>
      <c r="G29" s="127"/>
      <c r="H29" s="127"/>
      <c r="I29" s="147"/>
      <c r="J29" s="150">
        <f t="shared" si="5"/>
        <v>0</v>
      </c>
      <c r="K29" s="142">
        <f t="shared" si="0"/>
        <v>0</v>
      </c>
      <c r="L29" s="38"/>
      <c r="M29" s="592"/>
      <c r="N29" s="193">
        <f t="shared" si="1"/>
        <v>0</v>
      </c>
      <c r="O29" s="592"/>
      <c r="P29" s="191">
        <f t="shared" si="2"/>
        <v>0</v>
      </c>
      <c r="Q29" s="596"/>
      <c r="R29" s="193">
        <f t="shared" si="3"/>
        <v>0</v>
      </c>
      <c r="S29" s="196">
        <f t="shared" si="6"/>
        <v>0</v>
      </c>
      <c r="U29" s="164">
        <v>53205020100000</v>
      </c>
      <c r="V29" s="161" t="s">
        <v>25</v>
      </c>
      <c r="W29" s="167">
        <v>1491000</v>
      </c>
      <c r="AG29" s="29"/>
    </row>
    <row r="30" spans="1:46" s="40" customFormat="1" ht="12.75" customHeight="1" x14ac:dyDescent="0.2">
      <c r="A30" s="754"/>
      <c r="B30" s="757"/>
      <c r="C30" s="86"/>
      <c r="D30" s="137"/>
      <c r="E30" s="138"/>
      <c r="F30" s="139"/>
      <c r="G30" s="127"/>
      <c r="H30" s="127"/>
      <c r="I30" s="147"/>
      <c r="J30" s="150">
        <f t="shared" si="5"/>
        <v>0</v>
      </c>
      <c r="K30" s="142">
        <f t="shared" si="0"/>
        <v>0</v>
      </c>
      <c r="L30" s="38"/>
      <c r="M30" s="592"/>
      <c r="N30" s="193">
        <f t="shared" si="1"/>
        <v>0</v>
      </c>
      <c r="O30" s="592"/>
      <c r="P30" s="191">
        <f t="shared" si="2"/>
        <v>0</v>
      </c>
      <c r="Q30" s="596"/>
      <c r="R30" s="193">
        <f t="shared" si="3"/>
        <v>0</v>
      </c>
      <c r="S30" s="196">
        <f t="shared" si="6"/>
        <v>0</v>
      </c>
      <c r="U30" s="164">
        <v>53205030100000</v>
      </c>
      <c r="V30" s="161" t="s">
        <v>26</v>
      </c>
      <c r="W30" s="167">
        <v>1263170</v>
      </c>
      <c r="AG30" s="29"/>
    </row>
    <row r="31" spans="1:46" s="40" customFormat="1" ht="12.75" customHeight="1" x14ac:dyDescent="0.2">
      <c r="A31" s="754"/>
      <c r="B31" s="757"/>
      <c r="C31" s="86"/>
      <c r="D31" s="137"/>
      <c r="E31" s="138"/>
      <c r="F31" s="139"/>
      <c r="G31" s="127"/>
      <c r="H31" s="127"/>
      <c r="I31" s="147"/>
      <c r="J31" s="150">
        <f t="shared" si="5"/>
        <v>0</v>
      </c>
      <c r="K31" s="142">
        <f t="shared" si="0"/>
        <v>0</v>
      </c>
      <c r="L31" s="38"/>
      <c r="M31" s="592"/>
      <c r="N31" s="193">
        <f t="shared" si="1"/>
        <v>0</v>
      </c>
      <c r="O31" s="592"/>
      <c r="P31" s="191">
        <f t="shared" si="2"/>
        <v>0</v>
      </c>
      <c r="Q31" s="596"/>
      <c r="R31" s="193">
        <f t="shared" si="3"/>
        <v>0</v>
      </c>
      <c r="S31" s="196">
        <f t="shared" si="6"/>
        <v>0</v>
      </c>
      <c r="U31" s="164">
        <v>53205050100000</v>
      </c>
      <c r="V31" s="161" t="s">
        <v>27</v>
      </c>
      <c r="W31" s="167">
        <v>1311113</v>
      </c>
      <c r="AG31" s="29"/>
    </row>
    <row r="32" spans="1:46" s="40" customFormat="1" ht="12.75" customHeight="1" x14ac:dyDescent="0.2">
      <c r="A32" s="754"/>
      <c r="B32" s="757"/>
      <c r="C32" s="86"/>
      <c r="D32" s="137"/>
      <c r="E32" s="138"/>
      <c r="F32" s="139"/>
      <c r="G32" s="127"/>
      <c r="H32" s="127"/>
      <c r="I32" s="147"/>
      <c r="J32" s="150">
        <f t="shared" si="5"/>
        <v>0</v>
      </c>
      <c r="K32" s="142">
        <f t="shared" si="0"/>
        <v>0</v>
      </c>
      <c r="L32" s="38"/>
      <c r="M32" s="592"/>
      <c r="N32" s="193">
        <f t="shared" si="1"/>
        <v>0</v>
      </c>
      <c r="O32" s="592"/>
      <c r="P32" s="191">
        <f t="shared" si="2"/>
        <v>0</v>
      </c>
      <c r="Q32" s="596"/>
      <c r="R32" s="193">
        <f t="shared" si="3"/>
        <v>0</v>
      </c>
      <c r="S32" s="196">
        <f t="shared" si="6"/>
        <v>0</v>
      </c>
      <c r="U32" s="164">
        <v>53205060100000</v>
      </c>
      <c r="V32" s="161" t="s">
        <v>28</v>
      </c>
      <c r="W32" s="167">
        <v>250000</v>
      </c>
      <c r="AG32" s="29"/>
    </row>
    <row r="33" spans="1:33" s="40" customFormat="1" ht="12.75" customHeight="1" x14ac:dyDescent="0.2">
      <c r="A33" s="754"/>
      <c r="B33" s="757"/>
      <c r="C33" s="86"/>
      <c r="D33" s="137"/>
      <c r="E33" s="138"/>
      <c r="F33" s="139"/>
      <c r="G33" s="127"/>
      <c r="H33" s="127"/>
      <c r="I33" s="147"/>
      <c r="J33" s="150">
        <f t="shared" si="5"/>
        <v>0</v>
      </c>
      <c r="K33" s="142">
        <f t="shared" si="0"/>
        <v>0</v>
      </c>
      <c r="L33" s="38"/>
      <c r="M33" s="592"/>
      <c r="N33" s="193">
        <f t="shared" si="1"/>
        <v>0</v>
      </c>
      <c r="O33" s="592"/>
      <c r="P33" s="191">
        <f t="shared" si="2"/>
        <v>0</v>
      </c>
      <c r="Q33" s="596"/>
      <c r="R33" s="193">
        <f t="shared" si="3"/>
        <v>0</v>
      </c>
      <c r="S33" s="196">
        <f t="shared" si="6"/>
        <v>0</v>
      </c>
      <c r="U33" s="164">
        <v>53205070100000</v>
      </c>
      <c r="V33" s="161" t="s">
        <v>29</v>
      </c>
      <c r="W33" s="167">
        <v>0</v>
      </c>
      <c r="AG33" s="29"/>
    </row>
    <row r="34" spans="1:33" s="40" customFormat="1" ht="12.75" customHeight="1" thickBot="1" x14ac:dyDescent="0.25">
      <c r="A34" s="754"/>
      <c r="B34" s="758"/>
      <c r="C34" s="157"/>
      <c r="D34" s="128"/>
      <c r="E34" s="129"/>
      <c r="F34" s="130"/>
      <c r="G34" s="131"/>
      <c r="H34" s="131"/>
      <c r="I34" s="148"/>
      <c r="J34" s="151">
        <f t="shared" si="5"/>
        <v>0</v>
      </c>
      <c r="K34" s="140">
        <f t="shared" si="0"/>
        <v>0</v>
      </c>
      <c r="L34" s="38"/>
      <c r="M34" s="594"/>
      <c r="N34" s="194">
        <f t="shared" si="1"/>
        <v>0</v>
      </c>
      <c r="O34" s="594"/>
      <c r="P34" s="204">
        <f t="shared" si="2"/>
        <v>0</v>
      </c>
      <c r="Q34" s="597"/>
      <c r="R34" s="194">
        <f t="shared" si="3"/>
        <v>0</v>
      </c>
      <c r="S34" s="197">
        <f t="shared" si="6"/>
        <v>0</v>
      </c>
      <c r="U34" s="164">
        <v>53208010100000</v>
      </c>
      <c r="V34" s="161" t="s">
        <v>30</v>
      </c>
      <c r="W34" s="167">
        <v>3337025</v>
      </c>
      <c r="AG34" s="29"/>
    </row>
    <row r="35" spans="1:33" s="40" customFormat="1" ht="12.75" customHeight="1" x14ac:dyDescent="0.2">
      <c r="A35" s="754"/>
      <c r="B35" s="759" t="s">
        <v>252</v>
      </c>
      <c r="C35" s="588" t="s">
        <v>253</v>
      </c>
      <c r="D35" s="486" t="s">
        <v>254</v>
      </c>
      <c r="E35" s="487" t="s">
        <v>255</v>
      </c>
      <c r="F35" s="480" t="s">
        <v>121</v>
      </c>
      <c r="G35" s="236">
        <f>(18948000/12)*3</f>
        <v>4737000</v>
      </c>
      <c r="H35" s="236">
        <v>0</v>
      </c>
      <c r="I35" s="481">
        <v>0</v>
      </c>
      <c r="J35" s="149">
        <f t="shared" si="5"/>
        <v>4737000</v>
      </c>
      <c r="K35" s="141">
        <f t="shared" si="0"/>
        <v>4869636</v>
      </c>
      <c r="L35" s="38"/>
      <c r="M35" s="591">
        <v>0.64</v>
      </c>
      <c r="N35" s="192">
        <f t="shared" si="1"/>
        <v>3116567.04</v>
      </c>
      <c r="O35" s="591">
        <v>0.16</v>
      </c>
      <c r="P35" s="203">
        <f t="shared" si="2"/>
        <v>779141.76</v>
      </c>
      <c r="Q35" s="595">
        <v>0.2</v>
      </c>
      <c r="R35" s="192">
        <f t="shared" si="3"/>
        <v>973927.20000000007</v>
      </c>
      <c r="S35" s="195">
        <f t="shared" si="6"/>
        <v>1</v>
      </c>
      <c r="U35" s="164">
        <v>53208070100001</v>
      </c>
      <c r="V35" s="161" t="s">
        <v>31</v>
      </c>
      <c r="W35" s="167">
        <v>2080000</v>
      </c>
      <c r="AG35" s="29"/>
    </row>
    <row r="36" spans="1:33" s="40" customFormat="1" ht="12.75" customHeight="1" x14ac:dyDescent="0.2">
      <c r="A36" s="754"/>
      <c r="B36" s="760"/>
      <c r="C36" s="86"/>
      <c r="D36" s="137"/>
      <c r="E36" s="138"/>
      <c r="F36" s="139"/>
      <c r="G36" s="127"/>
      <c r="H36" s="127"/>
      <c r="I36" s="147"/>
      <c r="J36" s="150">
        <f t="shared" si="5"/>
        <v>0</v>
      </c>
      <c r="K36" s="142">
        <f t="shared" si="0"/>
        <v>0</v>
      </c>
      <c r="L36" s="38"/>
      <c r="M36" s="592"/>
      <c r="N36" s="193">
        <f t="shared" si="1"/>
        <v>0</v>
      </c>
      <c r="O36" s="592"/>
      <c r="P36" s="191">
        <f t="shared" si="2"/>
        <v>0</v>
      </c>
      <c r="Q36" s="596"/>
      <c r="R36" s="193">
        <f t="shared" si="3"/>
        <v>0</v>
      </c>
      <c r="S36" s="196">
        <f t="shared" si="6"/>
        <v>0</v>
      </c>
      <c r="U36" s="164">
        <v>53208100100001</v>
      </c>
      <c r="V36" s="161" t="s">
        <v>133</v>
      </c>
      <c r="W36" s="167">
        <v>0</v>
      </c>
      <c r="AG36" s="29"/>
    </row>
    <row r="37" spans="1:33" s="40" customFormat="1" ht="12.75" customHeight="1" x14ac:dyDescent="0.2">
      <c r="A37" s="754"/>
      <c r="B37" s="760"/>
      <c r="C37" s="86"/>
      <c r="D37" s="137"/>
      <c r="E37" s="138"/>
      <c r="F37" s="139"/>
      <c r="G37" s="127"/>
      <c r="H37" s="127"/>
      <c r="I37" s="147"/>
      <c r="J37" s="150">
        <f t="shared" si="5"/>
        <v>0</v>
      </c>
      <c r="K37" s="142">
        <f t="shared" si="0"/>
        <v>0</v>
      </c>
      <c r="L37" s="38"/>
      <c r="M37" s="592"/>
      <c r="N37" s="193">
        <f t="shared" si="1"/>
        <v>0</v>
      </c>
      <c r="O37" s="592"/>
      <c r="P37" s="191">
        <f t="shared" si="2"/>
        <v>0</v>
      </c>
      <c r="Q37" s="596"/>
      <c r="R37" s="193">
        <f t="shared" si="3"/>
        <v>0</v>
      </c>
      <c r="S37" s="196">
        <f t="shared" si="6"/>
        <v>0</v>
      </c>
      <c r="U37" s="164">
        <v>53211030000000</v>
      </c>
      <c r="V37" s="161" t="s">
        <v>32</v>
      </c>
      <c r="W37" s="167">
        <v>0</v>
      </c>
      <c r="AG37" s="29"/>
    </row>
    <row r="38" spans="1:33" s="40" customFormat="1" ht="12.75" customHeight="1" x14ac:dyDescent="0.2">
      <c r="A38" s="754"/>
      <c r="B38" s="760"/>
      <c r="C38" s="86"/>
      <c r="D38" s="137"/>
      <c r="E38" s="138"/>
      <c r="F38" s="139"/>
      <c r="G38" s="127"/>
      <c r="H38" s="127"/>
      <c r="I38" s="147"/>
      <c r="J38" s="150">
        <f t="shared" si="5"/>
        <v>0</v>
      </c>
      <c r="K38" s="142">
        <f t="shared" si="0"/>
        <v>0</v>
      </c>
      <c r="L38" s="38"/>
      <c r="M38" s="592"/>
      <c r="N38" s="193">
        <f t="shared" si="1"/>
        <v>0</v>
      </c>
      <c r="O38" s="592"/>
      <c r="P38" s="191">
        <f t="shared" si="2"/>
        <v>0</v>
      </c>
      <c r="Q38" s="596"/>
      <c r="R38" s="193">
        <f t="shared" si="3"/>
        <v>0</v>
      </c>
      <c r="S38" s="196">
        <f t="shared" si="6"/>
        <v>0</v>
      </c>
      <c r="U38" s="164">
        <v>53212020100000</v>
      </c>
      <c r="V38" s="161" t="s">
        <v>99</v>
      </c>
      <c r="W38" s="167">
        <v>5595305</v>
      </c>
      <c r="AG38" s="29"/>
    </row>
    <row r="39" spans="1:33" s="40" customFormat="1" ht="12.75" customHeight="1" thickBot="1" x14ac:dyDescent="0.25">
      <c r="A39" s="754"/>
      <c r="B39" s="761"/>
      <c r="C39" s="157"/>
      <c r="D39" s="128"/>
      <c r="E39" s="129"/>
      <c r="F39" s="130"/>
      <c r="G39" s="131"/>
      <c r="H39" s="131"/>
      <c r="I39" s="148"/>
      <c r="J39" s="151">
        <f t="shared" si="5"/>
        <v>0</v>
      </c>
      <c r="K39" s="140">
        <f t="shared" si="0"/>
        <v>0</v>
      </c>
      <c r="L39" s="38"/>
      <c r="M39" s="594"/>
      <c r="N39" s="194">
        <f t="shared" si="1"/>
        <v>0</v>
      </c>
      <c r="O39" s="594"/>
      <c r="P39" s="204">
        <f t="shared" si="2"/>
        <v>0</v>
      </c>
      <c r="Q39" s="597"/>
      <c r="R39" s="194">
        <f t="shared" si="3"/>
        <v>0</v>
      </c>
      <c r="S39" s="197">
        <f t="shared" si="6"/>
        <v>0</v>
      </c>
      <c r="U39" s="164">
        <v>53214020000000</v>
      </c>
      <c r="V39" s="161" t="s">
        <v>33</v>
      </c>
      <c r="W39" s="167">
        <v>0</v>
      </c>
      <c r="AG39" s="29"/>
    </row>
    <row r="40" spans="1:33" s="40" customFormat="1" ht="12.75" customHeight="1" x14ac:dyDescent="0.2">
      <c r="A40" s="754"/>
      <c r="B40" s="762" t="s">
        <v>256</v>
      </c>
      <c r="C40" s="589" t="s">
        <v>257</v>
      </c>
      <c r="D40" s="488" t="s">
        <v>258</v>
      </c>
      <c r="E40" s="489" t="s">
        <v>259</v>
      </c>
      <c r="F40" s="490" t="s">
        <v>121</v>
      </c>
      <c r="G40" s="190">
        <v>11568000</v>
      </c>
      <c r="H40" s="190">
        <v>190000</v>
      </c>
      <c r="I40" s="190">
        <v>129000</v>
      </c>
      <c r="J40" s="152">
        <f t="shared" ref="J40:J61" si="7">SUM(G40:I40)</f>
        <v>11887000</v>
      </c>
      <c r="K40" s="154">
        <f t="shared" si="0"/>
        <v>12219836</v>
      </c>
      <c r="L40" s="38"/>
      <c r="M40" s="591">
        <v>0.64</v>
      </c>
      <c r="N40" s="192">
        <f t="shared" si="1"/>
        <v>7820695.04</v>
      </c>
      <c r="O40" s="591">
        <v>0.16</v>
      </c>
      <c r="P40" s="203">
        <f t="shared" si="2"/>
        <v>1955173.76</v>
      </c>
      <c r="Q40" s="595">
        <v>0.2</v>
      </c>
      <c r="R40" s="192">
        <f t="shared" si="3"/>
        <v>2443967.2000000002</v>
      </c>
      <c r="S40" s="195">
        <f t="shared" si="6"/>
        <v>1</v>
      </c>
      <c r="U40" s="162"/>
      <c r="V40" s="159" t="s">
        <v>34</v>
      </c>
      <c r="W40" s="165">
        <f>SUM(W41,W46,W49,W60,W70,W78)</f>
        <v>35126056</v>
      </c>
      <c r="AG40" s="29"/>
    </row>
    <row r="41" spans="1:33" s="40" customFormat="1" ht="12.75" customHeight="1" x14ac:dyDescent="0.2">
      <c r="A41" s="754"/>
      <c r="B41" s="763"/>
      <c r="C41" s="588" t="s">
        <v>260</v>
      </c>
      <c r="D41" s="588" t="s">
        <v>261</v>
      </c>
      <c r="E41" s="588" t="s">
        <v>262</v>
      </c>
      <c r="F41" s="590" t="s">
        <v>121</v>
      </c>
      <c r="G41" s="190">
        <v>6996000</v>
      </c>
      <c r="H41" s="190">
        <v>330000</v>
      </c>
      <c r="I41" s="190">
        <v>132000</v>
      </c>
      <c r="J41" s="153">
        <f t="shared" ref="J41:J48" si="8">SUM(G41:I41)</f>
        <v>7458000</v>
      </c>
      <c r="K41" s="155">
        <f t="shared" si="0"/>
        <v>7666824</v>
      </c>
      <c r="L41" s="38"/>
      <c r="M41" s="592">
        <v>0.64</v>
      </c>
      <c r="N41" s="193">
        <f t="shared" si="1"/>
        <v>4906767.3600000003</v>
      </c>
      <c r="O41" s="592">
        <v>0.16</v>
      </c>
      <c r="P41" s="191">
        <f t="shared" si="2"/>
        <v>1226691.8400000001</v>
      </c>
      <c r="Q41" s="596">
        <v>0.2</v>
      </c>
      <c r="R41" s="193">
        <f t="shared" si="3"/>
        <v>1533364.8</v>
      </c>
      <c r="S41" s="196">
        <f t="shared" si="6"/>
        <v>1</v>
      </c>
      <c r="U41" s="163"/>
      <c r="V41" s="160" t="s">
        <v>35</v>
      </c>
      <c r="W41" s="166">
        <f>SUM(W42:W45)</f>
        <v>13836656</v>
      </c>
      <c r="AG41" s="29"/>
    </row>
    <row r="42" spans="1:33" s="40" customFormat="1" ht="12.75" customHeight="1" x14ac:dyDescent="0.2">
      <c r="A42" s="754"/>
      <c r="B42" s="763"/>
      <c r="C42" s="87"/>
      <c r="D42" s="89"/>
      <c r="E42" s="90"/>
      <c r="F42" s="104"/>
      <c r="G42" s="127"/>
      <c r="H42" s="127"/>
      <c r="I42" s="147"/>
      <c r="J42" s="153">
        <f t="shared" si="8"/>
        <v>0</v>
      </c>
      <c r="K42" s="155">
        <f t="shared" si="0"/>
        <v>0</v>
      </c>
      <c r="L42" s="38"/>
      <c r="M42" s="592"/>
      <c r="N42" s="193">
        <f t="shared" si="1"/>
        <v>0</v>
      </c>
      <c r="O42" s="592"/>
      <c r="P42" s="191">
        <f t="shared" si="2"/>
        <v>0</v>
      </c>
      <c r="Q42" s="596"/>
      <c r="R42" s="193">
        <f t="shared" si="3"/>
        <v>0</v>
      </c>
      <c r="S42" s="196">
        <f t="shared" si="6"/>
        <v>0</v>
      </c>
      <c r="U42" s="164">
        <v>53202020100000</v>
      </c>
      <c r="V42" s="161" t="s">
        <v>39</v>
      </c>
      <c r="W42" s="167">
        <v>750000</v>
      </c>
      <c r="AG42" s="29"/>
    </row>
    <row r="43" spans="1:33" s="40" customFormat="1" ht="12.75" customHeight="1" x14ac:dyDescent="0.2">
      <c r="A43" s="754"/>
      <c r="B43" s="763"/>
      <c r="C43" s="87"/>
      <c r="D43" s="89"/>
      <c r="E43" s="90"/>
      <c r="F43" s="104"/>
      <c r="G43" s="127"/>
      <c r="H43" s="127"/>
      <c r="I43" s="147"/>
      <c r="J43" s="153">
        <f t="shared" si="8"/>
        <v>0</v>
      </c>
      <c r="K43" s="155">
        <f t="shared" si="0"/>
        <v>0</v>
      </c>
      <c r="L43" s="38"/>
      <c r="M43" s="592"/>
      <c r="N43" s="193">
        <f t="shared" si="1"/>
        <v>0</v>
      </c>
      <c r="O43" s="592"/>
      <c r="P43" s="191">
        <f t="shared" si="2"/>
        <v>0</v>
      </c>
      <c r="Q43" s="596"/>
      <c r="R43" s="193">
        <f t="shared" si="3"/>
        <v>0</v>
      </c>
      <c r="S43" s="196">
        <f t="shared" si="6"/>
        <v>0</v>
      </c>
      <c r="U43" s="164">
        <v>53202030000000</v>
      </c>
      <c r="V43" s="161" t="s">
        <v>40</v>
      </c>
      <c r="W43" s="167">
        <v>450000</v>
      </c>
      <c r="AG43" s="29"/>
    </row>
    <row r="44" spans="1:33" s="40" customFormat="1" ht="12.75" customHeight="1" x14ac:dyDescent="0.2">
      <c r="A44" s="754"/>
      <c r="B44" s="763"/>
      <c r="C44" s="87"/>
      <c r="D44" s="89"/>
      <c r="E44" s="90"/>
      <c r="F44" s="104"/>
      <c r="G44" s="127"/>
      <c r="H44" s="127"/>
      <c r="I44" s="147"/>
      <c r="J44" s="153">
        <f t="shared" si="8"/>
        <v>0</v>
      </c>
      <c r="K44" s="155">
        <f t="shared" si="0"/>
        <v>0</v>
      </c>
      <c r="L44" s="38"/>
      <c r="M44" s="592"/>
      <c r="N44" s="193">
        <f t="shared" si="1"/>
        <v>0</v>
      </c>
      <c r="O44" s="592"/>
      <c r="P44" s="191">
        <f t="shared" si="2"/>
        <v>0</v>
      </c>
      <c r="Q44" s="596"/>
      <c r="R44" s="193">
        <f t="shared" si="3"/>
        <v>0</v>
      </c>
      <c r="S44" s="196">
        <f t="shared" si="6"/>
        <v>0</v>
      </c>
      <c r="U44" s="164">
        <v>53211020000000</v>
      </c>
      <c r="V44" s="161" t="s">
        <v>41</v>
      </c>
      <c r="W44" s="167">
        <v>7600000</v>
      </c>
      <c r="AG44" s="29"/>
    </row>
    <row r="45" spans="1:33" s="40" customFormat="1" ht="12.75" customHeight="1" x14ac:dyDescent="0.2">
      <c r="A45" s="754"/>
      <c r="B45" s="763"/>
      <c r="C45" s="87"/>
      <c r="D45" s="89"/>
      <c r="E45" s="90"/>
      <c r="F45" s="104"/>
      <c r="G45" s="127"/>
      <c r="H45" s="127"/>
      <c r="I45" s="147"/>
      <c r="J45" s="153">
        <f t="shared" si="8"/>
        <v>0</v>
      </c>
      <c r="K45" s="155">
        <f t="shared" si="0"/>
        <v>0</v>
      </c>
      <c r="L45" s="38"/>
      <c r="M45" s="592"/>
      <c r="N45" s="193">
        <f t="shared" si="1"/>
        <v>0</v>
      </c>
      <c r="O45" s="592"/>
      <c r="P45" s="191">
        <f t="shared" si="2"/>
        <v>0</v>
      </c>
      <c r="Q45" s="596"/>
      <c r="R45" s="193">
        <f t="shared" si="3"/>
        <v>0</v>
      </c>
      <c r="S45" s="196">
        <f t="shared" si="6"/>
        <v>0</v>
      </c>
      <c r="U45" s="164">
        <v>53101004030000</v>
      </c>
      <c r="V45" s="161" t="s">
        <v>38</v>
      </c>
      <c r="W45" s="167">
        <v>5036656</v>
      </c>
      <c r="AG45" s="29"/>
    </row>
    <row r="46" spans="1:33" s="40" customFormat="1" ht="12.75" customHeight="1" x14ac:dyDescent="0.2">
      <c r="A46" s="754"/>
      <c r="B46" s="763"/>
      <c r="C46" s="87"/>
      <c r="D46" s="89"/>
      <c r="E46" s="90"/>
      <c r="F46" s="104"/>
      <c r="G46" s="127"/>
      <c r="H46" s="127"/>
      <c r="I46" s="147"/>
      <c r="J46" s="153">
        <f t="shared" si="8"/>
        <v>0</v>
      </c>
      <c r="K46" s="155">
        <f t="shared" si="0"/>
        <v>0</v>
      </c>
      <c r="L46" s="38"/>
      <c r="M46" s="592"/>
      <c r="N46" s="193">
        <f t="shared" si="1"/>
        <v>0</v>
      </c>
      <c r="O46" s="592"/>
      <c r="P46" s="191">
        <f t="shared" si="2"/>
        <v>0</v>
      </c>
      <c r="Q46" s="596"/>
      <c r="R46" s="193">
        <f t="shared" si="3"/>
        <v>0</v>
      </c>
      <c r="S46" s="196">
        <f t="shared" si="6"/>
        <v>0</v>
      </c>
      <c r="U46" s="163"/>
      <c r="V46" s="160" t="s">
        <v>42</v>
      </c>
      <c r="W46" s="166">
        <f>SUM(W47:W48)</f>
        <v>0</v>
      </c>
      <c r="AG46" s="29"/>
    </row>
    <row r="47" spans="1:33" s="40" customFormat="1" ht="12.75" customHeight="1" x14ac:dyDescent="0.2">
      <c r="A47" s="754"/>
      <c r="B47" s="763"/>
      <c r="C47" s="87"/>
      <c r="D47" s="89"/>
      <c r="E47" s="90"/>
      <c r="F47" s="104"/>
      <c r="G47" s="127"/>
      <c r="H47" s="127"/>
      <c r="I47" s="147"/>
      <c r="J47" s="153">
        <f t="shared" si="8"/>
        <v>0</v>
      </c>
      <c r="K47" s="155">
        <f t="shared" si="0"/>
        <v>0</v>
      </c>
      <c r="L47" s="38"/>
      <c r="M47" s="592"/>
      <c r="N47" s="193">
        <f t="shared" si="1"/>
        <v>0</v>
      </c>
      <c r="O47" s="592"/>
      <c r="P47" s="191">
        <f t="shared" si="2"/>
        <v>0</v>
      </c>
      <c r="Q47" s="596"/>
      <c r="R47" s="193">
        <f t="shared" si="3"/>
        <v>0</v>
      </c>
      <c r="S47" s="196">
        <f t="shared" si="6"/>
        <v>0</v>
      </c>
      <c r="U47" s="164">
        <v>53205080000000</v>
      </c>
      <c r="V47" s="161" t="s">
        <v>43</v>
      </c>
      <c r="W47" s="167">
        <v>0</v>
      </c>
      <c r="AG47" s="29"/>
    </row>
    <row r="48" spans="1:33" s="40" customFormat="1" ht="12.75" customHeight="1" x14ac:dyDescent="0.2">
      <c r="A48" s="754"/>
      <c r="B48" s="763"/>
      <c r="C48" s="87"/>
      <c r="D48" s="89"/>
      <c r="E48" s="90"/>
      <c r="F48" s="104"/>
      <c r="G48" s="127"/>
      <c r="H48" s="127"/>
      <c r="I48" s="147"/>
      <c r="J48" s="153">
        <f t="shared" si="8"/>
        <v>0</v>
      </c>
      <c r="K48" s="155">
        <f t="shared" si="0"/>
        <v>0</v>
      </c>
      <c r="L48" s="38"/>
      <c r="M48" s="592"/>
      <c r="N48" s="193">
        <f t="shared" si="1"/>
        <v>0</v>
      </c>
      <c r="O48" s="592"/>
      <c r="P48" s="191">
        <f t="shared" si="2"/>
        <v>0</v>
      </c>
      <c r="Q48" s="596"/>
      <c r="R48" s="193">
        <f t="shared" si="3"/>
        <v>0</v>
      </c>
      <c r="S48" s="196">
        <f t="shared" si="6"/>
        <v>0</v>
      </c>
      <c r="U48" s="164">
        <v>53205990000000</v>
      </c>
      <c r="V48" s="161" t="s">
        <v>44</v>
      </c>
      <c r="W48" s="167">
        <v>0</v>
      </c>
      <c r="AG48" s="29"/>
    </row>
    <row r="49" spans="1:33" s="40" customFormat="1" ht="12.75" customHeight="1" x14ac:dyDescent="0.2">
      <c r="A49" s="754"/>
      <c r="B49" s="764"/>
      <c r="C49" s="87"/>
      <c r="D49" s="89"/>
      <c r="E49" s="90"/>
      <c r="F49" s="104"/>
      <c r="G49" s="127"/>
      <c r="H49" s="127"/>
      <c r="I49" s="147"/>
      <c r="J49" s="153">
        <f t="shared" si="7"/>
        <v>0</v>
      </c>
      <c r="K49" s="155">
        <f t="shared" si="0"/>
        <v>0</v>
      </c>
      <c r="L49" s="38"/>
      <c r="M49" s="592"/>
      <c r="N49" s="193">
        <f t="shared" si="1"/>
        <v>0</v>
      </c>
      <c r="O49" s="592"/>
      <c r="P49" s="191">
        <f t="shared" si="2"/>
        <v>0</v>
      </c>
      <c r="Q49" s="596"/>
      <c r="R49" s="193">
        <f t="shared" si="3"/>
        <v>0</v>
      </c>
      <c r="S49" s="196">
        <f t="shared" si="6"/>
        <v>0</v>
      </c>
      <c r="U49" s="163"/>
      <c r="V49" s="160" t="s">
        <v>45</v>
      </c>
      <c r="W49" s="166">
        <f>SUM(W50:W59)</f>
        <v>10927500</v>
      </c>
      <c r="AG49" s="29"/>
    </row>
    <row r="50" spans="1:33" s="40" customFormat="1" ht="12.75" customHeight="1" x14ac:dyDescent="0.2">
      <c r="A50" s="754"/>
      <c r="B50" s="763"/>
      <c r="C50" s="87"/>
      <c r="D50" s="89"/>
      <c r="E50" s="90"/>
      <c r="F50" s="104"/>
      <c r="G50" s="127"/>
      <c r="H50" s="127"/>
      <c r="I50" s="147"/>
      <c r="J50" s="153">
        <f t="shared" ref="J50:J53" si="9">SUM(G50:I50)</f>
        <v>0</v>
      </c>
      <c r="K50" s="155">
        <f t="shared" si="0"/>
        <v>0</v>
      </c>
      <c r="L50" s="38"/>
      <c r="M50" s="592"/>
      <c r="N50" s="193">
        <f t="shared" si="1"/>
        <v>0</v>
      </c>
      <c r="O50" s="592"/>
      <c r="P50" s="191">
        <f t="shared" si="2"/>
        <v>0</v>
      </c>
      <c r="Q50" s="596"/>
      <c r="R50" s="193">
        <f t="shared" si="3"/>
        <v>0</v>
      </c>
      <c r="S50" s="196">
        <f t="shared" si="6"/>
        <v>0</v>
      </c>
      <c r="U50" s="164">
        <v>53203010200000</v>
      </c>
      <c r="V50" s="161" t="s">
        <v>46</v>
      </c>
      <c r="W50" s="167">
        <v>700000</v>
      </c>
      <c r="AG50" s="29"/>
    </row>
    <row r="51" spans="1:33" s="40" customFormat="1" ht="12.75" customHeight="1" x14ac:dyDescent="0.2">
      <c r="A51" s="754"/>
      <c r="B51" s="763"/>
      <c r="C51" s="87"/>
      <c r="D51" s="89"/>
      <c r="E51" s="90"/>
      <c r="F51" s="104"/>
      <c r="G51" s="127"/>
      <c r="H51" s="127"/>
      <c r="I51" s="147"/>
      <c r="J51" s="153">
        <f t="shared" si="9"/>
        <v>0</v>
      </c>
      <c r="K51" s="155">
        <f t="shared" si="0"/>
        <v>0</v>
      </c>
      <c r="L51" s="38"/>
      <c r="M51" s="592"/>
      <c r="N51" s="193">
        <f t="shared" si="1"/>
        <v>0</v>
      </c>
      <c r="O51" s="592"/>
      <c r="P51" s="191">
        <f t="shared" si="2"/>
        <v>0</v>
      </c>
      <c r="Q51" s="596"/>
      <c r="R51" s="193">
        <f t="shared" si="3"/>
        <v>0</v>
      </c>
      <c r="S51" s="196">
        <f t="shared" si="6"/>
        <v>0</v>
      </c>
      <c r="U51" s="164">
        <v>53204010000000</v>
      </c>
      <c r="V51" s="161" t="s">
        <v>47</v>
      </c>
      <c r="W51" s="167">
        <v>7586000</v>
      </c>
      <c r="AG51" s="29"/>
    </row>
    <row r="52" spans="1:33" s="40" customFormat="1" ht="12.75" customHeight="1" x14ac:dyDescent="0.2">
      <c r="A52" s="754"/>
      <c r="B52" s="763"/>
      <c r="C52" s="87"/>
      <c r="D52" s="89"/>
      <c r="E52" s="90"/>
      <c r="F52" s="104"/>
      <c r="G52" s="127"/>
      <c r="H52" s="127"/>
      <c r="I52" s="147"/>
      <c r="J52" s="153">
        <f t="shared" si="9"/>
        <v>0</v>
      </c>
      <c r="K52" s="155">
        <f t="shared" si="0"/>
        <v>0</v>
      </c>
      <c r="L52" s="38"/>
      <c r="M52" s="592"/>
      <c r="N52" s="193">
        <f t="shared" si="1"/>
        <v>0</v>
      </c>
      <c r="O52" s="592"/>
      <c r="P52" s="191">
        <f t="shared" si="2"/>
        <v>0</v>
      </c>
      <c r="Q52" s="596"/>
      <c r="R52" s="193">
        <f t="shared" si="3"/>
        <v>0</v>
      </c>
      <c r="S52" s="196">
        <f t="shared" si="6"/>
        <v>0</v>
      </c>
      <c r="U52" s="164">
        <v>53204040200000</v>
      </c>
      <c r="V52" s="161" t="s">
        <v>48</v>
      </c>
      <c r="W52" s="167">
        <v>40000</v>
      </c>
      <c r="AG52" s="29"/>
    </row>
    <row r="53" spans="1:33" s="40" customFormat="1" ht="12.75" customHeight="1" x14ac:dyDescent="0.2">
      <c r="A53" s="754"/>
      <c r="B53" s="763"/>
      <c r="C53" s="87"/>
      <c r="D53" s="89"/>
      <c r="E53" s="90"/>
      <c r="F53" s="104"/>
      <c r="G53" s="127"/>
      <c r="H53" s="127"/>
      <c r="I53" s="147"/>
      <c r="J53" s="153">
        <f t="shared" si="9"/>
        <v>0</v>
      </c>
      <c r="K53" s="155">
        <f t="shared" si="0"/>
        <v>0</v>
      </c>
      <c r="L53" s="38"/>
      <c r="M53" s="592"/>
      <c r="N53" s="193">
        <f t="shared" si="1"/>
        <v>0</v>
      </c>
      <c r="O53" s="592"/>
      <c r="P53" s="191">
        <f t="shared" si="2"/>
        <v>0</v>
      </c>
      <c r="Q53" s="596"/>
      <c r="R53" s="193">
        <f t="shared" si="3"/>
        <v>0</v>
      </c>
      <c r="S53" s="196">
        <f t="shared" si="6"/>
        <v>0</v>
      </c>
      <c r="U53" s="164">
        <v>53204060000000</v>
      </c>
      <c r="V53" s="161" t="s">
        <v>49</v>
      </c>
      <c r="W53" s="167">
        <v>154500</v>
      </c>
      <c r="AG53" s="29"/>
    </row>
    <row r="54" spans="1:33" s="40" customFormat="1" ht="12.75" customHeight="1" x14ac:dyDescent="0.2">
      <c r="A54" s="754"/>
      <c r="B54" s="764"/>
      <c r="C54" s="87"/>
      <c r="D54" s="89"/>
      <c r="E54" s="90"/>
      <c r="F54" s="104"/>
      <c r="G54" s="127"/>
      <c r="H54" s="127"/>
      <c r="I54" s="147"/>
      <c r="J54" s="153">
        <f t="shared" si="7"/>
        <v>0</v>
      </c>
      <c r="K54" s="155">
        <f t="shared" si="0"/>
        <v>0</v>
      </c>
      <c r="L54" s="38"/>
      <c r="M54" s="592"/>
      <c r="N54" s="193">
        <f t="shared" si="1"/>
        <v>0</v>
      </c>
      <c r="O54" s="592"/>
      <c r="P54" s="191">
        <f t="shared" si="2"/>
        <v>0</v>
      </c>
      <c r="Q54" s="596"/>
      <c r="R54" s="193">
        <f t="shared" si="3"/>
        <v>0</v>
      </c>
      <c r="S54" s="196">
        <f t="shared" si="6"/>
        <v>0</v>
      </c>
      <c r="U54" s="164">
        <v>53204070000000</v>
      </c>
      <c r="V54" s="161" t="s">
        <v>50</v>
      </c>
      <c r="W54" s="167">
        <v>2344000</v>
      </c>
      <c r="AG54" s="29"/>
    </row>
    <row r="55" spans="1:33" s="40" customFormat="1" ht="12.75" customHeight="1" x14ac:dyDescent="0.2">
      <c r="A55" s="754"/>
      <c r="B55" s="764"/>
      <c r="C55" s="87"/>
      <c r="D55" s="89"/>
      <c r="E55" s="90"/>
      <c r="F55" s="104"/>
      <c r="G55" s="127"/>
      <c r="H55" s="127"/>
      <c r="I55" s="147"/>
      <c r="J55" s="153">
        <f t="shared" si="7"/>
        <v>0</v>
      </c>
      <c r="K55" s="155">
        <f t="shared" si="0"/>
        <v>0</v>
      </c>
      <c r="L55" s="38"/>
      <c r="M55" s="592"/>
      <c r="N55" s="193">
        <f t="shared" si="1"/>
        <v>0</v>
      </c>
      <c r="O55" s="592"/>
      <c r="P55" s="191">
        <f t="shared" si="2"/>
        <v>0</v>
      </c>
      <c r="Q55" s="596"/>
      <c r="R55" s="193">
        <f t="shared" si="3"/>
        <v>0</v>
      </c>
      <c r="S55" s="196">
        <f t="shared" si="6"/>
        <v>0</v>
      </c>
      <c r="U55" s="164">
        <v>53204080000000</v>
      </c>
      <c r="V55" s="161" t="s">
        <v>51</v>
      </c>
      <c r="W55" s="167">
        <v>103000</v>
      </c>
      <c r="AG55" s="29"/>
    </row>
    <row r="56" spans="1:33" s="40" customFormat="1" ht="12.75" customHeight="1" x14ac:dyDescent="0.2">
      <c r="A56" s="754"/>
      <c r="B56" s="764"/>
      <c r="C56" s="87"/>
      <c r="D56" s="89"/>
      <c r="E56" s="90"/>
      <c r="F56" s="104"/>
      <c r="G56" s="127"/>
      <c r="H56" s="127"/>
      <c r="I56" s="147"/>
      <c r="J56" s="153">
        <f t="shared" si="7"/>
        <v>0</v>
      </c>
      <c r="K56" s="155">
        <f t="shared" si="0"/>
        <v>0</v>
      </c>
      <c r="L56" s="38"/>
      <c r="M56" s="592"/>
      <c r="N56" s="193">
        <f t="shared" si="1"/>
        <v>0</v>
      </c>
      <c r="O56" s="592"/>
      <c r="P56" s="191">
        <f t="shared" si="2"/>
        <v>0</v>
      </c>
      <c r="Q56" s="596"/>
      <c r="R56" s="193">
        <f t="shared" si="3"/>
        <v>0</v>
      </c>
      <c r="S56" s="196">
        <f t="shared" si="6"/>
        <v>0</v>
      </c>
      <c r="U56" s="164">
        <v>53214010000000</v>
      </c>
      <c r="V56" s="161" t="s">
        <v>52</v>
      </c>
      <c r="W56" s="167">
        <v>0</v>
      </c>
      <c r="AG56" s="29"/>
    </row>
    <row r="57" spans="1:33" s="40" customFormat="1" ht="12.75" customHeight="1" x14ac:dyDescent="0.2">
      <c r="A57" s="754"/>
      <c r="B57" s="764"/>
      <c r="C57" s="87"/>
      <c r="D57" s="89"/>
      <c r="E57" s="90"/>
      <c r="F57" s="104"/>
      <c r="G57" s="127"/>
      <c r="H57" s="127"/>
      <c r="I57" s="147"/>
      <c r="J57" s="153">
        <f t="shared" si="7"/>
        <v>0</v>
      </c>
      <c r="K57" s="155">
        <f t="shared" si="0"/>
        <v>0</v>
      </c>
      <c r="L57" s="38"/>
      <c r="M57" s="592"/>
      <c r="N57" s="193">
        <f t="shared" si="1"/>
        <v>0</v>
      </c>
      <c r="O57" s="592"/>
      <c r="P57" s="191">
        <f t="shared" si="2"/>
        <v>0</v>
      </c>
      <c r="Q57" s="596"/>
      <c r="R57" s="193">
        <f t="shared" si="3"/>
        <v>0</v>
      </c>
      <c r="S57" s="196">
        <f t="shared" si="6"/>
        <v>0</v>
      </c>
      <c r="U57" s="164">
        <v>53214040000000</v>
      </c>
      <c r="V57" s="161" t="s">
        <v>134</v>
      </c>
      <c r="W57" s="167">
        <v>0</v>
      </c>
      <c r="AG57" s="29"/>
    </row>
    <row r="58" spans="1:33" s="40" customFormat="1" ht="12.75" customHeight="1" x14ac:dyDescent="0.2">
      <c r="A58" s="754"/>
      <c r="B58" s="764"/>
      <c r="C58" s="87"/>
      <c r="D58" s="89"/>
      <c r="E58" s="90"/>
      <c r="F58" s="104"/>
      <c r="G58" s="127"/>
      <c r="H58" s="127"/>
      <c r="I58" s="147"/>
      <c r="J58" s="153">
        <f t="shared" si="7"/>
        <v>0</v>
      </c>
      <c r="K58" s="155">
        <f t="shared" si="0"/>
        <v>0</v>
      </c>
      <c r="L58" s="38"/>
      <c r="M58" s="592"/>
      <c r="N58" s="193">
        <f t="shared" si="1"/>
        <v>0</v>
      </c>
      <c r="O58" s="592"/>
      <c r="P58" s="191">
        <f t="shared" si="2"/>
        <v>0</v>
      </c>
      <c r="Q58" s="596"/>
      <c r="R58" s="193">
        <f t="shared" si="3"/>
        <v>0</v>
      </c>
      <c r="S58" s="196">
        <f t="shared" si="6"/>
        <v>0</v>
      </c>
      <c r="U58" s="164">
        <v>55201010100004</v>
      </c>
      <c r="V58" s="161" t="s">
        <v>53</v>
      </c>
      <c r="W58" s="167">
        <v>0</v>
      </c>
      <c r="AG58" s="29"/>
    </row>
    <row r="59" spans="1:33" s="40" customFormat="1" ht="12.75" customHeight="1" x14ac:dyDescent="0.2">
      <c r="A59" s="754"/>
      <c r="B59" s="764"/>
      <c r="C59" s="87"/>
      <c r="D59" s="89"/>
      <c r="E59" s="90"/>
      <c r="F59" s="104"/>
      <c r="G59" s="127"/>
      <c r="H59" s="127"/>
      <c r="I59" s="147"/>
      <c r="J59" s="153">
        <f t="shared" si="7"/>
        <v>0</v>
      </c>
      <c r="K59" s="155">
        <f t="shared" si="0"/>
        <v>0</v>
      </c>
      <c r="L59" s="38"/>
      <c r="M59" s="592"/>
      <c r="N59" s="193">
        <f t="shared" si="1"/>
        <v>0</v>
      </c>
      <c r="O59" s="592"/>
      <c r="P59" s="191">
        <f t="shared" si="2"/>
        <v>0</v>
      </c>
      <c r="Q59" s="596"/>
      <c r="R59" s="193">
        <f t="shared" si="3"/>
        <v>0</v>
      </c>
      <c r="S59" s="196">
        <f t="shared" si="6"/>
        <v>0</v>
      </c>
      <c r="U59" s="164">
        <v>55201010100005</v>
      </c>
      <c r="V59" s="161" t="s">
        <v>54</v>
      </c>
      <c r="W59" s="167">
        <v>0</v>
      </c>
      <c r="AG59" s="29"/>
    </row>
    <row r="60" spans="1:33" s="40" customFormat="1" ht="12.75" customHeight="1" x14ac:dyDescent="0.2">
      <c r="A60" s="754"/>
      <c r="B60" s="764"/>
      <c r="C60" s="87"/>
      <c r="D60" s="89"/>
      <c r="E60" s="90"/>
      <c r="F60" s="104"/>
      <c r="G60" s="127"/>
      <c r="H60" s="127"/>
      <c r="I60" s="147"/>
      <c r="J60" s="153">
        <f t="shared" si="7"/>
        <v>0</v>
      </c>
      <c r="K60" s="155">
        <f t="shared" si="0"/>
        <v>0</v>
      </c>
      <c r="L60" s="38"/>
      <c r="M60" s="592"/>
      <c r="N60" s="193">
        <f t="shared" si="1"/>
        <v>0</v>
      </c>
      <c r="O60" s="592"/>
      <c r="P60" s="191">
        <f t="shared" si="2"/>
        <v>0</v>
      </c>
      <c r="Q60" s="596"/>
      <c r="R60" s="193">
        <f t="shared" si="3"/>
        <v>0</v>
      </c>
      <c r="S60" s="196">
        <f t="shared" si="6"/>
        <v>0</v>
      </c>
      <c r="U60" s="163"/>
      <c r="V60" s="160" t="s">
        <v>55</v>
      </c>
      <c r="W60" s="166">
        <f>SUM(W61:W69)</f>
        <v>6211900</v>
      </c>
      <c r="AG60" s="29"/>
    </row>
    <row r="61" spans="1:33" s="40" customFormat="1" ht="12.75" customHeight="1" thickBot="1" x14ac:dyDescent="0.25">
      <c r="A61" s="755"/>
      <c r="B61" s="765"/>
      <c r="C61" s="157"/>
      <c r="D61" s="128"/>
      <c r="E61" s="129"/>
      <c r="F61" s="130"/>
      <c r="G61" s="131"/>
      <c r="H61" s="131"/>
      <c r="I61" s="148"/>
      <c r="J61" s="151">
        <f t="shared" si="7"/>
        <v>0</v>
      </c>
      <c r="K61" s="140">
        <f t="shared" si="0"/>
        <v>0</v>
      </c>
      <c r="L61" s="38"/>
      <c r="M61" s="594"/>
      <c r="N61" s="459">
        <f t="shared" si="1"/>
        <v>0</v>
      </c>
      <c r="O61" s="594"/>
      <c r="P61" s="460">
        <f t="shared" si="2"/>
        <v>0</v>
      </c>
      <c r="Q61" s="597"/>
      <c r="R61" s="459">
        <f t="shared" si="3"/>
        <v>0</v>
      </c>
      <c r="S61" s="197">
        <f t="shared" si="6"/>
        <v>0</v>
      </c>
      <c r="U61" s="164">
        <v>53207010000000</v>
      </c>
      <c r="V61" s="161" t="s">
        <v>56</v>
      </c>
      <c r="W61" s="167">
        <v>0</v>
      </c>
      <c r="AG61" s="29"/>
    </row>
    <row r="62" spans="1:33" s="40" customFormat="1" ht="12.75" customHeight="1" thickBot="1" x14ac:dyDescent="0.25">
      <c r="A62" s="29"/>
      <c r="B62" s="29"/>
      <c r="C62" s="29"/>
      <c r="D62" s="29"/>
      <c r="E62" s="29"/>
      <c r="F62" s="29"/>
      <c r="G62" s="29"/>
      <c r="H62" s="29"/>
      <c r="I62" s="29"/>
      <c r="J62" s="29"/>
      <c r="K62" s="458">
        <f>SUM(K15:K61)</f>
        <v>117839640</v>
      </c>
      <c r="L62" s="29"/>
      <c r="M62" s="461">
        <f>+N62/$K$62</f>
        <v>0.62081873767774587</v>
      </c>
      <c r="N62" s="462">
        <f>SUM(N15:N61)</f>
        <v>73157056.553200006</v>
      </c>
      <c r="O62" s="461">
        <f>+P62/$K$62</f>
        <v>0.18384387594870455</v>
      </c>
      <c r="P62" s="462">
        <f>SUM(P15:P61)</f>
        <v>21664096.158000004</v>
      </c>
      <c r="Q62" s="461">
        <f>+R62/$K$62</f>
        <v>0.19532282386809735</v>
      </c>
      <c r="R62" s="462">
        <f>SUM(R15:R61)</f>
        <v>23016771.248399999</v>
      </c>
      <c r="S62" s="29"/>
      <c r="U62" s="164">
        <v>53207020000000</v>
      </c>
      <c r="V62" s="161" t="s">
        <v>57</v>
      </c>
      <c r="W62" s="167">
        <v>425900</v>
      </c>
      <c r="AG62" s="29"/>
    </row>
    <row r="63" spans="1:33" s="40" customFormat="1" ht="12.75" customHeight="1" x14ac:dyDescent="0.2">
      <c r="A63" s="29"/>
      <c r="B63" s="29"/>
      <c r="C63" s="29"/>
      <c r="D63" s="29"/>
      <c r="E63" s="29"/>
      <c r="F63" s="29"/>
      <c r="G63" s="29"/>
      <c r="H63" s="29"/>
      <c r="I63" s="29"/>
      <c r="J63" s="29"/>
      <c r="K63" s="81">
        <v>1</v>
      </c>
      <c r="L63" s="29"/>
      <c r="M63" s="29"/>
      <c r="O63" s="29"/>
      <c r="P63" s="29"/>
      <c r="Q63" s="29"/>
      <c r="R63" s="29"/>
      <c r="S63" s="29"/>
      <c r="U63" s="164">
        <v>53208020000000</v>
      </c>
      <c r="V63" s="161" t="s">
        <v>58</v>
      </c>
      <c r="W63" s="167">
        <v>0</v>
      </c>
      <c r="AG63" s="29"/>
    </row>
    <row r="64" spans="1:33" s="40" customFormat="1" ht="12.75" customHeight="1" thickBot="1" x14ac:dyDescent="0.25">
      <c r="A64" s="29"/>
      <c r="B64" s="29"/>
      <c r="C64" s="29"/>
      <c r="D64" s="29"/>
      <c r="E64" s="29"/>
      <c r="F64" s="29"/>
      <c r="G64" s="29"/>
      <c r="H64" s="29"/>
      <c r="I64" s="29"/>
      <c r="J64" s="29"/>
      <c r="K64" s="29"/>
      <c r="L64" s="29"/>
      <c r="M64" s="29"/>
      <c r="N64" s="29"/>
      <c r="O64" s="29"/>
      <c r="P64" s="29"/>
      <c r="Q64" s="29"/>
      <c r="R64" s="29"/>
      <c r="S64" s="29"/>
      <c r="U64" s="164">
        <v>53208990000000</v>
      </c>
      <c r="V64" s="161" t="s">
        <v>59</v>
      </c>
      <c r="W64" s="167">
        <v>250000</v>
      </c>
      <c r="AG64" s="29"/>
    </row>
    <row r="65" spans="1:33" s="40" customFormat="1" ht="12.75" customHeight="1" x14ac:dyDescent="0.2">
      <c r="A65" s="747" t="s">
        <v>145</v>
      </c>
      <c r="B65" s="750" t="s">
        <v>123</v>
      </c>
      <c r="C65" s="156"/>
      <c r="D65" s="132"/>
      <c r="E65" s="133"/>
      <c r="F65" s="134" t="s">
        <v>122</v>
      </c>
      <c r="G65" s="126">
        <v>0</v>
      </c>
      <c r="H65" s="126">
        <v>0</v>
      </c>
      <c r="I65" s="146">
        <v>0</v>
      </c>
      <c r="J65" s="149">
        <f t="shared" si="5"/>
        <v>0</v>
      </c>
      <c r="K65" s="141">
        <f t="shared" si="0"/>
        <v>0</v>
      </c>
      <c r="L65" s="38"/>
      <c r="M65" s="29"/>
      <c r="N65" s="29"/>
      <c r="O65" s="29"/>
      <c r="P65" s="29"/>
      <c r="Q65" s="29"/>
      <c r="R65" s="29"/>
      <c r="S65" s="29"/>
      <c r="U65" s="164">
        <v>53209010000000</v>
      </c>
      <c r="V65" s="161" t="s">
        <v>60</v>
      </c>
      <c r="W65" s="167" t="s">
        <v>357</v>
      </c>
      <c r="AG65" s="29"/>
    </row>
    <row r="66" spans="1:33" s="40" customFormat="1" ht="12.75" customHeight="1" x14ac:dyDescent="0.2">
      <c r="A66" s="748"/>
      <c r="B66" s="751"/>
      <c r="C66" s="88"/>
      <c r="D66" s="135"/>
      <c r="E66" s="136"/>
      <c r="F66" s="91" t="s">
        <v>122</v>
      </c>
      <c r="G66" s="127">
        <v>0</v>
      </c>
      <c r="H66" s="127">
        <v>0</v>
      </c>
      <c r="I66" s="147">
        <v>0</v>
      </c>
      <c r="J66" s="150">
        <f t="shared" si="5"/>
        <v>0</v>
      </c>
      <c r="K66" s="142">
        <f t="shared" si="0"/>
        <v>0</v>
      </c>
      <c r="L66" s="38"/>
      <c r="M66" s="29"/>
      <c r="N66" s="29"/>
      <c r="O66" s="29"/>
      <c r="P66" s="29"/>
      <c r="Q66" s="29"/>
      <c r="R66" s="29"/>
      <c r="S66" s="29"/>
      <c r="U66" s="164">
        <v>53209040000000</v>
      </c>
      <c r="V66" s="161" t="s">
        <v>61</v>
      </c>
      <c r="W66" s="167">
        <v>0</v>
      </c>
      <c r="AG66" s="29"/>
    </row>
    <row r="67" spans="1:33" s="40" customFormat="1" ht="12.75" customHeight="1" x14ac:dyDescent="0.2">
      <c r="A67" s="748"/>
      <c r="B67" s="751"/>
      <c r="C67" s="88"/>
      <c r="D67" s="135"/>
      <c r="E67" s="136"/>
      <c r="F67" s="91" t="s">
        <v>122</v>
      </c>
      <c r="G67" s="127">
        <v>0</v>
      </c>
      <c r="H67" s="127">
        <v>0</v>
      </c>
      <c r="I67" s="147">
        <v>0</v>
      </c>
      <c r="J67" s="150">
        <f t="shared" si="5"/>
        <v>0</v>
      </c>
      <c r="K67" s="142">
        <f t="shared" si="0"/>
        <v>0</v>
      </c>
      <c r="L67" s="38"/>
      <c r="M67" s="29"/>
      <c r="N67" s="29"/>
      <c r="O67" s="29"/>
      <c r="P67" s="29"/>
      <c r="Q67" s="29"/>
      <c r="R67" s="29"/>
      <c r="S67" s="29"/>
      <c r="U67" s="164">
        <v>53209050000000</v>
      </c>
      <c r="V67" s="161" t="s">
        <v>62</v>
      </c>
      <c r="W67" s="167">
        <v>2143000</v>
      </c>
      <c r="AG67" s="29"/>
    </row>
    <row r="68" spans="1:33" s="40" customFormat="1" ht="12.75" customHeight="1" x14ac:dyDescent="0.2">
      <c r="A68" s="748"/>
      <c r="B68" s="751"/>
      <c r="C68" s="86"/>
      <c r="D68" s="137"/>
      <c r="E68" s="138"/>
      <c r="F68" s="139" t="s">
        <v>122</v>
      </c>
      <c r="G68" s="127">
        <v>0</v>
      </c>
      <c r="H68" s="127">
        <v>0</v>
      </c>
      <c r="I68" s="147">
        <v>0</v>
      </c>
      <c r="J68" s="150">
        <f t="shared" si="5"/>
        <v>0</v>
      </c>
      <c r="K68" s="142">
        <f t="shared" si="0"/>
        <v>0</v>
      </c>
      <c r="L68" s="38"/>
      <c r="M68" s="29"/>
      <c r="N68" s="29"/>
      <c r="O68" s="29"/>
      <c r="P68" s="29"/>
      <c r="Q68" s="29"/>
      <c r="R68" s="29"/>
      <c r="S68" s="29"/>
      <c r="U68" s="164">
        <v>53209990000000</v>
      </c>
      <c r="V68" s="161" t="s">
        <v>63</v>
      </c>
      <c r="W68" s="167">
        <v>3273000</v>
      </c>
      <c r="AG68" s="29"/>
    </row>
    <row r="69" spans="1:33" s="40" customFormat="1" ht="12.75" customHeight="1" thickBot="1" x14ac:dyDescent="0.25">
      <c r="A69" s="749"/>
      <c r="B69" s="752"/>
      <c r="C69" s="157"/>
      <c r="D69" s="128"/>
      <c r="E69" s="129"/>
      <c r="F69" s="130" t="s">
        <v>122</v>
      </c>
      <c r="G69" s="131">
        <v>0</v>
      </c>
      <c r="H69" s="131">
        <v>0</v>
      </c>
      <c r="I69" s="148">
        <v>0</v>
      </c>
      <c r="J69" s="151">
        <f t="shared" si="5"/>
        <v>0</v>
      </c>
      <c r="K69" s="140">
        <f t="shared" si="0"/>
        <v>0</v>
      </c>
      <c r="L69" s="38"/>
      <c r="M69" s="29"/>
      <c r="N69" s="29"/>
      <c r="O69" s="29"/>
      <c r="P69" s="29"/>
      <c r="Q69" s="29"/>
      <c r="R69" s="29"/>
      <c r="S69" s="29"/>
      <c r="U69" s="164">
        <v>53210020100000</v>
      </c>
      <c r="V69" s="161" t="s">
        <v>64</v>
      </c>
      <c r="W69" s="167">
        <v>120000</v>
      </c>
      <c r="AG69" s="29"/>
    </row>
    <row r="70" spans="1:33" ht="15.75" x14ac:dyDescent="0.2">
      <c r="C70" s="27"/>
      <c r="D70" s="27"/>
      <c r="E70" s="42"/>
      <c r="F70" s="42"/>
      <c r="G70" s="42"/>
      <c r="H70" s="42"/>
      <c r="I70" s="42"/>
      <c r="K70" s="80">
        <f>SUM(K65:K69)</f>
        <v>0</v>
      </c>
      <c r="L70" s="38"/>
      <c r="U70" s="163"/>
      <c r="V70" s="160" t="s">
        <v>65</v>
      </c>
      <c r="W70" s="166">
        <f>SUM(W71:W77)</f>
        <v>4000000</v>
      </c>
    </row>
    <row r="71" spans="1:33" x14ac:dyDescent="0.2">
      <c r="K71" s="81">
        <v>1</v>
      </c>
      <c r="L71" s="38"/>
      <c r="M71" s="43"/>
      <c r="O71" s="43"/>
      <c r="Q71" s="43"/>
      <c r="U71" s="164">
        <v>53206030000000</v>
      </c>
      <c r="V71" s="161" t="s">
        <v>100</v>
      </c>
      <c r="W71" s="167">
        <v>0</v>
      </c>
    </row>
    <row r="72" spans="1:33" x14ac:dyDescent="0.2">
      <c r="L72" s="38"/>
      <c r="U72" s="164">
        <v>53206040000000</v>
      </c>
      <c r="V72" s="161" t="s">
        <v>101</v>
      </c>
      <c r="W72" s="167">
        <v>0</v>
      </c>
    </row>
    <row r="73" spans="1:33" x14ac:dyDescent="0.2">
      <c r="U73" s="164">
        <v>53206060000000</v>
      </c>
      <c r="V73" s="161" t="s">
        <v>102</v>
      </c>
      <c r="W73" s="167">
        <v>1000000</v>
      </c>
    </row>
    <row r="74" spans="1:33" x14ac:dyDescent="0.2">
      <c r="U74" s="164">
        <v>53206070000000</v>
      </c>
      <c r="V74" s="161" t="s">
        <v>103</v>
      </c>
      <c r="W74" s="167">
        <v>0</v>
      </c>
    </row>
    <row r="75" spans="1:33" ht="15.75" customHeight="1" x14ac:dyDescent="0.2">
      <c r="H75" s="158"/>
      <c r="U75" s="164">
        <v>53206990000000</v>
      </c>
      <c r="V75" s="161" t="s">
        <v>104</v>
      </c>
      <c r="W75" s="167">
        <v>3000000</v>
      </c>
    </row>
    <row r="76" spans="1:33" x14ac:dyDescent="0.2">
      <c r="U76" s="164">
        <v>53208030000000</v>
      </c>
      <c r="V76" s="161" t="s">
        <v>105</v>
      </c>
      <c r="W76" s="167">
        <v>0</v>
      </c>
    </row>
    <row r="77" spans="1:33" x14ac:dyDescent="0.2">
      <c r="U77" s="164">
        <v>53212060000000</v>
      </c>
      <c r="V77" s="161" t="s">
        <v>98</v>
      </c>
      <c r="W77" s="167">
        <v>0</v>
      </c>
    </row>
    <row r="78" spans="1:33" x14ac:dyDescent="0.2">
      <c r="U78" s="163"/>
      <c r="V78" s="160" t="s">
        <v>66</v>
      </c>
      <c r="W78" s="166">
        <f>SUM(W79:W79)</f>
        <v>150000</v>
      </c>
    </row>
    <row r="79" spans="1:33" x14ac:dyDescent="0.2">
      <c r="U79" s="164">
        <v>53204999000000</v>
      </c>
      <c r="V79" s="161" t="s">
        <v>97</v>
      </c>
      <c r="W79" s="167">
        <v>150000</v>
      </c>
    </row>
    <row r="80" spans="1:33" x14ac:dyDescent="0.2">
      <c r="U80" s="168"/>
      <c r="V80" s="169" t="s">
        <v>151</v>
      </c>
      <c r="W80" s="170">
        <f>+W40+W15</f>
        <v>32315650</v>
      </c>
    </row>
    <row r="83" ht="15.75" customHeight="1" x14ac:dyDescent="0.2"/>
    <row r="97" spans="11:12" x14ac:dyDescent="0.2">
      <c r="L97" s="171"/>
    </row>
    <row r="99" spans="11:12" x14ac:dyDescent="0.2">
      <c r="K99" s="188"/>
    </row>
    <row r="101" spans="11:12" x14ac:dyDescent="0.2">
      <c r="K101" s="172"/>
    </row>
  </sheetData>
  <sheetProtection password="9C6E" sheet="1" objects="1" scenarios="1"/>
  <mergeCells count="43">
    <mergeCell ref="A9:H9"/>
    <mergeCell ref="U9:W10"/>
    <mergeCell ref="U13:U14"/>
    <mergeCell ref="V13:V14"/>
    <mergeCell ref="AG13:AH13"/>
    <mergeCell ref="K13:K14"/>
    <mergeCell ref="M13:N13"/>
    <mergeCell ref="O13:P13"/>
    <mergeCell ref="Q13:R13"/>
    <mergeCell ref="A13:B14"/>
    <mergeCell ref="C13:C14"/>
    <mergeCell ref="D13:D14"/>
    <mergeCell ref="E13:E14"/>
    <mergeCell ref="F13:F14"/>
    <mergeCell ref="G13:J13"/>
    <mergeCell ref="M12:R12"/>
    <mergeCell ref="A65:A69"/>
    <mergeCell ref="B65:B69"/>
    <mergeCell ref="A15:A61"/>
    <mergeCell ref="B15:B24"/>
    <mergeCell ref="B25:B34"/>
    <mergeCell ref="B35:B39"/>
    <mergeCell ref="B40:B61"/>
    <mergeCell ref="S13:S14"/>
    <mergeCell ref="AN9:AS10"/>
    <mergeCell ref="M9:S10"/>
    <mergeCell ref="AG9:AL10"/>
    <mergeCell ref="Z9:AE10"/>
    <mergeCell ref="W13:W14"/>
    <mergeCell ref="AI13:AJ13"/>
    <mergeCell ref="AK13:AL13"/>
    <mergeCell ref="AN14:AO14"/>
    <mergeCell ref="Z13:AA13"/>
    <mergeCell ref="AB13:AC13"/>
    <mergeCell ref="AD13:AE13"/>
    <mergeCell ref="AR13:AS13"/>
    <mergeCell ref="AP13:AQ13"/>
    <mergeCell ref="AN13:AO13"/>
    <mergeCell ref="AN15:AO15"/>
    <mergeCell ref="AP14:AQ14"/>
    <mergeCell ref="AP15:AQ15"/>
    <mergeCell ref="AR14:AS14"/>
    <mergeCell ref="AR15:AS15"/>
  </mergeCells>
  <conditionalFormatting sqref="S15:S61">
    <cfRule type="cellIs" dxfId="1" priority="1" operator="lessThan">
      <formula>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A1:IK12"/>
  <sheetViews>
    <sheetView showGridLines="0" topLeftCell="A3" zoomScale="90" zoomScaleNormal="90" workbookViewId="0">
      <selection activeCell="I15" sqref="I15"/>
    </sheetView>
  </sheetViews>
  <sheetFormatPr baseColWidth="10" defaultColWidth="11.42578125" defaultRowHeight="12.75" x14ac:dyDescent="0.2"/>
  <cols>
    <col min="1" max="1" width="42.140625" style="4" bestFit="1" customWidth="1"/>
    <col min="2" max="2" width="33" style="4" bestFit="1" customWidth="1"/>
    <col min="3" max="3" width="14.140625" style="23" customWidth="1"/>
    <col min="4" max="4" width="14.140625" style="23" bestFit="1" customWidth="1"/>
    <col min="5" max="17" width="14.140625" style="23" customWidth="1"/>
    <col min="18" max="18" width="13.28515625" style="4" customWidth="1"/>
    <col min="19" max="19" width="14.140625" style="4" bestFit="1" customWidth="1"/>
    <col min="20" max="20" width="14.140625" style="4" customWidth="1"/>
    <col min="21" max="21" width="12.28515625" style="4" customWidth="1"/>
    <col min="22" max="16384" width="11.42578125" style="4"/>
  </cols>
  <sheetData>
    <row r="1" spans="1:245" s="6" customFormat="1" x14ac:dyDescent="0.2">
      <c r="B1" s="5"/>
      <c r="C1" s="7"/>
      <c r="D1" s="7"/>
      <c r="E1" s="7"/>
      <c r="F1" s="7"/>
      <c r="G1" s="45" t="s">
        <v>216</v>
      </c>
      <c r="H1" s="7"/>
      <c r="I1" s="7"/>
      <c r="J1" s="7"/>
      <c r="K1" s="7"/>
      <c r="L1" s="7"/>
      <c r="M1" s="7"/>
      <c r="N1" s="7"/>
      <c r="O1" s="7"/>
      <c r="P1" s="7"/>
      <c r="Q1" s="7"/>
      <c r="IJ1" s="4"/>
      <c r="IK1" s="4"/>
    </row>
    <row r="2" spans="1:245" s="6" customFormat="1" x14ac:dyDescent="0.2">
      <c r="B2" s="8"/>
      <c r="C2" s="7"/>
      <c r="D2" s="7"/>
      <c r="E2" s="7"/>
      <c r="F2" s="7"/>
      <c r="G2" s="45" t="s">
        <v>208</v>
      </c>
      <c r="H2" s="7"/>
      <c r="I2" s="7"/>
      <c r="J2" s="7"/>
      <c r="K2" s="7"/>
      <c r="L2" s="7"/>
      <c r="M2" s="7"/>
      <c r="N2" s="7"/>
      <c r="O2" s="7"/>
      <c r="P2" s="7"/>
      <c r="Q2" s="7"/>
      <c r="IJ2" s="4"/>
      <c r="IK2" s="4"/>
    </row>
    <row r="3" spans="1:245" s="6" customFormat="1" x14ac:dyDescent="0.2">
      <c r="B3" s="4"/>
      <c r="IJ3" s="4"/>
      <c r="IK3" s="4"/>
    </row>
    <row r="4" spans="1:245" s="6" customFormat="1" ht="17.25" customHeight="1" x14ac:dyDescent="0.2">
      <c r="B4" s="23"/>
      <c r="C4" s="122"/>
      <c r="F4" s="122" t="s">
        <v>0</v>
      </c>
      <c r="G4" s="792" t="str">
        <f>+'B) Reajuste Tarifas y Ocupación'!F5</f>
        <v>BIENMAG</v>
      </c>
      <c r="H4" s="793"/>
      <c r="I4" s="122"/>
      <c r="J4" s="122"/>
      <c r="K4" s="122"/>
      <c r="L4" s="122"/>
      <c r="M4" s="122"/>
      <c r="N4" s="122"/>
      <c r="O4" s="122"/>
      <c r="P4" s="122"/>
      <c r="Q4" s="122"/>
      <c r="IA4" s="4"/>
      <c r="IB4" s="4"/>
      <c r="IC4" s="4"/>
      <c r="ID4" s="4"/>
      <c r="IE4" s="4"/>
      <c r="IF4" s="4"/>
    </row>
    <row r="5" spans="1:245" s="6" customFormat="1" x14ac:dyDescent="0.2">
      <c r="B5" s="23"/>
      <c r="C5" s="122"/>
      <c r="F5" s="122"/>
      <c r="G5" s="125"/>
      <c r="H5" s="125"/>
      <c r="I5" s="122"/>
      <c r="J5" s="122"/>
      <c r="K5" s="122"/>
      <c r="L5" s="122"/>
      <c r="M5" s="122"/>
      <c r="N5" s="122"/>
      <c r="O5" s="122"/>
      <c r="P5" s="122"/>
      <c r="Q5" s="122"/>
      <c r="IA5" s="4"/>
      <c r="IB5" s="4"/>
      <c r="IC5" s="4"/>
      <c r="ID5" s="4"/>
      <c r="IE5" s="4"/>
      <c r="IF5" s="4"/>
    </row>
    <row r="6" spans="1:245" s="6" customFormat="1" ht="15.75" x14ac:dyDescent="0.2">
      <c r="A6" s="799" t="s">
        <v>167</v>
      </c>
      <c r="B6" s="799"/>
      <c r="C6" s="799"/>
      <c r="D6" s="799"/>
      <c r="E6" s="124"/>
      <c r="F6" s="122"/>
      <c r="G6" s="125"/>
      <c r="H6" s="125"/>
      <c r="I6" s="122"/>
      <c r="J6" s="122"/>
      <c r="K6" s="122"/>
      <c r="L6" s="122"/>
      <c r="M6" s="122"/>
      <c r="N6" s="122"/>
      <c r="O6" s="122"/>
      <c r="P6" s="122"/>
      <c r="Q6" s="122"/>
      <c r="IA6" s="4"/>
      <c r="IB6" s="4"/>
      <c r="IC6" s="4"/>
      <c r="ID6" s="4"/>
      <c r="IE6" s="4"/>
      <c r="IF6" s="4"/>
    </row>
    <row r="7" spans="1:245" s="6" customFormat="1" ht="13.5" thickBot="1" x14ac:dyDescent="0.25">
      <c r="B7" s="45"/>
      <c r="C7" s="45"/>
      <c r="D7" s="45"/>
      <c r="E7" s="45"/>
      <c r="F7" s="45"/>
      <c r="G7" s="45"/>
      <c r="H7" s="45"/>
      <c r="I7" s="45"/>
      <c r="J7" s="45"/>
      <c r="K7" s="45"/>
      <c r="L7" s="45"/>
      <c r="M7" s="45"/>
      <c r="N7" s="45"/>
      <c r="O7" s="45"/>
      <c r="P7" s="45"/>
      <c r="Q7" s="45"/>
      <c r="HX7" s="4"/>
      <c r="HY7" s="4"/>
      <c r="HZ7" s="4"/>
      <c r="IA7" s="4"/>
      <c r="IB7" s="4"/>
      <c r="IC7" s="4"/>
      <c r="ID7" s="4"/>
      <c r="IE7" s="4"/>
      <c r="IF7" s="4"/>
    </row>
    <row r="8" spans="1:245" ht="16.5" customHeight="1" x14ac:dyDescent="0.2">
      <c r="A8" s="800" t="s">
        <v>115</v>
      </c>
      <c r="B8" s="802" t="s">
        <v>5</v>
      </c>
      <c r="C8" s="797" t="s">
        <v>139</v>
      </c>
      <c r="D8" s="671"/>
      <c r="E8" s="671"/>
      <c r="F8" s="671"/>
      <c r="G8" s="798"/>
      <c r="H8" s="794" t="s">
        <v>87</v>
      </c>
      <c r="I8" s="795"/>
      <c r="J8" s="795"/>
      <c r="K8" s="795"/>
      <c r="L8" s="796"/>
      <c r="M8" s="790" t="s">
        <v>125</v>
      </c>
      <c r="N8" s="790"/>
      <c r="O8" s="790"/>
      <c r="P8" s="790"/>
      <c r="Q8" s="791"/>
      <c r="R8" s="790" t="s">
        <v>126</v>
      </c>
      <c r="S8" s="790"/>
      <c r="T8" s="790"/>
      <c r="U8" s="790"/>
      <c r="V8" s="791"/>
    </row>
    <row r="9" spans="1:245" ht="64.5" thickBot="1" x14ac:dyDescent="0.25">
      <c r="A9" s="801" t="e">
        <f>NA()</f>
        <v>#N/A</v>
      </c>
      <c r="B9" s="803" t="e">
        <f>NA()</f>
        <v>#N/A</v>
      </c>
      <c r="C9" s="99" t="s">
        <v>88</v>
      </c>
      <c r="D9" s="98" t="s">
        <v>137</v>
      </c>
      <c r="E9" s="98" t="s">
        <v>138</v>
      </c>
      <c r="F9" s="98" t="s">
        <v>89</v>
      </c>
      <c r="G9" s="69" t="s">
        <v>90</v>
      </c>
      <c r="H9" s="100" t="s">
        <v>88</v>
      </c>
      <c r="I9" s="97" t="s">
        <v>137</v>
      </c>
      <c r="J9" s="97" t="s">
        <v>138</v>
      </c>
      <c r="K9" s="97" t="s">
        <v>89</v>
      </c>
      <c r="L9" s="70" t="s">
        <v>90</v>
      </c>
      <c r="M9" s="96" t="s">
        <v>88</v>
      </c>
      <c r="N9" s="97" t="s">
        <v>137</v>
      </c>
      <c r="O9" s="97" t="s">
        <v>138</v>
      </c>
      <c r="P9" s="97" t="s">
        <v>89</v>
      </c>
      <c r="Q9" s="79" t="s">
        <v>90</v>
      </c>
      <c r="R9" s="101" t="s">
        <v>88</v>
      </c>
      <c r="S9" s="97" t="s">
        <v>137</v>
      </c>
      <c r="T9" s="97" t="s">
        <v>138</v>
      </c>
      <c r="U9" s="97" t="s">
        <v>89</v>
      </c>
      <c r="V9" s="79" t="s">
        <v>90</v>
      </c>
    </row>
    <row r="10" spans="1:245" s="10" customFormat="1" x14ac:dyDescent="0.2">
      <c r="A10" s="787" t="str">
        <f>+'B) Reajuste Tarifas y Ocupación'!A12</f>
        <v>Jardín Infantil Mar y Cielo</v>
      </c>
      <c r="B10" s="388" t="str">
        <f>+'B) Reajuste Tarifas y Ocupación'!B12</f>
        <v>Media jornada</v>
      </c>
      <c r="C10" s="392">
        <f>+'B) Reajuste Tarifas y Ocupación'!M12</f>
        <v>60300</v>
      </c>
      <c r="D10" s="393">
        <f>+'B) Reajuste Tarifas y Ocupación'!N12</f>
        <v>72300</v>
      </c>
      <c r="E10" s="393">
        <f>+'B) Reajuste Tarifas y Ocupación'!O12</f>
        <v>72300</v>
      </c>
      <c r="F10" s="393">
        <f>+'B) Reajuste Tarifas y Ocupación'!P12</f>
        <v>94600</v>
      </c>
      <c r="G10" s="400">
        <f>+'B) Reajuste Tarifas y Ocupación'!Q12</f>
        <v>111700</v>
      </c>
      <c r="H10" s="403">
        <f>+'B) Reajuste Tarifas y Ocupación'!C12</f>
        <v>56300</v>
      </c>
      <c r="I10" s="404">
        <f>+'B) Reajuste Tarifas y Ocupación'!D12</f>
        <v>67600</v>
      </c>
      <c r="J10" s="404">
        <f>+'B) Reajuste Tarifas y Ocupación'!E12</f>
        <v>67600</v>
      </c>
      <c r="K10" s="404">
        <f>+'B) Reajuste Tarifas y Ocupación'!F12</f>
        <v>88400</v>
      </c>
      <c r="L10" s="406">
        <f>+'B) Reajuste Tarifas y Ocupación'!G12</f>
        <v>104300</v>
      </c>
      <c r="M10" s="345">
        <f t="shared" ref="M10:Q11" si="0">C10-H10</f>
        <v>4000</v>
      </c>
      <c r="N10" s="335">
        <f t="shared" si="0"/>
        <v>4700</v>
      </c>
      <c r="O10" s="335">
        <f t="shared" si="0"/>
        <v>4700</v>
      </c>
      <c r="P10" s="335">
        <f t="shared" si="0"/>
        <v>6200</v>
      </c>
      <c r="Q10" s="410">
        <f t="shared" si="0"/>
        <v>7400</v>
      </c>
      <c r="R10" s="413">
        <f>+'B) Reajuste Tarifas y Ocupación'!H12</f>
        <v>7.0000000000000007E-2</v>
      </c>
      <c r="S10" s="414">
        <f>+'B) Reajuste Tarifas y Ocupación'!I12</f>
        <v>7.0000000000000007E-2</v>
      </c>
      <c r="T10" s="414">
        <f>+'B) Reajuste Tarifas y Ocupación'!J12</f>
        <v>7.0000000000000007E-2</v>
      </c>
      <c r="U10" s="414">
        <f>+'B) Reajuste Tarifas y Ocupación'!K12</f>
        <v>7.0000000000000007E-2</v>
      </c>
      <c r="V10" s="415">
        <f>+'B) Reajuste Tarifas y Ocupación'!L12</f>
        <v>7.0000000000000007E-2</v>
      </c>
    </row>
    <row r="11" spans="1:245" s="10" customFormat="1" x14ac:dyDescent="0.2">
      <c r="A11" s="788"/>
      <c r="B11" s="389" t="str">
        <f>+'B) Reajuste Tarifas y Ocupación'!B13</f>
        <v xml:space="preserve">Doble jornada </v>
      </c>
      <c r="C11" s="395">
        <f>+'B) Reajuste Tarifas y Ocupación'!M13</f>
        <v>89800</v>
      </c>
      <c r="D11" s="391">
        <f>+'B) Reajuste Tarifas y Ocupación'!N13</f>
        <v>107800</v>
      </c>
      <c r="E11" s="391">
        <f>+'B) Reajuste Tarifas y Ocupación'!O13</f>
        <v>107800</v>
      </c>
      <c r="F11" s="391">
        <f>+'B) Reajuste Tarifas y Ocupación'!P13</f>
        <v>134800</v>
      </c>
      <c r="G11" s="401">
        <f>+'B) Reajuste Tarifas y Ocupación'!Q13</f>
        <v>158000</v>
      </c>
      <c r="H11" s="405">
        <f>+'B) Reajuste Tarifas y Ocupación'!C13</f>
        <v>83900</v>
      </c>
      <c r="I11" s="402">
        <f>+'B) Reajuste Tarifas y Ocupación'!D13</f>
        <v>100700</v>
      </c>
      <c r="J11" s="402">
        <f>+'B) Reajuste Tarifas y Ocupación'!E13</f>
        <v>100700</v>
      </c>
      <c r="K11" s="402">
        <f>+'B) Reajuste Tarifas y Ocupación'!F13</f>
        <v>125900</v>
      </c>
      <c r="L11" s="407">
        <f>+'B) Reajuste Tarifas y Ocupación'!G13</f>
        <v>147600</v>
      </c>
      <c r="M11" s="409">
        <f t="shared" si="0"/>
        <v>5900</v>
      </c>
      <c r="N11" s="408">
        <f t="shared" si="0"/>
        <v>7100</v>
      </c>
      <c r="O11" s="408">
        <f t="shared" si="0"/>
        <v>7100</v>
      </c>
      <c r="P11" s="408">
        <f t="shared" si="0"/>
        <v>8900</v>
      </c>
      <c r="Q11" s="411">
        <f t="shared" si="0"/>
        <v>10400</v>
      </c>
      <c r="R11" s="416">
        <f>+'B) Reajuste Tarifas y Ocupación'!H13</f>
        <v>7.0000000000000007E-2</v>
      </c>
      <c r="S11" s="412">
        <f>+'B) Reajuste Tarifas y Ocupación'!I13</f>
        <v>7.0000000000000007E-2</v>
      </c>
      <c r="T11" s="412">
        <f>+'B) Reajuste Tarifas y Ocupación'!J13</f>
        <v>7.0000000000000007E-2</v>
      </c>
      <c r="U11" s="412">
        <f>+'B) Reajuste Tarifas y Ocupación'!K13</f>
        <v>7.0000000000000007E-2</v>
      </c>
      <c r="V11" s="417">
        <f>+'B) Reajuste Tarifas y Ocupación'!L13</f>
        <v>7.0000000000000007E-2</v>
      </c>
    </row>
    <row r="12" spans="1:245" s="10" customFormat="1" ht="13.5" thickBot="1" x14ac:dyDescent="0.25">
      <c r="A12" s="789"/>
      <c r="B12" s="390" t="str">
        <f>+'B) Reajuste Tarifas y Ocupación'!B14</f>
        <v>Jornada completa</v>
      </c>
      <c r="C12" s="397">
        <f>+'B) Reajuste Tarifas y Ocupación'!M14</f>
        <v>140200</v>
      </c>
      <c r="D12" s="398">
        <f>+'B) Reajuste Tarifas y Ocupación'!N14</f>
        <v>168300</v>
      </c>
      <c r="E12" s="398">
        <f>+'B) Reajuste Tarifas y Ocupación'!O14</f>
        <v>168300</v>
      </c>
      <c r="F12" s="398">
        <f>+'B) Reajuste Tarifas y Ocupación'!P14</f>
        <v>175300</v>
      </c>
      <c r="G12" s="173">
        <f>+'B) Reajuste Tarifas y Ocupación'!Q14</f>
        <v>182300</v>
      </c>
      <c r="H12" s="469"/>
      <c r="I12" s="470"/>
      <c r="J12" s="470"/>
      <c r="K12" s="470"/>
      <c r="L12" s="471"/>
      <c r="M12" s="472"/>
      <c r="N12" s="473"/>
      <c r="O12" s="473"/>
      <c r="P12" s="473"/>
      <c r="Q12" s="474"/>
      <c r="R12" s="475"/>
      <c r="S12" s="476"/>
      <c r="T12" s="476"/>
      <c r="U12" s="476"/>
      <c r="V12" s="477"/>
    </row>
  </sheetData>
  <sheetProtection password="9C6E" sheet="1" objects="1" scenarios="1"/>
  <mergeCells count="9">
    <mergeCell ref="A10:A12"/>
    <mergeCell ref="R8:V8"/>
    <mergeCell ref="G4:H4"/>
    <mergeCell ref="H8:L8"/>
    <mergeCell ref="M8:Q8"/>
    <mergeCell ref="C8:G8"/>
    <mergeCell ref="A6:D6"/>
    <mergeCell ref="A8:A9"/>
    <mergeCell ref="B8:B9"/>
  </mergeCells>
  <conditionalFormatting sqref="M10:Q12">
    <cfRule type="cellIs" dxfId="0" priority="1" operator="lessThan">
      <formula>0</formula>
    </cfRule>
  </conditionalFormatting>
  <pageMargins left="0.75" right="0.75" top="1" bottom="0.64583333333333337" header="0" footer="0.51180555555555551"/>
  <pageSetup firstPageNumber="0" fitToHeight="14" orientation="landscape" horizontalDpi="300" verticalDpi="300" r:id="rId1"/>
  <headerFooter alignWithMargins="0">
    <oddHeader>&amp;LSEPT - 2004&amp;CDIRECTIVA D.B.S.A.
ORDINARIA&amp;R02-BS0307/02
Pag &amp;P de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IY39"/>
  <sheetViews>
    <sheetView showGridLines="0" topLeftCell="C1" zoomScale="91" zoomScaleNormal="91" workbookViewId="0">
      <selection activeCell="K11" sqref="K11"/>
    </sheetView>
  </sheetViews>
  <sheetFormatPr baseColWidth="10" defaultColWidth="11.42578125" defaultRowHeight="12.75" x14ac:dyDescent="0.2"/>
  <cols>
    <col min="1" max="1" width="7.140625" style="29" customWidth="1"/>
    <col min="2" max="2" width="37.28515625" style="29" customWidth="1"/>
    <col min="3" max="3" width="28" style="29" customWidth="1"/>
    <col min="4" max="4" width="24.140625" style="29" customWidth="1"/>
    <col min="5" max="5" width="25.140625" style="29" customWidth="1"/>
    <col min="6" max="6" width="22.140625" style="29" customWidth="1"/>
    <col min="7" max="7" width="14.85546875" style="29" customWidth="1"/>
    <col min="8" max="8" width="15" style="29" customWidth="1"/>
    <col min="9" max="9" width="15.140625" style="29" customWidth="1"/>
    <col min="10" max="10" width="17.42578125" style="29" customWidth="1"/>
    <col min="11" max="12" width="19.140625" style="29" customWidth="1"/>
    <col min="13" max="13" width="16.140625" style="29" customWidth="1"/>
    <col min="14" max="14" width="17.140625" style="29" customWidth="1"/>
    <col min="15" max="15" width="14.85546875" style="29" customWidth="1"/>
    <col min="16" max="16" width="17.7109375" style="29" customWidth="1"/>
    <col min="17" max="17" width="17.140625" style="29" customWidth="1"/>
    <col min="18" max="18" width="18.140625" style="44" customWidth="1"/>
    <col min="19" max="19" width="16.28515625" style="29" customWidth="1"/>
    <col min="20" max="20" width="15.85546875" style="29" customWidth="1"/>
    <col min="21" max="21" width="14.85546875" style="29" customWidth="1"/>
    <col min="22" max="22" width="15.85546875" style="29" customWidth="1"/>
    <col min="23" max="23" width="14.28515625" style="29" customWidth="1"/>
    <col min="24" max="24" width="14.85546875" style="29" customWidth="1"/>
    <col min="25" max="25" width="14.140625" style="29" customWidth="1"/>
    <col min="26" max="26" width="16.85546875" style="29" customWidth="1"/>
    <col min="27" max="27" width="17.5703125" style="29" customWidth="1"/>
    <col min="28" max="28" width="15.28515625" style="29" customWidth="1"/>
    <col min="29" max="29" width="19.7109375" style="29" customWidth="1"/>
    <col min="30" max="30" width="17.42578125" style="29" customWidth="1"/>
    <col min="31" max="31" width="12" style="29" customWidth="1"/>
    <col min="32" max="16384" width="11.42578125" style="29"/>
  </cols>
  <sheetData>
    <row r="1" spans="2:259" s="6" customFormat="1" x14ac:dyDescent="0.2">
      <c r="C1" s="7"/>
      <c r="D1" s="7"/>
      <c r="E1" s="45" t="s">
        <v>217</v>
      </c>
      <c r="F1" s="45"/>
      <c r="G1" s="45"/>
      <c r="H1" s="45"/>
      <c r="I1" s="45"/>
      <c r="J1" s="7"/>
      <c r="K1" s="7"/>
      <c r="IM1" s="4"/>
      <c r="IN1" s="4"/>
    </row>
    <row r="2" spans="2:259" s="6" customFormat="1" x14ac:dyDescent="0.2">
      <c r="E2" s="45" t="s">
        <v>209</v>
      </c>
      <c r="F2" s="45"/>
      <c r="G2" s="45"/>
      <c r="H2" s="45"/>
      <c r="I2" s="45"/>
      <c r="IM2" s="4"/>
      <c r="IN2" s="4"/>
    </row>
    <row r="3" spans="2:259" s="6" customFormat="1" x14ac:dyDescent="0.2">
      <c r="B3" s="24"/>
      <c r="C3" s="7"/>
      <c r="D3" s="7"/>
      <c r="E3" s="7"/>
      <c r="F3" s="7"/>
      <c r="G3" s="7"/>
      <c r="H3" s="7"/>
      <c r="I3" s="7"/>
      <c r="J3" s="7"/>
      <c r="K3" s="7"/>
      <c r="L3" s="7"/>
      <c r="M3" s="7"/>
      <c r="N3" s="7"/>
      <c r="O3" s="7"/>
      <c r="P3" s="7"/>
      <c r="ID3" s="4"/>
      <c r="IE3" s="4"/>
      <c r="IF3" s="4"/>
      <c r="IG3" s="4"/>
      <c r="IH3" s="4"/>
      <c r="II3" s="4"/>
    </row>
    <row r="4" spans="2:259" s="6" customFormat="1" ht="18.75" customHeight="1" x14ac:dyDescent="0.2">
      <c r="B4" s="24"/>
      <c r="D4" s="121" t="s">
        <v>0</v>
      </c>
      <c r="E4" s="189" t="str">
        <f>+'B) Reajuste Tarifas y Ocupación'!F5</f>
        <v>BIENMAG</v>
      </c>
      <c r="F4" s="73"/>
      <c r="G4" s="74"/>
      <c r="H4" s="74"/>
      <c r="I4" s="74"/>
      <c r="J4" s="74"/>
      <c r="N4" s="3"/>
      <c r="ID4" s="4"/>
      <c r="IE4" s="4"/>
      <c r="IF4" s="4"/>
      <c r="IG4" s="4"/>
      <c r="IH4" s="4"/>
      <c r="II4" s="4"/>
    </row>
    <row r="5" spans="2:259" s="6" customFormat="1" x14ac:dyDescent="0.2">
      <c r="B5" s="24"/>
      <c r="D5" s="122"/>
      <c r="E5" s="125"/>
      <c r="F5" s="125"/>
      <c r="G5" s="125"/>
      <c r="H5" s="125"/>
      <c r="I5" s="125"/>
      <c r="J5" s="125"/>
      <c r="N5" s="3"/>
      <c r="ID5" s="4"/>
      <c r="IE5" s="4"/>
      <c r="IF5" s="4"/>
      <c r="IG5" s="4"/>
      <c r="IH5" s="4"/>
      <c r="II5" s="4"/>
    </row>
    <row r="6" spans="2:259" s="6" customFormat="1" x14ac:dyDescent="0.2">
      <c r="B6" s="24"/>
      <c r="D6" s="122"/>
      <c r="E6" s="125"/>
      <c r="F6" s="125"/>
      <c r="G6" s="125"/>
      <c r="H6" s="125"/>
      <c r="I6" s="125"/>
      <c r="J6" s="125"/>
      <c r="N6" s="3"/>
      <c r="ID6" s="4"/>
      <c r="IE6" s="4"/>
      <c r="IF6" s="4"/>
      <c r="IG6" s="4"/>
      <c r="IH6" s="4"/>
      <c r="II6" s="4"/>
    </row>
    <row r="7" spans="2:259" s="14" customFormat="1" ht="15.75" x14ac:dyDescent="0.2">
      <c r="B7" s="673" t="s">
        <v>168</v>
      </c>
      <c r="C7" s="673"/>
      <c r="D7" s="673"/>
      <c r="E7" s="673"/>
      <c r="F7" s="123"/>
      <c r="G7" s="123"/>
      <c r="H7" s="123"/>
      <c r="I7" s="123"/>
      <c r="J7" s="125"/>
      <c r="K7" s="75" t="s">
        <v>4</v>
      </c>
      <c r="L7" s="76">
        <v>2.8000000000000001E-2</v>
      </c>
      <c r="N7" s="26"/>
      <c r="ID7" s="10"/>
      <c r="IE7" s="10"/>
      <c r="IF7" s="10"/>
      <c r="IG7" s="10"/>
      <c r="IH7" s="10"/>
      <c r="II7" s="10"/>
    </row>
    <row r="8" spans="2:259" ht="13.5" thickBot="1" x14ac:dyDescent="0.25"/>
    <row r="9" spans="2:259" ht="15" x14ac:dyDescent="0.2">
      <c r="B9" s="820" t="s">
        <v>115</v>
      </c>
      <c r="C9" s="779" t="s">
        <v>73</v>
      </c>
      <c r="D9" s="779" t="s">
        <v>74</v>
      </c>
      <c r="E9" s="781" t="s">
        <v>3</v>
      </c>
      <c r="F9" s="818" t="s">
        <v>82</v>
      </c>
      <c r="G9" s="804" t="s">
        <v>147</v>
      </c>
      <c r="H9" s="805"/>
      <c r="I9" s="805"/>
      <c r="J9" s="806"/>
      <c r="K9" s="807" t="s">
        <v>149</v>
      </c>
      <c r="L9" s="809" t="s">
        <v>116</v>
      </c>
      <c r="O9" s="28"/>
      <c r="P9" s="28"/>
      <c r="Q9" s="28"/>
      <c r="R9" s="28"/>
      <c r="S9" s="28"/>
      <c r="T9" s="28"/>
    </row>
    <row r="10" spans="2:259" ht="39" thickBot="1" x14ac:dyDescent="0.25">
      <c r="B10" s="821"/>
      <c r="C10" s="780"/>
      <c r="D10" s="780"/>
      <c r="E10" s="782"/>
      <c r="F10" s="819"/>
      <c r="G10" s="198" t="s">
        <v>117</v>
      </c>
      <c r="H10" s="77" t="s">
        <v>118</v>
      </c>
      <c r="I10" s="77" t="s">
        <v>119</v>
      </c>
      <c r="J10" s="233" t="s">
        <v>148</v>
      </c>
      <c r="K10" s="808"/>
      <c r="L10" s="810"/>
      <c r="M10" s="30"/>
      <c r="N10" s="63"/>
      <c r="O10" s="63"/>
      <c r="P10" s="21"/>
      <c r="Q10" s="21"/>
      <c r="R10" s="21"/>
      <c r="S10" s="30"/>
      <c r="T10" s="811"/>
      <c r="U10" s="811"/>
      <c r="V10" s="811"/>
      <c r="W10" s="811"/>
      <c r="X10" s="30"/>
    </row>
    <row r="11" spans="2:259" s="2" customFormat="1" x14ac:dyDescent="0.2">
      <c r="B11" s="812" t="str">
        <f>+'B) Reajuste Tarifas y Ocupación'!A12</f>
        <v>Jardín Infantil Mar y Cielo</v>
      </c>
      <c r="C11" s="235" t="s">
        <v>301</v>
      </c>
      <c r="D11" s="235" t="s">
        <v>263</v>
      </c>
      <c r="E11" s="235" t="s">
        <v>264</v>
      </c>
      <c r="F11" s="234" t="s">
        <v>265</v>
      </c>
      <c r="G11" s="608">
        <v>12936000</v>
      </c>
      <c r="H11" s="236">
        <v>190000</v>
      </c>
      <c r="I11" s="236">
        <v>130000</v>
      </c>
      <c r="J11" s="241">
        <f>SUM(G11:I11)</f>
        <v>13256000</v>
      </c>
      <c r="K11" s="246">
        <f>+J11*(1+$L$7)</f>
        <v>13627168</v>
      </c>
      <c r="L11" s="815">
        <f>SUM(K11:K31)</f>
        <v>54092332</v>
      </c>
      <c r="M11" s="30"/>
      <c r="N11" s="35"/>
      <c r="O11" s="35"/>
      <c r="P11" s="64"/>
      <c r="Q11" s="64"/>
      <c r="R11" s="64"/>
      <c r="S11" s="32"/>
      <c r="T11" s="31"/>
      <c r="U11" s="31"/>
      <c r="V11" s="31"/>
      <c r="W11" s="31"/>
      <c r="X11" s="33"/>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row>
    <row r="12" spans="2:259" s="2" customFormat="1" x14ac:dyDescent="0.2">
      <c r="B12" s="813"/>
      <c r="C12" s="234" t="s">
        <v>354</v>
      </c>
      <c r="D12" s="234" t="s">
        <v>408</v>
      </c>
      <c r="E12" s="234" t="s">
        <v>264</v>
      </c>
      <c r="F12" s="234" t="s">
        <v>265</v>
      </c>
      <c r="G12" s="491">
        <f>(12936000/12)*5</f>
        <v>5390000</v>
      </c>
      <c r="H12" s="491">
        <v>0</v>
      </c>
      <c r="I12" s="491">
        <v>0</v>
      </c>
      <c r="J12" s="243">
        <f t="shared" ref="J12:J31" si="0">SUM(G12:I12)</f>
        <v>5390000</v>
      </c>
      <c r="K12" s="247">
        <f t="shared" ref="K12:K31" si="1">+J12*(1+$L$7)</f>
        <v>5540920</v>
      </c>
      <c r="L12" s="816"/>
      <c r="M12" s="30"/>
      <c r="N12" s="35"/>
      <c r="O12" s="35"/>
      <c r="P12" s="21"/>
      <c r="Q12" s="21"/>
      <c r="R12" s="21"/>
      <c r="S12" s="32"/>
      <c r="T12" s="31"/>
      <c r="U12" s="31"/>
      <c r="V12" s="31"/>
      <c r="W12" s="31"/>
      <c r="X12" s="33"/>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row>
    <row r="13" spans="2:259" s="2" customFormat="1" x14ac:dyDescent="0.2">
      <c r="B13" s="813"/>
      <c r="C13" s="234"/>
      <c r="D13" s="234"/>
      <c r="E13" s="234"/>
      <c r="F13" s="234"/>
      <c r="G13" s="242"/>
      <c r="H13" s="190">
        <v>0</v>
      </c>
      <c r="I13" s="190">
        <v>0</v>
      </c>
      <c r="J13" s="243">
        <f t="shared" si="0"/>
        <v>0</v>
      </c>
      <c r="K13" s="247">
        <f t="shared" si="1"/>
        <v>0</v>
      </c>
      <c r="L13" s="816"/>
      <c r="M13" s="30"/>
      <c r="N13" s="35"/>
      <c r="O13" s="35"/>
      <c r="P13" s="21"/>
      <c r="Q13" s="21"/>
      <c r="R13" s="21"/>
      <c r="S13" s="32"/>
      <c r="T13" s="31"/>
      <c r="U13" s="31"/>
      <c r="V13" s="31"/>
      <c r="W13" s="31"/>
      <c r="X13" s="33"/>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row>
    <row r="14" spans="2:259" s="2" customFormat="1" x14ac:dyDescent="0.2">
      <c r="B14" s="813"/>
      <c r="C14" s="234" t="s">
        <v>266</v>
      </c>
      <c r="D14" s="234" t="s">
        <v>267</v>
      </c>
      <c r="E14" s="234" t="s">
        <v>268</v>
      </c>
      <c r="F14" s="239" t="s">
        <v>265</v>
      </c>
      <c r="G14" s="242">
        <v>6150000</v>
      </c>
      <c r="H14" s="190">
        <v>330000</v>
      </c>
      <c r="I14" s="190">
        <v>132000</v>
      </c>
      <c r="J14" s="243">
        <f t="shared" si="0"/>
        <v>6612000</v>
      </c>
      <c r="K14" s="247">
        <f t="shared" si="1"/>
        <v>6797136</v>
      </c>
      <c r="L14" s="816"/>
      <c r="M14" s="30"/>
      <c r="N14" s="35"/>
      <c r="O14" s="35"/>
      <c r="P14" s="21"/>
      <c r="Q14" s="21"/>
      <c r="R14" s="21"/>
      <c r="S14" s="32"/>
      <c r="T14" s="31"/>
      <c r="U14" s="31"/>
      <c r="V14" s="31"/>
      <c r="W14" s="31"/>
      <c r="X14" s="33"/>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row>
    <row r="15" spans="2:259" s="2" customFormat="1" x14ac:dyDescent="0.2">
      <c r="B15" s="813"/>
      <c r="C15" s="234" t="s">
        <v>269</v>
      </c>
      <c r="D15" s="234" t="s">
        <v>270</v>
      </c>
      <c r="E15" s="234" t="s">
        <v>268</v>
      </c>
      <c r="F15" s="239" t="s">
        <v>265</v>
      </c>
      <c r="G15" s="242">
        <v>6150000</v>
      </c>
      <c r="H15" s="190">
        <v>330000</v>
      </c>
      <c r="I15" s="190">
        <v>132000</v>
      </c>
      <c r="J15" s="243">
        <f t="shared" si="0"/>
        <v>6612000</v>
      </c>
      <c r="K15" s="247">
        <f t="shared" si="1"/>
        <v>6797136</v>
      </c>
      <c r="L15" s="816"/>
      <c r="M15" s="30"/>
      <c r="N15" s="35"/>
      <c r="O15" s="35"/>
      <c r="P15" s="21"/>
      <c r="Q15" s="21"/>
      <c r="R15" s="21"/>
      <c r="S15" s="32"/>
      <c r="T15" s="31"/>
      <c r="U15" s="31"/>
      <c r="V15" s="31"/>
      <c r="W15" s="31"/>
      <c r="X15" s="33"/>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row>
    <row r="16" spans="2:259" s="2" customFormat="1" x14ac:dyDescent="0.2">
      <c r="B16" s="813"/>
      <c r="C16" s="234" t="s">
        <v>271</v>
      </c>
      <c r="D16" s="234" t="s">
        <v>272</v>
      </c>
      <c r="E16" s="234" t="s">
        <v>268</v>
      </c>
      <c r="F16" s="239" t="s">
        <v>265</v>
      </c>
      <c r="G16" s="242">
        <v>6150000</v>
      </c>
      <c r="H16" s="190">
        <v>330000</v>
      </c>
      <c r="I16" s="190">
        <v>132000</v>
      </c>
      <c r="J16" s="243">
        <f t="shared" si="0"/>
        <v>6612000</v>
      </c>
      <c r="K16" s="247">
        <f t="shared" si="1"/>
        <v>6797136</v>
      </c>
      <c r="L16" s="816"/>
      <c r="M16" s="30"/>
      <c r="N16" s="35"/>
      <c r="O16" s="35"/>
      <c r="P16" s="21"/>
      <c r="Q16" s="21"/>
      <c r="R16" s="21"/>
      <c r="S16" s="32"/>
      <c r="T16" s="31"/>
      <c r="U16" s="31"/>
      <c r="V16" s="31"/>
      <c r="W16" s="31"/>
      <c r="X16" s="33"/>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row>
    <row r="17" spans="2:259" s="2" customFormat="1" x14ac:dyDescent="0.2">
      <c r="B17" s="813"/>
      <c r="C17" s="234" t="s">
        <v>299</v>
      </c>
      <c r="D17" s="234" t="s">
        <v>300</v>
      </c>
      <c r="E17" s="234" t="s">
        <v>268</v>
      </c>
      <c r="F17" s="239" t="s">
        <v>265</v>
      </c>
      <c r="G17" s="242">
        <f>(G14/12)*10</f>
        <v>5125000</v>
      </c>
      <c r="H17" s="190">
        <v>0</v>
      </c>
      <c r="I17" s="190">
        <v>0</v>
      </c>
      <c r="J17" s="243">
        <f t="shared" si="0"/>
        <v>5125000</v>
      </c>
      <c r="K17" s="247">
        <f t="shared" si="1"/>
        <v>5268500</v>
      </c>
      <c r="L17" s="816"/>
      <c r="M17" s="30"/>
      <c r="N17" s="35"/>
      <c r="O17" s="35"/>
      <c r="P17" s="21"/>
      <c r="Q17" s="21"/>
      <c r="R17" s="21"/>
      <c r="S17" s="32"/>
      <c r="T17" s="31"/>
      <c r="U17" s="31"/>
      <c r="V17" s="31"/>
      <c r="W17" s="31"/>
      <c r="X17" s="33"/>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row>
    <row r="18" spans="2:259" s="2" customFormat="1" x14ac:dyDescent="0.2">
      <c r="B18" s="813"/>
      <c r="C18" s="234" t="s">
        <v>302</v>
      </c>
      <c r="D18" s="234" t="s">
        <v>303</v>
      </c>
      <c r="E18" s="234" t="s">
        <v>268</v>
      </c>
      <c r="F18" s="239" t="s">
        <v>265</v>
      </c>
      <c r="G18" s="242">
        <f>6150000/2</f>
        <v>3075000</v>
      </c>
      <c r="H18" s="190">
        <v>330000</v>
      </c>
      <c r="I18" s="190">
        <v>132000</v>
      </c>
      <c r="J18" s="243">
        <f>SUM(G18:I18)</f>
        <v>3537000</v>
      </c>
      <c r="K18" s="247">
        <f>+J18*(1+$L$7)</f>
        <v>3636036</v>
      </c>
      <c r="L18" s="816"/>
      <c r="M18" s="30"/>
      <c r="N18" s="35"/>
      <c r="O18" s="35"/>
      <c r="P18" s="21"/>
      <c r="Q18" s="21"/>
      <c r="R18" s="21"/>
      <c r="S18" s="32"/>
      <c r="T18" s="31"/>
      <c r="U18" s="31"/>
      <c r="V18" s="31"/>
      <c r="W18" s="31"/>
      <c r="X18" s="33"/>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row>
    <row r="19" spans="2:259" s="2" customFormat="1" x14ac:dyDescent="0.2">
      <c r="B19" s="813"/>
      <c r="C19" s="234" t="s">
        <v>273</v>
      </c>
      <c r="D19" s="234" t="s">
        <v>274</v>
      </c>
      <c r="E19" s="234" t="s">
        <v>275</v>
      </c>
      <c r="F19" s="239" t="s">
        <v>265</v>
      </c>
      <c r="G19" s="242">
        <v>5016000</v>
      </c>
      <c r="H19" s="190">
        <v>330000</v>
      </c>
      <c r="I19" s="190">
        <v>129000</v>
      </c>
      <c r="J19" s="243">
        <f t="shared" ref="J19:J26" si="2">SUM(G19:I19)</f>
        <v>5475000</v>
      </c>
      <c r="K19" s="247">
        <f t="shared" ref="K19:K26" si="3">+J19*(1+$L$7)</f>
        <v>5628300</v>
      </c>
      <c r="L19" s="816"/>
      <c r="M19" s="30"/>
      <c r="N19" s="35"/>
      <c r="O19" s="35"/>
      <c r="P19" s="21"/>
      <c r="Q19" s="21"/>
      <c r="R19" s="21"/>
      <c r="S19" s="32"/>
      <c r="T19" s="31"/>
      <c r="U19" s="31"/>
      <c r="V19" s="31"/>
      <c r="W19" s="31"/>
      <c r="X19" s="33"/>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row>
    <row r="20" spans="2:259" s="2" customFormat="1" x14ac:dyDescent="0.2">
      <c r="B20" s="813"/>
      <c r="C20" s="234"/>
      <c r="D20" s="234"/>
      <c r="E20" s="234"/>
      <c r="F20" s="239"/>
      <c r="G20" s="242">
        <v>0</v>
      </c>
      <c r="H20" s="190">
        <v>0</v>
      </c>
      <c r="I20" s="190">
        <v>0</v>
      </c>
      <c r="J20" s="243">
        <f t="shared" si="2"/>
        <v>0</v>
      </c>
      <c r="K20" s="247">
        <f t="shared" si="3"/>
        <v>0</v>
      </c>
      <c r="L20" s="816"/>
      <c r="M20" s="30"/>
      <c r="N20" s="35"/>
      <c r="O20" s="35"/>
      <c r="P20" s="21"/>
      <c r="Q20" s="21"/>
      <c r="R20" s="21"/>
      <c r="S20" s="32"/>
      <c r="T20" s="31"/>
      <c r="U20" s="31"/>
      <c r="V20" s="31"/>
      <c r="W20" s="31"/>
      <c r="X20" s="33"/>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row>
    <row r="21" spans="2:259" s="2" customFormat="1" x14ac:dyDescent="0.2">
      <c r="B21" s="813"/>
      <c r="C21" s="234"/>
      <c r="D21" s="234"/>
      <c r="E21" s="234"/>
      <c r="F21" s="239"/>
      <c r="G21" s="242">
        <v>0</v>
      </c>
      <c r="H21" s="190">
        <v>0</v>
      </c>
      <c r="I21" s="190">
        <v>0</v>
      </c>
      <c r="J21" s="243">
        <f t="shared" si="2"/>
        <v>0</v>
      </c>
      <c r="K21" s="247">
        <f t="shared" si="3"/>
        <v>0</v>
      </c>
      <c r="L21" s="816"/>
      <c r="M21" s="30"/>
      <c r="N21" s="35"/>
      <c r="O21" s="35"/>
      <c r="P21" s="21"/>
      <c r="Q21" s="21"/>
      <c r="R21" s="21"/>
      <c r="S21" s="32"/>
      <c r="T21" s="31"/>
      <c r="U21" s="31"/>
      <c r="V21" s="31"/>
      <c r="W21" s="31"/>
      <c r="X21" s="33"/>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row>
    <row r="22" spans="2:259" s="2" customFormat="1" x14ac:dyDescent="0.2">
      <c r="B22" s="813"/>
      <c r="C22" s="234"/>
      <c r="D22" s="234"/>
      <c r="E22" s="234"/>
      <c r="F22" s="239"/>
      <c r="G22" s="242">
        <v>0</v>
      </c>
      <c r="H22" s="190">
        <v>0</v>
      </c>
      <c r="I22" s="190">
        <v>0</v>
      </c>
      <c r="J22" s="243">
        <f t="shared" si="2"/>
        <v>0</v>
      </c>
      <c r="K22" s="247">
        <f t="shared" si="3"/>
        <v>0</v>
      </c>
      <c r="L22" s="816"/>
      <c r="M22" s="30"/>
      <c r="N22" s="35"/>
      <c r="O22" s="35"/>
      <c r="P22" s="21"/>
      <c r="Q22" s="21"/>
      <c r="R22" s="21"/>
      <c r="S22" s="32"/>
      <c r="T22" s="31"/>
      <c r="U22" s="31"/>
      <c r="V22" s="31"/>
      <c r="W22" s="31"/>
      <c r="X22" s="33"/>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row>
    <row r="23" spans="2:259" s="2" customFormat="1" x14ac:dyDescent="0.2">
      <c r="B23" s="813"/>
      <c r="C23" s="234"/>
      <c r="D23" s="234"/>
      <c r="E23" s="234"/>
      <c r="F23" s="239"/>
      <c r="G23" s="242">
        <v>0</v>
      </c>
      <c r="H23" s="190">
        <v>0</v>
      </c>
      <c r="I23" s="190">
        <v>0</v>
      </c>
      <c r="J23" s="243">
        <f t="shared" si="2"/>
        <v>0</v>
      </c>
      <c r="K23" s="247">
        <f t="shared" si="3"/>
        <v>0</v>
      </c>
      <c r="L23" s="816"/>
      <c r="M23" s="30"/>
      <c r="N23" s="35"/>
      <c r="O23" s="35"/>
      <c r="P23" s="21"/>
      <c r="Q23" s="21"/>
      <c r="R23" s="21"/>
      <c r="S23" s="32"/>
      <c r="T23" s="31"/>
      <c r="U23" s="31"/>
      <c r="V23" s="31"/>
      <c r="W23" s="31"/>
      <c r="X23" s="33"/>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row>
    <row r="24" spans="2:259" s="2" customFormat="1" x14ac:dyDescent="0.2">
      <c r="B24" s="813"/>
      <c r="C24" s="234"/>
      <c r="D24" s="234"/>
      <c r="E24" s="234"/>
      <c r="F24" s="239"/>
      <c r="G24" s="242">
        <v>0</v>
      </c>
      <c r="H24" s="190">
        <v>0</v>
      </c>
      <c r="I24" s="190">
        <v>0</v>
      </c>
      <c r="J24" s="243">
        <f t="shared" si="2"/>
        <v>0</v>
      </c>
      <c r="K24" s="247">
        <f t="shared" si="3"/>
        <v>0</v>
      </c>
      <c r="L24" s="816"/>
      <c r="M24" s="30"/>
      <c r="N24" s="35"/>
      <c r="O24" s="35"/>
      <c r="P24" s="21"/>
      <c r="Q24" s="21"/>
      <c r="R24" s="21"/>
      <c r="S24" s="32"/>
      <c r="T24" s="31"/>
      <c r="U24" s="31"/>
      <c r="V24" s="31"/>
      <c r="W24" s="31"/>
      <c r="X24" s="33"/>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row>
    <row r="25" spans="2:259" s="2" customFormat="1" x14ac:dyDescent="0.2">
      <c r="B25" s="813"/>
      <c r="C25" s="234"/>
      <c r="D25" s="234"/>
      <c r="E25" s="234"/>
      <c r="F25" s="239"/>
      <c r="G25" s="242">
        <v>0</v>
      </c>
      <c r="H25" s="190">
        <v>0</v>
      </c>
      <c r="I25" s="190">
        <v>0</v>
      </c>
      <c r="J25" s="243">
        <f t="shared" si="2"/>
        <v>0</v>
      </c>
      <c r="K25" s="247">
        <f t="shared" si="3"/>
        <v>0</v>
      </c>
      <c r="L25" s="816"/>
      <c r="M25" s="30"/>
      <c r="N25" s="35"/>
      <c r="O25" s="35"/>
      <c r="P25" s="21"/>
      <c r="Q25" s="21"/>
      <c r="R25" s="21"/>
      <c r="S25" s="32"/>
      <c r="T25" s="31"/>
      <c r="U25" s="31"/>
      <c r="V25" s="31"/>
      <c r="W25" s="31"/>
      <c r="X25" s="33"/>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row>
    <row r="26" spans="2:259" s="2" customFormat="1" x14ac:dyDescent="0.2">
      <c r="B26" s="813"/>
      <c r="C26" s="234"/>
      <c r="D26" s="234"/>
      <c r="E26" s="234"/>
      <c r="F26" s="239"/>
      <c r="G26" s="242">
        <v>0</v>
      </c>
      <c r="H26" s="190">
        <v>0</v>
      </c>
      <c r="I26" s="190">
        <v>0</v>
      </c>
      <c r="J26" s="243">
        <f t="shared" si="2"/>
        <v>0</v>
      </c>
      <c r="K26" s="247">
        <f t="shared" si="3"/>
        <v>0</v>
      </c>
      <c r="L26" s="816"/>
      <c r="M26" s="30"/>
      <c r="N26" s="35"/>
      <c r="O26" s="35"/>
      <c r="P26" s="21"/>
      <c r="Q26" s="21"/>
      <c r="R26" s="21"/>
      <c r="S26" s="32"/>
      <c r="T26" s="31"/>
      <c r="U26" s="31"/>
      <c r="V26" s="31"/>
      <c r="W26" s="31"/>
      <c r="X26" s="33"/>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row>
    <row r="27" spans="2:259" s="2" customFormat="1" x14ac:dyDescent="0.2">
      <c r="B27" s="813"/>
      <c r="C27" s="234"/>
      <c r="D27" s="234"/>
      <c r="E27" s="234"/>
      <c r="F27" s="239"/>
      <c r="G27" s="242">
        <v>0</v>
      </c>
      <c r="H27" s="190">
        <v>0</v>
      </c>
      <c r="I27" s="190">
        <v>0</v>
      </c>
      <c r="J27" s="243">
        <f t="shared" si="0"/>
        <v>0</v>
      </c>
      <c r="K27" s="247">
        <f t="shared" si="1"/>
        <v>0</v>
      </c>
      <c r="L27" s="816"/>
      <c r="M27" s="30"/>
      <c r="N27" s="35"/>
      <c r="O27" s="35"/>
      <c r="P27" s="21"/>
      <c r="Q27" s="21"/>
      <c r="R27" s="21"/>
      <c r="S27" s="32"/>
      <c r="T27" s="31"/>
      <c r="U27" s="31"/>
      <c r="V27" s="31"/>
      <c r="W27" s="31"/>
      <c r="X27" s="33"/>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row>
    <row r="28" spans="2:259" s="2" customFormat="1" x14ac:dyDescent="0.2">
      <c r="B28" s="813"/>
      <c r="C28" s="234"/>
      <c r="D28" s="234"/>
      <c r="E28" s="234"/>
      <c r="F28" s="239"/>
      <c r="G28" s="242">
        <v>0</v>
      </c>
      <c r="H28" s="190">
        <v>0</v>
      </c>
      <c r="I28" s="190">
        <v>0</v>
      </c>
      <c r="J28" s="243">
        <f t="shared" si="0"/>
        <v>0</v>
      </c>
      <c r="K28" s="247">
        <f t="shared" si="1"/>
        <v>0</v>
      </c>
      <c r="L28" s="816"/>
      <c r="M28" s="30"/>
      <c r="N28" s="35"/>
      <c r="O28" s="35"/>
      <c r="P28" s="21"/>
      <c r="Q28" s="21"/>
      <c r="R28" s="21"/>
      <c r="S28" s="32"/>
      <c r="T28" s="31"/>
      <c r="U28" s="31"/>
      <c r="V28" s="31"/>
      <c r="W28" s="31"/>
      <c r="X28" s="33"/>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row>
    <row r="29" spans="2:259" s="2" customFormat="1" x14ac:dyDescent="0.2">
      <c r="B29" s="813"/>
      <c r="C29" s="234"/>
      <c r="D29" s="234"/>
      <c r="E29" s="234"/>
      <c r="F29" s="239"/>
      <c r="G29" s="242">
        <v>0</v>
      </c>
      <c r="H29" s="190">
        <v>0</v>
      </c>
      <c r="I29" s="190">
        <v>0</v>
      </c>
      <c r="J29" s="243">
        <f t="shared" si="0"/>
        <v>0</v>
      </c>
      <c r="K29" s="247">
        <f t="shared" si="1"/>
        <v>0</v>
      </c>
      <c r="L29" s="816"/>
      <c r="M29" s="30"/>
      <c r="N29" s="35"/>
      <c r="O29" s="35"/>
      <c r="P29" s="21"/>
      <c r="Q29" s="21"/>
      <c r="R29" s="21"/>
      <c r="S29" s="32"/>
      <c r="T29" s="31"/>
      <c r="U29" s="31"/>
      <c r="V29" s="31"/>
      <c r="W29" s="31"/>
      <c r="X29" s="33"/>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row>
    <row r="30" spans="2:259" s="2" customFormat="1" x14ac:dyDescent="0.2">
      <c r="B30" s="813"/>
      <c r="C30" s="234"/>
      <c r="D30" s="234"/>
      <c r="E30" s="234"/>
      <c r="F30" s="239"/>
      <c r="G30" s="242">
        <v>0</v>
      </c>
      <c r="H30" s="190">
        <v>0</v>
      </c>
      <c r="I30" s="190">
        <v>0</v>
      </c>
      <c r="J30" s="243">
        <f t="shared" si="0"/>
        <v>0</v>
      </c>
      <c r="K30" s="247">
        <f t="shared" si="1"/>
        <v>0</v>
      </c>
      <c r="L30" s="816"/>
      <c r="M30" s="30"/>
      <c r="N30" s="35"/>
      <c r="O30" s="35"/>
      <c r="P30" s="21"/>
      <c r="Q30" s="21"/>
      <c r="R30" s="21"/>
      <c r="S30" s="32"/>
      <c r="T30" s="31"/>
      <c r="U30" s="31"/>
      <c r="V30" s="31"/>
      <c r="W30" s="31"/>
      <c r="X30" s="33"/>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row>
    <row r="31" spans="2:259" ht="13.5" thickBot="1" x14ac:dyDescent="0.25">
      <c r="B31" s="814"/>
      <c r="C31" s="237"/>
      <c r="D31" s="237"/>
      <c r="E31" s="237"/>
      <c r="F31" s="240"/>
      <c r="G31" s="244">
        <v>0</v>
      </c>
      <c r="H31" s="238">
        <v>0</v>
      </c>
      <c r="I31" s="238">
        <v>0</v>
      </c>
      <c r="J31" s="245">
        <f t="shared" si="0"/>
        <v>0</v>
      </c>
      <c r="K31" s="248">
        <f t="shared" si="1"/>
        <v>0</v>
      </c>
      <c r="L31" s="817"/>
      <c r="M31" s="30"/>
      <c r="N31" s="35"/>
      <c r="O31" s="35"/>
      <c r="P31" s="35"/>
      <c r="Q31" s="35"/>
      <c r="R31" s="35"/>
      <c r="S31" s="36"/>
      <c r="T31" s="35"/>
      <c r="U31" s="35"/>
      <c r="V31" s="35"/>
      <c r="W31" s="35"/>
      <c r="X31" s="37"/>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row>
    <row r="32" spans="2:259" ht="16.5" thickBot="1" x14ac:dyDescent="0.25">
      <c r="B32" s="27"/>
      <c r="C32" s="46"/>
      <c r="D32" s="46"/>
      <c r="E32" s="47"/>
      <c r="F32" s="47"/>
      <c r="G32" s="47"/>
      <c r="H32" s="47"/>
      <c r="I32" s="47"/>
      <c r="J32" s="41"/>
      <c r="K32" s="249" t="s">
        <v>95</v>
      </c>
      <c r="L32" s="250">
        <f>SUM(L11:L31)</f>
        <v>54092332</v>
      </c>
      <c r="M32" s="28"/>
      <c r="N32" s="28"/>
      <c r="O32" s="28"/>
      <c r="P32" s="35"/>
      <c r="Q32" s="35"/>
      <c r="R32" s="35"/>
      <c r="S32" s="38"/>
      <c r="T32" s="38"/>
      <c r="U32" s="39"/>
      <c r="V32" s="39"/>
      <c r="W32" s="40"/>
      <c r="X32" s="40"/>
    </row>
    <row r="33" spans="2:24" x14ac:dyDescent="0.2">
      <c r="B33" s="27"/>
      <c r="C33" s="46"/>
      <c r="D33" s="46"/>
      <c r="E33" s="47"/>
      <c r="F33" s="47"/>
      <c r="G33" s="47"/>
      <c r="H33" s="47"/>
      <c r="I33" s="47"/>
      <c r="J33" s="41"/>
      <c r="K33" s="41"/>
      <c r="L33" s="41"/>
      <c r="M33" s="28"/>
      <c r="N33" s="28"/>
      <c r="O33" s="28"/>
      <c r="P33" s="35"/>
      <c r="Q33" s="35"/>
      <c r="R33" s="35"/>
      <c r="S33" s="38"/>
      <c r="T33" s="38"/>
      <c r="U33" s="39"/>
      <c r="V33" s="39"/>
      <c r="W33" s="40"/>
      <c r="X33" s="40"/>
    </row>
    <row r="34" spans="2:24" x14ac:dyDescent="0.2">
      <c r="B34" s="27"/>
      <c r="C34" s="27"/>
      <c r="D34" s="27"/>
      <c r="E34" s="27"/>
      <c r="F34" s="27"/>
      <c r="G34" s="27"/>
      <c r="H34" s="27"/>
      <c r="I34" s="27"/>
      <c r="J34" s="38"/>
      <c r="K34" s="38"/>
      <c r="L34" s="38"/>
      <c r="M34" s="38"/>
      <c r="N34" s="38"/>
      <c r="O34" s="38"/>
      <c r="P34" s="38"/>
      <c r="Q34" s="38"/>
      <c r="R34" s="38"/>
      <c r="S34" s="38"/>
      <c r="T34" s="38"/>
      <c r="U34" s="39"/>
      <c r="V34" s="39"/>
      <c r="W34" s="40"/>
      <c r="X34" s="40"/>
    </row>
    <row r="35" spans="2:24" x14ac:dyDescent="0.2">
      <c r="B35" s="27"/>
      <c r="C35" s="27"/>
      <c r="D35" s="27"/>
      <c r="E35" s="27"/>
      <c r="F35" s="27"/>
      <c r="G35" s="27"/>
      <c r="H35" s="27"/>
      <c r="I35" s="27"/>
      <c r="J35" s="38"/>
      <c r="K35" s="38"/>
      <c r="L35" s="38"/>
      <c r="M35" s="38"/>
      <c r="N35" s="38"/>
      <c r="O35" s="38"/>
      <c r="P35" s="38"/>
      <c r="Q35" s="38"/>
      <c r="R35" s="38"/>
      <c r="S35" s="38"/>
      <c r="T35" s="38"/>
      <c r="U35" s="39"/>
      <c r="V35" s="39"/>
      <c r="W35" s="40"/>
      <c r="X35" s="40"/>
    </row>
    <row r="36" spans="2:24" x14ac:dyDescent="0.2">
      <c r="B36" s="27"/>
      <c r="C36" s="27"/>
      <c r="D36" s="27"/>
      <c r="E36" s="27"/>
      <c r="F36" s="27"/>
      <c r="G36" s="27"/>
      <c r="H36" s="27"/>
      <c r="I36" s="27"/>
      <c r="J36" s="38"/>
      <c r="K36" s="38"/>
      <c r="L36" s="38"/>
      <c r="M36" s="38"/>
      <c r="N36" s="38"/>
      <c r="O36" s="38"/>
      <c r="P36" s="38"/>
      <c r="Q36" s="38"/>
      <c r="R36" s="38"/>
      <c r="S36" s="38"/>
      <c r="T36" s="38"/>
      <c r="U36" s="39"/>
      <c r="V36" s="39"/>
      <c r="W36" s="40"/>
      <c r="X36" s="40"/>
    </row>
    <row r="37" spans="2:24" x14ac:dyDescent="0.2">
      <c r="B37" s="27"/>
      <c r="C37" s="27"/>
      <c r="D37" s="27"/>
      <c r="E37" s="27"/>
      <c r="F37" s="27"/>
      <c r="G37" s="27"/>
      <c r="H37" s="27"/>
      <c r="I37" s="27"/>
      <c r="J37" s="38"/>
      <c r="K37" s="38"/>
      <c r="L37" s="38"/>
      <c r="M37" s="38"/>
      <c r="N37" s="38"/>
      <c r="O37" s="38"/>
      <c r="P37" s="38"/>
      <c r="Q37" s="38"/>
      <c r="R37" s="38"/>
      <c r="S37" s="38"/>
      <c r="T37" s="38"/>
      <c r="U37" s="39"/>
      <c r="V37" s="39"/>
      <c r="W37" s="40"/>
      <c r="X37" s="40"/>
    </row>
    <row r="38" spans="2:24" x14ac:dyDescent="0.2">
      <c r="B38" s="27"/>
      <c r="C38" s="27"/>
      <c r="D38" s="27"/>
      <c r="E38" s="27"/>
      <c r="F38" s="27"/>
      <c r="G38" s="27"/>
      <c r="H38" s="27"/>
      <c r="I38" s="27"/>
      <c r="J38" s="38"/>
      <c r="K38" s="38"/>
      <c r="L38" s="38"/>
      <c r="M38" s="38"/>
      <c r="N38" s="38"/>
      <c r="O38" s="38"/>
      <c r="P38" s="38"/>
      <c r="Q38" s="38"/>
      <c r="R38" s="38"/>
      <c r="S38" s="38"/>
      <c r="T38" s="38"/>
      <c r="U38" s="39"/>
      <c r="V38" s="39"/>
      <c r="W38" s="40"/>
      <c r="X38" s="40"/>
    </row>
    <row r="39" spans="2:24" x14ac:dyDescent="0.2">
      <c r="B39" s="27"/>
      <c r="C39" s="27"/>
      <c r="D39" s="27"/>
      <c r="E39" s="27"/>
      <c r="F39" s="27"/>
      <c r="G39" s="27"/>
      <c r="H39" s="27"/>
      <c r="I39" s="27"/>
      <c r="J39" s="38"/>
      <c r="K39" s="38"/>
      <c r="L39" s="38"/>
      <c r="M39" s="38"/>
      <c r="N39" s="38"/>
      <c r="O39" s="38"/>
      <c r="P39" s="38"/>
      <c r="Q39" s="38"/>
      <c r="R39" s="38"/>
      <c r="S39" s="38"/>
      <c r="T39" s="38"/>
      <c r="U39" s="39"/>
      <c r="V39" s="39"/>
      <c r="W39" s="40"/>
      <c r="X39" s="40"/>
    </row>
  </sheetData>
  <sheetProtection password="9C6E" sheet="1" objects="1" scenarios="1"/>
  <mergeCells count="12">
    <mergeCell ref="B7:E7"/>
    <mergeCell ref="B9:B10"/>
    <mergeCell ref="C9:C10"/>
    <mergeCell ref="D9:D10"/>
    <mergeCell ref="E9:E10"/>
    <mergeCell ref="G9:J9"/>
    <mergeCell ref="K9:K10"/>
    <mergeCell ref="L9:L10"/>
    <mergeCell ref="T10:W10"/>
    <mergeCell ref="B11:B31"/>
    <mergeCell ref="L11:L31"/>
    <mergeCell ref="F9:F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S18"/>
  <sheetViews>
    <sheetView showGridLines="0" topLeftCell="G1" zoomScale="80" zoomScaleNormal="80" workbookViewId="0">
      <selection activeCell="O20" sqref="O20"/>
    </sheetView>
  </sheetViews>
  <sheetFormatPr baseColWidth="10" defaultColWidth="10.7109375" defaultRowHeight="12.75" x14ac:dyDescent="0.2"/>
  <cols>
    <col min="1" max="1" width="33" style="4" customWidth="1"/>
    <col min="2" max="2" width="33" style="10" bestFit="1" customWidth="1"/>
    <col min="3" max="12" width="14.7109375" style="10" customWidth="1"/>
    <col min="13" max="13" width="33.5703125" style="4" bestFit="1" customWidth="1"/>
    <col min="14" max="14" width="14.7109375" style="10" customWidth="1"/>
    <col min="15" max="15" width="33.5703125" style="4" bestFit="1" customWidth="1"/>
    <col min="16" max="16" width="14.7109375" style="10" customWidth="1"/>
    <col min="17" max="17" width="14.28515625" style="4" customWidth="1"/>
    <col min="18" max="16384" width="10.7109375" style="4"/>
  </cols>
  <sheetData>
    <row r="1" spans="1:19" x14ac:dyDescent="0.2">
      <c r="B1" s="45"/>
      <c r="C1" s="45"/>
      <c r="D1" s="45" t="s">
        <v>218</v>
      </c>
      <c r="E1" s="45"/>
      <c r="F1" s="45"/>
      <c r="G1" s="45"/>
      <c r="H1" s="45"/>
      <c r="I1" s="45"/>
      <c r="J1" s="45"/>
      <c r="K1" s="45"/>
      <c r="L1" s="45"/>
      <c r="M1" s="45"/>
      <c r="N1" s="45"/>
      <c r="P1" s="45"/>
    </row>
    <row r="2" spans="1:19" x14ac:dyDescent="0.2">
      <c r="B2" s="45"/>
      <c r="C2" s="45"/>
      <c r="D2" s="45" t="s">
        <v>210</v>
      </c>
      <c r="E2" s="45"/>
      <c r="F2" s="45"/>
      <c r="G2" s="45"/>
      <c r="H2" s="45"/>
      <c r="I2" s="45"/>
      <c r="J2" s="45"/>
      <c r="K2" s="45"/>
      <c r="L2" s="45"/>
      <c r="M2" s="45"/>
      <c r="N2" s="45"/>
      <c r="P2" s="45"/>
    </row>
    <row r="3" spans="1:19" x14ac:dyDescent="0.2">
      <c r="C3" s="14"/>
      <c r="D3" s="14"/>
      <c r="E3" s="14"/>
      <c r="F3" s="14"/>
      <c r="G3" s="14"/>
      <c r="H3" s="14"/>
      <c r="I3" s="14"/>
      <c r="J3" s="14"/>
      <c r="K3" s="14"/>
      <c r="L3" s="14"/>
      <c r="N3" s="14"/>
      <c r="P3" s="14"/>
    </row>
    <row r="4" spans="1:19" ht="18.75" customHeight="1" x14ac:dyDescent="0.2">
      <c r="C4" s="19" t="s">
        <v>0</v>
      </c>
      <c r="D4" s="827" t="str">
        <f>+'B) Reajuste Tarifas y Ocupación'!F5</f>
        <v>BIENMAG</v>
      </c>
      <c r="E4" s="637"/>
      <c r="F4" s="828"/>
      <c r="G4" s="271"/>
      <c r="H4" s="271"/>
      <c r="I4" s="271"/>
      <c r="J4" s="271"/>
      <c r="K4" s="271"/>
      <c r="L4" s="271"/>
      <c r="N4" s="271"/>
      <c r="P4" s="271"/>
    </row>
    <row r="5" spans="1:19" x14ac:dyDescent="0.2">
      <c r="A5" s="9"/>
      <c r="B5" s="20"/>
      <c r="C5" s="271"/>
      <c r="D5" s="271"/>
      <c r="E5" s="271"/>
      <c r="F5" s="271"/>
      <c r="G5" s="271"/>
      <c r="H5" s="271"/>
      <c r="I5" s="271"/>
      <c r="J5" s="271"/>
      <c r="K5" s="271"/>
      <c r="L5" s="271"/>
      <c r="M5" s="271"/>
      <c r="N5" s="271"/>
      <c r="P5" s="271"/>
    </row>
    <row r="6" spans="1:19" x14ac:dyDescent="0.2">
      <c r="A6" s="9"/>
      <c r="B6" s="20"/>
      <c r="C6" s="271"/>
      <c r="D6" s="271"/>
      <c r="E6" s="271"/>
      <c r="F6" s="271"/>
      <c r="G6" s="271"/>
      <c r="H6" s="271"/>
      <c r="I6" s="271"/>
      <c r="J6" s="271"/>
      <c r="K6" s="271"/>
      <c r="L6" s="271"/>
      <c r="M6" s="271"/>
      <c r="N6" s="271"/>
      <c r="P6" s="271"/>
    </row>
    <row r="7" spans="1:19" ht="12.75" customHeight="1" x14ac:dyDescent="0.2">
      <c r="A7" s="840" t="s">
        <v>131</v>
      </c>
      <c r="B7" s="841"/>
      <c r="C7" s="841"/>
      <c r="D7" s="841"/>
      <c r="E7" s="841"/>
      <c r="F7" s="841"/>
      <c r="G7" s="841"/>
      <c r="H7" s="841"/>
      <c r="I7" s="841"/>
      <c r="J7" s="841"/>
      <c r="K7" s="841"/>
      <c r="L7" s="841"/>
      <c r="M7" s="841"/>
      <c r="N7" s="841"/>
      <c r="O7" s="842"/>
      <c r="P7" s="71"/>
    </row>
    <row r="8" spans="1:19" x14ac:dyDescent="0.2">
      <c r="A8" s="843"/>
      <c r="B8" s="844"/>
      <c r="C8" s="844"/>
      <c r="D8" s="844"/>
      <c r="E8" s="844"/>
      <c r="F8" s="844"/>
      <c r="G8" s="844"/>
      <c r="H8" s="844"/>
      <c r="I8" s="844"/>
      <c r="J8" s="844"/>
      <c r="K8" s="844"/>
      <c r="L8" s="844"/>
      <c r="M8" s="844"/>
      <c r="N8" s="844"/>
      <c r="O8" s="845"/>
      <c r="P8" s="71"/>
    </row>
    <row r="9" spans="1:19" x14ac:dyDescent="0.2">
      <c r="A9" s="846"/>
      <c r="B9" s="847"/>
      <c r="C9" s="847"/>
      <c r="D9" s="847"/>
      <c r="E9" s="847"/>
      <c r="F9" s="847"/>
      <c r="G9" s="847"/>
      <c r="H9" s="847"/>
      <c r="I9" s="847"/>
      <c r="J9" s="847"/>
      <c r="K9" s="847"/>
      <c r="L9" s="847"/>
      <c r="M9" s="847"/>
      <c r="N9" s="847"/>
      <c r="O9" s="848"/>
      <c r="P9" s="71"/>
    </row>
    <row r="10" spans="1:19" x14ac:dyDescent="0.2">
      <c r="A10" s="71"/>
      <c r="B10" s="71"/>
      <c r="C10" s="71"/>
      <c r="D10" s="71"/>
      <c r="E10" s="71"/>
      <c r="F10" s="71"/>
      <c r="G10" s="71"/>
      <c r="H10" s="71"/>
      <c r="I10" s="71"/>
      <c r="J10" s="71"/>
      <c r="K10" s="71"/>
      <c r="L10" s="71"/>
      <c r="M10" s="71"/>
      <c r="N10" s="71"/>
      <c r="O10" s="71"/>
      <c r="P10" s="71"/>
    </row>
    <row r="11" spans="1:19" x14ac:dyDescent="0.2">
      <c r="A11" s="61"/>
      <c r="B11" s="61"/>
      <c r="C11" s="61"/>
      <c r="D11" s="61"/>
      <c r="E11" s="61"/>
      <c r="F11" s="61"/>
      <c r="G11" s="61"/>
      <c r="H11" s="61"/>
      <c r="I11" s="61"/>
      <c r="J11" s="61"/>
      <c r="K11" s="61"/>
      <c r="L11" s="61"/>
      <c r="M11" s="61"/>
      <c r="N11" s="61"/>
      <c r="O11" s="61"/>
      <c r="P11" s="61"/>
    </row>
    <row r="12" spans="1:19" ht="15.75" x14ac:dyDescent="0.2">
      <c r="A12" s="799" t="s">
        <v>169</v>
      </c>
      <c r="B12" s="799"/>
      <c r="C12" s="799"/>
      <c r="D12" s="799"/>
      <c r="E12" s="272"/>
      <c r="F12" s="61"/>
      <c r="G12" s="61"/>
      <c r="H12" s="61"/>
      <c r="I12" s="60"/>
      <c r="J12" s="60"/>
      <c r="K12" s="61"/>
      <c r="L12" s="61"/>
      <c r="M12" s="61"/>
      <c r="N12" s="61"/>
      <c r="O12" s="61"/>
      <c r="P12" s="61"/>
    </row>
    <row r="13" spans="1:19" ht="13.5" thickBot="1" x14ac:dyDescent="0.25">
      <c r="A13" s="9"/>
      <c r="B13" s="20"/>
      <c r="C13" s="271"/>
      <c r="D13" s="271"/>
      <c r="E13" s="271"/>
      <c r="F13" s="271"/>
      <c r="G13" s="271"/>
      <c r="H13" s="271"/>
      <c r="I13" s="271"/>
      <c r="J13" s="271"/>
      <c r="K13" s="271"/>
      <c r="L13" s="271"/>
      <c r="M13" s="271"/>
      <c r="N13" s="271"/>
      <c r="P13" s="271"/>
    </row>
    <row r="14" spans="1:19" ht="20.25" customHeight="1" x14ac:dyDescent="0.2">
      <c r="A14" s="831" t="s">
        <v>136</v>
      </c>
      <c r="B14" s="833" t="s">
        <v>5</v>
      </c>
      <c r="C14" s="644" t="s">
        <v>139</v>
      </c>
      <c r="D14" s="645"/>
      <c r="E14" s="645"/>
      <c r="F14" s="645"/>
      <c r="G14" s="646"/>
      <c r="H14" s="837" t="s">
        <v>152</v>
      </c>
      <c r="I14" s="838"/>
      <c r="J14" s="838"/>
      <c r="K14" s="838"/>
      <c r="L14" s="839"/>
      <c r="M14" s="835" t="s">
        <v>111</v>
      </c>
      <c r="N14" s="836"/>
      <c r="O14" s="829" t="s">
        <v>112</v>
      </c>
      <c r="P14" s="830"/>
      <c r="Q14" s="825" t="s">
        <v>132</v>
      </c>
    </row>
    <row r="15" spans="1:19" ht="70.5" customHeight="1" thickBot="1" x14ac:dyDescent="0.25">
      <c r="A15" s="832"/>
      <c r="B15" s="834"/>
      <c r="C15" s="418" t="s">
        <v>88</v>
      </c>
      <c r="D15" s="419" t="s">
        <v>137</v>
      </c>
      <c r="E15" s="419" t="s">
        <v>138</v>
      </c>
      <c r="F15" s="419" t="s">
        <v>89</v>
      </c>
      <c r="G15" s="420" t="s">
        <v>90</v>
      </c>
      <c r="H15" s="421" t="s">
        <v>88</v>
      </c>
      <c r="I15" s="422" t="s">
        <v>137</v>
      </c>
      <c r="J15" s="422" t="s">
        <v>138</v>
      </c>
      <c r="K15" s="422" t="s">
        <v>89</v>
      </c>
      <c r="L15" s="423" t="s">
        <v>90</v>
      </c>
      <c r="M15" s="424" t="s">
        <v>72</v>
      </c>
      <c r="N15" s="233" t="s">
        <v>86</v>
      </c>
      <c r="O15" s="425" t="s">
        <v>72</v>
      </c>
      <c r="P15" s="233" t="s">
        <v>86</v>
      </c>
      <c r="Q15" s="826"/>
    </row>
    <row r="16" spans="1:19" ht="12.75" customHeight="1" x14ac:dyDescent="0.2">
      <c r="A16" s="822" t="str">
        <f>'B) Reajuste Tarifas y Ocupación'!A12</f>
        <v>Jardín Infantil Mar y Cielo</v>
      </c>
      <c r="B16" s="426" t="str">
        <f>+'B) Reajuste Tarifas y Ocupación'!B12</f>
        <v>Media jornada</v>
      </c>
      <c r="C16" s="392">
        <f>+'B) Reajuste Tarifas y Ocupación'!M12</f>
        <v>60300</v>
      </c>
      <c r="D16" s="393">
        <f>+'B) Reajuste Tarifas y Ocupación'!N12</f>
        <v>72300</v>
      </c>
      <c r="E16" s="393">
        <f>+'B) Reajuste Tarifas y Ocupación'!O12</f>
        <v>72300</v>
      </c>
      <c r="F16" s="393">
        <f>+'B) Reajuste Tarifas y Ocupación'!P12</f>
        <v>94600</v>
      </c>
      <c r="G16" s="394">
        <f>+'B) Reajuste Tarifas y Ocupación'!Q12</f>
        <v>111700</v>
      </c>
      <c r="H16" s="429">
        <f t="shared" ref="H16:K17" si="0">IFERROR(C16/$Q16,0)</f>
        <v>0.4824</v>
      </c>
      <c r="I16" s="174">
        <f t="shared" si="0"/>
        <v>0.57840000000000003</v>
      </c>
      <c r="J16" s="174">
        <f t="shared" si="0"/>
        <v>0.57840000000000003</v>
      </c>
      <c r="K16" s="174">
        <f t="shared" si="0"/>
        <v>0.75680000000000003</v>
      </c>
      <c r="L16" s="175">
        <f t="shared" ref="L16" si="1">IFERROR(G16/$Q16,0)</f>
        <v>0.89359999999999995</v>
      </c>
      <c r="M16" s="317" t="s">
        <v>129</v>
      </c>
      <c r="N16" s="251">
        <v>120000</v>
      </c>
      <c r="O16" s="317" t="s">
        <v>130</v>
      </c>
      <c r="P16" s="251">
        <v>130000</v>
      </c>
      <c r="Q16" s="431">
        <f>AVERAGE(N16,P16)</f>
        <v>125000</v>
      </c>
      <c r="R16" s="21"/>
      <c r="S16" s="22"/>
    </row>
    <row r="17" spans="1:19" ht="12.75" customHeight="1" x14ac:dyDescent="0.2">
      <c r="A17" s="823"/>
      <c r="B17" s="427" t="str">
        <f>+'B) Reajuste Tarifas y Ocupación'!B13</f>
        <v xml:space="preserve">Doble jornada </v>
      </c>
      <c r="C17" s="395">
        <f>+'B) Reajuste Tarifas y Ocupación'!M13</f>
        <v>89800</v>
      </c>
      <c r="D17" s="391">
        <f>+'B) Reajuste Tarifas y Ocupación'!N13</f>
        <v>107800</v>
      </c>
      <c r="E17" s="391">
        <f>+'B) Reajuste Tarifas y Ocupación'!O13</f>
        <v>107800</v>
      </c>
      <c r="F17" s="391">
        <f>+'B) Reajuste Tarifas y Ocupación'!P13</f>
        <v>134800</v>
      </c>
      <c r="G17" s="396">
        <f>+'B) Reajuste Tarifas y Ocupación'!Q13</f>
        <v>158000</v>
      </c>
      <c r="H17" s="177">
        <f t="shared" si="0"/>
        <v>0.71839425284597724</v>
      </c>
      <c r="I17" s="176">
        <f t="shared" si="0"/>
        <v>0.86239310085519316</v>
      </c>
      <c r="J17" s="176">
        <f t="shared" si="0"/>
        <v>0.86239310085519316</v>
      </c>
      <c r="K17" s="176">
        <f t="shared" si="0"/>
        <v>1.0783913728690171</v>
      </c>
      <c r="L17" s="430">
        <f t="shared" ref="L17" si="2">IFERROR(G17/$Q17,0)</f>
        <v>1.2639898880808953</v>
      </c>
      <c r="M17" s="252" t="s">
        <v>129</v>
      </c>
      <c r="N17" s="253">
        <v>120001</v>
      </c>
      <c r="O17" s="252" t="s">
        <v>130</v>
      </c>
      <c r="P17" s="253">
        <v>130001</v>
      </c>
      <c r="Q17" s="432">
        <f>AVERAGE(N17,P17)</f>
        <v>125001</v>
      </c>
      <c r="R17" s="21"/>
      <c r="S17" s="22"/>
    </row>
    <row r="18" spans="1:19" ht="13.5" thickBot="1" x14ac:dyDescent="0.25">
      <c r="A18" s="824"/>
      <c r="B18" s="428" t="str">
        <f>+'B) Reajuste Tarifas y Ocupación'!B14</f>
        <v>Jornada completa</v>
      </c>
      <c r="C18" s="397">
        <f>+'B) Reajuste Tarifas y Ocupación'!M14</f>
        <v>140200</v>
      </c>
      <c r="D18" s="398">
        <f>+'B) Reajuste Tarifas y Ocupación'!N14</f>
        <v>168300</v>
      </c>
      <c r="E18" s="398">
        <f>+'B) Reajuste Tarifas y Ocupación'!O14</f>
        <v>168300</v>
      </c>
      <c r="F18" s="398">
        <f>+'B) Reajuste Tarifas y Ocupación'!P14</f>
        <v>175300</v>
      </c>
      <c r="G18" s="399">
        <f>+'B) Reajuste Tarifas y Ocupación'!Q14</f>
        <v>182300</v>
      </c>
      <c r="H18" s="256">
        <f t="shared" ref="H18" si="3">IFERROR(C18/$Q18,0)</f>
        <v>0.82665094339622647</v>
      </c>
      <c r="I18" s="257">
        <f t="shared" ref="I18" si="4">IFERROR(D18/$Q18,0)</f>
        <v>0.99233490566037741</v>
      </c>
      <c r="J18" s="257">
        <f t="shared" ref="J18" si="5">IFERROR(E18/$Q18,0)</f>
        <v>0.99233490566037741</v>
      </c>
      <c r="K18" s="257">
        <f t="shared" ref="K18" si="6">IFERROR(F18/$Q18,0)</f>
        <v>1.0336084905660377</v>
      </c>
      <c r="L18" s="258">
        <f t="shared" ref="L18" si="7">IFERROR(G18/$Q18,0)</f>
        <v>1.0748820754716981</v>
      </c>
      <c r="M18" s="254" t="s">
        <v>276</v>
      </c>
      <c r="N18" s="255">
        <f>155000*1.06</f>
        <v>164300</v>
      </c>
      <c r="O18" s="254" t="s">
        <v>277</v>
      </c>
      <c r="P18" s="255">
        <f>165000*1.06</f>
        <v>174900</v>
      </c>
      <c r="Q18" s="433">
        <f t="shared" ref="Q18" si="8">AVERAGE(N18,P18)</f>
        <v>169600</v>
      </c>
      <c r="R18" s="21"/>
      <c r="S18" s="22"/>
    </row>
  </sheetData>
  <sheetProtection password="9C6E" sheet="1" objects="1" scenarios="1"/>
  <mergeCells count="11">
    <mergeCell ref="A16:A18"/>
    <mergeCell ref="Q14:Q15"/>
    <mergeCell ref="D4:F4"/>
    <mergeCell ref="O14:P14"/>
    <mergeCell ref="A14:A15"/>
    <mergeCell ref="B14:B15"/>
    <mergeCell ref="M14:N14"/>
    <mergeCell ref="C14:G14"/>
    <mergeCell ref="H14:L14"/>
    <mergeCell ref="A7:O9"/>
    <mergeCell ref="A12:D12"/>
  </mergeCells>
  <pageMargins left="0.7" right="0.7" top="0.75" bottom="0.75" header="0.51180555555555551" footer="0.51180555555555551"/>
  <pageSetup scale="50"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12</vt:i4>
      </vt:variant>
    </vt:vector>
  </HeadingPairs>
  <TitlesOfParts>
    <vt:vector size="22" baseType="lpstr">
      <vt:lpstr>Instrucciones</vt:lpstr>
      <vt:lpstr>Índice Tablas</vt:lpstr>
      <vt:lpstr>A) Resumen Ingresos y Egresos</vt:lpstr>
      <vt:lpstr>B) Reajuste Tarifas y Ocupación</vt:lpstr>
      <vt:lpstr>C) Costos Directos</vt:lpstr>
      <vt:lpstr>D) Costos Indirectos</vt:lpstr>
      <vt:lpstr>E) Resumen Tarifado </vt:lpstr>
      <vt:lpstr>F) Remuneraciones</vt:lpstr>
      <vt:lpstr>G) Comparación Mercado</vt:lpstr>
      <vt:lpstr>H) Detalle Datos</vt:lpstr>
      <vt:lpstr>__xlnm_Print_Area</vt:lpstr>
      <vt:lpstr>__xlnm_Print_Area_1</vt:lpstr>
      <vt:lpstr>__xlnm_Print_Area_2</vt:lpstr>
      <vt:lpstr>__xlnm_Print_Titles</vt:lpstr>
      <vt:lpstr>__xlnm_Print_Titles_1</vt:lpstr>
      <vt:lpstr>'A) Resumen Ingresos y Egresos'!Área_de_impresión</vt:lpstr>
      <vt:lpstr>'C) Costos Directos'!Área_de_impresión</vt:lpstr>
      <vt:lpstr>'E) Resumen Tarifado '!Área_de_impresión</vt:lpstr>
      <vt:lpstr>bienique1</vt:lpstr>
      <vt:lpstr>'C) Costos Directos'!Excel_BuiltIn_Print_Area</vt:lpstr>
      <vt:lpstr>'A) Resumen Ingresos y Egresos'!Títulos_a_imprimir</vt:lpstr>
      <vt:lpstr>'C) Costos Directos'!Títulos_a_imprimir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cverall@armada.cl</dc:creator>
  <cp:lastModifiedBy>630 Loreto Mondaca</cp:lastModifiedBy>
  <cp:lastPrinted>2019-08-29T20:11:22Z</cp:lastPrinted>
  <dcterms:created xsi:type="dcterms:W3CDTF">2017-05-11T00:45:10Z</dcterms:created>
  <dcterms:modified xsi:type="dcterms:W3CDTF">2019-12-20T12:53:20Z</dcterms:modified>
</cp:coreProperties>
</file>