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900 PUBLICO\EDUCACIONAL 2020\"/>
    </mc:Choice>
  </mc:AlternateContent>
  <workbookProtection workbookPassword="9C6E" lockStructure="1"/>
  <bookViews>
    <workbookView xWindow="0" yWindow="0" windowWidth="13035" windowHeight="11670" tabRatio="929" firstSheet="2" activeTab="2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Egresos'!$A$1:$N$32</definedName>
    <definedName name="__xlnm_Print_Area_1">'C) Costos Directos'!$A$1:$H$38</definedName>
    <definedName name="__xlnm_Print_Area_2">'E) Resumen Tarifado '!$A$4:$G$11</definedName>
    <definedName name="__xlnm_Print_Titles">'A) Resumen Ingresos y Egresos'!$1:$25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Egresos'!$1:$25</definedName>
    <definedName name="_xlnm.Print_Titles" localSheetId="4">'C) Costos Directos'!$1:$11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1" i="2" l="1"/>
  <c r="N25" i="7"/>
  <c r="O25" i="7"/>
  <c r="N22" i="7" l="1"/>
  <c r="N18" i="7"/>
  <c r="N17" i="7"/>
  <c r="N16" i="7"/>
  <c r="N15" i="7"/>
  <c r="N14" i="7"/>
  <c r="N13" i="7"/>
  <c r="N12" i="7"/>
  <c r="F19" i="3" l="1"/>
  <c r="F20" i="3"/>
  <c r="F86" i="3"/>
  <c r="F85" i="3"/>
  <c r="C200" i="9" l="1"/>
  <c r="E200" i="9" s="1"/>
  <c r="B200" i="9"/>
  <c r="D200" i="9" s="1"/>
  <c r="E172" i="9" l="1"/>
  <c r="D172" i="9"/>
  <c r="F172" i="9" s="1"/>
  <c r="D412" i="3"/>
  <c r="G12" i="12" l="1"/>
  <c r="G104" i="12"/>
  <c r="G103" i="12"/>
  <c r="G102" i="12"/>
  <c r="G101" i="12"/>
  <c r="G73" i="12"/>
  <c r="G72" i="12"/>
  <c r="G71" i="12"/>
  <c r="G33" i="12"/>
  <c r="G32" i="12"/>
  <c r="G11" i="12"/>
  <c r="B187" i="9" l="1"/>
  <c r="C177" i="9"/>
  <c r="F177" i="9" s="1"/>
  <c r="C176" i="9"/>
  <c r="F176" i="9"/>
  <c r="C157" i="9"/>
  <c r="D157" i="9" s="1"/>
  <c r="E157" i="9" s="1"/>
  <c r="C158" i="9"/>
  <c r="F158" i="9" s="1"/>
  <c r="B169" i="9"/>
  <c r="B171" i="9" s="1"/>
  <c r="C164" i="9"/>
  <c r="E164" i="9" s="1"/>
  <c r="C163" i="9"/>
  <c r="E163" i="9" s="1"/>
  <c r="D176" i="9" l="1"/>
  <c r="E176" i="9" s="1"/>
  <c r="D177" i="9"/>
  <c r="E177" i="9" s="1"/>
  <c r="F157" i="9"/>
  <c r="D158" i="9"/>
  <c r="E158" i="9" s="1"/>
  <c r="B134" i="9" l="1"/>
  <c r="B137" i="9" s="1"/>
  <c r="B151" i="9"/>
  <c r="O440" i="3" l="1"/>
  <c r="O425" i="3"/>
  <c r="O423" i="3"/>
  <c r="F482" i="3"/>
  <c r="F481" i="3"/>
  <c r="F415" i="3"/>
  <c r="F416" i="3"/>
  <c r="O308" i="3"/>
  <c r="O293" i="3"/>
  <c r="F350" i="3"/>
  <c r="F349" i="3"/>
  <c r="O291" i="3"/>
  <c r="F218" i="3"/>
  <c r="F217" i="3"/>
  <c r="D196" i="3"/>
  <c r="F151" i="3"/>
  <c r="D130" i="3"/>
  <c r="D64" i="3"/>
  <c r="K74" i="9" l="1"/>
  <c r="E74" i="9"/>
  <c r="E91" i="9" l="1"/>
  <c r="E92" i="9" s="1"/>
  <c r="E79" i="9"/>
  <c r="E80" i="9" s="1"/>
  <c r="K65" i="9"/>
  <c r="K66" i="9" s="1"/>
  <c r="K79" i="9"/>
  <c r="K80" i="9" s="1"/>
  <c r="E59" i="9"/>
  <c r="E65" i="9" s="1"/>
  <c r="E66" i="9" s="1"/>
  <c r="W49" i="13" l="1"/>
  <c r="W20" i="13"/>
  <c r="W78" i="13" l="1"/>
  <c r="W70" i="13"/>
  <c r="W60" i="13"/>
  <c r="W41" i="13"/>
  <c r="W40" i="13" l="1"/>
  <c r="W16" i="13"/>
  <c r="W15" i="13" s="1"/>
  <c r="W80" i="13" l="1"/>
  <c r="G42" i="13"/>
  <c r="G41" i="13"/>
  <c r="G35" i="13"/>
  <c r="G21" i="13"/>
  <c r="G15" i="13"/>
  <c r="F28" i="9" l="1"/>
  <c r="F27" i="9"/>
  <c r="F26" i="9"/>
  <c r="F25" i="9"/>
  <c r="C24" i="9"/>
  <c r="F24" i="9" s="1"/>
  <c r="F283" i="3" l="1"/>
  <c r="F284" i="3"/>
  <c r="J102" i="12" l="1"/>
  <c r="K102" i="12" s="1"/>
  <c r="J103" i="12"/>
  <c r="K103" i="12" s="1"/>
  <c r="J104" i="12"/>
  <c r="K104" i="12" s="1"/>
  <c r="J105" i="12"/>
  <c r="K105" i="12" s="1"/>
  <c r="J106" i="12"/>
  <c r="K106" i="12" s="1"/>
  <c r="J107" i="12"/>
  <c r="K107" i="12" s="1"/>
  <c r="J108" i="12"/>
  <c r="K108" i="12" s="1"/>
  <c r="J109" i="12"/>
  <c r="K109" i="12" s="1"/>
  <c r="J110" i="12"/>
  <c r="K110" i="12" s="1"/>
  <c r="J111" i="12"/>
  <c r="K111" i="12" s="1"/>
  <c r="J112" i="12"/>
  <c r="K112" i="12" s="1"/>
  <c r="J113" i="12"/>
  <c r="K113" i="12" s="1"/>
  <c r="J114" i="12"/>
  <c r="K114" i="12" s="1"/>
  <c r="J115" i="12"/>
  <c r="K115" i="12" s="1"/>
  <c r="J69" i="13" l="1"/>
  <c r="K69" i="13" s="1"/>
  <c r="J68" i="13"/>
  <c r="K68" i="13" s="1"/>
  <c r="J67" i="13"/>
  <c r="K67" i="13" s="1"/>
  <c r="J66" i="13"/>
  <c r="K66" i="13" s="1"/>
  <c r="J65" i="13"/>
  <c r="K65" i="13" s="1"/>
  <c r="K70" i="13" l="1"/>
  <c r="Q409" i="3" l="1"/>
  <c r="D485" i="3" s="1"/>
  <c r="Q410" i="3"/>
  <c r="D486" i="3" s="1"/>
  <c r="Q411" i="3"/>
  <c r="D487" i="3" s="1"/>
  <c r="Q412" i="3"/>
  <c r="D488" i="3" s="1"/>
  <c r="Q413" i="3"/>
  <c r="D489" i="3" s="1"/>
  <c r="Q414" i="3"/>
  <c r="D490" i="3" s="1"/>
  <c r="Q415" i="3"/>
  <c r="D491" i="3" s="1"/>
  <c r="Q416" i="3"/>
  <c r="D492" i="3" s="1"/>
  <c r="Q417" i="3"/>
  <c r="D493" i="3" s="1"/>
  <c r="Q418" i="3"/>
  <c r="D494" i="3" s="1"/>
  <c r="Q419" i="3"/>
  <c r="D495" i="3" s="1"/>
  <c r="Q420" i="3"/>
  <c r="D496" i="3" s="1"/>
  <c r="Q421" i="3"/>
  <c r="D497" i="3" s="1"/>
  <c r="Q422" i="3"/>
  <c r="D498" i="3" s="1"/>
  <c r="Q423" i="3"/>
  <c r="D499" i="3" s="1"/>
  <c r="Q424" i="3"/>
  <c r="D500" i="3" s="1"/>
  <c r="Q425" i="3"/>
  <c r="D506" i="3" s="1"/>
  <c r="Q426" i="3"/>
  <c r="D510" i="3" s="1"/>
  <c r="Q427" i="3"/>
  <c r="D511" i="3" s="1"/>
  <c r="Q428" i="3"/>
  <c r="D512" i="3" s="1"/>
  <c r="Q429" i="3"/>
  <c r="D513" i="3" s="1"/>
  <c r="Q430" i="3"/>
  <c r="D514" i="3" s="1"/>
  <c r="Q431" i="3"/>
  <c r="D515" i="3" s="1"/>
  <c r="Q432" i="3"/>
  <c r="D516" i="3" s="1"/>
  <c r="Q433" i="3"/>
  <c r="D517" i="3" s="1"/>
  <c r="Q434" i="3"/>
  <c r="D519" i="3" s="1"/>
  <c r="Q435" i="3"/>
  <c r="D520" i="3" s="1"/>
  <c r="Q436" i="3"/>
  <c r="D521" i="3" s="1"/>
  <c r="Q437" i="3"/>
  <c r="D522" i="3" s="1"/>
  <c r="Q438" i="3"/>
  <c r="D524" i="3" s="1"/>
  <c r="Q439" i="3"/>
  <c r="D525" i="3" s="1"/>
  <c r="Q440" i="3"/>
  <c r="D526" i="3" s="1"/>
  <c r="Q441" i="3"/>
  <c r="D528" i="3" s="1"/>
  <c r="Q442" i="3"/>
  <c r="D529" i="3" s="1"/>
  <c r="Q443" i="3"/>
  <c r="D530" i="3" s="1"/>
  <c r="Q444" i="3"/>
  <c r="D531" i="3" s="1"/>
  <c r="Q445" i="3"/>
  <c r="D532" i="3" s="1"/>
  <c r="Q446" i="3"/>
  <c r="D533" i="3" s="1"/>
  <c r="Q447" i="3"/>
  <c r="D534" i="3" s="1"/>
  <c r="P409" i="3"/>
  <c r="D419" i="3" s="1"/>
  <c r="P410" i="3"/>
  <c r="D420" i="3" s="1"/>
  <c r="P411" i="3"/>
  <c r="D421" i="3" s="1"/>
  <c r="P412" i="3"/>
  <c r="D422" i="3" s="1"/>
  <c r="P413" i="3"/>
  <c r="D423" i="3" s="1"/>
  <c r="P414" i="3"/>
  <c r="D424" i="3" s="1"/>
  <c r="P415" i="3"/>
  <c r="D425" i="3" s="1"/>
  <c r="P416" i="3"/>
  <c r="D426" i="3" s="1"/>
  <c r="P417" i="3"/>
  <c r="D427" i="3" s="1"/>
  <c r="P418" i="3"/>
  <c r="D428" i="3" s="1"/>
  <c r="P419" i="3"/>
  <c r="D429" i="3" s="1"/>
  <c r="P420" i="3"/>
  <c r="D430" i="3" s="1"/>
  <c r="P421" i="3"/>
  <c r="D431" i="3" s="1"/>
  <c r="P422" i="3"/>
  <c r="D432" i="3" s="1"/>
  <c r="P423" i="3"/>
  <c r="D433" i="3" s="1"/>
  <c r="P424" i="3"/>
  <c r="D434" i="3" s="1"/>
  <c r="P425" i="3"/>
  <c r="D440" i="3" s="1"/>
  <c r="P426" i="3"/>
  <c r="D444" i="3" s="1"/>
  <c r="P427" i="3"/>
  <c r="D445" i="3" s="1"/>
  <c r="P428" i="3"/>
  <c r="D446" i="3" s="1"/>
  <c r="P429" i="3"/>
  <c r="D447" i="3" s="1"/>
  <c r="P430" i="3"/>
  <c r="D448" i="3" s="1"/>
  <c r="P431" i="3"/>
  <c r="D449" i="3" s="1"/>
  <c r="P432" i="3"/>
  <c r="D450" i="3" s="1"/>
  <c r="P433" i="3"/>
  <c r="D451" i="3" s="1"/>
  <c r="P434" i="3"/>
  <c r="D453" i="3" s="1"/>
  <c r="P435" i="3"/>
  <c r="D454" i="3" s="1"/>
  <c r="P436" i="3"/>
  <c r="D455" i="3" s="1"/>
  <c r="P437" i="3"/>
  <c r="D456" i="3" s="1"/>
  <c r="P438" i="3"/>
  <c r="D458" i="3" s="1"/>
  <c r="P439" i="3"/>
  <c r="D459" i="3" s="1"/>
  <c r="P440" i="3"/>
  <c r="D460" i="3" s="1"/>
  <c r="P441" i="3"/>
  <c r="D462" i="3" s="1"/>
  <c r="P442" i="3"/>
  <c r="D463" i="3" s="1"/>
  <c r="P443" i="3"/>
  <c r="D464" i="3" s="1"/>
  <c r="P444" i="3"/>
  <c r="D465" i="3" s="1"/>
  <c r="P445" i="3"/>
  <c r="D466" i="3" s="1"/>
  <c r="P446" i="3"/>
  <c r="D467" i="3" s="1"/>
  <c r="P447" i="3"/>
  <c r="D468" i="3" s="1"/>
  <c r="Q408" i="3"/>
  <c r="D484" i="3" s="1"/>
  <c r="P408" i="3"/>
  <c r="D418" i="3" s="1"/>
  <c r="D18" i="3"/>
  <c r="P283" i="3" l="1"/>
  <c r="D293" i="3" s="1"/>
  <c r="P284" i="3"/>
  <c r="D294" i="3" s="1"/>
  <c r="P285" i="3"/>
  <c r="D295" i="3" s="1"/>
  <c r="P286" i="3"/>
  <c r="D296" i="3" s="1"/>
  <c r="P277" i="3"/>
  <c r="D287" i="3" s="1"/>
  <c r="Q277" i="3"/>
  <c r="D353" i="3" s="1"/>
  <c r="R277" i="3"/>
  <c r="D221" i="3" s="1"/>
  <c r="P278" i="3"/>
  <c r="D288" i="3" s="1"/>
  <c r="Q278" i="3"/>
  <c r="D354" i="3" s="1"/>
  <c r="R278" i="3"/>
  <c r="D222" i="3" s="1"/>
  <c r="P279" i="3"/>
  <c r="D289" i="3" s="1"/>
  <c r="Q279" i="3"/>
  <c r="D355" i="3" s="1"/>
  <c r="R279" i="3"/>
  <c r="D223" i="3" s="1"/>
  <c r="P280" i="3"/>
  <c r="D290" i="3" s="1"/>
  <c r="Q280" i="3"/>
  <c r="D356" i="3" s="1"/>
  <c r="R280" i="3"/>
  <c r="D224" i="3" s="1"/>
  <c r="P281" i="3"/>
  <c r="D291" i="3" s="1"/>
  <c r="Q281" i="3"/>
  <c r="D357" i="3" s="1"/>
  <c r="R281" i="3"/>
  <c r="D225" i="3" s="1"/>
  <c r="P282" i="3"/>
  <c r="D292" i="3" s="1"/>
  <c r="Q282" i="3"/>
  <c r="D358" i="3" s="1"/>
  <c r="R282" i="3"/>
  <c r="D226" i="3" s="1"/>
  <c r="Q283" i="3"/>
  <c r="D359" i="3" s="1"/>
  <c r="R283" i="3"/>
  <c r="D227" i="3" s="1"/>
  <c r="Q284" i="3"/>
  <c r="D360" i="3" s="1"/>
  <c r="R284" i="3"/>
  <c r="D228" i="3" s="1"/>
  <c r="Q285" i="3"/>
  <c r="D361" i="3" s="1"/>
  <c r="R285" i="3"/>
  <c r="D229" i="3" s="1"/>
  <c r="Q286" i="3"/>
  <c r="D362" i="3" s="1"/>
  <c r="R286" i="3"/>
  <c r="D230" i="3" s="1"/>
  <c r="P287" i="3"/>
  <c r="D297" i="3" s="1"/>
  <c r="Q287" i="3"/>
  <c r="D363" i="3" s="1"/>
  <c r="R287" i="3"/>
  <c r="D231" i="3" s="1"/>
  <c r="P288" i="3"/>
  <c r="D298" i="3" s="1"/>
  <c r="Q288" i="3"/>
  <c r="D364" i="3" s="1"/>
  <c r="R288" i="3"/>
  <c r="D232" i="3" s="1"/>
  <c r="P289" i="3"/>
  <c r="D299" i="3" s="1"/>
  <c r="Q289" i="3"/>
  <c r="D365" i="3" s="1"/>
  <c r="R289" i="3"/>
  <c r="D233" i="3" s="1"/>
  <c r="P290" i="3"/>
  <c r="D300" i="3" s="1"/>
  <c r="Q290" i="3"/>
  <c r="D366" i="3" s="1"/>
  <c r="R290" i="3"/>
  <c r="D234" i="3" s="1"/>
  <c r="P291" i="3"/>
  <c r="D301" i="3" s="1"/>
  <c r="Q291" i="3"/>
  <c r="D367" i="3" s="1"/>
  <c r="R291" i="3"/>
  <c r="D235" i="3" s="1"/>
  <c r="P292" i="3"/>
  <c r="D302" i="3" s="1"/>
  <c r="Q292" i="3"/>
  <c r="D368" i="3" s="1"/>
  <c r="R292" i="3"/>
  <c r="D236" i="3" s="1"/>
  <c r="P293" i="3"/>
  <c r="D308" i="3" s="1"/>
  <c r="D304" i="3" s="1"/>
  <c r="Q293" i="3"/>
  <c r="D374" i="3" s="1"/>
  <c r="D370" i="3" s="1"/>
  <c r="R293" i="3"/>
  <c r="D242" i="3" s="1"/>
  <c r="D238" i="3" s="1"/>
  <c r="P294" i="3"/>
  <c r="D312" i="3" s="1"/>
  <c r="Q294" i="3"/>
  <c r="D378" i="3" s="1"/>
  <c r="R294" i="3"/>
  <c r="D246" i="3" s="1"/>
  <c r="P295" i="3"/>
  <c r="D313" i="3" s="1"/>
  <c r="Q295" i="3"/>
  <c r="D379" i="3" s="1"/>
  <c r="R295" i="3"/>
  <c r="D247" i="3" s="1"/>
  <c r="P296" i="3"/>
  <c r="D314" i="3" s="1"/>
  <c r="Q296" i="3"/>
  <c r="D380" i="3" s="1"/>
  <c r="R296" i="3"/>
  <c r="D248" i="3" s="1"/>
  <c r="P297" i="3"/>
  <c r="D315" i="3" s="1"/>
  <c r="Q297" i="3"/>
  <c r="D381" i="3" s="1"/>
  <c r="R297" i="3"/>
  <c r="D249" i="3" s="1"/>
  <c r="P298" i="3"/>
  <c r="D316" i="3" s="1"/>
  <c r="Q298" i="3"/>
  <c r="D382" i="3" s="1"/>
  <c r="R298" i="3"/>
  <c r="D250" i="3" s="1"/>
  <c r="P299" i="3"/>
  <c r="D317" i="3" s="1"/>
  <c r="Q299" i="3"/>
  <c r="D383" i="3" s="1"/>
  <c r="R299" i="3"/>
  <c r="D251" i="3" s="1"/>
  <c r="P300" i="3"/>
  <c r="D318" i="3" s="1"/>
  <c r="Q300" i="3"/>
  <c r="D384" i="3" s="1"/>
  <c r="R300" i="3"/>
  <c r="D252" i="3" s="1"/>
  <c r="P301" i="3"/>
  <c r="D319" i="3" s="1"/>
  <c r="Q301" i="3"/>
  <c r="D385" i="3" s="1"/>
  <c r="R301" i="3"/>
  <c r="D253" i="3" s="1"/>
  <c r="P302" i="3"/>
  <c r="D321" i="3" s="1"/>
  <c r="Q302" i="3"/>
  <c r="D387" i="3" s="1"/>
  <c r="R302" i="3"/>
  <c r="D255" i="3" s="1"/>
  <c r="P303" i="3"/>
  <c r="D322" i="3" s="1"/>
  <c r="Q303" i="3"/>
  <c r="D388" i="3" s="1"/>
  <c r="R303" i="3"/>
  <c r="D256" i="3" s="1"/>
  <c r="P304" i="3"/>
  <c r="D323" i="3" s="1"/>
  <c r="Q304" i="3"/>
  <c r="D389" i="3" s="1"/>
  <c r="R304" i="3"/>
  <c r="D257" i="3" s="1"/>
  <c r="P305" i="3"/>
  <c r="D324" i="3" s="1"/>
  <c r="Q305" i="3"/>
  <c r="D390" i="3" s="1"/>
  <c r="R305" i="3"/>
  <c r="D258" i="3" s="1"/>
  <c r="P306" i="3"/>
  <c r="D326" i="3" s="1"/>
  <c r="Q306" i="3"/>
  <c r="D392" i="3" s="1"/>
  <c r="R306" i="3"/>
  <c r="D260" i="3" s="1"/>
  <c r="P307" i="3"/>
  <c r="D327" i="3" s="1"/>
  <c r="Q307" i="3"/>
  <c r="D393" i="3" s="1"/>
  <c r="R307" i="3"/>
  <c r="D261" i="3" s="1"/>
  <c r="P308" i="3"/>
  <c r="D328" i="3" s="1"/>
  <c r="Q308" i="3"/>
  <c r="D394" i="3" s="1"/>
  <c r="R308" i="3"/>
  <c r="D262" i="3" s="1"/>
  <c r="P309" i="3"/>
  <c r="D330" i="3" s="1"/>
  <c r="Q309" i="3"/>
  <c r="D396" i="3" s="1"/>
  <c r="R309" i="3"/>
  <c r="D264" i="3" s="1"/>
  <c r="P310" i="3"/>
  <c r="D331" i="3" s="1"/>
  <c r="Q310" i="3"/>
  <c r="D397" i="3" s="1"/>
  <c r="R310" i="3"/>
  <c r="D265" i="3" s="1"/>
  <c r="P311" i="3"/>
  <c r="D332" i="3" s="1"/>
  <c r="Q311" i="3"/>
  <c r="D398" i="3" s="1"/>
  <c r="R311" i="3"/>
  <c r="D266" i="3" s="1"/>
  <c r="P312" i="3"/>
  <c r="D333" i="3" s="1"/>
  <c r="Q312" i="3"/>
  <c r="D399" i="3" s="1"/>
  <c r="R312" i="3"/>
  <c r="D267" i="3" s="1"/>
  <c r="P313" i="3"/>
  <c r="D334" i="3" s="1"/>
  <c r="Q313" i="3"/>
  <c r="D400" i="3" s="1"/>
  <c r="R313" i="3"/>
  <c r="D268" i="3" s="1"/>
  <c r="P314" i="3"/>
  <c r="D335" i="3" s="1"/>
  <c r="Q314" i="3"/>
  <c r="D401" i="3" s="1"/>
  <c r="R314" i="3"/>
  <c r="D269" i="3" s="1"/>
  <c r="P315" i="3"/>
  <c r="D336" i="3" s="1"/>
  <c r="Q315" i="3"/>
  <c r="D402" i="3" s="1"/>
  <c r="R315" i="3"/>
  <c r="D270" i="3" s="1"/>
  <c r="R276" i="3"/>
  <c r="D220" i="3" s="1"/>
  <c r="Q276" i="3"/>
  <c r="D352" i="3" s="1"/>
  <c r="P276" i="3"/>
  <c r="D286" i="3" s="1"/>
  <c r="G536" i="3"/>
  <c r="G535" i="3" s="1"/>
  <c r="D535" i="3"/>
  <c r="G534" i="3"/>
  <c r="H534" i="3" s="1"/>
  <c r="G533" i="3"/>
  <c r="H533" i="3" s="1"/>
  <c r="G532" i="3"/>
  <c r="H532" i="3" s="1"/>
  <c r="G531" i="3"/>
  <c r="H531" i="3" s="1"/>
  <c r="G530" i="3"/>
  <c r="H530" i="3" s="1"/>
  <c r="G529" i="3"/>
  <c r="H529" i="3" s="1"/>
  <c r="G528" i="3"/>
  <c r="H528" i="3" s="1"/>
  <c r="D527" i="3"/>
  <c r="G526" i="3"/>
  <c r="H526" i="3" s="1"/>
  <c r="G525" i="3"/>
  <c r="H525" i="3" s="1"/>
  <c r="G524" i="3"/>
  <c r="H524" i="3" s="1"/>
  <c r="G523" i="3"/>
  <c r="H523" i="3" s="1"/>
  <c r="G522" i="3"/>
  <c r="H522" i="3" s="1"/>
  <c r="G521" i="3"/>
  <c r="H521" i="3" s="1"/>
  <c r="G520" i="3"/>
  <c r="H520" i="3" s="1"/>
  <c r="G519" i="3"/>
  <c r="H519" i="3" s="1"/>
  <c r="D518" i="3"/>
  <c r="G517" i="3"/>
  <c r="H517" i="3" s="1"/>
  <c r="G516" i="3"/>
  <c r="H516" i="3" s="1"/>
  <c r="G515" i="3"/>
  <c r="H515" i="3" s="1"/>
  <c r="G514" i="3"/>
  <c r="H514" i="3" s="1"/>
  <c r="G513" i="3"/>
  <c r="H513" i="3" s="1"/>
  <c r="G512" i="3"/>
  <c r="H512" i="3" s="1"/>
  <c r="G511" i="3"/>
  <c r="H511" i="3" s="1"/>
  <c r="G510" i="3"/>
  <c r="H510" i="3" s="1"/>
  <c r="D509" i="3"/>
  <c r="G508" i="3"/>
  <c r="H508" i="3" s="1"/>
  <c r="H507" i="3" s="1"/>
  <c r="D507" i="3"/>
  <c r="G506" i="3"/>
  <c r="H506" i="3" s="1"/>
  <c r="G505" i="3"/>
  <c r="H505" i="3" s="1"/>
  <c r="G504" i="3"/>
  <c r="H504" i="3" s="1"/>
  <c r="G503" i="3"/>
  <c r="H503" i="3" s="1"/>
  <c r="D502" i="3"/>
  <c r="G500" i="3"/>
  <c r="H500" i="3" s="1"/>
  <c r="G499" i="3"/>
  <c r="H499" i="3" s="1"/>
  <c r="G498" i="3"/>
  <c r="H498" i="3" s="1"/>
  <c r="G497" i="3"/>
  <c r="H497" i="3" s="1"/>
  <c r="G496" i="3"/>
  <c r="H496" i="3" s="1"/>
  <c r="G495" i="3"/>
  <c r="H495" i="3" s="1"/>
  <c r="G494" i="3"/>
  <c r="H494" i="3" s="1"/>
  <c r="G493" i="3"/>
  <c r="H493" i="3" s="1"/>
  <c r="G492" i="3"/>
  <c r="H492" i="3" s="1"/>
  <c r="G491" i="3"/>
  <c r="H491" i="3" s="1"/>
  <c r="G490" i="3"/>
  <c r="H490" i="3" s="1"/>
  <c r="G489" i="3"/>
  <c r="H489" i="3" s="1"/>
  <c r="G488" i="3"/>
  <c r="H488" i="3" s="1"/>
  <c r="G487" i="3"/>
  <c r="H487" i="3" s="1"/>
  <c r="G486" i="3"/>
  <c r="H486" i="3" s="1"/>
  <c r="G485" i="3"/>
  <c r="H485" i="3" s="1"/>
  <c r="G484" i="3"/>
  <c r="H484" i="3" s="1"/>
  <c r="G483" i="3"/>
  <c r="H483" i="3" s="1"/>
  <c r="G482" i="3"/>
  <c r="H482" i="3" s="1"/>
  <c r="G481" i="3"/>
  <c r="D480" i="3"/>
  <c r="G479" i="3"/>
  <c r="H479" i="3" s="1"/>
  <c r="G478" i="3"/>
  <c r="H478" i="3" s="1"/>
  <c r="G477" i="3"/>
  <c r="H477" i="3" s="1"/>
  <c r="G476" i="3"/>
  <c r="G470" i="3"/>
  <c r="H470" i="3" s="1"/>
  <c r="H469" i="3" s="1"/>
  <c r="D469" i="3"/>
  <c r="G468" i="3"/>
  <c r="H468" i="3" s="1"/>
  <c r="G467" i="3"/>
  <c r="H467" i="3" s="1"/>
  <c r="G466" i="3"/>
  <c r="H466" i="3" s="1"/>
  <c r="G465" i="3"/>
  <c r="H465" i="3" s="1"/>
  <c r="G464" i="3"/>
  <c r="H464" i="3" s="1"/>
  <c r="G463" i="3"/>
  <c r="H463" i="3" s="1"/>
  <c r="G462" i="3"/>
  <c r="H462" i="3" s="1"/>
  <c r="D461" i="3"/>
  <c r="G460" i="3"/>
  <c r="H460" i="3" s="1"/>
  <c r="G459" i="3"/>
  <c r="H459" i="3" s="1"/>
  <c r="G458" i="3"/>
  <c r="H458" i="3" s="1"/>
  <c r="G457" i="3"/>
  <c r="H457" i="3" s="1"/>
  <c r="G456" i="3"/>
  <c r="H456" i="3" s="1"/>
  <c r="G455" i="3"/>
  <c r="H455" i="3" s="1"/>
  <c r="G454" i="3"/>
  <c r="H454" i="3" s="1"/>
  <c r="G453" i="3"/>
  <c r="H453" i="3" s="1"/>
  <c r="D452" i="3"/>
  <c r="G451" i="3"/>
  <c r="H451" i="3" s="1"/>
  <c r="G450" i="3"/>
  <c r="H450" i="3" s="1"/>
  <c r="G449" i="3"/>
  <c r="H449" i="3" s="1"/>
  <c r="G448" i="3"/>
  <c r="H448" i="3" s="1"/>
  <c r="G447" i="3"/>
  <c r="H447" i="3" s="1"/>
  <c r="G446" i="3"/>
  <c r="H446" i="3" s="1"/>
  <c r="G445" i="3"/>
  <c r="H445" i="3" s="1"/>
  <c r="G444" i="3"/>
  <c r="D443" i="3"/>
  <c r="G442" i="3"/>
  <c r="G441" i="3" s="1"/>
  <c r="D441" i="3"/>
  <c r="G440" i="3"/>
  <c r="H440" i="3" s="1"/>
  <c r="G439" i="3"/>
  <c r="H439" i="3" s="1"/>
  <c r="G438" i="3"/>
  <c r="H438" i="3" s="1"/>
  <c r="G437" i="3"/>
  <c r="D436" i="3"/>
  <c r="G434" i="3"/>
  <c r="H434" i="3" s="1"/>
  <c r="G433" i="3"/>
  <c r="H433" i="3" s="1"/>
  <c r="G432" i="3"/>
  <c r="H432" i="3" s="1"/>
  <c r="G431" i="3"/>
  <c r="H431" i="3" s="1"/>
  <c r="G430" i="3"/>
  <c r="H430" i="3" s="1"/>
  <c r="G429" i="3"/>
  <c r="H429" i="3" s="1"/>
  <c r="G428" i="3"/>
  <c r="H428" i="3" s="1"/>
  <c r="G427" i="3"/>
  <c r="H427" i="3" s="1"/>
  <c r="G426" i="3"/>
  <c r="H426" i="3" s="1"/>
  <c r="G425" i="3"/>
  <c r="H425" i="3" s="1"/>
  <c r="G424" i="3"/>
  <c r="H424" i="3" s="1"/>
  <c r="G423" i="3"/>
  <c r="H423" i="3" s="1"/>
  <c r="G422" i="3"/>
  <c r="H422" i="3" s="1"/>
  <c r="G421" i="3"/>
  <c r="H421" i="3" s="1"/>
  <c r="G420" i="3"/>
  <c r="H420" i="3" s="1"/>
  <c r="G419" i="3"/>
  <c r="H419" i="3" s="1"/>
  <c r="G418" i="3"/>
  <c r="H418" i="3" s="1"/>
  <c r="G417" i="3"/>
  <c r="H417" i="3" s="1"/>
  <c r="G416" i="3"/>
  <c r="H416" i="3" s="1"/>
  <c r="G415" i="3"/>
  <c r="D414" i="3"/>
  <c r="G413" i="3"/>
  <c r="H413" i="3" s="1"/>
  <c r="G412" i="3"/>
  <c r="H412" i="3" s="1"/>
  <c r="G411" i="3"/>
  <c r="H411" i="3" s="1"/>
  <c r="G410" i="3"/>
  <c r="G404" i="3"/>
  <c r="G403" i="3" s="1"/>
  <c r="D403" i="3"/>
  <c r="G402" i="3"/>
  <c r="G401" i="3"/>
  <c r="G400" i="3"/>
  <c r="G399" i="3"/>
  <c r="G398" i="3"/>
  <c r="G397" i="3"/>
  <c r="G396" i="3"/>
  <c r="G394" i="3"/>
  <c r="G393" i="3"/>
  <c r="G392" i="3"/>
  <c r="G391" i="3"/>
  <c r="H391" i="3" s="1"/>
  <c r="G390" i="3"/>
  <c r="G389" i="3"/>
  <c r="G388" i="3"/>
  <c r="G387" i="3"/>
  <c r="G385" i="3"/>
  <c r="G384" i="3"/>
  <c r="G383" i="3"/>
  <c r="G382" i="3"/>
  <c r="G381" i="3"/>
  <c r="G380" i="3"/>
  <c r="G379" i="3"/>
  <c r="G378" i="3"/>
  <c r="G376" i="3"/>
  <c r="G375" i="3" s="1"/>
  <c r="D375" i="3"/>
  <c r="G374" i="3"/>
  <c r="G373" i="3"/>
  <c r="H373" i="3" s="1"/>
  <c r="G372" i="3"/>
  <c r="H372" i="3" s="1"/>
  <c r="G371" i="3"/>
  <c r="H371" i="3" s="1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H351" i="3" s="1"/>
  <c r="G350" i="3"/>
  <c r="H350" i="3" s="1"/>
  <c r="G349" i="3"/>
  <c r="G347" i="3"/>
  <c r="H347" i="3" s="1"/>
  <c r="G346" i="3"/>
  <c r="H346" i="3" s="1"/>
  <c r="G345" i="3"/>
  <c r="H345" i="3" s="1"/>
  <c r="G344" i="3"/>
  <c r="G338" i="3"/>
  <c r="G337" i="3" s="1"/>
  <c r="D337" i="3"/>
  <c r="G336" i="3"/>
  <c r="G335" i="3"/>
  <c r="G334" i="3"/>
  <c r="G333" i="3"/>
  <c r="G332" i="3"/>
  <c r="G331" i="3"/>
  <c r="G330" i="3"/>
  <c r="G328" i="3"/>
  <c r="G327" i="3"/>
  <c r="G326" i="3"/>
  <c r="G325" i="3"/>
  <c r="H325" i="3" s="1"/>
  <c r="G324" i="3"/>
  <c r="G323" i="3"/>
  <c r="G322" i="3"/>
  <c r="G321" i="3"/>
  <c r="G319" i="3"/>
  <c r="G318" i="3"/>
  <c r="G317" i="3"/>
  <c r="G316" i="3"/>
  <c r="G315" i="3"/>
  <c r="G314" i="3"/>
  <c r="G313" i="3"/>
  <c r="G312" i="3"/>
  <c r="G310" i="3"/>
  <c r="G309" i="3" s="1"/>
  <c r="D309" i="3"/>
  <c r="G308" i="3"/>
  <c r="G307" i="3"/>
  <c r="H307" i="3" s="1"/>
  <c r="G306" i="3"/>
  <c r="H306" i="3" s="1"/>
  <c r="G305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H285" i="3" s="1"/>
  <c r="G284" i="3"/>
  <c r="H284" i="3" s="1"/>
  <c r="G283" i="3"/>
  <c r="G281" i="3"/>
  <c r="H281" i="3" s="1"/>
  <c r="G280" i="3"/>
  <c r="H280" i="3" s="1"/>
  <c r="G279" i="3"/>
  <c r="H279" i="3" s="1"/>
  <c r="G278" i="3"/>
  <c r="G272" i="3"/>
  <c r="H272" i="3" s="1"/>
  <c r="H271" i="3" s="1"/>
  <c r="D271" i="3"/>
  <c r="G270" i="3"/>
  <c r="G269" i="3"/>
  <c r="G268" i="3"/>
  <c r="H268" i="3" s="1"/>
  <c r="G267" i="3"/>
  <c r="H267" i="3" s="1"/>
  <c r="G266" i="3"/>
  <c r="G265" i="3"/>
  <c r="G264" i="3"/>
  <c r="H264" i="3" s="1"/>
  <c r="G262" i="3"/>
  <c r="H262" i="3" s="1"/>
  <c r="G261" i="3"/>
  <c r="G260" i="3"/>
  <c r="G259" i="3"/>
  <c r="H259" i="3" s="1"/>
  <c r="G258" i="3"/>
  <c r="G257" i="3"/>
  <c r="G256" i="3"/>
  <c r="G255" i="3"/>
  <c r="H255" i="3" s="1"/>
  <c r="G253" i="3"/>
  <c r="G252" i="3"/>
  <c r="G251" i="3"/>
  <c r="G250" i="3"/>
  <c r="H250" i="3" s="1"/>
  <c r="G249" i="3"/>
  <c r="G248" i="3"/>
  <c r="G247" i="3"/>
  <c r="G246" i="3"/>
  <c r="G244" i="3"/>
  <c r="H244" i="3" s="1"/>
  <c r="H243" i="3" s="1"/>
  <c r="D243" i="3"/>
  <c r="G242" i="3"/>
  <c r="G241" i="3"/>
  <c r="H241" i="3" s="1"/>
  <c r="G240" i="3"/>
  <c r="H240" i="3" s="1"/>
  <c r="G239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H219" i="3" s="1"/>
  <c r="G218" i="3"/>
  <c r="H218" i="3" s="1"/>
  <c r="G217" i="3"/>
  <c r="H217" i="3" s="1"/>
  <c r="G215" i="3"/>
  <c r="H215" i="3" s="1"/>
  <c r="G214" i="3"/>
  <c r="H214" i="3" s="1"/>
  <c r="G213" i="3"/>
  <c r="H213" i="3" s="1"/>
  <c r="G212" i="3"/>
  <c r="G206" i="3"/>
  <c r="G205" i="3" s="1"/>
  <c r="D205" i="3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D197" i="3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D188" i="3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D179" i="3"/>
  <c r="G178" i="3"/>
  <c r="G177" i="3" s="1"/>
  <c r="D177" i="3"/>
  <c r="G176" i="3"/>
  <c r="H176" i="3" s="1"/>
  <c r="G175" i="3"/>
  <c r="H175" i="3" s="1"/>
  <c r="G174" i="3"/>
  <c r="G173" i="3"/>
  <c r="H173" i="3" s="1"/>
  <c r="D172" i="3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D150" i="3"/>
  <c r="G149" i="3"/>
  <c r="H149" i="3" s="1"/>
  <c r="G148" i="3"/>
  <c r="H148" i="3" s="1"/>
  <c r="G147" i="3"/>
  <c r="H147" i="3" s="1"/>
  <c r="G146" i="3"/>
  <c r="G140" i="3"/>
  <c r="H140" i="3" s="1"/>
  <c r="H139" i="3" s="1"/>
  <c r="D139" i="3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D131" i="3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D122" i="3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D113" i="3"/>
  <c r="G112" i="3"/>
  <c r="H112" i="3" s="1"/>
  <c r="H111" i="3" s="1"/>
  <c r="D111" i="3"/>
  <c r="G110" i="3"/>
  <c r="H110" i="3" s="1"/>
  <c r="G109" i="3"/>
  <c r="H109" i="3" s="1"/>
  <c r="G108" i="3"/>
  <c r="H108" i="3" s="1"/>
  <c r="G107" i="3"/>
  <c r="D106" i="3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D84" i="3"/>
  <c r="G83" i="3"/>
  <c r="H83" i="3" s="1"/>
  <c r="G82" i="3"/>
  <c r="H82" i="3" s="1"/>
  <c r="G81" i="3"/>
  <c r="H81" i="3" s="1"/>
  <c r="G80" i="3"/>
  <c r="G20" i="3"/>
  <c r="H20" i="3" s="1"/>
  <c r="G21" i="3"/>
  <c r="H21" i="3" s="1"/>
  <c r="H221" i="3" l="1"/>
  <c r="H225" i="3"/>
  <c r="H229" i="3"/>
  <c r="H233" i="3"/>
  <c r="H248" i="3"/>
  <c r="H223" i="3"/>
  <c r="H231" i="3"/>
  <c r="H235" i="3"/>
  <c r="H232" i="3"/>
  <c r="H236" i="3"/>
  <c r="G507" i="3"/>
  <c r="H253" i="3"/>
  <c r="G475" i="3"/>
  <c r="H317" i="3"/>
  <c r="H251" i="3"/>
  <c r="H256" i="3"/>
  <c r="H228" i="3"/>
  <c r="H269" i="3"/>
  <c r="H536" i="3"/>
  <c r="H535" i="3" s="1"/>
  <c r="H261" i="3"/>
  <c r="H266" i="3"/>
  <c r="H270" i="3"/>
  <c r="H288" i="3"/>
  <c r="H300" i="3"/>
  <c r="G527" i="3"/>
  <c r="H265" i="3"/>
  <c r="H287" i="3"/>
  <c r="H299" i="3"/>
  <c r="H222" i="3"/>
  <c r="H226" i="3"/>
  <c r="H230" i="3"/>
  <c r="H234" i="3"/>
  <c r="G518" i="3"/>
  <c r="H260" i="3"/>
  <c r="H392" i="3"/>
  <c r="H326" i="3"/>
  <c r="G480" i="3"/>
  <c r="H481" i="3"/>
  <c r="H336" i="3"/>
  <c r="D263" i="3"/>
  <c r="H332" i="3"/>
  <c r="D395" i="3"/>
  <c r="H334" i="3"/>
  <c r="D254" i="3"/>
  <c r="H390" i="3"/>
  <c r="H258" i="3"/>
  <c r="H324" i="3"/>
  <c r="H388" i="3"/>
  <c r="H389" i="3"/>
  <c r="H257" i="3"/>
  <c r="H323" i="3"/>
  <c r="H252" i="3"/>
  <c r="H318" i="3"/>
  <c r="H382" i="3"/>
  <c r="H249" i="3"/>
  <c r="H247" i="3"/>
  <c r="H313" i="3"/>
  <c r="H378" i="3"/>
  <c r="D245" i="3"/>
  <c r="D377" i="3"/>
  <c r="H301" i="3"/>
  <c r="H295" i="3"/>
  <c r="H294" i="3"/>
  <c r="H227" i="3"/>
  <c r="H292" i="3"/>
  <c r="H291" i="3"/>
  <c r="H289" i="3"/>
  <c r="H220" i="3"/>
  <c r="D216" i="3"/>
  <c r="H286" i="3"/>
  <c r="H242" i="3"/>
  <c r="H224" i="3"/>
  <c r="H394" i="3"/>
  <c r="D386" i="3"/>
  <c r="H398" i="3"/>
  <c r="H402" i="3"/>
  <c r="H399" i="3"/>
  <c r="H400" i="3"/>
  <c r="H397" i="3"/>
  <c r="H401" i="3"/>
  <c r="H393" i="3"/>
  <c r="H379" i="3"/>
  <c r="H383" i="3"/>
  <c r="H380" i="3"/>
  <c r="H384" i="3"/>
  <c r="H381" i="3"/>
  <c r="H385" i="3"/>
  <c r="H308" i="3"/>
  <c r="H374" i="3"/>
  <c r="H370" i="3" s="1"/>
  <c r="D348" i="3"/>
  <c r="H355" i="3"/>
  <c r="H359" i="3"/>
  <c r="H363" i="3"/>
  <c r="H367" i="3"/>
  <c r="H356" i="3"/>
  <c r="H360" i="3"/>
  <c r="H364" i="3"/>
  <c r="H368" i="3"/>
  <c r="H354" i="3"/>
  <c r="H358" i="3"/>
  <c r="H362" i="3"/>
  <c r="H366" i="3"/>
  <c r="H352" i="3"/>
  <c r="H353" i="3"/>
  <c r="H357" i="3"/>
  <c r="H361" i="3"/>
  <c r="H365" i="3"/>
  <c r="H333" i="3"/>
  <c r="H331" i="3"/>
  <c r="H335" i="3"/>
  <c r="D329" i="3"/>
  <c r="H330" i="3"/>
  <c r="H328" i="3"/>
  <c r="H327" i="3"/>
  <c r="D320" i="3"/>
  <c r="H322" i="3"/>
  <c r="H314" i="3"/>
  <c r="D311" i="3"/>
  <c r="H315" i="3"/>
  <c r="H319" i="3"/>
  <c r="H316" i="3"/>
  <c r="H290" i="3"/>
  <c r="H302" i="3"/>
  <c r="H298" i="3"/>
  <c r="H296" i="3"/>
  <c r="H293" i="3"/>
  <c r="H297" i="3"/>
  <c r="D282" i="3"/>
  <c r="G474" i="3"/>
  <c r="G414" i="3"/>
  <c r="H442" i="3"/>
  <c r="H441" i="3" s="1"/>
  <c r="D501" i="3"/>
  <c r="G271" i="3"/>
  <c r="G139" i="3"/>
  <c r="G409" i="3"/>
  <c r="G469" i="3"/>
  <c r="H518" i="3"/>
  <c r="H480" i="3"/>
  <c r="H527" i="3"/>
  <c r="H502" i="3"/>
  <c r="H509" i="3"/>
  <c r="G502" i="3"/>
  <c r="G509" i="3"/>
  <c r="H415" i="3"/>
  <c r="H414" i="3" s="1"/>
  <c r="G436" i="3"/>
  <c r="G452" i="3"/>
  <c r="G343" i="3"/>
  <c r="G395" i="3"/>
  <c r="G461" i="3"/>
  <c r="D435" i="3"/>
  <c r="G443" i="3"/>
  <c r="H452" i="3"/>
  <c r="H461" i="3"/>
  <c r="H437" i="3"/>
  <c r="H436" i="3" s="1"/>
  <c r="H444" i="3"/>
  <c r="H443" i="3" s="1"/>
  <c r="G370" i="3"/>
  <c r="G377" i="3"/>
  <c r="G282" i="3"/>
  <c r="G311" i="3"/>
  <c r="G348" i="3"/>
  <c r="G386" i="3"/>
  <c r="H349" i="3"/>
  <c r="H396" i="3"/>
  <c r="H376" i="3"/>
  <c r="H375" i="3" s="1"/>
  <c r="H387" i="3"/>
  <c r="H404" i="3"/>
  <c r="H403" i="3" s="1"/>
  <c r="G179" i="3"/>
  <c r="G263" i="3"/>
  <c r="H283" i="3"/>
  <c r="G320" i="3"/>
  <c r="D171" i="3"/>
  <c r="G238" i="3"/>
  <c r="G329" i="3"/>
  <c r="G243" i="3"/>
  <c r="G304" i="3"/>
  <c r="G277" i="3"/>
  <c r="H310" i="3"/>
  <c r="H309" i="3" s="1"/>
  <c r="H321" i="3"/>
  <c r="H338" i="3"/>
  <c r="H337" i="3" s="1"/>
  <c r="H305" i="3"/>
  <c r="H312" i="3"/>
  <c r="G211" i="3"/>
  <c r="G245" i="3"/>
  <c r="G216" i="3"/>
  <c r="G254" i="3"/>
  <c r="H239" i="3"/>
  <c r="H246" i="3"/>
  <c r="G131" i="3"/>
  <c r="H150" i="3"/>
  <c r="G172" i="3"/>
  <c r="H179" i="3"/>
  <c r="G106" i="3"/>
  <c r="G145" i="3"/>
  <c r="G188" i="3"/>
  <c r="G111" i="3"/>
  <c r="G197" i="3"/>
  <c r="H174" i="3"/>
  <c r="H172" i="3" s="1"/>
  <c r="H198" i="3"/>
  <c r="H197" i="3" s="1"/>
  <c r="G150" i="3"/>
  <c r="H178" i="3"/>
  <c r="H177" i="3" s="1"/>
  <c r="H189" i="3"/>
  <c r="H188" i="3" s="1"/>
  <c r="H206" i="3"/>
  <c r="H205" i="3" s="1"/>
  <c r="G79" i="3"/>
  <c r="G113" i="3"/>
  <c r="G84" i="3"/>
  <c r="G122" i="3"/>
  <c r="D105" i="3"/>
  <c r="H84" i="3"/>
  <c r="H122" i="3"/>
  <c r="H131" i="3"/>
  <c r="H107" i="3"/>
  <c r="H106" i="3" s="1"/>
  <c r="H114" i="3"/>
  <c r="H113" i="3" s="1"/>
  <c r="H238" i="3" l="1"/>
  <c r="H263" i="3"/>
  <c r="H254" i="3"/>
  <c r="G303" i="3"/>
  <c r="G408" i="3"/>
  <c r="G237" i="3"/>
  <c r="D237" i="3"/>
  <c r="H320" i="3"/>
  <c r="H245" i="3"/>
  <c r="D369" i="3"/>
  <c r="H216" i="3"/>
  <c r="D303" i="3"/>
  <c r="H386" i="3"/>
  <c r="H304" i="3"/>
  <c r="H395" i="3"/>
  <c r="H377" i="3"/>
  <c r="H348" i="3"/>
  <c r="H329" i="3"/>
  <c r="H311" i="3"/>
  <c r="H282" i="3"/>
  <c r="G276" i="3"/>
  <c r="G342" i="3"/>
  <c r="G501" i="3"/>
  <c r="G537" i="3" s="1"/>
  <c r="H501" i="3"/>
  <c r="G435" i="3"/>
  <c r="G369" i="3"/>
  <c r="H435" i="3"/>
  <c r="G78" i="3"/>
  <c r="G210" i="3"/>
  <c r="G105" i="3"/>
  <c r="G171" i="3"/>
  <c r="G144" i="3"/>
  <c r="H171" i="3"/>
  <c r="H105" i="3"/>
  <c r="G471" i="3" l="1"/>
  <c r="G339" i="3"/>
  <c r="H237" i="3"/>
  <c r="G273" i="3"/>
  <c r="H369" i="3"/>
  <c r="H303" i="3"/>
  <c r="G405" i="3"/>
  <c r="G141" i="3"/>
  <c r="G207" i="3"/>
  <c r="I12" i="7" l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H47" i="7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D27" i="1"/>
  <c r="E27" i="1"/>
  <c r="F27" i="1"/>
  <c r="G27" i="1"/>
  <c r="D28" i="1"/>
  <c r="E28" i="1"/>
  <c r="F28" i="1"/>
  <c r="G28" i="1"/>
  <c r="D30" i="1"/>
  <c r="E30" i="1"/>
  <c r="F30" i="1"/>
  <c r="G30" i="1"/>
  <c r="D31" i="1"/>
  <c r="E31" i="1"/>
  <c r="F31" i="1"/>
  <c r="G31" i="1"/>
  <c r="D18" i="5"/>
  <c r="E18" i="5"/>
  <c r="F18" i="5"/>
  <c r="G18" i="5"/>
  <c r="D19" i="5"/>
  <c r="E19" i="5"/>
  <c r="F19" i="5"/>
  <c r="G19" i="5"/>
  <c r="D21" i="5"/>
  <c r="E21" i="5"/>
  <c r="F21" i="5"/>
  <c r="G21" i="5"/>
  <c r="D22" i="5"/>
  <c r="E22" i="5"/>
  <c r="F22" i="5"/>
  <c r="G22" i="5"/>
  <c r="R18" i="5"/>
  <c r="R19" i="5"/>
  <c r="R20" i="5"/>
  <c r="R21" i="5"/>
  <c r="R22" i="5"/>
  <c r="R17" i="5"/>
  <c r="R11" i="5"/>
  <c r="R12" i="5"/>
  <c r="R13" i="5"/>
  <c r="R14" i="5"/>
  <c r="R15" i="5"/>
  <c r="R16" i="5"/>
  <c r="R10" i="5"/>
  <c r="H18" i="5"/>
  <c r="I18" i="5"/>
  <c r="J18" i="5"/>
  <c r="K18" i="5"/>
  <c r="L18" i="5"/>
  <c r="H19" i="5"/>
  <c r="I19" i="5"/>
  <c r="J19" i="5"/>
  <c r="K19" i="5"/>
  <c r="L19" i="5"/>
  <c r="H20" i="5"/>
  <c r="I20" i="5"/>
  <c r="J20" i="5"/>
  <c r="K20" i="5"/>
  <c r="L20" i="5"/>
  <c r="H21" i="5"/>
  <c r="I21" i="5"/>
  <c r="J21" i="5"/>
  <c r="K21" i="5"/>
  <c r="L21" i="5"/>
  <c r="H22" i="5"/>
  <c r="I22" i="5"/>
  <c r="J22" i="5"/>
  <c r="K22" i="5"/>
  <c r="L22" i="5"/>
  <c r="I17" i="5"/>
  <c r="J17" i="5"/>
  <c r="K17" i="5"/>
  <c r="L17" i="5"/>
  <c r="H17" i="5"/>
  <c r="H11" i="5"/>
  <c r="I11" i="5"/>
  <c r="J11" i="5"/>
  <c r="K11" i="5"/>
  <c r="L11" i="5"/>
  <c r="H12" i="5"/>
  <c r="I12" i="5"/>
  <c r="J12" i="5"/>
  <c r="K12" i="5"/>
  <c r="L12" i="5"/>
  <c r="H13" i="5"/>
  <c r="I13" i="5"/>
  <c r="J13" i="5"/>
  <c r="K13" i="5"/>
  <c r="L13" i="5"/>
  <c r="H14" i="5"/>
  <c r="I14" i="5"/>
  <c r="J14" i="5"/>
  <c r="K14" i="5"/>
  <c r="L14" i="5"/>
  <c r="H15" i="5"/>
  <c r="I15" i="5"/>
  <c r="J15" i="5"/>
  <c r="K15" i="5"/>
  <c r="L15" i="5"/>
  <c r="H16" i="5"/>
  <c r="I16" i="5"/>
  <c r="J16" i="5"/>
  <c r="K16" i="5"/>
  <c r="L16" i="5"/>
  <c r="J10" i="5"/>
  <c r="K10" i="5"/>
  <c r="L10" i="5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B129" i="12"/>
  <c r="B101" i="12"/>
  <c r="B86" i="12"/>
  <c r="B71" i="12"/>
  <c r="J143" i="12"/>
  <c r="K143" i="12" s="1"/>
  <c r="J142" i="12"/>
  <c r="K142" i="12" s="1"/>
  <c r="J141" i="12"/>
  <c r="K141" i="12" s="1"/>
  <c r="J140" i="12"/>
  <c r="K140" i="12" s="1"/>
  <c r="J139" i="12"/>
  <c r="K139" i="12" s="1"/>
  <c r="J138" i="12"/>
  <c r="K138" i="12" s="1"/>
  <c r="J137" i="12"/>
  <c r="K137" i="12" s="1"/>
  <c r="J136" i="12"/>
  <c r="K136" i="12" s="1"/>
  <c r="J135" i="12"/>
  <c r="K135" i="12" s="1"/>
  <c r="J134" i="12"/>
  <c r="K134" i="12" s="1"/>
  <c r="J133" i="12"/>
  <c r="K133" i="12" s="1"/>
  <c r="J132" i="12"/>
  <c r="K132" i="12" s="1"/>
  <c r="J131" i="12"/>
  <c r="K131" i="12" s="1"/>
  <c r="J130" i="12"/>
  <c r="K130" i="12" s="1"/>
  <c r="J129" i="12"/>
  <c r="K129" i="12" s="1"/>
  <c r="J100" i="12"/>
  <c r="K100" i="12" s="1"/>
  <c r="J99" i="12"/>
  <c r="K99" i="12" s="1"/>
  <c r="J98" i="12"/>
  <c r="K98" i="12" s="1"/>
  <c r="J97" i="12"/>
  <c r="K97" i="12" s="1"/>
  <c r="J96" i="12"/>
  <c r="K96" i="12" s="1"/>
  <c r="J95" i="12"/>
  <c r="K95" i="12" s="1"/>
  <c r="J94" i="12"/>
  <c r="K94" i="12" s="1"/>
  <c r="J93" i="12"/>
  <c r="K93" i="12" s="1"/>
  <c r="J92" i="12"/>
  <c r="K92" i="12" s="1"/>
  <c r="J91" i="12"/>
  <c r="K91" i="12" s="1"/>
  <c r="J90" i="12"/>
  <c r="K90" i="12" s="1"/>
  <c r="J89" i="12"/>
  <c r="K89" i="12" s="1"/>
  <c r="J88" i="12"/>
  <c r="K88" i="12" s="1"/>
  <c r="J87" i="12"/>
  <c r="K87" i="12" s="1"/>
  <c r="J86" i="12"/>
  <c r="K86" i="12" s="1"/>
  <c r="Q22" i="5" l="1"/>
  <c r="Q18" i="5"/>
  <c r="Q19" i="5"/>
  <c r="O18" i="5"/>
  <c r="K62" i="13"/>
  <c r="N19" i="5"/>
  <c r="N22" i="5"/>
  <c r="N18" i="5"/>
  <c r="P22" i="5"/>
  <c r="P21" i="5"/>
  <c r="N21" i="5"/>
  <c r="P19" i="5"/>
  <c r="P18" i="5"/>
  <c r="O22" i="5"/>
  <c r="O21" i="5"/>
  <c r="O19" i="5"/>
  <c r="P15" i="13"/>
  <c r="Q21" i="5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L129" i="12"/>
  <c r="D476" i="3" s="1"/>
  <c r="L86" i="12"/>
  <c r="D344" i="3" s="1"/>
  <c r="J38" i="12"/>
  <c r="K38" i="12" s="1"/>
  <c r="J39" i="12"/>
  <c r="K39" i="12" s="1"/>
  <c r="J40" i="12"/>
  <c r="K40" i="12" s="1"/>
  <c r="J41" i="12"/>
  <c r="K41" i="12" s="1"/>
  <c r="J42" i="12"/>
  <c r="K42" i="12" s="1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18" i="12"/>
  <c r="K18" i="12" s="1"/>
  <c r="K69" i="2"/>
  <c r="K66" i="2"/>
  <c r="K63" i="2"/>
  <c r="K37" i="2"/>
  <c r="F37" i="2" s="1"/>
  <c r="K41" i="2"/>
  <c r="F41" i="2" s="1"/>
  <c r="K45" i="2"/>
  <c r="F45" i="2" s="1"/>
  <c r="K48" i="2"/>
  <c r="F48" i="2" s="1"/>
  <c r="K52" i="2"/>
  <c r="K54" i="2"/>
  <c r="K55" i="2"/>
  <c r="K57" i="2"/>
  <c r="K59" i="2" s="1"/>
  <c r="K34" i="2"/>
  <c r="F34" i="2" s="1"/>
  <c r="D56" i="2"/>
  <c r="E53" i="2"/>
  <c r="D53" i="2"/>
  <c r="I27" i="2"/>
  <c r="F70" i="2"/>
  <c r="M27" i="7"/>
  <c r="M26" i="7"/>
  <c r="M25" i="7"/>
  <c r="M24" i="7"/>
  <c r="M23" i="7"/>
  <c r="M22" i="7"/>
  <c r="N62" i="13" l="1"/>
  <c r="M62" i="13" s="1"/>
  <c r="Z15" i="13" s="1"/>
  <c r="AG15" i="13" s="1"/>
  <c r="R62" i="13"/>
  <c r="P62" i="13"/>
  <c r="H476" i="3"/>
  <c r="H475" i="3" s="1"/>
  <c r="H474" i="3" s="1"/>
  <c r="H537" i="3" s="1"/>
  <c r="F16" i="2" s="1"/>
  <c r="D475" i="3"/>
  <c r="D474" i="3" s="1"/>
  <c r="D537" i="3" s="1"/>
  <c r="D343" i="3"/>
  <c r="D342" i="3" s="1"/>
  <c r="D405" i="3" s="1"/>
  <c r="H344" i="3"/>
  <c r="H343" i="3" s="1"/>
  <c r="H342" i="3" s="1"/>
  <c r="H405" i="3" s="1"/>
  <c r="F14" i="2" s="1"/>
  <c r="C22" i="5"/>
  <c r="M22" i="5" s="1"/>
  <c r="C31" i="1"/>
  <c r="C21" i="5"/>
  <c r="M21" i="5" s="1"/>
  <c r="C30" i="1"/>
  <c r="C20" i="5"/>
  <c r="M20" i="5" s="1"/>
  <c r="C29" i="1"/>
  <c r="C19" i="5"/>
  <c r="M19" i="5" s="1"/>
  <c r="C28" i="1"/>
  <c r="C18" i="5"/>
  <c r="M18" i="5" s="1"/>
  <c r="C27" i="1"/>
  <c r="C17" i="5"/>
  <c r="M17" i="5" s="1"/>
  <c r="C26" i="1"/>
  <c r="F56" i="2"/>
  <c r="F53" i="2"/>
  <c r="K56" i="2"/>
  <c r="K70" i="2"/>
  <c r="F60" i="2" l="1"/>
  <c r="AH15" i="13"/>
  <c r="AA15" i="13"/>
  <c r="AC15" i="13"/>
  <c r="O62" i="13"/>
  <c r="AB15" i="13" s="1"/>
  <c r="AI15" i="13" s="1"/>
  <c r="AJ15" i="13" s="1"/>
  <c r="AE15" i="13"/>
  <c r="Q62" i="13"/>
  <c r="AD15" i="13" s="1"/>
  <c r="AK15" i="13" s="1"/>
  <c r="AL15" i="13" s="1"/>
  <c r="L27" i="7"/>
  <c r="V22" i="5" s="1"/>
  <c r="K27" i="7"/>
  <c r="U22" i="5" s="1"/>
  <c r="J27" i="7"/>
  <c r="T22" i="5" s="1"/>
  <c r="I27" i="7"/>
  <c r="S22" i="5" s="1"/>
  <c r="L26" i="7"/>
  <c r="V21" i="5" s="1"/>
  <c r="K26" i="7"/>
  <c r="U21" i="5" s="1"/>
  <c r="J26" i="7"/>
  <c r="T21" i="5" s="1"/>
  <c r="I26" i="7"/>
  <c r="S21" i="5" s="1"/>
  <c r="L25" i="7"/>
  <c r="K25" i="7"/>
  <c r="J25" i="7"/>
  <c r="I25" i="7"/>
  <c r="L24" i="7"/>
  <c r="V19" i="5" s="1"/>
  <c r="K24" i="7"/>
  <c r="U19" i="5" s="1"/>
  <c r="J24" i="7"/>
  <c r="T19" i="5" s="1"/>
  <c r="I24" i="7"/>
  <c r="S19" i="5" s="1"/>
  <c r="L23" i="7"/>
  <c r="V18" i="5" s="1"/>
  <c r="K23" i="7"/>
  <c r="U18" i="5" s="1"/>
  <c r="J23" i="7"/>
  <c r="T18" i="5" s="1"/>
  <c r="I23" i="7"/>
  <c r="S18" i="5" s="1"/>
  <c r="L22" i="7"/>
  <c r="K22" i="7"/>
  <c r="J22" i="7"/>
  <c r="O22" i="7" s="1"/>
  <c r="I22" i="7"/>
  <c r="M18" i="7"/>
  <c r="M17" i="7"/>
  <c r="M16" i="7"/>
  <c r="M15" i="7"/>
  <c r="M14" i="7"/>
  <c r="M13" i="7"/>
  <c r="I26" i="2"/>
  <c r="AR15" i="13" l="1"/>
  <c r="AN15" i="13"/>
  <c r="AP15" i="13"/>
  <c r="C16" i="5"/>
  <c r="M16" i="5" s="1"/>
  <c r="C22" i="1"/>
  <c r="C15" i="5"/>
  <c r="M15" i="5" s="1"/>
  <c r="C21" i="1"/>
  <c r="C14" i="5"/>
  <c r="M14" i="5" s="1"/>
  <c r="C20" i="1"/>
  <c r="C13" i="5"/>
  <c r="M13" i="5" s="1"/>
  <c r="C19" i="1"/>
  <c r="C12" i="5"/>
  <c r="M12" i="5" s="1"/>
  <c r="C18" i="1"/>
  <c r="C11" i="5"/>
  <c r="M11" i="5" s="1"/>
  <c r="C17" i="1"/>
  <c r="D16" i="1"/>
  <c r="I16" i="1" s="1"/>
  <c r="S10" i="5"/>
  <c r="U20" i="5"/>
  <c r="P25" i="7"/>
  <c r="S20" i="5"/>
  <c r="T20" i="5"/>
  <c r="V20" i="5"/>
  <c r="Q25" i="7"/>
  <c r="U17" i="5"/>
  <c r="P22" i="7"/>
  <c r="S17" i="5"/>
  <c r="T17" i="5"/>
  <c r="E26" i="1"/>
  <c r="V17" i="5"/>
  <c r="Q22" i="7"/>
  <c r="L18" i="7"/>
  <c r="K18" i="7"/>
  <c r="J18" i="7"/>
  <c r="O18" i="7" s="1"/>
  <c r="I18" i="7"/>
  <c r="L17" i="7"/>
  <c r="K17" i="7"/>
  <c r="J17" i="7"/>
  <c r="O17" i="7" s="1"/>
  <c r="I17" i="7"/>
  <c r="L16" i="7"/>
  <c r="K16" i="7"/>
  <c r="J16" i="7"/>
  <c r="O16" i="7" s="1"/>
  <c r="I16" i="7"/>
  <c r="L15" i="7"/>
  <c r="K15" i="7"/>
  <c r="J15" i="7"/>
  <c r="O15" i="7" s="1"/>
  <c r="I15" i="7"/>
  <c r="L14" i="7"/>
  <c r="K14" i="7"/>
  <c r="J14" i="7"/>
  <c r="O14" i="7" s="1"/>
  <c r="I14" i="7"/>
  <c r="L13" i="7"/>
  <c r="K13" i="7"/>
  <c r="J13" i="7"/>
  <c r="O13" i="7" s="1"/>
  <c r="I13" i="7"/>
  <c r="L12" i="7"/>
  <c r="Q12" i="7" s="1"/>
  <c r="K12" i="7"/>
  <c r="P12" i="7" s="1"/>
  <c r="G20" i="5" l="1"/>
  <c r="Q20" i="5" s="1"/>
  <c r="G29" i="1"/>
  <c r="D20" i="5"/>
  <c r="N20" i="5" s="1"/>
  <c r="D29" i="1"/>
  <c r="E20" i="5"/>
  <c r="O20" i="5" s="1"/>
  <c r="E29" i="1"/>
  <c r="F20" i="5"/>
  <c r="P20" i="5" s="1"/>
  <c r="F29" i="1"/>
  <c r="G17" i="5"/>
  <c r="Q17" i="5" s="1"/>
  <c r="G26" i="1"/>
  <c r="D17" i="5"/>
  <c r="N17" i="5" s="1"/>
  <c r="D26" i="1"/>
  <c r="F17" i="5"/>
  <c r="P17" i="5" s="1"/>
  <c r="F26" i="1"/>
  <c r="S12" i="5"/>
  <c r="T12" i="5"/>
  <c r="E18" i="1"/>
  <c r="U12" i="5"/>
  <c r="P14" i="7"/>
  <c r="V12" i="5"/>
  <c r="Q14" i="7"/>
  <c r="F16" i="1"/>
  <c r="K16" i="1" s="1"/>
  <c r="U10" i="5"/>
  <c r="G16" i="1"/>
  <c r="L16" i="1" s="1"/>
  <c r="V10" i="5"/>
  <c r="E17" i="5"/>
  <c r="O17" i="5" s="1"/>
  <c r="K51" i="2"/>
  <c r="K53" i="2" s="1"/>
  <c r="K60" i="2" s="1"/>
  <c r="U16" i="5"/>
  <c r="P18" i="7"/>
  <c r="S16" i="5"/>
  <c r="T16" i="5"/>
  <c r="E22" i="1"/>
  <c r="V16" i="5"/>
  <c r="Q18" i="7"/>
  <c r="U15" i="5"/>
  <c r="P17" i="7"/>
  <c r="S15" i="5"/>
  <c r="T15" i="5"/>
  <c r="E21" i="1"/>
  <c r="V15" i="5"/>
  <c r="Q17" i="7"/>
  <c r="S14" i="5"/>
  <c r="T14" i="5"/>
  <c r="E20" i="1"/>
  <c r="U14" i="5"/>
  <c r="P16" i="7"/>
  <c r="V14" i="5"/>
  <c r="Q16" i="7"/>
  <c r="U13" i="5"/>
  <c r="P15" i="7"/>
  <c r="V13" i="5"/>
  <c r="Q15" i="7"/>
  <c r="S13" i="5"/>
  <c r="T13" i="5"/>
  <c r="E19" i="1"/>
  <c r="U11" i="5"/>
  <c r="P13" i="7"/>
  <c r="V11" i="5"/>
  <c r="Q13" i="7"/>
  <c r="S11" i="5"/>
  <c r="T11" i="5"/>
  <c r="P59" i="2"/>
  <c r="P56" i="2"/>
  <c r="D14" i="2" s="1"/>
  <c r="P53" i="2"/>
  <c r="P49" i="2"/>
  <c r="P46" i="2"/>
  <c r="P36" i="2"/>
  <c r="P38" i="2" s="1"/>
  <c r="P33" i="2"/>
  <c r="P35" i="2" s="1"/>
  <c r="P42" i="2"/>
  <c r="P43" i="2" s="1"/>
  <c r="P26" i="2"/>
  <c r="D13" i="2" l="1"/>
  <c r="G16" i="5"/>
  <c r="Q16" i="5" s="1"/>
  <c r="G22" i="1"/>
  <c r="D16" i="5"/>
  <c r="N16" i="5" s="1"/>
  <c r="D22" i="1"/>
  <c r="F16" i="5"/>
  <c r="P16" i="5" s="1"/>
  <c r="F22" i="1"/>
  <c r="G15" i="5"/>
  <c r="Q15" i="5" s="1"/>
  <c r="G21" i="1"/>
  <c r="D15" i="5"/>
  <c r="N15" i="5" s="1"/>
  <c r="D21" i="1"/>
  <c r="F15" i="5"/>
  <c r="P15" i="5" s="1"/>
  <c r="F21" i="1"/>
  <c r="G14" i="5"/>
  <c r="Q14" i="5" s="1"/>
  <c r="G20" i="1"/>
  <c r="F14" i="5"/>
  <c r="P14" i="5" s="1"/>
  <c r="F20" i="1"/>
  <c r="D14" i="5"/>
  <c r="N14" i="5" s="1"/>
  <c r="D20" i="1"/>
  <c r="D13" i="5"/>
  <c r="N13" i="5" s="1"/>
  <c r="D19" i="1"/>
  <c r="G13" i="5"/>
  <c r="Q13" i="5" s="1"/>
  <c r="G19" i="1"/>
  <c r="F13" i="5"/>
  <c r="P13" i="5" s="1"/>
  <c r="F19" i="1"/>
  <c r="G12" i="5"/>
  <c r="Q12" i="5" s="1"/>
  <c r="G18" i="1"/>
  <c r="F12" i="5"/>
  <c r="P12" i="5" s="1"/>
  <c r="F18" i="1"/>
  <c r="D12" i="5"/>
  <c r="N12" i="5" s="1"/>
  <c r="D18" i="1"/>
  <c r="E11" i="5"/>
  <c r="O11" i="5" s="1"/>
  <c r="E17" i="1"/>
  <c r="G11" i="5"/>
  <c r="Q11" i="5" s="1"/>
  <c r="G17" i="1"/>
  <c r="D11" i="5"/>
  <c r="N11" i="5" s="1"/>
  <c r="D17" i="1"/>
  <c r="F11" i="5"/>
  <c r="P11" i="5" s="1"/>
  <c r="F17" i="1"/>
  <c r="P50" i="2"/>
  <c r="L26" i="2"/>
  <c r="E12" i="5"/>
  <c r="O12" i="5" s="1"/>
  <c r="K33" i="2"/>
  <c r="E16" i="5"/>
  <c r="O16" i="5" s="1"/>
  <c r="K47" i="2"/>
  <c r="E15" i="5"/>
  <c r="O15" i="5" s="1"/>
  <c r="K44" i="2"/>
  <c r="E14" i="5"/>
  <c r="O14" i="5" s="1"/>
  <c r="K40" i="2"/>
  <c r="E13" i="5"/>
  <c r="O13" i="5" s="1"/>
  <c r="K36" i="2"/>
  <c r="P39" i="2"/>
  <c r="P60" i="2"/>
  <c r="P29" i="2"/>
  <c r="P31" i="2" s="1"/>
  <c r="K35" i="2" l="1"/>
  <c r="F33" i="2"/>
  <c r="F35" i="2" s="1"/>
  <c r="F47" i="2"/>
  <c r="F49" i="2" s="1"/>
  <c r="K49" i="2"/>
  <c r="F44" i="2"/>
  <c r="F46" i="2" s="1"/>
  <c r="K46" i="2"/>
  <c r="F40" i="2"/>
  <c r="F42" i="2" s="1"/>
  <c r="F43" i="2" s="1"/>
  <c r="K42" i="2"/>
  <c r="K43" i="2" s="1"/>
  <c r="F36" i="2"/>
  <c r="F38" i="2" s="1"/>
  <c r="K38" i="2"/>
  <c r="P28" i="2"/>
  <c r="P32" i="2" s="1"/>
  <c r="K39" i="2" l="1"/>
  <c r="F39" i="2"/>
  <c r="K50" i="2"/>
  <c r="F50" i="2"/>
  <c r="K30" i="2"/>
  <c r="F30" i="2" s="1"/>
  <c r="K27" i="2"/>
  <c r="F27" i="2" s="1"/>
  <c r="J12" i="7"/>
  <c r="O12" i="7" s="1"/>
  <c r="H36" i="7"/>
  <c r="T10" i="5" l="1"/>
  <c r="K26" i="2"/>
  <c r="E16" i="1" l="1"/>
  <c r="J16" i="1" s="1"/>
  <c r="E10" i="5"/>
  <c r="O10" i="5" s="1"/>
  <c r="F26" i="2"/>
  <c r="F28" i="2" s="1"/>
  <c r="K28" i="2"/>
  <c r="P69" i="2"/>
  <c r="P66" i="2"/>
  <c r="D16" i="2" s="1"/>
  <c r="P63" i="2"/>
  <c r="D15" i="2" s="1"/>
  <c r="P70" i="2" l="1"/>
  <c r="P71" i="2" s="1"/>
  <c r="K29" i="2"/>
  <c r="D12" i="2"/>
  <c r="D11" i="2"/>
  <c r="D10" i="2"/>
  <c r="D9" i="2"/>
  <c r="D17" i="2" l="1"/>
  <c r="F29" i="2"/>
  <c r="F31" i="2" s="1"/>
  <c r="F32" i="2" s="1"/>
  <c r="F71" i="2" s="1"/>
  <c r="K31" i="2"/>
  <c r="K32" i="2" s="1"/>
  <c r="K71" i="2" s="1"/>
  <c r="E4" i="12"/>
  <c r="B57" i="12"/>
  <c r="B51" i="12"/>
  <c r="B32" i="12"/>
  <c r="B11" i="12"/>
  <c r="J128" i="12"/>
  <c r="K128" i="12" s="1"/>
  <c r="J127" i="12"/>
  <c r="K127" i="12" s="1"/>
  <c r="J126" i="12"/>
  <c r="K126" i="12" s="1"/>
  <c r="J125" i="12"/>
  <c r="K125" i="12" s="1"/>
  <c r="J124" i="12"/>
  <c r="K124" i="12" s="1"/>
  <c r="J123" i="12"/>
  <c r="K123" i="12" s="1"/>
  <c r="J122" i="12"/>
  <c r="K122" i="12" s="1"/>
  <c r="J121" i="12"/>
  <c r="K121" i="12" s="1"/>
  <c r="J120" i="12"/>
  <c r="K120" i="12" s="1"/>
  <c r="J119" i="12"/>
  <c r="K119" i="12" s="1"/>
  <c r="J118" i="12"/>
  <c r="K118" i="12" s="1"/>
  <c r="J117" i="12"/>
  <c r="K117" i="12" s="1"/>
  <c r="J116" i="12"/>
  <c r="K116" i="12" s="1"/>
  <c r="J101" i="12"/>
  <c r="K101" i="12" s="1"/>
  <c r="J85" i="12"/>
  <c r="K85" i="12" s="1"/>
  <c r="J84" i="12"/>
  <c r="K84" i="12" s="1"/>
  <c r="J83" i="12"/>
  <c r="K83" i="12" s="1"/>
  <c r="J82" i="12"/>
  <c r="K82" i="12" s="1"/>
  <c r="J81" i="12"/>
  <c r="K81" i="12" s="1"/>
  <c r="J80" i="12"/>
  <c r="K80" i="12" s="1"/>
  <c r="J79" i="12"/>
  <c r="K79" i="12" s="1"/>
  <c r="J78" i="12"/>
  <c r="K78" i="12" s="1"/>
  <c r="J77" i="12"/>
  <c r="K77" i="12" s="1"/>
  <c r="J76" i="12"/>
  <c r="K76" i="12" s="1"/>
  <c r="J75" i="12"/>
  <c r="K75" i="12" s="1"/>
  <c r="J74" i="12"/>
  <c r="K74" i="12" s="1"/>
  <c r="J73" i="12"/>
  <c r="K73" i="12" s="1"/>
  <c r="J72" i="12"/>
  <c r="K72" i="12" s="1"/>
  <c r="J71" i="12"/>
  <c r="K71" i="12" s="1"/>
  <c r="J68" i="12"/>
  <c r="K68" i="12" s="1"/>
  <c r="J67" i="12"/>
  <c r="K67" i="12" s="1"/>
  <c r="J66" i="12"/>
  <c r="K66" i="12" s="1"/>
  <c r="J65" i="12"/>
  <c r="K65" i="12" s="1"/>
  <c r="J64" i="12"/>
  <c r="K64" i="12" s="1"/>
  <c r="J63" i="12"/>
  <c r="K63" i="12" s="1"/>
  <c r="J62" i="12"/>
  <c r="K62" i="12" s="1"/>
  <c r="J61" i="12"/>
  <c r="K61" i="12" s="1"/>
  <c r="J60" i="12"/>
  <c r="K60" i="12" s="1"/>
  <c r="J59" i="12"/>
  <c r="K59" i="12" s="1"/>
  <c r="J58" i="12"/>
  <c r="K58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K51" i="12" s="1"/>
  <c r="J50" i="12"/>
  <c r="K50" i="12" s="1"/>
  <c r="J49" i="12"/>
  <c r="K49" i="12" s="1"/>
  <c r="J48" i="12"/>
  <c r="K48" i="12" s="1"/>
  <c r="J47" i="12"/>
  <c r="K47" i="12" s="1"/>
  <c r="J46" i="12"/>
  <c r="K46" i="12" s="1"/>
  <c r="J45" i="12"/>
  <c r="K45" i="12" s="1"/>
  <c r="J44" i="12"/>
  <c r="K44" i="12" s="1"/>
  <c r="J43" i="12"/>
  <c r="K43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01" i="12" l="1"/>
  <c r="D410" i="3" s="1"/>
  <c r="L11" i="12"/>
  <c r="L32" i="12"/>
  <c r="D80" i="3" s="1"/>
  <c r="L57" i="12"/>
  <c r="D212" i="3" s="1"/>
  <c r="L71" i="12"/>
  <c r="D278" i="3" s="1"/>
  <c r="L51" i="12"/>
  <c r="D146" i="3" s="1"/>
  <c r="D277" i="3" l="1"/>
  <c r="D276" i="3" s="1"/>
  <c r="D339" i="3" s="1"/>
  <c r="H278" i="3"/>
  <c r="H277" i="3" s="1"/>
  <c r="H276" i="3" s="1"/>
  <c r="H339" i="3" s="1"/>
  <c r="F13" i="2" s="1"/>
  <c r="D79" i="3"/>
  <c r="D78" i="3" s="1"/>
  <c r="D141" i="3" s="1"/>
  <c r="H80" i="3"/>
  <c r="H79" i="3" s="1"/>
  <c r="H78" i="3" s="1"/>
  <c r="H141" i="3" s="1"/>
  <c r="F10" i="2" s="1"/>
  <c r="D409" i="3"/>
  <c r="D408" i="3" s="1"/>
  <c r="D471" i="3" s="1"/>
  <c r="H410" i="3"/>
  <c r="H409" i="3" s="1"/>
  <c r="H408" i="3" s="1"/>
  <c r="H471" i="3" s="1"/>
  <c r="F15" i="2" s="1"/>
  <c r="D211" i="3"/>
  <c r="D210" i="3" s="1"/>
  <c r="D273" i="3" s="1"/>
  <c r="H212" i="3"/>
  <c r="H211" i="3" s="1"/>
  <c r="H210" i="3" s="1"/>
  <c r="H273" i="3" s="1"/>
  <c r="F12" i="2" s="1"/>
  <c r="H146" i="3"/>
  <c r="H145" i="3" s="1"/>
  <c r="H144" i="3" s="1"/>
  <c r="H207" i="3" s="1"/>
  <c r="F11" i="2" s="1"/>
  <c r="D145" i="3"/>
  <c r="D144" i="3" s="1"/>
  <c r="D207" i="3" s="1"/>
  <c r="D14" i="3"/>
  <c r="L144" i="12"/>
  <c r="B190" i="9" s="1"/>
  <c r="B194" i="9" l="1"/>
  <c r="B199" i="9"/>
  <c r="C16" i="1"/>
  <c r="H16" i="1" s="1"/>
  <c r="D199" i="9" l="1"/>
  <c r="C199" i="9"/>
  <c r="E199" i="9" s="1"/>
  <c r="E202" i="9" s="1"/>
  <c r="J68" i="2"/>
  <c r="L68" i="2"/>
  <c r="M68" i="2"/>
  <c r="I68" i="2"/>
  <c r="J65" i="2"/>
  <c r="L65" i="2"/>
  <c r="M65" i="2"/>
  <c r="I65" i="2"/>
  <c r="L64" i="2"/>
  <c r="G64" i="2" s="1"/>
  <c r="J62" i="2"/>
  <c r="L62" i="2"/>
  <c r="M62" i="2"/>
  <c r="I62" i="2"/>
  <c r="I61" i="2"/>
  <c r="L58" i="2"/>
  <c r="M58" i="2"/>
  <c r="I58" i="2"/>
  <c r="J55" i="2"/>
  <c r="L55" i="2"/>
  <c r="M55" i="2"/>
  <c r="I55" i="2"/>
  <c r="I54" i="2"/>
  <c r="J52" i="2"/>
  <c r="L52" i="2"/>
  <c r="M52" i="2"/>
  <c r="I52" i="2"/>
  <c r="I51" i="2"/>
  <c r="J48" i="2"/>
  <c r="E48" i="2" s="1"/>
  <c r="L48" i="2"/>
  <c r="M48" i="2"/>
  <c r="I48" i="2"/>
  <c r="J45" i="2"/>
  <c r="E45" i="2" s="1"/>
  <c r="L45" i="2"/>
  <c r="M45" i="2"/>
  <c r="I45" i="2"/>
  <c r="M44" i="2"/>
  <c r="H44" i="2" s="1"/>
  <c r="J41" i="2"/>
  <c r="E41" i="2" s="1"/>
  <c r="L41" i="2"/>
  <c r="M41" i="2"/>
  <c r="I41" i="2"/>
  <c r="I40" i="2"/>
  <c r="D40" i="2" s="1"/>
  <c r="J37" i="2"/>
  <c r="E37" i="2" s="1"/>
  <c r="L37" i="2"/>
  <c r="M37" i="2"/>
  <c r="I37" i="2"/>
  <c r="J34" i="2"/>
  <c r="E34" i="2" s="1"/>
  <c r="L34" i="2"/>
  <c r="M34" i="2"/>
  <c r="I34" i="2"/>
  <c r="B67" i="2"/>
  <c r="B64" i="2"/>
  <c r="B61" i="2"/>
  <c r="B57" i="2"/>
  <c r="B54" i="2"/>
  <c r="B51" i="2"/>
  <c r="B47" i="2"/>
  <c r="B44" i="2"/>
  <c r="B40" i="2"/>
  <c r="B36" i="2"/>
  <c r="B33" i="2"/>
  <c r="J30" i="2"/>
  <c r="E30" i="2" s="1"/>
  <c r="L30" i="2"/>
  <c r="M30" i="2"/>
  <c r="I30" i="2"/>
  <c r="I29" i="2"/>
  <c r="D29" i="2" s="1"/>
  <c r="J27" i="2"/>
  <c r="E27" i="2" s="1"/>
  <c r="L27" i="2"/>
  <c r="G27" i="2" s="1"/>
  <c r="M27" i="2"/>
  <c r="D27" i="2"/>
  <c r="A61" i="2"/>
  <c r="A51" i="2"/>
  <c r="A44" i="2"/>
  <c r="A40" i="2"/>
  <c r="A33" i="2"/>
  <c r="B29" i="2"/>
  <c r="B26" i="2"/>
  <c r="I10" i="5"/>
  <c r="H10" i="5"/>
  <c r="B11" i="5"/>
  <c r="B12" i="5"/>
  <c r="B13" i="5"/>
  <c r="B14" i="5"/>
  <c r="B15" i="5"/>
  <c r="B16" i="5"/>
  <c r="B17" i="5"/>
  <c r="B18" i="5"/>
  <c r="B19" i="5"/>
  <c r="B20" i="5"/>
  <c r="B21" i="5"/>
  <c r="B22" i="5"/>
  <c r="A20" i="5"/>
  <c r="A17" i="5"/>
  <c r="A15" i="5"/>
  <c r="A14" i="5"/>
  <c r="A12" i="5"/>
  <c r="A12" i="2"/>
  <c r="A11" i="2"/>
  <c r="A10" i="2"/>
  <c r="A210" i="3"/>
  <c r="A144" i="3"/>
  <c r="A78" i="3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7" i="1"/>
  <c r="B18" i="1"/>
  <c r="B19" i="1"/>
  <c r="B20" i="1"/>
  <c r="B21" i="1"/>
  <c r="B22" i="1"/>
  <c r="B26" i="1"/>
  <c r="B27" i="1"/>
  <c r="B28" i="1"/>
  <c r="B29" i="1"/>
  <c r="B30" i="1"/>
  <c r="B31" i="1"/>
  <c r="B16" i="1"/>
  <c r="A29" i="1"/>
  <c r="A26" i="1"/>
  <c r="A21" i="1"/>
  <c r="A20" i="1"/>
  <c r="A18" i="1"/>
  <c r="I64" i="2"/>
  <c r="M64" i="2"/>
  <c r="H64" i="2" s="1"/>
  <c r="I67" i="2"/>
  <c r="M67" i="2"/>
  <c r="H67" i="2" s="1"/>
  <c r="M54" i="2"/>
  <c r="I57" i="2"/>
  <c r="M57" i="2"/>
  <c r="H57" i="2" s="1"/>
  <c r="H51" i="7"/>
  <c r="B51" i="7"/>
  <c r="H50" i="7"/>
  <c r="B50" i="7"/>
  <c r="H49" i="7"/>
  <c r="B49" i="7"/>
  <c r="A49" i="7"/>
  <c r="H48" i="7"/>
  <c r="B48" i="7"/>
  <c r="B47" i="7"/>
  <c r="H46" i="7"/>
  <c r="B46" i="7"/>
  <c r="A46" i="7"/>
  <c r="H42" i="7"/>
  <c r="B42" i="7"/>
  <c r="H41" i="7"/>
  <c r="B41" i="7"/>
  <c r="A41" i="7"/>
  <c r="H40" i="7"/>
  <c r="B40" i="7"/>
  <c r="A40" i="7"/>
  <c r="H39" i="7"/>
  <c r="B39" i="7"/>
  <c r="H38" i="7"/>
  <c r="B38" i="7"/>
  <c r="A38" i="7"/>
  <c r="I47" i="2"/>
  <c r="D47" i="2" s="1"/>
  <c r="L44" i="2"/>
  <c r="G44" i="2" s="1"/>
  <c r="I44" i="2"/>
  <c r="D44" i="2" s="1"/>
  <c r="L40" i="2"/>
  <c r="G40" i="2" s="1"/>
  <c r="L33" i="2"/>
  <c r="G33" i="2" s="1"/>
  <c r="M33" i="2"/>
  <c r="H33" i="2" s="1"/>
  <c r="M29" i="2"/>
  <c r="H29" i="2" s="1"/>
  <c r="H37" i="7"/>
  <c r="A36" i="7"/>
  <c r="B37" i="7"/>
  <c r="B36" i="7"/>
  <c r="M26" i="2"/>
  <c r="H26" i="2" s="1"/>
  <c r="D26" i="2"/>
  <c r="A16" i="1"/>
  <c r="C8" i="2"/>
  <c r="B8" i="2"/>
  <c r="I66" i="2" l="1"/>
  <c r="I63" i="2"/>
  <c r="I56" i="2"/>
  <c r="M59" i="2"/>
  <c r="I69" i="2"/>
  <c r="M66" i="2"/>
  <c r="G52" i="2"/>
  <c r="M69" i="2"/>
  <c r="I53" i="2"/>
  <c r="L66" i="2"/>
  <c r="M56" i="2"/>
  <c r="H62" i="2"/>
  <c r="D28" i="2"/>
  <c r="H52" i="2"/>
  <c r="I59" i="2"/>
  <c r="H34" i="2"/>
  <c r="M35" i="2"/>
  <c r="G37" i="2"/>
  <c r="D45" i="2"/>
  <c r="I46" i="2"/>
  <c r="H56" i="2"/>
  <c r="H27" i="2"/>
  <c r="M28" i="2"/>
  <c r="D30" i="2"/>
  <c r="I31" i="2"/>
  <c r="D34" i="2"/>
  <c r="D37" i="2"/>
  <c r="H41" i="2"/>
  <c r="G45" i="2"/>
  <c r="L46" i="2"/>
  <c r="G48" i="2"/>
  <c r="G62" i="2"/>
  <c r="H30" i="2"/>
  <c r="M31" i="2"/>
  <c r="H37" i="2"/>
  <c r="G41" i="2"/>
  <c r="L42" i="2"/>
  <c r="L43" i="2" s="1"/>
  <c r="G30" i="2"/>
  <c r="G34" i="2"/>
  <c r="L35" i="2"/>
  <c r="D48" i="2"/>
  <c r="I49" i="2"/>
  <c r="I28" i="2"/>
  <c r="D41" i="2"/>
  <c r="I42" i="2"/>
  <c r="I43" i="2" s="1"/>
  <c r="H45" i="2"/>
  <c r="M46" i="2"/>
  <c r="H48" i="2"/>
  <c r="G26" i="2"/>
  <c r="L28" i="2"/>
  <c r="M47" i="2"/>
  <c r="M49" i="2" s="1"/>
  <c r="M51" i="2"/>
  <c r="H51" i="2" s="1"/>
  <c r="L57" i="2"/>
  <c r="L59" i="2" s="1"/>
  <c r="L54" i="2"/>
  <c r="L56" i="2" s="1"/>
  <c r="M61" i="2"/>
  <c r="M63" i="2" s="1"/>
  <c r="L67" i="2"/>
  <c r="L69" i="2" s="1"/>
  <c r="I33" i="2"/>
  <c r="D33" i="2" s="1"/>
  <c r="L29" i="2"/>
  <c r="L31" i="2" s="1"/>
  <c r="L36" i="2"/>
  <c r="G36" i="2" s="1"/>
  <c r="M40" i="2"/>
  <c r="M42" i="2" s="1"/>
  <c r="M43" i="2" s="1"/>
  <c r="L47" i="2"/>
  <c r="L49" i="2" s="1"/>
  <c r="L51" i="2"/>
  <c r="L53" i="2" s="1"/>
  <c r="L61" i="2"/>
  <c r="G61" i="2" s="1"/>
  <c r="F10" i="5"/>
  <c r="P10" i="5" s="1"/>
  <c r="M36" i="2"/>
  <c r="M38" i="2" s="1"/>
  <c r="C10" i="5"/>
  <c r="M10" i="5" s="1"/>
  <c r="G10" i="5"/>
  <c r="Q10" i="5" s="1"/>
  <c r="I36" i="2"/>
  <c r="D36" i="2" s="1"/>
  <c r="I70" i="2" l="1"/>
  <c r="M70" i="2"/>
  <c r="L60" i="2"/>
  <c r="I60" i="2"/>
  <c r="M50" i="2"/>
  <c r="M32" i="2"/>
  <c r="I50" i="2"/>
  <c r="M39" i="2"/>
  <c r="H53" i="2"/>
  <c r="L50" i="2"/>
  <c r="M53" i="2"/>
  <c r="M60" i="2" s="1"/>
  <c r="L63" i="2"/>
  <c r="L70" i="2" s="1"/>
  <c r="L32" i="2"/>
  <c r="I32" i="2"/>
  <c r="L38" i="2"/>
  <c r="L39" i="2" s="1"/>
  <c r="I35" i="2"/>
  <c r="I38" i="2"/>
  <c r="H36" i="2"/>
  <c r="G29" i="2"/>
  <c r="H61" i="2"/>
  <c r="G57" i="2"/>
  <c r="G47" i="2"/>
  <c r="H40" i="2"/>
  <c r="G67" i="2"/>
  <c r="G56" i="2"/>
  <c r="H47" i="2"/>
  <c r="G51" i="2"/>
  <c r="G53" i="2" s="1"/>
  <c r="N53" i="2" l="1"/>
  <c r="I39" i="2"/>
  <c r="I71" i="2" s="1"/>
  <c r="M71" i="2"/>
  <c r="L71" i="2"/>
  <c r="J4" i="9" l="1"/>
  <c r="Q17" i="1" l="1"/>
  <c r="Q18" i="1"/>
  <c r="Q19" i="1"/>
  <c r="Q20" i="1"/>
  <c r="Q21" i="1"/>
  <c r="Q22" i="1"/>
  <c r="Q26" i="1"/>
  <c r="Q27" i="1"/>
  <c r="Q28" i="1"/>
  <c r="Q29" i="1"/>
  <c r="Q30" i="1"/>
  <c r="Q31" i="1"/>
  <c r="J31" i="1" l="1"/>
  <c r="L31" i="1"/>
  <c r="I31" i="1"/>
  <c r="K31" i="1"/>
  <c r="H31" i="1"/>
  <c r="J27" i="1"/>
  <c r="I27" i="1"/>
  <c r="L27" i="1"/>
  <c r="K27" i="1"/>
  <c r="H27" i="1"/>
  <c r="H20" i="1"/>
  <c r="J20" i="1"/>
  <c r="I20" i="1"/>
  <c r="K20" i="1"/>
  <c r="L20" i="1"/>
  <c r="I30" i="1"/>
  <c r="L30" i="1"/>
  <c r="K30" i="1"/>
  <c r="J30" i="1"/>
  <c r="H30" i="1"/>
  <c r="H19" i="1"/>
  <c r="J19" i="1"/>
  <c r="I19" i="1"/>
  <c r="L19" i="1"/>
  <c r="K19" i="1"/>
  <c r="H22" i="1"/>
  <c r="J22" i="1"/>
  <c r="I22" i="1"/>
  <c r="K22" i="1"/>
  <c r="L22" i="1"/>
  <c r="H18" i="1"/>
  <c r="J18" i="1"/>
  <c r="L18" i="1"/>
  <c r="K18" i="1"/>
  <c r="I18" i="1"/>
  <c r="H26" i="1"/>
  <c r="J26" i="1"/>
  <c r="K26" i="1"/>
  <c r="I26" i="1"/>
  <c r="L26" i="1"/>
  <c r="H29" i="1"/>
  <c r="I29" i="1"/>
  <c r="J29" i="1"/>
  <c r="K29" i="1"/>
  <c r="L29" i="1"/>
  <c r="I28" i="1"/>
  <c r="L28" i="1"/>
  <c r="K28" i="1"/>
  <c r="J28" i="1"/>
  <c r="H28" i="1"/>
  <c r="H21" i="1"/>
  <c r="J21" i="1"/>
  <c r="I21" i="1"/>
  <c r="K21" i="1"/>
  <c r="L21" i="1"/>
  <c r="H17" i="1"/>
  <c r="I17" i="1"/>
  <c r="J17" i="1"/>
  <c r="K17" i="1"/>
  <c r="L17" i="1"/>
  <c r="G4" i="5"/>
  <c r="D4" i="1"/>
  <c r="B10" i="5" l="1"/>
  <c r="A10" i="5"/>
  <c r="A26" i="2" l="1"/>
  <c r="A9" i="2"/>
  <c r="A12" i="3"/>
  <c r="G69" i="2" l="1"/>
  <c r="H66" i="2"/>
  <c r="G66" i="2"/>
  <c r="G63" i="2"/>
  <c r="H69" i="2"/>
  <c r="H63" i="2"/>
  <c r="G70" i="2" l="1"/>
  <c r="H70" i="2"/>
  <c r="D63" i="2"/>
  <c r="D69" i="2" l="1"/>
  <c r="D66" i="2"/>
  <c r="D65" i="3"/>
  <c r="G65" i="3"/>
  <c r="H65" i="3"/>
  <c r="D70" i="2" l="1"/>
  <c r="G46" i="3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6" i="2" l="1"/>
  <c r="H49" i="2"/>
  <c r="G59" i="2"/>
  <c r="G60" i="2" s="1"/>
  <c r="H59" i="2"/>
  <c r="H60" i="2" s="1"/>
  <c r="G49" i="2"/>
  <c r="H46" i="2"/>
  <c r="G42" i="2"/>
  <c r="G43" i="2" s="1"/>
  <c r="H42" i="2"/>
  <c r="H43" i="2" s="1"/>
  <c r="G42" i="3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18" i="3" l="1"/>
  <c r="H50" i="2"/>
  <c r="G50" i="2"/>
  <c r="D49" i="2"/>
  <c r="D46" i="2"/>
  <c r="D38" i="2"/>
  <c r="D35" i="2"/>
  <c r="H41" i="3"/>
  <c r="H40" i="3" s="1"/>
  <c r="H39" i="3" s="1"/>
  <c r="G40" i="3"/>
  <c r="G39" i="3" s="1"/>
  <c r="H19" i="3"/>
  <c r="H18" i="3" s="1"/>
  <c r="D50" i="2" l="1"/>
  <c r="D39" i="2"/>
  <c r="D42" i="2"/>
  <c r="D43" i="2" s="1"/>
  <c r="D59" i="2"/>
  <c r="D60" i="2" s="1"/>
  <c r="G38" i="2" l="1"/>
  <c r="G35" i="2"/>
  <c r="H38" i="2"/>
  <c r="H35" i="2"/>
  <c r="H39" i="2" l="1"/>
  <c r="G39" i="2"/>
  <c r="G14" i="3"/>
  <c r="G15" i="3" l="1"/>
  <c r="A9" i="5"/>
  <c r="B9" i="5"/>
  <c r="H15" i="3" l="1"/>
  <c r="G13" i="3"/>
  <c r="G28" i="2"/>
  <c r="H28" i="2"/>
  <c r="G31" i="2"/>
  <c r="D31" i="2"/>
  <c r="H31" i="2"/>
  <c r="H32" i="2" l="1"/>
  <c r="H71" i="2" s="1"/>
  <c r="G32" i="2"/>
  <c r="G71" i="2" s="1"/>
  <c r="G12" i="3"/>
  <c r="G75" i="3" s="1"/>
  <c r="D32" i="2"/>
  <c r="D71" i="2" s="1"/>
  <c r="H14" i="3" l="1"/>
  <c r="D13" i="3"/>
  <c r="H13" i="3" l="1"/>
  <c r="H12" i="3" s="1"/>
  <c r="H75" i="3" s="1"/>
  <c r="H538" i="3" s="1"/>
  <c r="H541" i="3" s="1"/>
  <c r="D12" i="3"/>
  <c r="D75" i="3" s="1"/>
  <c r="H543" i="3" l="1"/>
  <c r="F9" i="2"/>
  <c r="J64" i="2"/>
  <c r="J36" i="2"/>
  <c r="E36" i="2" s="1"/>
  <c r="E38" i="2" s="1"/>
  <c r="N38" i="2" s="1"/>
  <c r="J47" i="2"/>
  <c r="J49" i="2" s="1"/>
  <c r="O49" i="2" s="1"/>
  <c r="J51" i="2"/>
  <c r="J53" i="2" s="1"/>
  <c r="O53" i="2" s="1"/>
  <c r="J67" i="2"/>
  <c r="J69" i="2" s="1"/>
  <c r="J54" i="2"/>
  <c r="J40" i="2"/>
  <c r="J42" i="2" s="1"/>
  <c r="J43" i="2" s="1"/>
  <c r="J33" i="2"/>
  <c r="J35" i="2" s="1"/>
  <c r="H550" i="3" l="1"/>
  <c r="H552" i="3" s="1"/>
  <c r="H545" i="3"/>
  <c r="H548" i="3" s="1"/>
  <c r="F17" i="2"/>
  <c r="B141" i="9" s="1"/>
  <c r="J56" i="2"/>
  <c r="O56" i="2" s="1"/>
  <c r="C14" i="2" s="1"/>
  <c r="E64" i="2"/>
  <c r="E66" i="2" s="1"/>
  <c r="N66" i="2" s="1"/>
  <c r="B16" i="2" s="1"/>
  <c r="J66" i="2"/>
  <c r="O66" i="2" s="1"/>
  <c r="C16" i="2" s="1"/>
  <c r="E47" i="2"/>
  <c r="E49" i="2" s="1"/>
  <c r="N49" i="2" s="1"/>
  <c r="Q49" i="2" s="1"/>
  <c r="E40" i="2"/>
  <c r="E42" i="2" s="1"/>
  <c r="E33" i="2"/>
  <c r="E35" i="2" s="1"/>
  <c r="O42" i="2"/>
  <c r="O43" i="2" s="1"/>
  <c r="O69" i="2"/>
  <c r="E67" i="2"/>
  <c r="E69" i="2" s="1"/>
  <c r="N69" i="2" s="1"/>
  <c r="J44" i="2"/>
  <c r="J57" i="2"/>
  <c r="J59" i="2" s="1"/>
  <c r="J61" i="2"/>
  <c r="J63" i="2" s="1"/>
  <c r="O35" i="2"/>
  <c r="J29" i="2"/>
  <c r="J38" i="2"/>
  <c r="O38" i="2" s="1"/>
  <c r="Q38" i="2" s="1"/>
  <c r="G15" i="2" l="1"/>
  <c r="H15" i="2" s="1"/>
  <c r="G11" i="2"/>
  <c r="G9" i="2"/>
  <c r="H9" i="2" s="1"/>
  <c r="G10" i="2"/>
  <c r="G13" i="2"/>
  <c r="H13" i="2" s="1"/>
  <c r="G16" i="2"/>
  <c r="G14" i="2"/>
  <c r="H14" i="2" s="1"/>
  <c r="G12" i="2"/>
  <c r="H12" i="2" s="1"/>
  <c r="E16" i="2"/>
  <c r="J70" i="2"/>
  <c r="N35" i="2"/>
  <c r="N39" i="2" s="1"/>
  <c r="E39" i="2"/>
  <c r="N42" i="2"/>
  <c r="N43" i="2" s="1"/>
  <c r="E43" i="2"/>
  <c r="Q66" i="2"/>
  <c r="E56" i="2"/>
  <c r="N56" i="2" s="1"/>
  <c r="J39" i="2"/>
  <c r="O39" i="2"/>
  <c r="Q69" i="2"/>
  <c r="E59" i="2"/>
  <c r="N59" i="2" s="1"/>
  <c r="B13" i="2" s="1"/>
  <c r="J60" i="2"/>
  <c r="J31" i="2"/>
  <c r="E29" i="2"/>
  <c r="E31" i="2" s="1"/>
  <c r="E63" i="2"/>
  <c r="E70" i="2" s="1"/>
  <c r="E44" i="2"/>
  <c r="E46" i="2" s="1"/>
  <c r="E50" i="2" s="1"/>
  <c r="J46" i="2"/>
  <c r="J50" i="2" s="1"/>
  <c r="G17" i="2" l="1"/>
  <c r="Q56" i="2"/>
  <c r="B14" i="2"/>
  <c r="E14" i="2" s="1"/>
  <c r="I14" i="2" s="1"/>
  <c r="Q42" i="2"/>
  <c r="Q43" i="2" s="1"/>
  <c r="N60" i="2"/>
  <c r="Q35" i="2"/>
  <c r="Q39" i="2" s="1"/>
  <c r="E60" i="2"/>
  <c r="O46" i="2"/>
  <c r="O63" i="2"/>
  <c r="C15" i="2" s="1"/>
  <c r="N31" i="2"/>
  <c r="Q53" i="2"/>
  <c r="C11" i="2"/>
  <c r="O59" i="2"/>
  <c r="C13" i="2" s="1"/>
  <c r="E13" i="2" s="1"/>
  <c r="N46" i="2"/>
  <c r="N50" i="2" s="1"/>
  <c r="N63" i="2"/>
  <c r="O31" i="2"/>
  <c r="C10" i="2"/>
  <c r="L13" i="2" l="1"/>
  <c r="L15" i="2"/>
  <c r="L11" i="2"/>
  <c r="L16" i="2"/>
  <c r="L12" i="2"/>
  <c r="L9" i="2"/>
  <c r="L14" i="2"/>
  <c r="L10" i="2"/>
  <c r="N70" i="2"/>
  <c r="B15" i="2"/>
  <c r="E15" i="2" s="1"/>
  <c r="I15" i="2" s="1"/>
  <c r="O70" i="2"/>
  <c r="O50" i="2"/>
  <c r="C12" i="2" s="1"/>
  <c r="O60" i="2"/>
  <c r="Q59" i="2"/>
  <c r="Q60" i="2" s="1"/>
  <c r="Q63" i="2"/>
  <c r="Q70" i="2" s="1"/>
  <c r="Q31" i="2"/>
  <c r="B11" i="2"/>
  <c r="Q46" i="2"/>
  <c r="Q50" i="2" s="1"/>
  <c r="B12" i="2"/>
  <c r="B10" i="2"/>
  <c r="E10" i="2" s="1"/>
  <c r="L17" i="2" l="1"/>
  <c r="E11" i="2"/>
  <c r="E12" i="2"/>
  <c r="D10" i="5"/>
  <c r="N10" i="5" s="1"/>
  <c r="J26" i="2"/>
  <c r="J28" i="2" s="1"/>
  <c r="J32" i="2" s="1"/>
  <c r="J71" i="2" s="1"/>
  <c r="E26" i="2" l="1"/>
  <c r="E28" i="2" s="1"/>
  <c r="E32" i="2" s="1"/>
  <c r="E71" i="2" s="1"/>
  <c r="O28" i="2"/>
  <c r="O32" i="2" l="1"/>
  <c r="O71" i="2" s="1"/>
  <c r="N28" i="2"/>
  <c r="N32" i="2" s="1"/>
  <c r="N71" i="2" s="1"/>
  <c r="C9" i="2" l="1"/>
  <c r="C17" i="2" s="1"/>
  <c r="Q28" i="2"/>
  <c r="Q32" i="2" s="1"/>
  <c r="Q71" i="2" s="1"/>
  <c r="B9" i="2"/>
  <c r="B17" i="2" s="1"/>
  <c r="E9" i="2" l="1"/>
  <c r="E17" i="2" s="1"/>
  <c r="B140" i="9" s="1"/>
  <c r="B142" i="9" s="1"/>
  <c r="I13" i="2" l="1"/>
  <c r="I9" i="2"/>
  <c r="I12" i="2" l="1"/>
  <c r="H11" i="2"/>
  <c r="I11" i="2" s="1"/>
  <c r="H10" i="2"/>
  <c r="H16" i="2"/>
  <c r="I16" i="2" s="1"/>
  <c r="I10" i="2" l="1"/>
  <c r="H17" i="2"/>
  <c r="I17" i="2" l="1"/>
  <c r="B145" i="9" s="1"/>
</calcChain>
</file>

<file path=xl/comments1.xml><?xml version="1.0" encoding="utf-8"?>
<comments xmlns="http://schemas.openxmlformats.org/spreadsheetml/2006/main">
  <authors>
    <author>321 Marcelo Hernandez</author>
    <author>320 Carolina Vera</author>
  </authors>
  <commentList>
    <comment ref="N11" authorId="0" shapeId="0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1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1" authorId="1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<sst xmlns="http://schemas.openxmlformats.org/spreadsheetml/2006/main" count="1868" uniqueCount="637">
  <si>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</si>
  <si>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</si>
  <si>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</si>
  <si>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</si>
  <si>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</si>
  <si>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</si>
  <si>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</si>
  <si>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</si>
  <si>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</si>
  <si>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</si>
  <si>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</si>
  <si>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</si>
  <si>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</si>
  <si>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</si>
  <si>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</si>
  <si>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</si>
  <si>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</si>
  <si>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</si>
  <si>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</si>
  <si>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</si>
  <si>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</si>
  <si>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</si>
  <si>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</si>
  <si>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</si>
  <si>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</si>
  <si>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</si>
  <si>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</si>
  <si>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</si>
  <si>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</si>
  <si>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</si>
  <si>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</si>
  <si>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</si>
  <si>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</si>
  <si>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</si>
  <si>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</si>
  <si>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</si>
  <si>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</si>
  <si>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</si>
  <si>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</si>
  <si>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</si>
  <si>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</si>
  <si>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</si>
  <si>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</si>
  <si>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</si>
  <si>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</si>
  <si>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</si>
  <si>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</si>
  <si>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</si>
  <si>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</si>
  <si>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</si>
  <si>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</si>
  <si>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</si>
  <si>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</si>
  <si>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</si>
  <si>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</si>
  <si>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</si>
  <si>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</si>
  <si>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</si>
  <si>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</si>
  <si>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</si>
  <si>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</si>
  <si>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</si>
  <si>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</si>
  <si>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</si>
  <si>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</si>
  <si>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</si>
  <si>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</si>
  <si>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</si>
  <si>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</si>
  <si>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</si>
  <si>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</si>
  <si>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</si>
  <si>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</si>
  <si>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(Nombre Institución Pública / Privada)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</si>
  <si>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</si>
  <si>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</si>
  <si>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</si>
  <si>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</si>
  <si>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</si>
  <si>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</si>
  <si>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</si>
  <si>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</si>
  <si>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</si>
  <si>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</si>
  <si>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</si>
  <si>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</si>
  <si>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</si>
  <si>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</si>
  <si>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Mensualidad 2019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</si>
  <si>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</si>
  <si>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</si>
  <si>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</si>
  <si>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</si>
  <si>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</si>
  <si>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</si>
  <si>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</si>
  <si>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</si>
  <si>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</si>
  <si>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</si>
  <si>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</si>
  <si>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</si>
  <si>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</si>
  <si>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</si>
  <si>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</si>
  <si>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</si>
  <si>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</si>
  <si>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</si>
  <si>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</si>
  <si>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</si>
  <si>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</si>
  <si>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</si>
  <si>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</si>
  <si>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</si>
  <si>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</si>
  <si>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</si>
  <si>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</si>
  <si>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</si>
  <si>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</si>
  <si>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</si>
  <si>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Haberes anual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</si>
  <si>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</si>
  <si>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</si>
  <si>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</si>
  <si>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</si>
  <si>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</si>
  <si>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</si>
  <si>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</si>
  <si>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</si>
  <si>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</si>
  <si>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</si>
  <si>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</si>
  <si>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</si>
  <si>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</si>
  <si>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Jornada completa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</si>
  <si>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</si>
  <si>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</si>
  <si>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</si>
  <si>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</si>
  <si>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</si>
  <si>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Diurna</t>
  </si>
  <si>
    <t>Media Jornada</t>
  </si>
  <si>
    <t>Jardines Infantiles</t>
  </si>
  <si>
    <t>Salas Cunas</t>
  </si>
  <si>
    <t>PDI</t>
  </si>
  <si>
    <t>GENDARMERIA</t>
  </si>
  <si>
    <t>Propuesta Mensualidad 2020</t>
  </si>
  <si>
    <t>Meta Ocupación niños 2020</t>
  </si>
  <si>
    <t>Matrícula 2020</t>
  </si>
  <si>
    <t>Mensualidad 2020</t>
  </si>
  <si>
    <t>COSTO DIRECTO ESTIMADO 2020</t>
  </si>
  <si>
    <t>Tarifa 2020</t>
  </si>
  <si>
    <t>ÁREA APOYO A. EDUCACIONAL</t>
  </si>
  <si>
    <t>Jardín Infantil Lobito Marino</t>
  </si>
  <si>
    <t>Jardín Infantil Los Delfines</t>
  </si>
  <si>
    <t>Jardín Infantil Pecesitos de Colores</t>
  </si>
  <si>
    <t>Jardín Infantil Caracolito de Mar</t>
  </si>
  <si>
    <t>Sala Cuna Caracolito de Mar</t>
  </si>
  <si>
    <t>Nocturna</t>
  </si>
  <si>
    <t>Sala Cuna Mar Azúl</t>
  </si>
  <si>
    <t>Sala Cuna Caracolito de Mar Diurna</t>
  </si>
  <si>
    <t>Sala Cuna Caracolito de Mar Nocturna</t>
  </si>
  <si>
    <t>Sala Cuna Mar Azul Diurna</t>
  </si>
  <si>
    <t>Sala Cuna Mar Azul Nocturna</t>
  </si>
  <si>
    <t>ADMINISTRACIÓN CENTRAL</t>
  </si>
  <si>
    <t>REMUNERACIONES 2019</t>
  </si>
  <si>
    <t>Costo Total anual por Servidor 2019</t>
  </si>
  <si>
    <t>Costo Total por Servidor Reajustado 2020</t>
  </si>
  <si>
    <t>COSTO INDIRECTO ESTIMADO 2020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</si>
  <si>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</si>
  <si>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</si>
  <si>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</si>
  <si>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</si>
  <si>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</si>
  <si>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</si>
  <si>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</si>
  <si>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</si>
  <si>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</si>
  <si>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</si>
  <si>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</si>
  <si>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</si>
  <si>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</si>
  <si>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</si>
  <si>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</si>
  <si>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</si>
  <si>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</si>
  <si>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</si>
  <si>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</si>
  <si>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</si>
  <si>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</si>
  <si>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</si>
  <si>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</si>
  <si>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</si>
  <si>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</si>
  <si>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</si>
  <si>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</si>
  <si>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</si>
  <si>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</si>
  <si>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</si>
  <si>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</si>
  <si>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</si>
  <si>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</si>
  <si>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</si>
  <si>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</si>
  <si>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</si>
  <si>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</si>
  <si>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</si>
  <si>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PRODUCTOS QUIMICOS (BOTIQUIN)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</si>
  <si>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</si>
  <si>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</si>
  <si>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</si>
  <si>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</si>
  <si>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</si>
  <si>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</si>
  <si>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</si>
  <si>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</si>
  <si>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</si>
  <si>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</si>
  <si>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MATERIALES DE USO CONSUMO (CUOTA DE PADRES)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</si>
  <si>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</si>
  <si>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</si>
  <si>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</si>
  <si>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</si>
  <si>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</si>
  <si>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PROD.QUIMIC,FARMACEUTICOS IND. (EXTINTORES)</t>
  </si>
  <si>
    <t>TOTAL</t>
  </si>
  <si>
    <t>SCD (50%)</t>
  </si>
  <si>
    <t>SCN (10%)</t>
  </si>
  <si>
    <t>JI (40%)</t>
  </si>
  <si>
    <t xml:space="preserve"> COSTOS DIRECTOS COMUNES  "CARACOLITO DE MAR"</t>
  </si>
  <si>
    <t xml:space="preserve"> COSTOS DIRECTOS COMUNES  "SALA CUNA MAR AZUL"</t>
  </si>
  <si>
    <t>SCD (70%)</t>
  </si>
  <si>
    <t>SCN (30%)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</si>
  <si>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</si>
  <si>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</si>
  <si>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</si>
  <si>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</si>
  <si>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</si>
  <si>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</si>
  <si>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</si>
  <si>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</si>
  <si>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</si>
  <si>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</si>
  <si>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</si>
  <si>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</si>
  <si>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</si>
  <si>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</si>
  <si>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C) ESTIMACION DE COSTOS DIRECTOS</t>
  </si>
  <si>
    <t>Uniformes personal Cocina y Aeso $ 26.000 promedio anual.</t>
  </si>
  <si>
    <t>Ración armada personal FFPP $1785</t>
  </si>
  <si>
    <t>Tecnicos</t>
  </si>
  <si>
    <t xml:space="preserve">Ed. De Párvulos </t>
  </si>
  <si>
    <t xml:space="preserve"> Ed. De Párvulos </t>
  </si>
  <si>
    <t>Man. De Alimentos</t>
  </si>
  <si>
    <t>Aux.  De Aseo</t>
  </si>
  <si>
    <t xml:space="preserve">Paulina </t>
  </si>
  <si>
    <t>Ramos</t>
  </si>
  <si>
    <t>Valentina</t>
  </si>
  <si>
    <t>Muñoz</t>
  </si>
  <si>
    <t>Ana Maria</t>
  </si>
  <si>
    <t>Ibarra</t>
  </si>
  <si>
    <t>María Ines</t>
  </si>
  <si>
    <t>Jacqueline</t>
  </si>
  <si>
    <t>Varas</t>
  </si>
  <si>
    <t>Angela</t>
  </si>
  <si>
    <t>Magali</t>
  </si>
  <si>
    <t>Claudia</t>
  </si>
  <si>
    <t>Herrera</t>
  </si>
  <si>
    <t>Avendaño</t>
  </si>
  <si>
    <t xml:space="preserve">Luz Mariela </t>
  </si>
  <si>
    <t>Vicent</t>
  </si>
  <si>
    <t>Carolaine</t>
  </si>
  <si>
    <t>Romero</t>
  </si>
  <si>
    <t xml:space="preserve">Ivania </t>
  </si>
  <si>
    <t>Mitrovich</t>
  </si>
  <si>
    <t>Peña</t>
  </si>
  <si>
    <t>Correa</t>
  </si>
  <si>
    <t>Pamela</t>
  </si>
  <si>
    <t>Ortega</t>
  </si>
  <si>
    <t>Gamboa</t>
  </si>
  <si>
    <t xml:space="preserve">María </t>
  </si>
  <si>
    <t>Huerta</t>
  </si>
  <si>
    <t>Jardín Infantil Lobito Marinoxxxxx</t>
  </si>
  <si>
    <t>Gilian</t>
  </si>
  <si>
    <t>Rojas</t>
  </si>
  <si>
    <t>Flores</t>
  </si>
  <si>
    <t>Jardín Infantil Pececitos Colores</t>
  </si>
  <si>
    <t>Jardín Infantil Carocolito de Mar</t>
  </si>
  <si>
    <t>Sala Cuna Caracolito Mar</t>
  </si>
  <si>
    <t>Ed. De Parvulos</t>
  </si>
  <si>
    <t>JUAN MANUEL</t>
  </si>
  <si>
    <t>DIAZ FREDES</t>
  </si>
  <si>
    <t>CONTADOR GENERAL</t>
  </si>
  <si>
    <t xml:space="preserve">YASNA </t>
  </si>
  <si>
    <t>CAMPOS TAPIA</t>
  </si>
  <si>
    <t>OP CONTABLE</t>
  </si>
  <si>
    <t>MOISES ARIEL</t>
  </si>
  <si>
    <t>DURAN NAVIA</t>
  </si>
  <si>
    <t>ADQUISICIONES</t>
  </si>
  <si>
    <t>EDITH SORAYA</t>
  </si>
  <si>
    <t>MARAMBIO KERR</t>
  </si>
  <si>
    <t>TESORERIA</t>
  </si>
  <si>
    <t>JULIO</t>
  </si>
  <si>
    <t>PIAGGIO MORLA</t>
  </si>
  <si>
    <t>JEFE DE ADQUISICIONES</t>
  </si>
  <si>
    <t>ISAAC ELIHAIM</t>
  </si>
  <si>
    <t>SOTO SAEZ</t>
  </si>
  <si>
    <t>GREECE MARJORIE</t>
  </si>
  <si>
    <t>ANDREOTTI CUEVAS</t>
  </si>
  <si>
    <t>SUP. OP CONTABLE</t>
  </si>
  <si>
    <t>MARJORIE ANDREA</t>
  </si>
  <si>
    <t>POBLETE GUERRA</t>
  </si>
  <si>
    <t xml:space="preserve">ANA MARIA </t>
  </si>
  <si>
    <t>MEDINA ESCUDERO</t>
  </si>
  <si>
    <t>Jefa RRHH</t>
  </si>
  <si>
    <t>CARLA NINOSKA</t>
  </si>
  <si>
    <t>VELIZ PIZARRO</t>
  </si>
  <si>
    <t>OP RRHH</t>
  </si>
  <si>
    <t>HECTOR RICARDO</t>
  </si>
  <si>
    <t>DELGADO DELGADO</t>
  </si>
  <si>
    <t>ORLANDO</t>
  </si>
  <si>
    <t>SALVO CANTILLANA</t>
  </si>
  <si>
    <t xml:space="preserve">PREVENCIONISTA </t>
  </si>
  <si>
    <t>CESAR RODRIGO</t>
  </si>
  <si>
    <t>CORNEJO MAGAÑA</t>
  </si>
  <si>
    <t>ENCARGADO INFORMATICA</t>
  </si>
  <si>
    <t>MAURICIO ABRAHAM</t>
  </si>
  <si>
    <t>OLMOS OLMOS</t>
  </si>
  <si>
    <t>MARKETING</t>
  </si>
  <si>
    <t>Jardín Infantil Vitamina</t>
  </si>
  <si>
    <t>Jardín Vitamina</t>
  </si>
  <si>
    <t>Jardín Infantil Charlie Brown</t>
  </si>
  <si>
    <t>Galleguilos</t>
  </si>
  <si>
    <t>Lesly</t>
  </si>
  <si>
    <t>González</t>
  </si>
  <si>
    <t>Farias</t>
  </si>
  <si>
    <t>Sheylie</t>
  </si>
  <si>
    <t>Romina</t>
  </si>
  <si>
    <t>Josefina</t>
  </si>
  <si>
    <t>Apoyo Asist.</t>
  </si>
  <si>
    <t>Saravia</t>
  </si>
  <si>
    <t>Daniela</t>
  </si>
  <si>
    <t>Acuña</t>
  </si>
  <si>
    <t>Francisca</t>
  </si>
  <si>
    <t>Pereira</t>
  </si>
  <si>
    <t>Barbara</t>
  </si>
  <si>
    <t>Oyarzo</t>
  </si>
  <si>
    <t>Guillermina</t>
  </si>
  <si>
    <t>Olivares</t>
  </si>
  <si>
    <t>Jocelyn</t>
  </si>
  <si>
    <t>Micaela</t>
  </si>
  <si>
    <t>Gomez</t>
  </si>
  <si>
    <t>Nicole</t>
  </si>
  <si>
    <t>Rodriguez</t>
  </si>
  <si>
    <t>Priscila</t>
  </si>
  <si>
    <t>Sara</t>
  </si>
  <si>
    <t>Sonia</t>
  </si>
  <si>
    <t>Escudero</t>
  </si>
  <si>
    <t>Tracy</t>
  </si>
  <si>
    <t>Ruz</t>
  </si>
  <si>
    <t xml:space="preserve">Ximena </t>
  </si>
  <si>
    <t>Borquez</t>
  </si>
  <si>
    <t>Yasna</t>
  </si>
  <si>
    <t>Yesenia</t>
  </si>
  <si>
    <t>Leiva</t>
  </si>
  <si>
    <t>Maria</t>
  </si>
  <si>
    <t>Mateluna</t>
  </si>
  <si>
    <t>Ruth</t>
  </si>
  <si>
    <t>Alejandra</t>
  </si>
  <si>
    <t>Deila</t>
  </si>
  <si>
    <t>Carolina</t>
  </si>
  <si>
    <t>Acevedo</t>
  </si>
  <si>
    <t>Nayarette</t>
  </si>
  <si>
    <t>Contreras</t>
  </si>
  <si>
    <t>Catherine</t>
  </si>
  <si>
    <t>Guajardo</t>
  </si>
  <si>
    <t>Estormi</t>
  </si>
  <si>
    <t>Delgado</t>
  </si>
  <si>
    <t>Silvana</t>
  </si>
  <si>
    <t>Peñafiel</t>
  </si>
  <si>
    <t>Solange</t>
  </si>
  <si>
    <t>Espinoza</t>
  </si>
  <si>
    <t>Vanessa</t>
  </si>
  <si>
    <t>Jimenez</t>
  </si>
  <si>
    <t>Karen</t>
  </si>
  <si>
    <t>Camila</t>
  </si>
  <si>
    <t>Angulo</t>
  </si>
  <si>
    <t>Macarena</t>
  </si>
  <si>
    <t>Morales</t>
  </si>
  <si>
    <t xml:space="preserve">Camila </t>
  </si>
  <si>
    <t>Yordana</t>
  </si>
  <si>
    <t>Araya</t>
  </si>
  <si>
    <t>Avelina</t>
  </si>
  <si>
    <t>Beatriz</t>
  </si>
  <si>
    <t>Baeza</t>
  </si>
  <si>
    <t>Luisa</t>
  </si>
  <si>
    <t>Lazo</t>
  </si>
  <si>
    <t>Natalia</t>
  </si>
  <si>
    <t>Monte de Oca</t>
  </si>
  <si>
    <t>Patricia</t>
  </si>
  <si>
    <t>Soto</t>
  </si>
  <si>
    <t xml:space="preserve">Paula </t>
  </si>
  <si>
    <t>Valladares</t>
  </si>
  <si>
    <t>Sandra</t>
  </si>
  <si>
    <t>Molina</t>
  </si>
  <si>
    <t>María</t>
  </si>
  <si>
    <t>Ines</t>
  </si>
  <si>
    <t>Paola</t>
  </si>
  <si>
    <t>Valenzuela</t>
  </si>
  <si>
    <t>NN</t>
  </si>
  <si>
    <t>Por contratar</t>
  </si>
  <si>
    <t>Bettina</t>
  </si>
  <si>
    <t>Perez</t>
  </si>
  <si>
    <t>Landeros</t>
  </si>
  <si>
    <t>M. Ignacia</t>
  </si>
  <si>
    <t>Cabezas</t>
  </si>
  <si>
    <t>Bayer</t>
  </si>
  <si>
    <t>Erika</t>
  </si>
  <si>
    <t>Mendoza</t>
  </si>
  <si>
    <t>Fabiola</t>
  </si>
  <si>
    <t>Vidal</t>
  </si>
  <si>
    <t>Marta</t>
  </si>
  <si>
    <t>Olga</t>
  </si>
  <si>
    <t>Collao</t>
  </si>
  <si>
    <t>Otilia</t>
  </si>
  <si>
    <t>Charline</t>
  </si>
  <si>
    <t>Yelicich</t>
  </si>
  <si>
    <t>Cofre</t>
  </si>
  <si>
    <t>Denis</t>
  </si>
  <si>
    <t>Gutierrez</t>
  </si>
  <si>
    <t>Evelyn</t>
  </si>
  <si>
    <t>Alvarado</t>
  </si>
  <si>
    <t>Gina</t>
  </si>
  <si>
    <t>Basualto</t>
  </si>
  <si>
    <t>Guisel</t>
  </si>
  <si>
    <t>Opazo</t>
  </si>
  <si>
    <t>Katiuska</t>
  </si>
  <si>
    <t>Mical</t>
  </si>
  <si>
    <t>Carrasco</t>
  </si>
  <si>
    <t>Myriam</t>
  </si>
  <si>
    <t>Bustos</t>
  </si>
  <si>
    <t xml:space="preserve">Nathaly </t>
  </si>
  <si>
    <t>Valeria</t>
  </si>
  <si>
    <t>Oyarce</t>
  </si>
  <si>
    <t>Susan</t>
  </si>
  <si>
    <t>Joselyn</t>
  </si>
  <si>
    <t>Andrea</t>
  </si>
  <si>
    <t>Martinez</t>
  </si>
  <si>
    <t>Isabel</t>
  </si>
  <si>
    <t>Jessica</t>
  </si>
  <si>
    <t>Sepulveda</t>
  </si>
  <si>
    <t>Maria Angelica</t>
  </si>
  <si>
    <t>Rivera</t>
  </si>
  <si>
    <t>Maricel</t>
  </si>
  <si>
    <t>Maria Esther</t>
  </si>
  <si>
    <t>Ampuero</t>
  </si>
  <si>
    <t>Sala Cuna Mar Azul</t>
  </si>
  <si>
    <t>INCREMENTOS DE RENTA EDUCADORA DE PARVULOS</t>
  </si>
  <si>
    <t>TOTAL HABERES P/AC ARMADA</t>
  </si>
  <si>
    <t>TOTAL HABERES E.P. LEY 18,712</t>
  </si>
  <si>
    <t>DIFERENCIA</t>
  </si>
  <si>
    <t>ACTUAL BASE SUELDO E.P. LEY 18,712</t>
  </si>
  <si>
    <t xml:space="preserve">NUEVO SUELDO BASE PARA NIVELAR </t>
  </si>
  <si>
    <t>Calzado según normativa personal cocina y aseo $ 29.990</t>
  </si>
  <si>
    <t>Valor cursos capacitación por persona $ 60.000 EDUCREA.</t>
  </si>
  <si>
    <t>Valores viaticos EC Gdo. 7 y 8 c/p $ 57.644 s/p $23.058</t>
  </si>
  <si>
    <t>Valores viaticos EC Gdo. 9 al 13 c/p $ 46.782 s/p $18.713</t>
  </si>
  <si>
    <t>Valores consumos basicos promedio julio 2018 /agosto 2019</t>
  </si>
  <si>
    <t>- GASTO POR REMUNERACIONES EN TEMPORADA ESTIVAL, CONTEMPLA GASTO EN TRES MESES CON COSTO DE FINIQUITOS INCORPORADOS</t>
  </si>
  <si>
    <t>- PROYECCION DEL GASTO EN INDEMNIZACIONES POR FINIQUITOS,  SERA EL EQUIVALENTE PORCENTUAL DEL GASTO 2018, RESPECTO DEL GASTO TOTAL EN    REMUNERACIONES.  A ESTE RESPECTO SE REQUIERE CONFIRMACION, PUES EL GASTO EN FINIQUITOS 2018, REPRESENTÓ EL 9% DEL GASTO ANUAL EN REMUNERACIONES DE ESTE AÑO.</t>
  </si>
  <si>
    <t>-GASTO INCLUYE, CUANDO PROCEDE, PROMEDIO  ANUAL DE PAGO POR HORAS EXTRAODINARIAS</t>
  </si>
  <si>
    <t>VALORES BENEFICIOS E.P. LEY 18,712</t>
  </si>
  <si>
    <t>AGUINALDOS</t>
  </si>
  <si>
    <t>BONO TCONFLICTO RENTAS BAJAS</t>
  </si>
  <si>
    <t>BONO TCONFLICTO RENTAS ALTAS</t>
  </si>
  <si>
    <t>BONO VACACIONES RENTAS BAJAS</t>
  </si>
  <si>
    <t>BONO VACACIONES RENTAS ALTAS</t>
  </si>
  <si>
    <t>Valor ración alimentacion diaria niños $ 900(de acuerdo a facturas y compras mensuales primer semestre 2019) JI</t>
  </si>
  <si>
    <t>Valor ración alimentacion diaria niños $ 1000(de acuerdo a facturas y compras mensuales primer semestre 2019) SC</t>
  </si>
  <si>
    <t>LUIS ARTURO</t>
  </si>
  <si>
    <t>SILVA CARDENAS</t>
  </si>
  <si>
    <t>ENC COMPRAS AREA ADQUISICIONES</t>
  </si>
  <si>
    <t>FRANCISCA ANDREA</t>
  </si>
  <si>
    <t>MUÑOZ VERDEJO</t>
  </si>
  <si>
    <t>CALL CENTER</t>
  </si>
  <si>
    <t>VANESSA ANDREA</t>
  </si>
  <si>
    <t>ORNELLA SANDOVAL</t>
  </si>
  <si>
    <t>GERARDO ANTONIO</t>
  </si>
  <si>
    <t>TAPIA HENRIQUEZ</t>
  </si>
  <si>
    <t>ENCARGADO MANTENCION GENERAL</t>
  </si>
  <si>
    <t>ARLENA BELEN</t>
  </si>
  <si>
    <t>PAREDES VALLEJOS</t>
  </si>
  <si>
    <t>INSPECTOR TECNICO DE OBRAS</t>
  </si>
  <si>
    <t>ABEL ROSENDO</t>
  </si>
  <si>
    <t>ESTAY CASTILLO</t>
  </si>
  <si>
    <t>LIMPIEZA, ASEO Y MANTENCION</t>
  </si>
  <si>
    <t>MARCIA DARINKA</t>
  </si>
  <si>
    <t>TAPIA ALZAMORA</t>
  </si>
  <si>
    <t>MANIPULADORA DE ALIMENTOS</t>
  </si>
  <si>
    <t>CLAUDIO ESTEBAN</t>
  </si>
  <si>
    <t>OPAZO CAMPOS</t>
  </si>
  <si>
    <t>SECRETARIO</t>
  </si>
  <si>
    <t>MIGUEL FERNANDO</t>
  </si>
  <si>
    <t>ALBAYAY LEPPE</t>
  </si>
  <si>
    <t>SERV. GENERALES Y MANTENCION</t>
  </si>
  <si>
    <t>Sala Cuna Privada Personitas</t>
  </si>
  <si>
    <t>Sala Cuna Mar de Tesoros</t>
  </si>
  <si>
    <t>Valor delantales Educ y tecnicos $25.990</t>
  </si>
  <si>
    <t>Plan Adquisición de datas y notebook según normativa JI Los Delfines, Mar Azul y Pececitos.</t>
  </si>
  <si>
    <t>AREA TECNICO PEDAGOGICA</t>
  </si>
  <si>
    <t>Objetivo: Ofrecer instancias de análisis y reflexión sobre diferentes tipos de materiales educativos que apoyen y dinamicen el proceso de aprendizaje, favoreciendo el intercambio y la construcción conjunta de saberes. Contar con capacitación para aplicar diferentes estrategias pedagógicas relacionadas con los procesos de aprendizaje a la luz de las nuevas Bases Curriculares de la Educación Parvularia.</t>
  </si>
  <si>
    <t xml:space="preserve">Capacitación interna o externa al JI / SC </t>
  </si>
  <si>
    <t>(curso, taller, seminario, charla, entre otros)</t>
  </si>
  <si>
    <t>Responsable</t>
  </si>
  <si>
    <t>Recursos</t>
  </si>
  <si>
    <t>(Humanos, materiales y/o financieros)</t>
  </si>
  <si>
    <t>Fecha y Tiempo de realización</t>
  </si>
  <si>
    <t>Fuente de extracción de la información</t>
  </si>
  <si>
    <t>Creación de Materiales Educativos en Educación Parvularia</t>
  </si>
  <si>
    <t>EDUCREA</t>
  </si>
  <si>
    <t xml:space="preserve">Valor curso p/p $ 60.000 </t>
  </si>
  <si>
    <t xml:space="preserve">Marzo </t>
  </si>
  <si>
    <t xml:space="preserve"> 8 hrs cronológicas</t>
  </si>
  <si>
    <t>EDUCREA.CL</t>
  </si>
  <si>
    <t>Estrategias Didácticas de Apoyo al Rol de las Asistentes de Párvulos.</t>
  </si>
  <si>
    <t>Valor curso p/p $ 60.000</t>
  </si>
  <si>
    <t xml:space="preserve">Agosto </t>
  </si>
  <si>
    <t>8 hrs. cronológicas</t>
  </si>
  <si>
    <t>AREA GESTION CURRICULAR</t>
  </si>
  <si>
    <t>Objetivo: Diseñar procesos de enseñanza aprendizaje para atender a la diversidad, en base al Diseño Universal para el Aprendizaje (DUA). Elaborar instrumentos de observación para la evaluación de habilidades y actitudes.</t>
  </si>
  <si>
    <t>Capacitación interna o externa al JI / SC</t>
  </si>
  <si>
    <r>
      <t xml:space="preserve"> </t>
    </r>
    <r>
      <rPr>
        <sz val="11"/>
        <color rgb="FF000000"/>
        <rFont val="Calibri"/>
        <family val="2"/>
      </rPr>
      <t>(curso, taller, seminario, charla, entre otros)</t>
    </r>
  </si>
  <si>
    <t>Diseño Universal de Aprendizaje: Planificando para la Diversidad.</t>
  </si>
  <si>
    <t>Abril</t>
  </si>
  <si>
    <t>8 hrs cronológicas</t>
  </si>
  <si>
    <t>Elaboración de Instrumentos de Evaluación</t>
  </si>
  <si>
    <t>Septiembre</t>
  </si>
  <si>
    <t>PLAN CAPACITACION 2020</t>
  </si>
  <si>
    <t>INMUEBLE</t>
  </si>
  <si>
    <t>ACTIVIDAD DE MANTENIMIENTO</t>
  </si>
  <si>
    <t>CANT.</t>
  </si>
  <si>
    <t>VALOR UNITARIO</t>
  </si>
  <si>
    <t>ANUAL</t>
  </si>
  <si>
    <t>FRECUENCIA</t>
  </si>
  <si>
    <t>MANTENIMIENTO 1er NIVEL:</t>
  </si>
  <si>
    <t>MANTENIMIENTO 2° NIVEL:</t>
  </si>
  <si>
    <t>MANTENCIÓN GASFITERIA ANUAL</t>
  </si>
  <si>
    <t>LIMPIEZA DE CANALETAS</t>
  </si>
  <si>
    <t>MANTENCIÓN ELECTRICA ANUAL</t>
  </si>
  <si>
    <t>LOBITO MARINO</t>
  </si>
  <si>
    <t>LOS DELFINES</t>
  </si>
  <si>
    <t>CARACOLITO DE MAR</t>
  </si>
  <si>
    <t>MAR AZUL</t>
  </si>
  <si>
    <t>MANTENCION BOMBA RED HUMEDA</t>
  </si>
  <si>
    <t>PECECITOS DE COLORES</t>
  </si>
  <si>
    <t>PODA ARBUSTOS CIERRE PERIMETRAL</t>
  </si>
  <si>
    <t xml:space="preserve">APERTURA VENTANA OF DIRECCION </t>
  </si>
  <si>
    <t>APERTURA VENTANA SALA ACTIVIDAD</t>
  </si>
  <si>
    <t>APERTURA VENTANA COCINA GENERAL</t>
  </si>
  <si>
    <t>CIERRE PERIMENTA SEGÚN NORMATIVA</t>
  </si>
  <si>
    <t xml:space="preserve">PINTURA INTERIOR COCINA </t>
  </si>
  <si>
    <t xml:space="preserve">PINTURA EXTERIOR </t>
  </si>
  <si>
    <t>PINTURA EXTERIOR FRONTIS</t>
  </si>
  <si>
    <t>PINTURA INTERIOR ACCESO PRINCIPAL , PASILLOS Y OTROS.</t>
  </si>
  <si>
    <t>PLAN DE MANTENCION 2020</t>
  </si>
  <si>
    <t>Materiales de librería, estan consideradas tb las tintas. PROMEDIO meses julio 2018 / agosto 2019.</t>
  </si>
  <si>
    <t>Considerado el 1% Provisión de indemnizaciones por c/JI o SC.</t>
  </si>
  <si>
    <t xml:space="preserve">Jardín Infantil Lobito Marino </t>
  </si>
  <si>
    <t>sc se mantienen</t>
  </si>
  <si>
    <t xml:space="preserve">REAJUSTE TARIFA </t>
  </si>
  <si>
    <t>40% reajuste tarifa ji</t>
  </si>
  <si>
    <t>INGRESO</t>
  </si>
  <si>
    <t>EGRESO</t>
  </si>
  <si>
    <t>ingresos  requreidos al 100%</t>
  </si>
  <si>
    <t xml:space="preserve"> media jornada</t>
  </si>
  <si>
    <t>completa</t>
  </si>
  <si>
    <t>diurna</t>
  </si>
  <si>
    <t>nocturna</t>
  </si>
  <si>
    <t>REAJUSTE TARIFA 5.7%</t>
  </si>
  <si>
    <t xml:space="preserve">APORTES INSTITUCIONALES AREA EDUCACIONAL </t>
  </si>
  <si>
    <t>remuenracion anual</t>
  </si>
  <si>
    <t>JI /SC</t>
  </si>
  <si>
    <t>remuenración armada</t>
  </si>
  <si>
    <t xml:space="preserve"> EDUC PARV EC</t>
  </si>
  <si>
    <t>EDUCA PARV PAC</t>
  </si>
  <si>
    <t>TT</t>
  </si>
  <si>
    <t>para lograr equilibrio cero sin aporte</t>
  </si>
  <si>
    <t>disminuir 10% incremento remuneraciones educ ffpp</t>
  </si>
  <si>
    <t>mantenciones 2do nivel</t>
  </si>
  <si>
    <t>camaras</t>
  </si>
  <si>
    <t>capacitaciones</t>
  </si>
  <si>
    <t>para financiar 100% costos indirectos</t>
  </si>
  <si>
    <t>rejuste de un 35% tarifas ji y 3,4% sc</t>
  </si>
  <si>
    <t>30% menos que mercado</t>
  </si>
  <si>
    <t>media jornada</t>
  </si>
  <si>
    <t>jornada compelta</t>
  </si>
  <si>
    <t>Ingresos en JJ.II (7% aumento ) + SSCC (4,5% aumento)</t>
  </si>
  <si>
    <t>Egresos Costos Directos</t>
  </si>
  <si>
    <t>Diferencia</t>
  </si>
  <si>
    <t>Excedentes (Gastos Totales-Total ingresos)</t>
  </si>
  <si>
    <t>Diferencias</t>
  </si>
  <si>
    <t>Ingresos JJII (22,5 %)  y  SSCC (5,0%)</t>
  </si>
  <si>
    <t>COSTOS INDIRECTOS</t>
  </si>
  <si>
    <t>AUMENTO EN TARIFAS 3,4% JJII / 3,4% SSCC</t>
  </si>
  <si>
    <t>AUMENTO EN TARIFAS 22,5% JJII / 5,0% SSCC</t>
  </si>
  <si>
    <t>Ingresos en JJ.II (3,4% aumento ) + SSCC (3,4,5% aumento)</t>
  </si>
  <si>
    <t>AUMENTO EN TARIFAS 7.0% JJII / 4,5% SSCC</t>
  </si>
  <si>
    <t>ANALISIS TARIFAS</t>
  </si>
  <si>
    <t>JORNADA COMPLETA</t>
  </si>
  <si>
    <t>MEDIA JORNADA</t>
  </si>
  <si>
    <t>COSTO ANUAL PADRE</t>
  </si>
  <si>
    <t>JI PARTICULAR</t>
  </si>
  <si>
    <t>COSTO ANUAL</t>
  </si>
  <si>
    <t>COSTO ANUAL JARDIN ARMADA</t>
  </si>
  <si>
    <t>GASTOS UNICOS</t>
  </si>
  <si>
    <t>CAMARAS VIGILANCIA</t>
  </si>
  <si>
    <t>SEC LOS DELFINES</t>
  </si>
  <si>
    <t>FINIQUITOS DESVIC</t>
  </si>
  <si>
    <t>DETALLES</t>
  </si>
  <si>
    <t>LOBITO</t>
  </si>
  <si>
    <t>MANTENCIONES GASFITERIA…</t>
  </si>
  <si>
    <t>CARACOLITO</t>
  </si>
  <si>
    <t>valentina</t>
  </si>
  <si>
    <t>detalle desvinculaciónes</t>
  </si>
  <si>
    <t>cargo final</t>
  </si>
  <si>
    <t>lobito marino</t>
  </si>
  <si>
    <t>delfines</t>
  </si>
  <si>
    <t>mar azul</t>
  </si>
  <si>
    <t>gasto remuenraciones 2,8%</t>
  </si>
  <si>
    <t>gasto remuenraciones 2,9%</t>
  </si>
  <si>
    <t>gasto remuenraciones 3%</t>
  </si>
  <si>
    <t>Incremento por cada punto porcentual IPC</t>
  </si>
  <si>
    <t>base</t>
  </si>
  <si>
    <t>dif por punto</t>
  </si>
  <si>
    <t>remuneraciones</t>
  </si>
  <si>
    <t>cotso operación</t>
  </si>
  <si>
    <t>valor 2020</t>
  </si>
  <si>
    <t>SIMULACION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</si>
</sst>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$&quot;\ #,##0;[Red]\-&quot;$&quot;\ #,##0"/>
    <numFmt numFmtId="164" formatCode="&quot;$&quot;#,##0;[Red]&quot;$&quot;\-#,##0"/>
    <numFmt numFmtId="165" formatCode="_ &quot;$&quot;* #,##0_ ;_ &quot;$&quot;* \-#,##0_ ;_ &quot;$&quot;* &quot;-&quot;_ ;_ @_ 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* #,##0.00\ &quot;€&quot;_-;\-* #,##0.00\ &quot;€&quot;_-;_-* &quot;-&quot;??\ &quot;€&quot;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&quot;$&quot;\ * #,##0\ &quot;valor 2018&quot;"/>
    <numFmt numFmtId="187" formatCode="_-&quot;$&quot;\ * #,##0\ &quot;total sep y dic&quot;"/>
    <numFmt numFmtId="188" formatCode="_-&quot;$&quot;\ * #,##0\ &quot;Aporte previsional empleador&quot;"/>
    <numFmt numFmtId="189" formatCode="_-&quot;$&quot;\ * #,##0\ &quot;VALOR BASE PRESUNTO 2020&quot;"/>
    <numFmt numFmtId="190" formatCode="0.0%\ &quot;IPC 12 MESES&quot;"/>
  </numFmts>
  <fonts count="53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3.5"/>
      <color rgb="FF000000"/>
      <name val="Arial"/>
      <family val="2"/>
    </font>
    <font>
      <b/>
      <sz val="10"/>
      <color rgb="FF000000"/>
      <name val="Calibri"/>
      <family val="2"/>
    </font>
    <font>
      <b/>
      <sz val="13.5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gray125">
        <fgColor indexed="24"/>
        <bgColor theme="4" tint="0.5999938962981048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B4C7DC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3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8"/>
      </right>
      <top style="medium">
        <color indexed="64"/>
      </top>
      <bottom style="thin">
        <color auto="1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2" fontId="13" fillId="0" borderId="0"/>
    <xf numFmtId="166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9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4" fontId="34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72" fontId="13" fillId="0" borderId="0" applyFill="0" applyBorder="0" applyAlignment="0" applyProtection="0"/>
    <xf numFmtId="166" fontId="13" fillId="0" borderId="0" applyFill="0" applyBorder="0" applyAlignment="0" applyProtection="0"/>
    <xf numFmtId="18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  <xf numFmtId="0" fontId="4" fillId="8" borderId="388" applyNumberFormat="0" applyAlignment="0" applyProtection="0"/>
    <xf numFmtId="0" fontId="4" fillId="8" borderId="389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57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9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5" borderId="5" xfId="0" applyFont="1" applyFill="1" applyBorder="1" applyAlignment="1" applyProtection="1">
      <alignment horizontal="center" vertical="center" wrapText="1"/>
    </xf>
    <xf numFmtId="0" fontId="12" fillId="15" borderId="3" xfId="0" applyFont="1" applyFill="1" applyBorder="1" applyAlignment="1" applyProtection="1">
      <alignment horizontal="center" vertical="center" wrapText="1"/>
    </xf>
    <xf numFmtId="0" fontId="12" fillId="15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8" fontId="12" fillId="9" borderId="0" xfId="13" applyNumberFormat="1" applyFont="1" applyFill="1" applyBorder="1" applyAlignment="1" applyProtection="1">
      <alignment vertical="center"/>
    </xf>
    <xf numFmtId="166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71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8" fontId="12" fillId="0" borderId="0" xfId="0" applyNumberFormat="1" applyFont="1" applyFill="1" applyBorder="1" applyAlignment="1" applyProtection="1">
      <alignment horizontal="center" vertical="center" wrapText="1"/>
    </xf>
    <xf numFmtId="168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6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9" fontId="15" fillId="0" borderId="0" xfId="16" applyFont="1" applyBorder="1" applyAlignment="1" applyProtection="1">
      <alignment vertical="center"/>
    </xf>
    <xf numFmtId="168" fontId="0" fillId="0" borderId="16" xfId="0" applyNumberFormat="1" applyFont="1" applyFill="1" applyBorder="1" applyAlignment="1" applyProtection="1">
      <alignment vertical="center"/>
    </xf>
    <xf numFmtId="174" fontId="0" fillId="0" borderId="0" xfId="12" applyNumberFormat="1" applyFont="1" applyFill="1" applyBorder="1" applyAlignment="1" applyProtection="1">
      <alignment vertical="center"/>
    </xf>
    <xf numFmtId="169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7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7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7" fontId="12" fillId="0" borderId="0" xfId="0" applyNumberFormat="1" applyFont="1" applyFill="1" applyBorder="1" applyProtection="1"/>
    <xf numFmtId="177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7" fontId="0" fillId="0" borderId="0" xfId="0" applyNumberFormat="1" applyFont="1" applyFill="1" applyBorder="1" applyProtection="1"/>
    <xf numFmtId="177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17" borderId="4" xfId="0" applyFont="1" applyFill="1" applyBorder="1" applyAlignment="1" applyProtection="1">
      <alignment horizontal="center" vertical="center" wrapText="1"/>
    </xf>
    <xf numFmtId="174" fontId="12" fillId="17" borderId="4" xfId="12" applyNumberFormat="1" applyFont="1" applyFill="1" applyBorder="1" applyAlignment="1" applyProtection="1">
      <alignment horizontal="center" vertical="center" wrapText="1"/>
    </xf>
    <xf numFmtId="0" fontId="10" fillId="17" borderId="3" xfId="0" applyFont="1" applyFill="1" applyBorder="1" applyAlignment="1" applyProtection="1">
      <alignment horizontal="center" vertical="center"/>
    </xf>
    <xf numFmtId="0" fontId="10" fillId="23" borderId="3" xfId="0" applyFont="1" applyFill="1" applyBorder="1" applyAlignment="1" applyProtection="1">
      <alignment horizontal="left" vertical="center"/>
    </xf>
    <xf numFmtId="168" fontId="10" fillId="23" borderId="8" xfId="13" applyNumberFormat="1" applyFont="1" applyFill="1" applyBorder="1" applyAlignment="1" applyProtection="1">
      <alignment horizontal="center" vertical="center"/>
    </xf>
    <xf numFmtId="168" fontId="10" fillId="24" borderId="3" xfId="13" applyNumberFormat="1" applyFont="1" applyFill="1" applyBorder="1" applyAlignment="1" applyProtection="1">
      <alignment vertical="center"/>
    </xf>
    <xf numFmtId="168" fontId="10" fillId="23" borderId="3" xfId="13" applyNumberFormat="1" applyFont="1" applyFill="1" applyBorder="1" applyAlignment="1" applyProtection="1">
      <alignment horizontal="center" vertical="center"/>
    </xf>
    <xf numFmtId="0" fontId="10" fillId="20" borderId="3" xfId="0" applyFont="1" applyFill="1" applyBorder="1" applyAlignment="1" applyProtection="1">
      <alignment horizontal="left" vertical="center"/>
    </xf>
    <xf numFmtId="168" fontId="10" fillId="20" borderId="8" xfId="13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7" fillId="25" borderId="12" xfId="0" applyFont="1" applyFill="1" applyBorder="1" applyAlignment="1" applyProtection="1">
      <alignment horizontal="center" vertical="center" wrapText="1"/>
    </xf>
    <xf numFmtId="0" fontId="17" fillId="25" borderId="7" xfId="0" applyFont="1" applyFill="1" applyBorder="1" applyAlignment="1" applyProtection="1">
      <alignment horizontal="center" vertical="center" wrapText="1"/>
    </xf>
    <xf numFmtId="0" fontId="17" fillId="25" borderId="3" xfId="0" applyFont="1" applyFill="1" applyBorder="1" applyAlignment="1" applyProtection="1">
      <alignment horizontal="center" vertical="center" wrapText="1"/>
    </xf>
    <xf numFmtId="168" fontId="0" fillId="19" borderId="13" xfId="13" applyNumberFormat="1" applyFont="1" applyFill="1" applyBorder="1" applyAlignment="1" applyProtection="1">
      <alignment vertical="center"/>
    </xf>
    <xf numFmtId="168" fontId="0" fillId="19" borderId="7" xfId="13" applyNumberFormat="1" applyFont="1" applyFill="1" applyBorder="1" applyAlignment="1" applyProtection="1">
      <alignment vertical="center"/>
    </xf>
    <xf numFmtId="168" fontId="0" fillId="19" borderId="20" xfId="13" applyNumberFormat="1" applyFont="1" applyFill="1" applyBorder="1" applyAlignment="1" applyProtection="1">
      <alignment vertical="center"/>
    </xf>
    <xf numFmtId="168" fontId="12" fillId="19" borderId="3" xfId="13" applyNumberFormat="1" applyFont="1" applyFill="1" applyBorder="1" applyAlignment="1" applyProtection="1">
      <alignment vertical="center"/>
    </xf>
    <xf numFmtId="0" fontId="12" fillId="0" borderId="1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8" fontId="18" fillId="0" borderId="0" xfId="13" applyNumberFormat="1" applyFont="1" applyFill="1" applyBorder="1" applyAlignment="1" applyProtection="1">
      <alignment vertical="center"/>
    </xf>
    <xf numFmtId="176" fontId="18" fillId="0" borderId="0" xfId="12" applyNumberFormat="1" applyFont="1" applyFill="1" applyBorder="1" applyAlignment="1" applyProtection="1">
      <alignment vertical="center"/>
    </xf>
    <xf numFmtId="168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8" fontId="10" fillId="0" borderId="0" xfId="13" applyNumberFormat="1" applyFont="1" applyFill="1" applyBorder="1" applyAlignment="1" applyProtection="1">
      <alignment vertical="center"/>
    </xf>
    <xf numFmtId="168" fontId="17" fillId="0" borderId="0" xfId="0" applyNumberFormat="1" applyFont="1" applyFill="1" applyBorder="1" applyAlignment="1" applyProtection="1">
      <alignment vertical="center"/>
    </xf>
    <xf numFmtId="169" fontId="12" fillId="0" borderId="0" xfId="16" applyFont="1" applyFill="1" applyBorder="1" applyAlignment="1" applyProtection="1">
      <alignment horizontal="center" vertical="center"/>
    </xf>
    <xf numFmtId="168" fontId="0" fillId="0" borderId="31" xfId="13" applyNumberFormat="1" applyFont="1" applyFill="1" applyBorder="1" applyAlignment="1" applyProtection="1">
      <alignment vertical="center"/>
    </xf>
    <xf numFmtId="0" fontId="12" fillId="21" borderId="19" xfId="0" applyFont="1" applyFill="1" applyBorder="1" applyAlignment="1" applyProtection="1">
      <alignment horizontal="center" vertical="center"/>
    </xf>
    <xf numFmtId="0" fontId="12" fillId="20" borderId="35" xfId="0" applyFont="1" applyFill="1" applyBorder="1" applyAlignment="1" applyProtection="1">
      <alignment horizontal="center" vertical="center" wrapText="1"/>
    </xf>
    <xf numFmtId="1" fontId="0" fillId="0" borderId="35" xfId="0" applyNumberFormat="1" applyFont="1" applyFill="1" applyBorder="1" applyAlignment="1" applyProtection="1">
      <alignment horizontal="center" vertical="center" wrapText="1"/>
    </xf>
    <xf numFmtId="175" fontId="18" fillId="0" borderId="18" xfId="0" applyNumberFormat="1" applyFont="1" applyFill="1" applyBorder="1" applyAlignment="1" applyProtection="1">
      <alignment horizontal="left"/>
    </xf>
    <xf numFmtId="168" fontId="10" fillId="20" borderId="2" xfId="13" applyNumberFormat="1" applyFont="1" applyFill="1" applyBorder="1" applyAlignment="1" applyProtection="1">
      <alignment horizontal="center" vertical="center"/>
    </xf>
    <xf numFmtId="168" fontId="10" fillId="22" borderId="4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68" fontId="0" fillId="10" borderId="16" xfId="13" applyNumberFormat="1" applyFont="1" applyFill="1" applyBorder="1" applyAlignment="1" applyProtection="1">
      <alignment horizontal="right" vertical="center"/>
    </xf>
    <xf numFmtId="168" fontId="0" fillId="10" borderId="24" xfId="13" applyNumberFormat="1" applyFont="1" applyFill="1" applyBorder="1" applyAlignment="1" applyProtection="1">
      <alignment horizontal="right" vertical="center"/>
    </xf>
    <xf numFmtId="168" fontId="0" fillId="10" borderId="17" xfId="13" applyNumberFormat="1" applyFont="1" applyFill="1" applyBorder="1" applyAlignment="1" applyProtection="1">
      <alignment horizontal="right" vertical="center"/>
    </xf>
    <xf numFmtId="1" fontId="0" fillId="0" borderId="0" xfId="16" applyNumberFormat="1" applyFont="1" applyProtection="1"/>
    <xf numFmtId="168" fontId="0" fillId="0" borderId="51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/>
    </xf>
    <xf numFmtId="177" fontId="12" fillId="0" borderId="0" xfId="0" applyNumberFormat="1" applyFont="1" applyFill="1" applyBorder="1" applyAlignment="1" applyProtection="1">
      <alignment horizontal="center" vertical="center" wrapText="1"/>
    </xf>
    <xf numFmtId="168" fontId="10" fillId="28" borderId="3" xfId="13" applyNumberFormat="1" applyFont="1" applyFill="1" applyBorder="1" applyAlignment="1" applyProtection="1">
      <alignment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67" fontId="24" fillId="30" borderId="63" xfId="0" applyNumberFormat="1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horizontal="left" vertical="center"/>
    </xf>
    <xf numFmtId="0" fontId="12" fillId="31" borderId="70" xfId="0" applyFont="1" applyFill="1" applyBorder="1" applyAlignment="1" applyProtection="1">
      <alignment horizontal="center" vertical="center" wrapText="1"/>
    </xf>
    <xf numFmtId="167" fontId="12" fillId="32" borderId="71" xfId="13" applyNumberFormat="1" applyFont="1" applyFill="1" applyBorder="1" applyAlignment="1" applyProtection="1">
      <alignment vertical="center"/>
    </xf>
    <xf numFmtId="168" fontId="12" fillId="35" borderId="48" xfId="0" applyNumberFormat="1" applyFont="1" applyFill="1" applyBorder="1" applyAlignment="1" applyProtection="1">
      <alignment horizontal="center" vertical="center" wrapText="1"/>
    </xf>
    <xf numFmtId="168" fontId="12" fillId="35" borderId="37" xfId="0" applyNumberFormat="1" applyFont="1" applyFill="1" applyBorder="1" applyAlignment="1" applyProtection="1">
      <alignment horizontal="center" vertical="center" wrapText="1"/>
    </xf>
    <xf numFmtId="168" fontId="12" fillId="35" borderId="75" xfId="0" applyNumberFormat="1" applyFont="1" applyFill="1" applyBorder="1" applyAlignment="1" applyProtection="1">
      <alignment horizontal="center" vertical="center" wrapText="1"/>
    </xf>
    <xf numFmtId="168" fontId="12" fillId="15" borderId="75" xfId="0" applyNumberFormat="1" applyFont="1" applyFill="1" applyBorder="1" applyAlignment="1" applyProtection="1">
      <alignment horizontal="center" vertical="center" wrapText="1"/>
    </xf>
    <xf numFmtId="168" fontId="22" fillId="32" borderId="52" xfId="13" applyNumberFormat="1" applyFont="1" applyFill="1" applyBorder="1" applyAlignment="1" applyProtection="1">
      <alignment vertical="center" wrapText="1"/>
    </xf>
    <xf numFmtId="168" fontId="22" fillId="32" borderId="77" xfId="13" applyNumberFormat="1" applyFont="1" applyFill="1" applyBorder="1" applyAlignment="1" applyProtection="1">
      <alignment vertical="center" wrapText="1"/>
    </xf>
    <xf numFmtId="168" fontId="17" fillId="36" borderId="16" xfId="0" applyNumberFormat="1" applyFont="1" applyFill="1" applyBorder="1" applyAlignment="1" applyProtection="1">
      <alignment horizontal="center" vertical="center" wrapText="1"/>
    </xf>
    <xf numFmtId="168" fontId="17" fillId="36" borderId="4" xfId="0" applyNumberFormat="1" applyFont="1" applyFill="1" applyBorder="1" applyAlignment="1" applyProtection="1">
      <alignment horizontal="center" vertical="center" wrapText="1"/>
    </xf>
    <xf numFmtId="168" fontId="17" fillId="36" borderId="37" xfId="0" applyNumberFormat="1" applyFont="1" applyFill="1" applyBorder="1" applyAlignment="1" applyProtection="1">
      <alignment horizontal="center" vertical="center" wrapText="1"/>
    </xf>
    <xf numFmtId="0" fontId="17" fillId="36" borderId="5" xfId="0" applyFont="1" applyFill="1" applyBorder="1" applyAlignment="1" applyProtection="1">
      <alignment horizontal="center" vertical="center" wrapText="1"/>
    </xf>
    <xf numFmtId="168" fontId="0" fillId="10" borderId="35" xfId="13" applyNumberFormat="1" applyFont="1" applyFill="1" applyBorder="1" applyAlignment="1" applyProtection="1">
      <alignment horizontal="right" vertical="center"/>
    </xf>
    <xf numFmtId="168" fontId="22" fillId="32" borderId="35" xfId="13" applyNumberFormat="1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41" xfId="0" applyFont="1" applyFill="1" applyBorder="1" applyAlignment="1" applyProtection="1">
      <alignment horizontal="center" vertical="center" wrapText="1"/>
    </xf>
    <xf numFmtId="168" fontId="0" fillId="29" borderId="16" xfId="13" applyNumberFormat="1" applyFont="1" applyFill="1" applyBorder="1" applyAlignment="1" applyProtection="1">
      <alignment vertical="center"/>
    </xf>
    <xf numFmtId="168" fontId="0" fillId="29" borderId="3" xfId="13" applyNumberFormat="1" applyFont="1" applyFill="1" applyBorder="1" applyAlignment="1" applyProtection="1">
      <alignment vertical="center"/>
    </xf>
    <xf numFmtId="168" fontId="12" fillId="29" borderId="36" xfId="13" applyNumberFormat="1" applyFont="1" applyFill="1" applyBorder="1" applyAlignment="1" applyProtection="1">
      <alignment vertical="center"/>
    </xf>
    <xf numFmtId="0" fontId="23" fillId="0" borderId="91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7" fontId="12" fillId="26" borderId="41" xfId="0" applyNumberFormat="1" applyFont="1" applyFill="1" applyBorder="1" applyAlignment="1" applyProtection="1">
      <alignment horizontal="center" vertical="center"/>
    </xf>
    <xf numFmtId="170" fontId="12" fillId="19" borderId="41" xfId="16" applyNumberFormat="1" applyFont="1" applyFill="1" applyBorder="1" applyAlignment="1" applyProtection="1">
      <alignment horizontal="center" vertical="center"/>
    </xf>
    <xf numFmtId="0" fontId="12" fillId="16" borderId="65" xfId="0" applyFont="1" applyFill="1" applyBorder="1" applyAlignment="1" applyProtection="1">
      <alignment horizontal="center" vertical="center" wrapText="1"/>
    </xf>
    <xf numFmtId="177" fontId="0" fillId="26" borderId="41" xfId="0" applyNumberFormat="1" applyFont="1" applyFill="1" applyBorder="1" applyAlignment="1" applyProtection="1">
      <alignment horizontal="center" vertical="center"/>
    </xf>
    <xf numFmtId="168" fontId="0" fillId="29" borderId="100" xfId="13" applyNumberFormat="1" applyFont="1" applyFill="1" applyBorder="1" applyAlignment="1" applyProtection="1">
      <alignment vertical="center"/>
    </xf>
    <xf numFmtId="168" fontId="12" fillId="0" borderId="3" xfId="13" applyNumberFormat="1" applyFont="1" applyFill="1" applyBorder="1" applyAlignment="1" applyProtection="1">
      <alignment vertical="center"/>
    </xf>
    <xf numFmtId="168" fontId="0" fillId="29" borderId="102" xfId="13" applyNumberFormat="1" applyFont="1" applyFill="1" applyBorder="1" applyAlignment="1" applyProtection="1">
      <alignment vertical="center"/>
    </xf>
    <xf numFmtId="168" fontId="12" fillId="15" borderId="104" xfId="0" applyNumberFormat="1" applyFont="1" applyFill="1" applyBorder="1" applyAlignment="1" applyProtection="1">
      <alignment horizontal="center" vertical="center" wrapText="1"/>
    </xf>
    <xf numFmtId="168" fontId="0" fillId="10" borderId="100" xfId="13" applyNumberFormat="1" applyFont="1" applyFill="1" applyBorder="1" applyAlignment="1" applyProtection="1">
      <alignment horizontal="right" vertical="center"/>
    </xf>
    <xf numFmtId="168" fontId="0" fillId="10" borderId="107" xfId="13" applyNumberFormat="1" applyFont="1" applyFill="1" applyBorder="1" applyAlignment="1" applyProtection="1">
      <alignment horizontal="right" vertical="center"/>
    </xf>
    <xf numFmtId="169" fontId="14" fillId="19" borderId="11" xfId="16" applyFont="1" applyFill="1" applyBorder="1" applyAlignment="1" applyProtection="1">
      <alignment horizontal="center" vertical="center"/>
    </xf>
    <xf numFmtId="168" fontId="12" fillId="40" borderId="16" xfId="0" applyNumberFormat="1" applyFont="1" applyFill="1" applyBorder="1" applyAlignment="1" applyProtection="1">
      <alignment vertical="center"/>
    </xf>
    <xf numFmtId="168" fontId="12" fillId="40" borderId="16" xfId="13" applyNumberFormat="1" applyFont="1" applyFill="1" applyBorder="1" applyAlignment="1" applyProtection="1">
      <alignment vertical="center"/>
    </xf>
    <xf numFmtId="168" fontId="12" fillId="40" borderId="50" xfId="13" applyNumberFormat="1" applyFont="1" applyFill="1" applyBorder="1" applyAlignment="1" applyProtection="1">
      <alignment vertical="center"/>
    </xf>
    <xf numFmtId="168" fontId="12" fillId="40" borderId="38" xfId="13" applyNumberFormat="1" applyFont="1" applyFill="1" applyBorder="1" applyAlignment="1" applyProtection="1">
      <alignment vertical="center"/>
    </xf>
    <xf numFmtId="168" fontId="12" fillId="40" borderId="38" xfId="13" applyNumberFormat="1" applyFont="1" applyFill="1" applyBorder="1" applyAlignment="1" applyProtection="1">
      <alignment horizontal="right" vertical="center"/>
    </xf>
    <xf numFmtId="168" fontId="12" fillId="40" borderId="103" xfId="13" applyNumberFormat="1" applyFont="1" applyFill="1" applyBorder="1" applyAlignment="1" applyProtection="1">
      <alignment horizontal="right" vertical="center"/>
    </xf>
    <xf numFmtId="168" fontId="12" fillId="40" borderId="51" xfId="0" applyNumberFormat="1" applyFont="1" applyFill="1" applyBorder="1" applyAlignment="1" applyProtection="1">
      <alignment vertical="center"/>
    </xf>
    <xf numFmtId="168" fontId="12" fillId="41" borderId="3" xfId="13" applyNumberFormat="1" applyFont="1" applyFill="1" applyBorder="1" applyAlignment="1" applyProtection="1">
      <alignment vertical="center"/>
    </xf>
    <xf numFmtId="168" fontId="12" fillId="42" borderId="3" xfId="13" applyNumberFormat="1" applyFont="1" applyFill="1" applyBorder="1" applyAlignment="1" applyProtection="1">
      <alignment vertical="center"/>
    </xf>
    <xf numFmtId="168" fontId="22" fillId="15" borderId="14" xfId="13" applyNumberFormat="1" applyFont="1" applyFill="1" applyBorder="1" applyAlignment="1" applyProtection="1">
      <alignment vertical="center"/>
    </xf>
    <xf numFmtId="168" fontId="22" fillId="15" borderId="57" xfId="13" applyNumberFormat="1" applyFont="1" applyFill="1" applyBorder="1" applyAlignment="1" applyProtection="1">
      <alignment vertical="center"/>
    </xf>
    <xf numFmtId="167" fontId="12" fillId="32" borderId="117" xfId="13" applyNumberFormat="1" applyFont="1" applyFill="1" applyBorder="1" applyAlignment="1" applyProtection="1">
      <alignment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8" fontId="0" fillId="0" borderId="0" xfId="13" applyNumberFormat="1" applyFont="1" applyFill="1" applyBorder="1" applyAlignment="1" applyProtection="1">
      <alignment vertical="center"/>
    </xf>
    <xf numFmtId="178" fontId="0" fillId="0" borderId="0" xfId="13" applyNumberFormat="1" applyFont="1" applyFill="1" applyBorder="1" applyProtection="1"/>
    <xf numFmtId="178" fontId="0" fillId="29" borderId="110" xfId="13" applyNumberFormat="1" applyFont="1" applyFill="1" applyBorder="1" applyAlignment="1" applyProtection="1">
      <alignment vertical="center"/>
    </xf>
    <xf numFmtId="178" fontId="0" fillId="29" borderId="83" xfId="13" applyNumberFormat="1" applyFont="1" applyFill="1" applyBorder="1" applyAlignment="1" applyProtection="1">
      <alignment vertical="center"/>
    </xf>
    <xf numFmtId="0" fontId="0" fillId="12" borderId="67" xfId="0" applyFont="1" applyFill="1" applyBorder="1" applyAlignment="1" applyProtection="1">
      <alignment horizontal="left" vertical="center"/>
      <protection locked="0"/>
    </xf>
    <xf numFmtId="0" fontId="0" fillId="12" borderId="79" xfId="0" applyFont="1" applyFill="1" applyBorder="1" applyAlignment="1" applyProtection="1">
      <alignment horizontal="left" vertical="center"/>
      <protection locked="0"/>
    </xf>
    <xf numFmtId="0" fontId="0" fillId="12" borderId="32" xfId="0" applyFont="1" applyFill="1" applyBorder="1" applyAlignment="1" applyProtection="1">
      <alignment horizontal="left" vertical="center"/>
      <protection locked="0"/>
    </xf>
    <xf numFmtId="0" fontId="0" fillId="12" borderId="43" xfId="0" applyFont="1" applyFill="1" applyBorder="1" applyAlignment="1" applyProtection="1">
      <alignment horizontal="left" vertical="center"/>
      <protection locked="0"/>
    </xf>
    <xf numFmtId="0" fontId="0" fillId="12" borderId="43" xfId="0" applyFont="1" applyFill="1" applyBorder="1" applyProtection="1">
      <protection locked="0"/>
    </xf>
    <xf numFmtId="169" fontId="13" fillId="0" borderId="41" xfId="16" applyBorder="1" applyAlignment="1" applyProtection="1">
      <alignment horizontal="center" vertical="center"/>
    </xf>
    <xf numFmtId="169" fontId="13" fillId="0" borderId="0" xfId="16" applyFill="1" applyBorder="1" applyAlignment="1" applyProtection="1">
      <alignment horizontal="center" vertical="center"/>
    </xf>
    <xf numFmtId="169" fontId="12" fillId="16" borderId="41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8" fontId="12" fillId="15" borderId="115" xfId="0" applyNumberFormat="1" applyFont="1" applyFill="1" applyBorder="1" applyAlignment="1" applyProtection="1">
      <alignment horizontal="center" vertical="center" wrapText="1"/>
    </xf>
    <xf numFmtId="168" fontId="12" fillId="15" borderId="116" xfId="0" applyNumberFormat="1" applyFont="1" applyFill="1" applyBorder="1" applyAlignment="1" applyProtection="1">
      <alignment horizontal="center" vertical="center" wrapText="1"/>
    </xf>
    <xf numFmtId="168" fontId="12" fillId="35" borderId="116" xfId="0" applyNumberFormat="1" applyFont="1" applyFill="1" applyBorder="1" applyAlignment="1" applyProtection="1">
      <alignment horizontal="center" vertical="center" wrapText="1"/>
    </xf>
    <xf numFmtId="168" fontId="12" fillId="40" borderId="114" xfId="13" applyNumberFormat="1" applyFont="1" applyFill="1" applyBorder="1" applyAlignment="1" applyProtection="1">
      <alignment vertical="center"/>
    </xf>
    <xf numFmtId="168" fontId="12" fillId="40" borderId="100" xfId="13" applyNumberFormat="1" applyFont="1" applyFill="1" applyBorder="1" applyAlignment="1" applyProtection="1">
      <alignment horizontal="right" vertical="center"/>
    </xf>
    <xf numFmtId="168" fontId="0" fillId="10" borderId="26" xfId="13" applyNumberFormat="1" applyFont="1" applyFill="1" applyBorder="1" applyAlignment="1" applyProtection="1">
      <alignment horizontal="right" vertical="center"/>
    </xf>
    <xf numFmtId="168" fontId="12" fillId="40" borderId="89" xfId="13" applyNumberFormat="1" applyFont="1" applyFill="1" applyBorder="1" applyAlignment="1" applyProtection="1">
      <alignment horizontal="right" vertical="center"/>
    </xf>
    <xf numFmtId="168" fontId="13" fillId="44" borderId="118" xfId="13" applyNumberFormat="1" applyFont="1" applyFill="1" applyBorder="1" applyAlignment="1" applyProtection="1">
      <alignment vertical="center"/>
    </xf>
    <xf numFmtId="173" fontId="0" fillId="12" borderId="118" xfId="12" applyNumberFormat="1" applyFont="1" applyFill="1" applyBorder="1" applyAlignment="1" applyProtection="1">
      <alignment vertical="center"/>
      <protection locked="0"/>
    </xf>
    <xf numFmtId="168" fontId="12" fillId="40" borderId="118" xfId="13" applyNumberFormat="1" applyFont="1" applyFill="1" applyBorder="1" applyAlignment="1" applyProtection="1">
      <alignment vertical="center"/>
    </xf>
    <xf numFmtId="168" fontId="12" fillId="35" borderId="121" xfId="0" applyNumberFormat="1" applyFont="1" applyFill="1" applyBorder="1" applyAlignment="1" applyProtection="1">
      <alignment horizontal="center" vertical="center" wrapText="1"/>
    </xf>
    <xf numFmtId="168" fontId="12" fillId="15" borderId="121" xfId="0" applyNumberFormat="1" applyFont="1" applyFill="1" applyBorder="1" applyAlignment="1" applyProtection="1">
      <alignment horizontal="center" vertical="center" wrapText="1"/>
    </xf>
    <xf numFmtId="168" fontId="12" fillId="15" borderId="122" xfId="0" applyNumberFormat="1" applyFont="1" applyFill="1" applyBorder="1" applyAlignment="1" applyProtection="1">
      <alignment horizontal="center" vertical="center" wrapText="1"/>
    </xf>
    <xf numFmtId="168" fontId="12" fillId="35" borderId="124" xfId="0" applyNumberFormat="1" applyFont="1" applyFill="1" applyBorder="1" applyAlignment="1" applyProtection="1">
      <alignment horizontal="center" vertical="center" wrapText="1"/>
    </xf>
    <xf numFmtId="168" fontId="12" fillId="35" borderId="125" xfId="0" applyNumberFormat="1" applyFont="1" applyFill="1" applyBorder="1" applyAlignment="1" applyProtection="1">
      <alignment horizontal="center" vertical="center" wrapText="1"/>
    </xf>
    <xf numFmtId="0" fontId="23" fillId="37" borderId="31" xfId="0" applyFont="1" applyFill="1" applyBorder="1" applyAlignment="1" applyProtection="1">
      <alignment horizontal="center" vertical="center" wrapText="1"/>
    </xf>
    <xf numFmtId="0" fontId="0" fillId="12" borderId="127" xfId="0" applyFont="1" applyFill="1" applyBorder="1" applyProtection="1">
      <protection locked="0"/>
    </xf>
    <xf numFmtId="178" fontId="0" fillId="29" borderId="132" xfId="13" applyNumberFormat="1" applyFont="1" applyFill="1" applyBorder="1" applyAlignment="1" applyProtection="1">
      <alignment vertical="center"/>
    </xf>
    <xf numFmtId="178" fontId="0" fillId="29" borderId="133" xfId="13" applyNumberFormat="1" applyFont="1" applyFill="1" applyBorder="1" applyAlignment="1" applyProtection="1">
      <alignment vertical="center"/>
    </xf>
    <xf numFmtId="170" fontId="0" fillId="47" borderId="132" xfId="13" applyNumberFormat="1" applyFont="1" applyFill="1" applyBorder="1" applyAlignment="1" applyProtection="1">
      <alignment horizontal="center" vertical="center"/>
    </xf>
    <xf numFmtId="170" fontId="0" fillId="47" borderId="136" xfId="13" applyNumberFormat="1" applyFont="1" applyFill="1" applyBorder="1" applyAlignment="1" applyProtection="1">
      <alignment horizontal="center" vertical="center"/>
    </xf>
    <xf numFmtId="168" fontId="12" fillId="35" borderId="144" xfId="0" applyNumberFormat="1" applyFont="1" applyFill="1" applyBorder="1" applyAlignment="1" applyProtection="1">
      <alignment horizontal="center" vertical="center" wrapText="1"/>
    </xf>
    <xf numFmtId="168" fontId="12" fillId="35" borderId="145" xfId="0" applyNumberFormat="1" applyFont="1" applyFill="1" applyBorder="1" applyAlignment="1" applyProtection="1">
      <alignment horizontal="center" vertical="center" wrapText="1"/>
    </xf>
    <xf numFmtId="168" fontId="12" fillId="35" borderId="146" xfId="0" applyNumberFormat="1" applyFont="1" applyFill="1" applyBorder="1" applyAlignment="1" applyProtection="1">
      <alignment horizontal="center" vertical="center" wrapText="1"/>
    </xf>
    <xf numFmtId="178" fontId="0" fillId="29" borderId="131" xfId="13" applyNumberFormat="1" applyFont="1" applyFill="1" applyBorder="1" applyAlignment="1" applyProtection="1">
      <alignment vertical="center"/>
    </xf>
    <xf numFmtId="168" fontId="12" fillId="35" borderId="138" xfId="0" applyNumberFormat="1" applyFont="1" applyFill="1" applyBorder="1" applyAlignment="1" applyProtection="1">
      <alignment horizontal="center" vertical="center" wrapText="1"/>
    </xf>
    <xf numFmtId="168" fontId="12" fillId="15" borderId="151" xfId="0" applyNumberFormat="1" applyFont="1" applyFill="1" applyBorder="1" applyAlignment="1" applyProtection="1">
      <alignment horizontal="center" vertical="center" wrapText="1"/>
    </xf>
    <xf numFmtId="168" fontId="12" fillId="15" borderId="152" xfId="0" applyNumberFormat="1" applyFont="1" applyFill="1" applyBorder="1" applyAlignment="1" applyProtection="1">
      <alignment horizontal="center" vertical="center" wrapText="1"/>
    </xf>
    <xf numFmtId="168" fontId="12" fillId="15" borderId="153" xfId="0" applyNumberFormat="1" applyFont="1" applyFill="1" applyBorder="1" applyAlignment="1" applyProtection="1">
      <alignment horizontal="center" vertical="center" wrapText="1"/>
    </xf>
    <xf numFmtId="168" fontId="12" fillId="15" borderId="146" xfId="0" applyNumberFormat="1" applyFont="1" applyFill="1" applyBorder="1" applyAlignment="1" applyProtection="1">
      <alignment horizontal="center" vertical="center" wrapText="1"/>
    </xf>
    <xf numFmtId="170" fontId="0" fillId="47" borderId="154" xfId="13" applyNumberFormat="1" applyFont="1" applyFill="1" applyBorder="1" applyAlignment="1" applyProtection="1">
      <alignment horizontal="center" vertical="center"/>
    </xf>
    <xf numFmtId="178" fontId="0" fillId="29" borderId="156" xfId="13" applyNumberFormat="1" applyFont="1" applyFill="1" applyBorder="1" applyAlignment="1" applyProtection="1">
      <alignment vertical="center"/>
    </xf>
    <xf numFmtId="178" fontId="0" fillId="29" borderId="159" xfId="13" applyNumberFormat="1" applyFont="1" applyFill="1" applyBorder="1" applyAlignment="1" applyProtection="1">
      <alignment vertical="center"/>
    </xf>
    <xf numFmtId="178" fontId="0" fillId="29" borderId="160" xfId="13" applyNumberFormat="1" applyFont="1" applyFill="1" applyBorder="1" applyAlignment="1" applyProtection="1">
      <alignment vertical="center"/>
    </xf>
    <xf numFmtId="178" fontId="0" fillId="29" borderId="134" xfId="13" applyNumberFormat="1" applyFont="1" applyFill="1" applyBorder="1" applyAlignment="1" applyProtection="1">
      <alignment vertical="center"/>
    </xf>
    <xf numFmtId="178" fontId="0" fillId="29" borderId="154" xfId="13" applyNumberFormat="1" applyFont="1" applyFill="1" applyBorder="1" applyAlignment="1" applyProtection="1">
      <alignment vertical="center"/>
    </xf>
    <xf numFmtId="178" fontId="0" fillId="29" borderId="155" xfId="13" applyNumberFormat="1" applyFont="1" applyFill="1" applyBorder="1" applyAlignment="1" applyProtection="1">
      <alignment vertical="center"/>
    </xf>
    <xf numFmtId="168" fontId="12" fillId="15" borderId="163" xfId="0" applyNumberFormat="1" applyFont="1" applyFill="1" applyBorder="1" applyAlignment="1" applyProtection="1">
      <alignment horizontal="center" vertical="center" wrapText="1"/>
    </xf>
    <xf numFmtId="168" fontId="12" fillId="15" borderId="164" xfId="0" applyNumberFormat="1" applyFont="1" applyFill="1" applyBorder="1" applyAlignment="1" applyProtection="1">
      <alignment horizontal="center" vertical="center" wrapText="1"/>
    </xf>
    <xf numFmtId="168" fontId="12" fillId="15" borderId="166" xfId="0" applyNumberFormat="1" applyFont="1" applyFill="1" applyBorder="1" applyAlignment="1" applyProtection="1">
      <alignment horizontal="center" vertical="center" wrapText="1"/>
    </xf>
    <xf numFmtId="168" fontId="12" fillId="15" borderId="167" xfId="0" applyNumberFormat="1" applyFont="1" applyFill="1" applyBorder="1" applyAlignment="1" applyProtection="1">
      <alignment horizontal="center" vertical="center" wrapText="1"/>
    </xf>
    <xf numFmtId="168" fontId="12" fillId="35" borderId="168" xfId="0" applyNumberFormat="1" applyFont="1" applyFill="1" applyBorder="1" applyAlignment="1" applyProtection="1">
      <alignment horizontal="center" vertical="center" wrapText="1"/>
    </xf>
    <xf numFmtId="168" fontId="12" fillId="35" borderId="166" xfId="0" applyNumberFormat="1" applyFont="1" applyFill="1" applyBorder="1" applyAlignment="1" applyProtection="1">
      <alignment horizontal="center" vertical="center" wrapText="1"/>
    </xf>
    <xf numFmtId="168" fontId="12" fillId="35" borderId="169" xfId="0" applyNumberFormat="1" applyFont="1" applyFill="1" applyBorder="1" applyAlignment="1" applyProtection="1">
      <alignment horizontal="center" vertical="center" wrapText="1"/>
    </xf>
    <xf numFmtId="178" fontId="0" fillId="29" borderId="92" xfId="13" applyNumberFormat="1" applyFont="1" applyFill="1" applyBorder="1" applyAlignment="1" applyProtection="1">
      <alignment vertical="center"/>
    </xf>
    <xf numFmtId="178" fontId="0" fillId="29" borderId="170" xfId="13" applyNumberFormat="1" applyFont="1" applyFill="1" applyBorder="1" applyAlignment="1" applyProtection="1">
      <alignment vertical="center"/>
    </xf>
    <xf numFmtId="178" fontId="0" fillId="29" borderId="172" xfId="13" applyNumberFormat="1" applyFont="1" applyFill="1" applyBorder="1" applyAlignment="1" applyProtection="1">
      <alignment vertical="center"/>
    </xf>
    <xf numFmtId="178" fontId="0" fillId="29" borderId="173" xfId="13" applyNumberFormat="1" applyFont="1" applyFill="1" applyBorder="1" applyAlignment="1" applyProtection="1">
      <alignment vertical="center"/>
    </xf>
    <xf numFmtId="178" fontId="0" fillId="29" borderId="175" xfId="13" applyNumberFormat="1" applyFont="1" applyFill="1" applyBorder="1" applyAlignment="1" applyProtection="1">
      <alignment vertical="center"/>
    </xf>
    <xf numFmtId="178" fontId="0" fillId="29" borderId="176" xfId="13" applyNumberFormat="1" applyFont="1" applyFill="1" applyBorder="1" applyAlignment="1" applyProtection="1">
      <alignment vertical="center"/>
    </xf>
    <xf numFmtId="170" fontId="0" fillId="12" borderId="131" xfId="13" applyNumberFormat="1" applyFont="1" applyFill="1" applyBorder="1" applyAlignment="1" applyProtection="1">
      <alignment horizontal="center" vertical="center"/>
      <protection locked="0"/>
    </xf>
    <xf numFmtId="178" fontId="0" fillId="0" borderId="0" xfId="0" applyNumberFormat="1" applyFont="1" applyBorder="1" applyProtection="1"/>
    <xf numFmtId="168" fontId="12" fillId="35" borderId="177" xfId="0" applyNumberFormat="1" applyFont="1" applyFill="1" applyBorder="1" applyAlignment="1" applyProtection="1">
      <alignment horizontal="center" vertical="center" wrapText="1"/>
    </xf>
    <xf numFmtId="168" fontId="12" fillId="35" borderId="178" xfId="0" applyNumberFormat="1" applyFont="1" applyFill="1" applyBorder="1" applyAlignment="1" applyProtection="1">
      <alignment horizontal="center" vertical="center" wrapText="1"/>
    </xf>
    <xf numFmtId="168" fontId="12" fillId="35" borderId="179" xfId="0" applyNumberFormat="1" applyFont="1" applyFill="1" applyBorder="1" applyAlignment="1" applyProtection="1">
      <alignment horizontal="center" vertical="center" wrapText="1"/>
    </xf>
    <xf numFmtId="0" fontId="12" fillId="16" borderId="180" xfId="0" applyFont="1" applyFill="1" applyBorder="1" applyAlignment="1" applyProtection="1">
      <alignment horizontal="center" vertical="center" wrapText="1"/>
    </xf>
    <xf numFmtId="168" fontId="22" fillId="32" borderId="177" xfId="13" applyNumberFormat="1" applyFont="1" applyFill="1" applyBorder="1" applyAlignment="1" applyProtection="1">
      <alignment vertical="center" wrapText="1"/>
    </xf>
    <xf numFmtId="168" fontId="22" fillId="32" borderId="178" xfId="13" applyNumberFormat="1" applyFont="1" applyFill="1" applyBorder="1" applyAlignment="1" applyProtection="1">
      <alignment vertical="center" wrapText="1"/>
    </xf>
    <xf numFmtId="168" fontId="22" fillId="32" borderId="188" xfId="13" applyNumberFormat="1" applyFont="1" applyFill="1" applyBorder="1" applyAlignment="1" applyProtection="1">
      <alignment vertical="center" wrapText="1"/>
    </xf>
    <xf numFmtId="168" fontId="22" fillId="32" borderId="189" xfId="13" applyNumberFormat="1" applyFont="1" applyFill="1" applyBorder="1" applyAlignment="1" applyProtection="1">
      <alignment vertical="center" wrapText="1"/>
    </xf>
    <xf numFmtId="168" fontId="22" fillId="32" borderId="179" xfId="13" applyNumberFormat="1" applyFont="1" applyFill="1" applyBorder="1" applyAlignment="1" applyProtection="1">
      <alignment vertical="center" wrapText="1"/>
    </xf>
    <xf numFmtId="168" fontId="0" fillId="0" borderId="172" xfId="0" applyNumberFormat="1" applyFont="1" applyFill="1" applyBorder="1" applyAlignment="1" applyProtection="1">
      <alignment vertical="center"/>
    </xf>
    <xf numFmtId="168" fontId="0" fillId="0" borderId="172" xfId="13" applyNumberFormat="1" applyFont="1" applyFill="1" applyBorder="1" applyAlignment="1" applyProtection="1">
      <alignment vertical="center"/>
    </xf>
    <xf numFmtId="168" fontId="0" fillId="10" borderId="172" xfId="13" applyNumberFormat="1" applyFont="1" applyFill="1" applyBorder="1" applyAlignment="1" applyProtection="1">
      <alignment horizontal="right" vertical="center"/>
    </xf>
    <xf numFmtId="168" fontId="13" fillId="46" borderId="172" xfId="13" applyNumberFormat="1" applyFont="1" applyFill="1" applyBorder="1" applyAlignment="1" applyProtection="1">
      <alignment vertical="center"/>
    </xf>
    <xf numFmtId="173" fontId="0" fillId="0" borderId="172" xfId="12" applyNumberFormat="1" applyFont="1" applyFill="1" applyBorder="1" applyAlignment="1" applyProtection="1">
      <alignment vertical="center"/>
    </xf>
    <xf numFmtId="168" fontId="12" fillId="40" borderId="172" xfId="0" applyNumberFormat="1" applyFont="1" applyFill="1" applyBorder="1" applyAlignment="1" applyProtection="1">
      <alignment vertical="center"/>
    </xf>
    <xf numFmtId="168" fontId="12" fillId="40" borderId="172" xfId="13" applyNumberFormat="1" applyFont="1" applyFill="1" applyBorder="1" applyAlignment="1" applyProtection="1">
      <alignment vertical="center"/>
    </xf>
    <xf numFmtId="168" fontId="12" fillId="40" borderId="172" xfId="13" applyNumberFormat="1" applyFont="1" applyFill="1" applyBorder="1" applyAlignment="1" applyProtection="1">
      <alignment horizontal="right" vertical="center"/>
    </xf>
    <xf numFmtId="168" fontId="22" fillId="32" borderId="172" xfId="13" applyNumberFormat="1" applyFont="1" applyFill="1" applyBorder="1" applyAlignment="1" applyProtection="1">
      <alignment vertical="center" wrapText="1"/>
    </xf>
    <xf numFmtId="168" fontId="13" fillId="0" borderId="172" xfId="13" applyNumberFormat="1" applyFont="1" applyFill="1" applyBorder="1" applyAlignment="1" applyProtection="1">
      <alignment vertical="center"/>
    </xf>
    <xf numFmtId="168" fontId="12" fillId="35" borderId="167" xfId="0" applyNumberFormat="1" applyFont="1" applyFill="1" applyBorder="1" applyAlignment="1" applyProtection="1">
      <alignment horizontal="center" vertical="center" wrapText="1"/>
    </xf>
    <xf numFmtId="168" fontId="12" fillId="40" borderId="190" xfId="13" applyNumberFormat="1" applyFont="1" applyFill="1" applyBorder="1" applyAlignment="1" applyProtection="1">
      <alignment vertical="center"/>
    </xf>
    <xf numFmtId="168" fontId="12" fillId="40" borderId="171" xfId="13" applyNumberFormat="1" applyFont="1" applyFill="1" applyBorder="1" applyAlignment="1" applyProtection="1">
      <alignment vertical="center"/>
    </xf>
    <xf numFmtId="168" fontId="22" fillId="32" borderId="171" xfId="13" applyNumberFormat="1" applyFont="1" applyFill="1" applyBorder="1" applyAlignment="1" applyProtection="1">
      <alignment vertical="center" wrapText="1"/>
    </xf>
    <xf numFmtId="168" fontId="0" fillId="10" borderId="193" xfId="13" applyNumberFormat="1" applyFont="1" applyFill="1" applyBorder="1" applyAlignment="1" applyProtection="1">
      <alignment horizontal="right" vertical="center"/>
    </xf>
    <xf numFmtId="168" fontId="0" fillId="10" borderId="194" xfId="13" applyNumberFormat="1" applyFont="1" applyFill="1" applyBorder="1" applyAlignment="1" applyProtection="1">
      <alignment horizontal="right" vertical="center"/>
    </xf>
    <xf numFmtId="168" fontId="12" fillId="40" borderId="193" xfId="13" applyNumberFormat="1" applyFont="1" applyFill="1" applyBorder="1" applyAlignment="1" applyProtection="1">
      <alignment horizontal="right" vertical="center"/>
    </xf>
    <xf numFmtId="168" fontId="0" fillId="10" borderId="195" xfId="13" applyNumberFormat="1" applyFont="1" applyFill="1" applyBorder="1" applyAlignment="1" applyProtection="1">
      <alignment horizontal="right" vertical="center"/>
    </xf>
    <xf numFmtId="168" fontId="12" fillId="40" borderId="195" xfId="13" applyNumberFormat="1" applyFont="1" applyFill="1" applyBorder="1" applyAlignment="1" applyProtection="1">
      <alignment horizontal="right" vertical="center"/>
    </xf>
    <xf numFmtId="168" fontId="22" fillId="32" borderId="195" xfId="13" applyNumberFormat="1" applyFont="1" applyFill="1" applyBorder="1" applyAlignment="1" applyProtection="1">
      <alignment vertical="center" wrapText="1"/>
    </xf>
    <xf numFmtId="168" fontId="12" fillId="35" borderId="163" xfId="0" applyNumberFormat="1" applyFont="1" applyFill="1" applyBorder="1" applyAlignment="1" applyProtection="1">
      <alignment horizontal="center" vertical="center" wrapText="1"/>
    </xf>
    <xf numFmtId="168" fontId="12" fillId="35" borderId="164" xfId="0" applyNumberFormat="1" applyFont="1" applyFill="1" applyBorder="1" applyAlignment="1" applyProtection="1">
      <alignment horizontal="center" vertical="center" wrapText="1"/>
    </xf>
    <xf numFmtId="168" fontId="12" fillId="35" borderId="165" xfId="0" applyNumberFormat="1" applyFont="1" applyFill="1" applyBorder="1" applyAlignment="1" applyProtection="1">
      <alignment horizontal="center" vertical="center" wrapText="1"/>
    </xf>
    <xf numFmtId="168" fontId="13" fillId="0" borderId="199" xfId="13" applyNumberFormat="1" applyFont="1" applyFill="1" applyBorder="1" applyAlignment="1" applyProtection="1">
      <alignment vertical="center"/>
    </xf>
    <xf numFmtId="168" fontId="13" fillId="0" borderId="200" xfId="13" applyNumberFormat="1" applyFont="1" applyFill="1" applyBorder="1" applyAlignment="1" applyProtection="1">
      <alignment vertical="center"/>
    </xf>
    <xf numFmtId="168" fontId="13" fillId="0" borderId="201" xfId="13" applyNumberFormat="1" applyFont="1" applyFill="1" applyBorder="1" applyAlignment="1" applyProtection="1">
      <alignment vertical="center"/>
    </xf>
    <xf numFmtId="173" fontId="0" fillId="0" borderId="202" xfId="12" applyNumberFormat="1" applyFont="1" applyFill="1" applyBorder="1" applyAlignment="1" applyProtection="1">
      <alignment vertical="center"/>
    </xf>
    <xf numFmtId="173" fontId="0" fillId="0" borderId="164" xfId="12" applyNumberFormat="1" applyFont="1" applyFill="1" applyBorder="1" applyAlignment="1" applyProtection="1">
      <alignment vertical="center"/>
    </xf>
    <xf numFmtId="173" fontId="0" fillId="0" borderId="203" xfId="12" applyNumberFormat="1" applyFont="1" applyFill="1" applyBorder="1" applyAlignment="1" applyProtection="1">
      <alignment vertical="center"/>
    </xf>
    <xf numFmtId="168" fontId="12" fillId="40" borderId="199" xfId="13" applyNumberFormat="1" applyFont="1" applyFill="1" applyBorder="1" applyAlignment="1" applyProtection="1">
      <alignment vertical="center"/>
    </xf>
    <xf numFmtId="168" fontId="12" fillId="40" borderId="200" xfId="13" applyNumberFormat="1" applyFont="1" applyFill="1" applyBorder="1" applyAlignment="1" applyProtection="1">
      <alignment vertical="center"/>
    </xf>
    <xf numFmtId="168" fontId="12" fillId="40" borderId="201" xfId="13" applyNumberFormat="1" applyFont="1" applyFill="1" applyBorder="1" applyAlignment="1" applyProtection="1">
      <alignment vertical="center"/>
    </xf>
    <xf numFmtId="168" fontId="0" fillId="0" borderId="204" xfId="13" applyNumberFormat="1" applyFont="1" applyFill="1" applyBorder="1" applyAlignment="1" applyProtection="1">
      <alignment vertical="center"/>
    </xf>
    <xf numFmtId="168" fontId="0" fillId="0" borderId="205" xfId="13" applyNumberFormat="1" applyFont="1" applyFill="1" applyBorder="1" applyAlignment="1" applyProtection="1">
      <alignment vertical="center"/>
    </xf>
    <xf numFmtId="173" fontId="0" fillId="0" borderId="199" xfId="12" applyNumberFormat="1" applyFont="1" applyFill="1" applyBorder="1" applyAlignment="1" applyProtection="1">
      <alignment vertical="center"/>
    </xf>
    <xf numFmtId="173" fontId="0" fillId="0" borderId="200" xfId="12" applyNumberFormat="1" applyFont="1" applyFill="1" applyBorder="1" applyAlignment="1" applyProtection="1">
      <alignment vertical="center"/>
    </xf>
    <xf numFmtId="173" fontId="0" fillId="0" borderId="201" xfId="12" applyNumberFormat="1" applyFont="1" applyFill="1" applyBorder="1" applyAlignment="1" applyProtection="1">
      <alignment vertical="center"/>
    </xf>
    <xf numFmtId="168" fontId="22" fillId="32" borderId="206" xfId="13" applyNumberFormat="1" applyFont="1" applyFill="1" applyBorder="1" applyAlignment="1" applyProtection="1">
      <alignment vertical="center" wrapText="1"/>
    </xf>
    <xf numFmtId="168" fontId="22" fillId="32" borderId="207" xfId="13" applyNumberFormat="1" applyFont="1" applyFill="1" applyBorder="1" applyAlignment="1" applyProtection="1">
      <alignment vertical="center" wrapText="1"/>
    </xf>
    <xf numFmtId="168" fontId="0" fillId="0" borderId="206" xfId="13" applyNumberFormat="1" applyFont="1" applyFill="1" applyBorder="1" applyAlignment="1" applyProtection="1">
      <alignment vertical="center"/>
    </xf>
    <xf numFmtId="168" fontId="0" fillId="0" borderId="208" xfId="13" applyNumberFormat="1" applyFont="1" applyFill="1" applyBorder="1" applyAlignment="1" applyProtection="1">
      <alignment vertical="center"/>
    </xf>
    <xf numFmtId="173" fontId="0" fillId="0" borderId="163" xfId="12" applyNumberFormat="1" applyFont="1" applyFill="1" applyBorder="1" applyAlignment="1" applyProtection="1">
      <alignment vertical="center"/>
    </xf>
    <xf numFmtId="173" fontId="0" fillId="0" borderId="165" xfId="12" applyNumberFormat="1" applyFont="1" applyFill="1" applyBorder="1" applyAlignment="1" applyProtection="1">
      <alignment vertical="center"/>
    </xf>
    <xf numFmtId="168" fontId="12" fillId="40" borderId="209" xfId="13" applyNumberFormat="1" applyFont="1" applyFill="1" applyBorder="1" applyAlignment="1" applyProtection="1">
      <alignment vertical="center"/>
    </xf>
    <xf numFmtId="168" fontId="12" fillId="40" borderId="210" xfId="13" applyNumberFormat="1" applyFont="1" applyFill="1" applyBorder="1" applyAlignment="1" applyProtection="1">
      <alignment vertical="center"/>
    </xf>
    <xf numFmtId="173" fontId="0" fillId="0" borderId="209" xfId="12" applyNumberFormat="1" applyFont="1" applyFill="1" applyBorder="1" applyAlignment="1" applyProtection="1">
      <alignment vertical="center"/>
    </xf>
    <xf numFmtId="173" fontId="0" fillId="0" borderId="210" xfId="12" applyNumberFormat="1" applyFont="1" applyFill="1" applyBorder="1" applyAlignment="1" applyProtection="1">
      <alignment vertical="center"/>
    </xf>
    <xf numFmtId="168" fontId="22" fillId="32" borderId="98" xfId="13" applyNumberFormat="1" applyFont="1" applyFill="1" applyBorder="1" applyAlignment="1" applyProtection="1">
      <alignment vertical="center" wrapText="1"/>
    </xf>
    <xf numFmtId="168" fontId="22" fillId="32" borderId="211" xfId="13" applyNumberFormat="1" applyFont="1" applyFill="1" applyBorder="1" applyAlignment="1" applyProtection="1">
      <alignment vertical="center" wrapText="1"/>
    </xf>
    <xf numFmtId="168" fontId="0" fillId="0" borderId="170" xfId="13" applyNumberFormat="1" applyFont="1" applyFill="1" applyBorder="1" applyAlignment="1" applyProtection="1">
      <alignment vertical="center"/>
    </xf>
    <xf numFmtId="168" fontId="0" fillId="0" borderId="173" xfId="13" applyNumberFormat="1" applyFont="1" applyFill="1" applyBorder="1" applyAlignment="1" applyProtection="1">
      <alignment vertical="center"/>
    </xf>
    <xf numFmtId="173" fontId="0" fillId="0" borderId="170" xfId="12" applyNumberFormat="1" applyFont="1" applyFill="1" applyBorder="1" applyAlignment="1" applyProtection="1">
      <alignment vertical="center"/>
    </xf>
    <xf numFmtId="173" fontId="0" fillId="0" borderId="173" xfId="12" applyNumberFormat="1" applyFont="1" applyFill="1" applyBorder="1" applyAlignment="1" applyProtection="1">
      <alignment vertical="center"/>
    </xf>
    <xf numFmtId="168" fontId="12" fillId="40" borderId="170" xfId="13" applyNumberFormat="1" applyFont="1" applyFill="1" applyBorder="1" applyAlignment="1" applyProtection="1">
      <alignment vertical="center"/>
    </xf>
    <xf numFmtId="168" fontId="12" fillId="40" borderId="173" xfId="13" applyNumberFormat="1" applyFont="1" applyFill="1" applyBorder="1" applyAlignment="1" applyProtection="1">
      <alignment vertical="center"/>
    </xf>
    <xf numFmtId="168" fontId="22" fillId="32" borderId="170" xfId="13" applyNumberFormat="1" applyFont="1" applyFill="1" applyBorder="1" applyAlignment="1" applyProtection="1">
      <alignment vertical="center" wrapText="1"/>
    </xf>
    <xf numFmtId="168" fontId="22" fillId="32" borderId="173" xfId="13" applyNumberFormat="1" applyFont="1" applyFill="1" applyBorder="1" applyAlignment="1" applyProtection="1">
      <alignment vertical="center" wrapText="1"/>
    </xf>
    <xf numFmtId="168" fontId="13" fillId="0" borderId="170" xfId="13" applyNumberFormat="1" applyFont="1" applyFill="1" applyBorder="1" applyAlignment="1" applyProtection="1">
      <alignment vertical="center"/>
    </xf>
    <xf numFmtId="168" fontId="13" fillId="0" borderId="173" xfId="13" applyNumberFormat="1" applyFont="1" applyFill="1" applyBorder="1" applyAlignment="1" applyProtection="1">
      <alignment vertical="center"/>
    </xf>
    <xf numFmtId="168" fontId="22" fillId="32" borderId="212" xfId="13" applyNumberFormat="1" applyFont="1" applyFill="1" applyBorder="1" applyAlignment="1" applyProtection="1">
      <alignment vertical="center" wrapText="1"/>
    </xf>
    <xf numFmtId="168" fontId="22" fillId="32" borderId="186" xfId="13" applyNumberFormat="1" applyFont="1" applyFill="1" applyBorder="1" applyAlignment="1" applyProtection="1">
      <alignment vertical="center" wrapText="1"/>
    </xf>
    <xf numFmtId="168" fontId="22" fillId="32" borderId="213" xfId="13" applyNumberFormat="1" applyFont="1" applyFill="1" applyBorder="1" applyAlignment="1" applyProtection="1">
      <alignment vertical="center" wrapText="1"/>
    </xf>
    <xf numFmtId="168" fontId="12" fillId="48" borderId="172" xfId="13" applyNumberFormat="1" applyFont="1" applyFill="1" applyBorder="1" applyAlignment="1" applyProtection="1">
      <alignment vertical="center"/>
    </xf>
    <xf numFmtId="168" fontId="12" fillId="48" borderId="171" xfId="13" applyNumberFormat="1" applyFont="1" applyFill="1" applyBorder="1" applyAlignment="1" applyProtection="1">
      <alignment vertical="center"/>
    </xf>
    <xf numFmtId="168" fontId="0" fillId="29" borderId="164" xfId="13" applyNumberFormat="1" applyFont="1" applyFill="1" applyBorder="1" applyAlignment="1" applyProtection="1">
      <alignment vertical="center"/>
    </xf>
    <xf numFmtId="168" fontId="12" fillId="29" borderId="191" xfId="13" applyNumberFormat="1" applyFont="1" applyFill="1" applyBorder="1" applyAlignment="1" applyProtection="1">
      <alignment vertical="center"/>
    </xf>
    <xf numFmtId="168" fontId="12" fillId="29" borderId="10" xfId="13" applyNumberFormat="1" applyFont="1" applyFill="1" applyBorder="1" applyAlignment="1" applyProtection="1">
      <alignment vertical="center"/>
    </xf>
    <xf numFmtId="168" fontId="12" fillId="29" borderId="172" xfId="13" applyNumberFormat="1" applyFont="1" applyFill="1" applyBorder="1" applyAlignment="1" applyProtection="1">
      <alignment vertical="center"/>
    </xf>
    <xf numFmtId="168" fontId="12" fillId="19" borderId="31" xfId="13" applyNumberFormat="1" applyFont="1" applyFill="1" applyBorder="1" applyAlignment="1" applyProtection="1">
      <alignment vertical="center"/>
    </xf>
    <xf numFmtId="168" fontId="12" fillId="0" borderId="31" xfId="13" applyNumberFormat="1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 wrapText="1"/>
    </xf>
    <xf numFmtId="169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178" fontId="0" fillId="12" borderId="217" xfId="13" applyNumberFormat="1" applyFont="1" applyFill="1" applyBorder="1" applyAlignment="1" applyProtection="1">
      <alignment vertical="center"/>
      <protection locked="0"/>
    </xf>
    <xf numFmtId="0" fontId="0" fillId="12" borderId="218" xfId="0" applyFont="1" applyFill="1" applyBorder="1" applyAlignment="1" applyProtection="1">
      <alignment horizontal="left" vertical="center"/>
      <protection locked="0"/>
    </xf>
    <xf numFmtId="0" fontId="0" fillId="12" borderId="218" xfId="0" applyFont="1" applyFill="1" applyBorder="1" applyProtection="1">
      <protection locked="0"/>
    </xf>
    <xf numFmtId="0" fontId="0" fillId="12" borderId="219" xfId="0" applyFont="1" applyFill="1" applyBorder="1" applyProtection="1">
      <protection locked="0"/>
    </xf>
    <xf numFmtId="178" fontId="0" fillId="12" borderId="218" xfId="13" applyNumberFormat="1" applyFont="1" applyFill="1" applyBorder="1" applyAlignment="1" applyProtection="1">
      <alignment vertical="center"/>
      <protection locked="0"/>
    </xf>
    <xf numFmtId="0" fontId="0" fillId="12" borderId="221" xfId="0" applyFont="1" applyFill="1" applyBorder="1" applyProtection="1">
      <protection locked="0"/>
    </xf>
    <xf numFmtId="0" fontId="0" fillId="12" borderId="217" xfId="0" applyFont="1" applyFill="1" applyBorder="1" applyAlignment="1" applyProtection="1">
      <alignment horizontal="left" vertical="center"/>
      <protection locked="0"/>
    </xf>
    <xf numFmtId="0" fontId="0" fillId="12" borderId="217" xfId="0" applyFont="1" applyFill="1" applyBorder="1" applyProtection="1">
      <protection locked="0"/>
    </xf>
    <xf numFmtId="0" fontId="0" fillId="12" borderId="223" xfId="0" applyFont="1" applyFill="1" applyBorder="1" applyProtection="1">
      <protection locked="0"/>
    </xf>
    <xf numFmtId="177" fontId="0" fillId="0" borderId="224" xfId="0" applyNumberFormat="1" applyFont="1" applyFill="1" applyBorder="1" applyAlignment="1" applyProtection="1">
      <alignment horizontal="right" vertical="center"/>
    </xf>
    <xf numFmtId="177" fontId="0" fillId="0" borderId="226" xfId="0" applyNumberFormat="1" applyFont="1" applyFill="1" applyBorder="1" applyAlignment="1" applyProtection="1">
      <alignment horizontal="right" vertical="center"/>
    </xf>
    <xf numFmtId="177" fontId="0" fillId="0" borderId="227" xfId="0" applyNumberFormat="1" applyFont="1" applyFill="1" applyBorder="1" applyAlignment="1" applyProtection="1">
      <alignment horizontal="right" vertical="center"/>
    </xf>
    <xf numFmtId="0" fontId="12" fillId="16" borderId="127" xfId="0" applyFont="1" applyFill="1" applyBorder="1" applyAlignment="1" applyProtection="1">
      <alignment horizontal="center" vertical="center" wrapText="1"/>
    </xf>
    <xf numFmtId="0" fontId="12" fillId="16" borderId="43" xfId="0" applyFont="1" applyFill="1" applyBorder="1" applyAlignment="1" applyProtection="1">
      <alignment horizontal="center" vertical="center" wrapText="1"/>
    </xf>
    <xf numFmtId="0" fontId="12" fillId="16" borderId="87" xfId="0" applyFont="1" applyFill="1" applyBorder="1" applyAlignment="1" applyProtection="1">
      <alignment horizontal="center" vertical="center" wrapText="1"/>
    </xf>
    <xf numFmtId="178" fontId="0" fillId="12" borderId="221" xfId="13" applyNumberFormat="1" applyFont="1" applyFill="1" applyBorder="1" applyAlignment="1" applyProtection="1">
      <alignment vertical="center"/>
      <protection locked="0"/>
    </xf>
    <xf numFmtId="178" fontId="0" fillId="12" borderId="223" xfId="13" applyNumberFormat="1" applyFont="1" applyFill="1" applyBorder="1" applyAlignment="1" applyProtection="1">
      <alignment vertical="center"/>
      <protection locked="0"/>
    </xf>
    <xf numFmtId="178" fontId="0" fillId="12" borderId="219" xfId="13" applyNumberFormat="1" applyFont="1" applyFill="1" applyBorder="1" applyAlignment="1" applyProtection="1">
      <alignment vertical="center"/>
      <protection locked="0"/>
    </xf>
    <xf numFmtId="177" fontId="0" fillId="29" borderId="226" xfId="0" applyNumberFormat="1" applyFont="1" applyFill="1" applyBorder="1" applyAlignment="1" applyProtection="1">
      <alignment horizontal="right" vertical="center"/>
    </xf>
    <xf numFmtId="177" fontId="0" fillId="29" borderId="227" xfId="0" applyNumberFormat="1" applyFont="1" applyFill="1" applyBorder="1" applyAlignment="1" applyProtection="1">
      <alignment horizontal="right" vertical="center"/>
    </xf>
    <xf numFmtId="177" fontId="0" fillId="29" borderId="224" xfId="0" applyNumberFormat="1" applyFont="1" applyFill="1" applyBorder="1" applyAlignment="1" applyProtection="1">
      <alignment horizontal="right" vertical="center"/>
    </xf>
    <xf numFmtId="177" fontId="0" fillId="29" borderId="220" xfId="0" applyNumberFormat="1" applyFont="1" applyFill="1" applyBorder="1" applyAlignment="1" applyProtection="1">
      <alignment horizontal="right" vertical="center"/>
    </xf>
    <xf numFmtId="177" fontId="0" fillId="29" borderId="228" xfId="0" applyNumberFormat="1" applyFont="1" applyFill="1" applyBorder="1" applyAlignment="1" applyProtection="1">
      <alignment horizontal="right" vertical="center"/>
    </xf>
    <xf numFmtId="177" fontId="0" fillId="0" borderId="220" xfId="0" applyNumberFormat="1" applyFont="1" applyFill="1" applyBorder="1" applyAlignment="1" applyProtection="1">
      <alignment horizontal="right" vertical="center"/>
    </xf>
    <xf numFmtId="177" fontId="0" fillId="0" borderId="228" xfId="0" applyNumberFormat="1" applyFont="1" applyFill="1" applyBorder="1" applyAlignment="1" applyProtection="1">
      <alignment horizontal="right" vertical="center"/>
    </xf>
    <xf numFmtId="0" fontId="0" fillId="12" borderId="229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217" xfId="0" applyFont="1" applyFill="1" applyBorder="1" applyAlignment="1" applyProtection="1">
      <alignment horizontal="left" vertical="center"/>
    </xf>
    <xf numFmtId="0" fontId="10" fillId="20" borderId="217" xfId="0" applyFont="1" applyFill="1" applyBorder="1" applyAlignment="1" applyProtection="1">
      <alignment horizontal="left" vertical="center"/>
    </xf>
    <xf numFmtId="175" fontId="18" fillId="0" borderId="217" xfId="0" applyNumberFormat="1" applyFont="1" applyFill="1" applyBorder="1" applyAlignment="1" applyProtection="1">
      <alignment horizontal="left"/>
    </xf>
    <xf numFmtId="0" fontId="12" fillId="21" borderId="217" xfId="0" applyFont="1" applyFill="1" applyBorder="1" applyAlignment="1" applyProtection="1">
      <alignment horizontal="center" vertical="center"/>
    </xf>
    <xf numFmtId="0" fontId="12" fillId="20" borderId="217" xfId="0" applyFont="1" applyFill="1" applyBorder="1" applyAlignment="1" applyProtection="1">
      <alignment horizontal="center" vertical="center" wrapText="1"/>
    </xf>
    <xf numFmtId="1" fontId="0" fillId="0" borderId="217" xfId="0" applyNumberFormat="1" applyFont="1" applyFill="1" applyBorder="1" applyAlignment="1" applyProtection="1">
      <alignment horizontal="center" vertical="center" wrapText="1"/>
    </xf>
    <xf numFmtId="0" fontId="12" fillId="31" borderId="217" xfId="0" applyFont="1" applyFill="1" applyBorder="1" applyAlignment="1" applyProtection="1">
      <alignment horizontal="center" vertical="center" wrapText="1"/>
    </xf>
    <xf numFmtId="0" fontId="12" fillId="32" borderId="217" xfId="0" applyFont="1" applyFill="1" applyBorder="1" applyAlignment="1" applyProtection="1">
      <alignment horizontal="left" vertical="center"/>
    </xf>
    <xf numFmtId="9" fontId="0" fillId="12" borderId="231" xfId="0" applyNumberFormat="1" applyFont="1" applyFill="1" applyBorder="1" applyAlignment="1" applyProtection="1">
      <alignment horizontal="center" vertical="center"/>
      <protection locked="0"/>
    </xf>
    <xf numFmtId="182" fontId="0" fillId="11" borderId="0" xfId="0" applyNumberFormat="1" applyFont="1" applyFill="1" applyProtection="1"/>
    <xf numFmtId="181" fontId="0" fillId="11" borderId="0" xfId="0" applyNumberFormat="1" applyFont="1" applyFill="1" applyProtection="1"/>
    <xf numFmtId="168" fontId="0" fillId="29" borderId="231" xfId="13" applyNumberFormat="1" applyFont="1" applyFill="1" applyBorder="1" applyAlignment="1" applyProtection="1">
      <alignment vertical="center"/>
    </xf>
    <xf numFmtId="168" fontId="0" fillId="29" borderId="215" xfId="13" applyNumberFormat="1" applyFont="1" applyFill="1" applyBorder="1" applyAlignment="1" applyProtection="1">
      <alignment vertical="center"/>
    </xf>
    <xf numFmtId="168" fontId="0" fillId="29" borderId="216" xfId="13" applyNumberFormat="1" applyFont="1" applyFill="1" applyBorder="1" applyAlignment="1" applyProtection="1">
      <alignment vertical="center"/>
    </xf>
    <xf numFmtId="168" fontId="0" fillId="37" borderId="215" xfId="13" applyNumberFormat="1" applyFont="1" applyFill="1" applyBorder="1" applyAlignment="1" applyProtection="1">
      <alignment vertical="center"/>
    </xf>
    <xf numFmtId="168" fontId="0" fillId="37" borderId="235" xfId="13" applyNumberFormat="1" applyFont="1" applyFill="1" applyBorder="1" applyAlignment="1" applyProtection="1">
      <alignment vertical="center"/>
    </xf>
    <xf numFmtId="0" fontId="23" fillId="0" borderId="214" xfId="0" applyFont="1" applyFill="1" applyBorder="1" applyAlignment="1" applyProtection="1">
      <alignment horizontal="left" vertical="center" wrapText="1"/>
    </xf>
    <xf numFmtId="168" fontId="0" fillId="29" borderId="221" xfId="13" applyNumberFormat="1" applyFont="1" applyFill="1" applyBorder="1" applyAlignment="1" applyProtection="1">
      <alignment vertical="center"/>
    </xf>
    <xf numFmtId="168" fontId="0" fillId="37" borderId="232" xfId="13" applyNumberFormat="1" applyFont="1" applyFill="1" applyBorder="1" applyAlignment="1" applyProtection="1">
      <alignment vertical="center"/>
    </xf>
    <xf numFmtId="168" fontId="0" fillId="37" borderId="240" xfId="13" applyNumberFormat="1" applyFont="1" applyFill="1" applyBorder="1" applyAlignment="1" applyProtection="1">
      <alignment vertical="center"/>
    </xf>
    <xf numFmtId="168" fontId="0" fillId="29" borderId="120" xfId="13" applyNumberFormat="1" applyFont="1" applyFill="1" applyBorder="1" applyAlignment="1" applyProtection="1">
      <alignment vertical="center"/>
    </xf>
    <xf numFmtId="168" fontId="0" fillId="29" borderId="43" xfId="13" applyNumberFormat="1" applyFont="1" applyFill="1" applyBorder="1" applyAlignment="1" applyProtection="1">
      <alignment vertical="center"/>
    </xf>
    <xf numFmtId="168" fontId="0" fillId="37" borderId="43" xfId="13" applyNumberFormat="1" applyFont="1" applyFill="1" applyBorder="1" applyAlignment="1" applyProtection="1">
      <alignment vertical="center"/>
    </xf>
    <xf numFmtId="168" fontId="0" fillId="29" borderId="135" xfId="13" applyNumberFormat="1" applyFont="1" applyFill="1" applyBorder="1" applyAlignment="1" applyProtection="1">
      <alignment vertical="center"/>
    </xf>
    <xf numFmtId="168" fontId="0" fillId="29" borderId="136" xfId="13" applyNumberFormat="1" applyFont="1" applyFill="1" applyBorder="1" applyAlignment="1" applyProtection="1">
      <alignment vertical="center"/>
    </xf>
    <xf numFmtId="168" fontId="0" fillId="29" borderId="140" xfId="13" applyNumberFormat="1" applyFont="1" applyFill="1" applyBorder="1" applyAlignment="1" applyProtection="1">
      <alignment vertical="center"/>
    </xf>
    <xf numFmtId="168" fontId="0" fillId="37" borderId="136" xfId="13" applyNumberFormat="1" applyFont="1" applyFill="1" applyBorder="1" applyAlignment="1" applyProtection="1">
      <alignment vertical="center"/>
    </xf>
    <xf numFmtId="168" fontId="0" fillId="37" borderId="243" xfId="13" applyNumberFormat="1" applyFont="1" applyFill="1" applyBorder="1" applyAlignment="1" applyProtection="1">
      <alignment vertical="center"/>
    </xf>
    <xf numFmtId="168" fontId="0" fillId="37" borderId="244" xfId="13" applyNumberFormat="1" applyFont="1" applyFill="1" applyBorder="1" applyAlignment="1" applyProtection="1">
      <alignment vertical="center"/>
    </xf>
    <xf numFmtId="168" fontId="0" fillId="37" borderId="221" xfId="13" applyNumberFormat="1" applyFont="1" applyFill="1" applyBorder="1" applyAlignment="1" applyProtection="1">
      <alignment vertical="center"/>
    </xf>
    <xf numFmtId="168" fontId="0" fillId="37" borderId="245" xfId="13" applyNumberFormat="1" applyFont="1" applyFill="1" applyBorder="1" applyAlignment="1" applyProtection="1">
      <alignment vertical="center"/>
    </xf>
    <xf numFmtId="168" fontId="0" fillId="37" borderId="127" xfId="13" applyNumberFormat="1" applyFont="1" applyFill="1" applyBorder="1" applyAlignment="1" applyProtection="1">
      <alignment vertical="center"/>
    </xf>
    <xf numFmtId="168" fontId="0" fillId="37" borderId="140" xfId="13" applyNumberFormat="1" applyFont="1" applyFill="1" applyBorder="1" applyAlignment="1" applyProtection="1">
      <alignment vertical="center"/>
    </xf>
    <xf numFmtId="168" fontId="0" fillId="37" borderId="246" xfId="13" applyNumberFormat="1" applyFont="1" applyFill="1" applyBorder="1" applyAlignment="1" applyProtection="1">
      <alignment vertical="center"/>
    </xf>
    <xf numFmtId="168" fontId="0" fillId="37" borderId="247" xfId="13" applyNumberFormat="1" applyFont="1" applyFill="1" applyBorder="1" applyAlignment="1" applyProtection="1">
      <alignment vertical="center"/>
    </xf>
    <xf numFmtId="168" fontId="0" fillId="0" borderId="238" xfId="13" applyNumberFormat="1" applyFont="1" applyFill="1" applyBorder="1" applyAlignment="1" applyProtection="1">
      <alignment vertical="center"/>
    </xf>
    <xf numFmtId="168" fontId="0" fillId="0" borderId="231" xfId="13" applyNumberFormat="1" applyFont="1" applyFill="1" applyBorder="1" applyAlignment="1" applyProtection="1">
      <alignment vertical="center"/>
    </xf>
    <xf numFmtId="168" fontId="0" fillId="0" borderId="215" xfId="13" applyNumberFormat="1" applyFont="1" applyFill="1" applyBorder="1" applyAlignment="1" applyProtection="1">
      <alignment vertical="center"/>
    </xf>
    <xf numFmtId="168" fontId="0" fillId="0" borderId="216" xfId="13" applyNumberFormat="1" applyFont="1" applyFill="1" applyBorder="1" applyAlignment="1" applyProtection="1">
      <alignment vertical="center"/>
    </xf>
    <xf numFmtId="168" fontId="0" fillId="0" borderId="134" xfId="13" applyNumberFormat="1" applyFont="1" applyFill="1" applyBorder="1" applyAlignment="1" applyProtection="1">
      <alignment vertical="center"/>
    </xf>
    <xf numFmtId="168" fontId="0" fillId="0" borderId="240" xfId="13" applyNumberFormat="1" applyFont="1" applyFill="1" applyBorder="1" applyAlignment="1" applyProtection="1">
      <alignment vertical="center"/>
    </xf>
    <xf numFmtId="168" fontId="0" fillId="0" borderId="236" xfId="13" applyNumberFormat="1" applyFont="1" applyFill="1" applyBorder="1" applyAlignment="1" applyProtection="1">
      <alignment vertical="center"/>
    </xf>
    <xf numFmtId="168" fontId="0" fillId="0" borderId="135" xfId="13" applyNumberFormat="1" applyFont="1" applyFill="1" applyBorder="1" applyAlignment="1" applyProtection="1">
      <alignment vertical="center"/>
    </xf>
    <xf numFmtId="168" fontId="0" fillId="0" borderId="136" xfId="13" applyNumberFormat="1" applyFont="1" applyFill="1" applyBorder="1" applyAlignment="1" applyProtection="1">
      <alignment vertical="center"/>
    </xf>
    <xf numFmtId="168" fontId="0" fillId="0" borderId="237" xfId="13" applyNumberFormat="1" applyFont="1" applyFill="1" applyBorder="1" applyAlignment="1" applyProtection="1">
      <alignment vertical="center"/>
    </xf>
    <xf numFmtId="168" fontId="0" fillId="0" borderId="239" xfId="13" applyNumberFormat="1" applyFont="1" applyFill="1" applyBorder="1" applyAlignment="1" applyProtection="1">
      <alignment vertical="center"/>
    </xf>
    <xf numFmtId="168" fontId="0" fillId="0" borderId="221" xfId="13" applyNumberFormat="1" applyFont="1" applyFill="1" applyBorder="1" applyAlignment="1" applyProtection="1">
      <alignment vertical="center"/>
    </xf>
    <xf numFmtId="168" fontId="0" fillId="0" borderId="245" xfId="13" applyNumberFormat="1" applyFont="1" applyFill="1" applyBorder="1" applyAlignment="1" applyProtection="1">
      <alignment vertical="center"/>
    </xf>
    <xf numFmtId="168" fontId="0" fillId="0" borderId="140" xfId="13" applyNumberFormat="1" applyFont="1" applyFill="1" applyBorder="1" applyAlignment="1" applyProtection="1">
      <alignment vertical="center"/>
    </xf>
    <xf numFmtId="167" fontId="0" fillId="0" borderId="230" xfId="13" applyNumberFormat="1" applyFont="1" applyFill="1" applyBorder="1" applyAlignment="1" applyProtection="1">
      <alignment vertical="center"/>
    </xf>
    <xf numFmtId="167" fontId="0" fillId="0" borderId="66" xfId="13" applyNumberFormat="1" applyFont="1" applyFill="1" applyBorder="1" applyAlignment="1" applyProtection="1">
      <alignment vertical="center"/>
    </xf>
    <xf numFmtId="167" fontId="0" fillId="0" borderId="33" xfId="13" applyNumberFormat="1" applyFont="1" applyFill="1" applyBorder="1" applyAlignment="1" applyProtection="1">
      <alignment vertical="center"/>
    </xf>
    <xf numFmtId="167" fontId="0" fillId="0" borderId="249" xfId="13" applyNumberFormat="1" applyFont="1" applyFill="1" applyBorder="1" applyAlignment="1" applyProtection="1">
      <alignment vertical="center"/>
    </xf>
    <xf numFmtId="168" fontId="0" fillId="37" borderId="234" xfId="13" applyNumberFormat="1" applyFont="1" applyFill="1" applyBorder="1" applyAlignment="1" applyProtection="1">
      <alignment vertical="center"/>
    </xf>
    <xf numFmtId="168" fontId="0" fillId="37" borderId="250" xfId="13" applyNumberFormat="1" applyFont="1" applyFill="1" applyBorder="1" applyAlignment="1" applyProtection="1">
      <alignment vertical="center"/>
    </xf>
    <xf numFmtId="168" fontId="0" fillId="37" borderId="79" xfId="13" applyNumberFormat="1" applyFont="1" applyFill="1" applyBorder="1" applyAlignment="1" applyProtection="1">
      <alignment vertical="center"/>
    </xf>
    <xf numFmtId="168" fontId="0" fillId="37" borderId="251" xfId="13" applyNumberFormat="1" applyFont="1" applyFill="1" applyBorder="1" applyAlignment="1" applyProtection="1">
      <alignment vertical="center"/>
    </xf>
    <xf numFmtId="168" fontId="0" fillId="29" borderId="238" xfId="13" applyNumberFormat="1" applyFont="1" applyFill="1" applyBorder="1" applyAlignment="1" applyProtection="1">
      <alignment vertical="center"/>
    </xf>
    <xf numFmtId="168" fontId="0" fillId="29" borderId="134" xfId="13" applyNumberFormat="1" applyFont="1" applyFill="1" applyBorder="1" applyAlignment="1" applyProtection="1">
      <alignment vertical="center"/>
    </xf>
    <xf numFmtId="168" fontId="0" fillId="29" borderId="240" xfId="13" applyNumberFormat="1" applyFont="1" applyFill="1" applyBorder="1" applyAlignment="1" applyProtection="1">
      <alignment vertical="center"/>
    </xf>
    <xf numFmtId="168" fontId="0" fillId="29" borderId="236" xfId="13" applyNumberFormat="1" applyFont="1" applyFill="1" applyBorder="1" applyAlignment="1" applyProtection="1">
      <alignment vertical="center"/>
    </xf>
    <xf numFmtId="168" fontId="0" fillId="29" borderId="137" xfId="13" applyNumberFormat="1" applyFont="1" applyFill="1" applyBorder="1" applyAlignment="1" applyProtection="1">
      <alignment vertical="center"/>
    </xf>
    <xf numFmtId="167" fontId="0" fillId="0" borderId="252" xfId="13" applyNumberFormat="1" applyFont="1" applyFill="1" applyBorder="1" applyAlignment="1" applyProtection="1">
      <alignment vertical="center"/>
    </xf>
    <xf numFmtId="168" fontId="0" fillId="37" borderId="32" xfId="13" applyNumberFormat="1" applyFont="1" applyFill="1" applyBorder="1" applyAlignment="1" applyProtection="1">
      <alignment vertical="center"/>
    </xf>
    <xf numFmtId="168" fontId="0" fillId="37" borderId="248" xfId="13" applyNumberFormat="1" applyFont="1" applyFill="1" applyBorder="1" applyAlignment="1" applyProtection="1">
      <alignment vertical="center"/>
    </xf>
    <xf numFmtId="168" fontId="0" fillId="29" borderId="87" xfId="13" applyNumberFormat="1" applyFont="1" applyFill="1" applyBorder="1" applyAlignment="1" applyProtection="1">
      <alignment vertical="center"/>
    </xf>
    <xf numFmtId="168" fontId="0" fillId="29" borderId="237" xfId="13" applyNumberFormat="1" applyFont="1" applyFill="1" applyBorder="1" applyAlignment="1" applyProtection="1">
      <alignment vertical="center"/>
    </xf>
    <xf numFmtId="168" fontId="0" fillId="29" borderId="239" xfId="13" applyNumberFormat="1" applyFont="1" applyFill="1" applyBorder="1" applyAlignment="1" applyProtection="1">
      <alignment vertical="center"/>
    </xf>
    <xf numFmtId="170" fontId="0" fillId="0" borderId="231" xfId="0" applyNumberFormat="1" applyFont="1" applyFill="1" applyBorder="1" applyAlignment="1" applyProtection="1">
      <alignment horizontal="center" vertical="center"/>
    </xf>
    <xf numFmtId="170" fontId="0" fillId="0" borderId="215" xfId="0" applyNumberFormat="1" applyFont="1" applyFill="1" applyBorder="1" applyAlignment="1" applyProtection="1">
      <alignment horizontal="center" vertical="center"/>
    </xf>
    <xf numFmtId="170" fontId="0" fillId="0" borderId="216" xfId="0" applyNumberFormat="1" applyFont="1" applyFill="1" applyBorder="1" applyAlignment="1" applyProtection="1">
      <alignment horizontal="center" vertical="center"/>
    </xf>
    <xf numFmtId="170" fontId="0" fillId="0" borderId="134" xfId="0" applyNumberFormat="1" applyFont="1" applyFill="1" applyBorder="1" applyAlignment="1" applyProtection="1">
      <alignment horizontal="center" vertical="center"/>
    </xf>
    <xf numFmtId="170" fontId="0" fillId="0" borderId="240" xfId="0" applyNumberFormat="1" applyFont="1" applyFill="1" applyBorder="1" applyAlignment="1" applyProtection="1">
      <alignment horizontal="center" vertical="center"/>
    </xf>
    <xf numFmtId="170" fontId="0" fillId="0" borderId="236" xfId="0" applyNumberFormat="1" applyFont="1" applyFill="1" applyBorder="1" applyAlignment="1" applyProtection="1">
      <alignment horizontal="center" vertical="center"/>
    </xf>
    <xf numFmtId="170" fontId="0" fillId="0" borderId="135" xfId="0" applyNumberFormat="1" applyFont="1" applyFill="1" applyBorder="1" applyAlignment="1" applyProtection="1">
      <alignment horizontal="center" vertical="center"/>
    </xf>
    <xf numFmtId="170" fontId="0" fillId="0" borderId="136" xfId="0" applyNumberFormat="1" applyFont="1" applyFill="1" applyBorder="1" applyAlignment="1" applyProtection="1">
      <alignment horizontal="center" vertical="center"/>
    </xf>
    <xf numFmtId="170" fontId="0" fillId="0" borderId="137" xfId="0" applyNumberFormat="1" applyFont="1" applyFill="1" applyBorder="1" applyAlignment="1" applyProtection="1">
      <alignment horizontal="center" vertical="center"/>
    </xf>
    <xf numFmtId="170" fontId="0" fillId="0" borderId="234" xfId="0" applyNumberFormat="1" applyFont="1" applyFill="1" applyBorder="1" applyAlignment="1" applyProtection="1">
      <alignment horizontal="center" vertical="center"/>
    </xf>
    <xf numFmtId="170" fontId="0" fillId="0" borderId="233" xfId="0" applyNumberFormat="1" applyFont="1" applyFill="1" applyBorder="1" applyAlignment="1" applyProtection="1">
      <alignment horizontal="center" vertical="center"/>
    </xf>
    <xf numFmtId="170" fontId="0" fillId="0" borderId="241" xfId="0" applyNumberFormat="1" applyFont="1" applyFill="1" applyBorder="1" applyAlignment="1" applyProtection="1">
      <alignment horizontal="center" vertical="center"/>
    </xf>
    <xf numFmtId="170" fontId="0" fillId="0" borderId="32" xfId="0" applyNumberFormat="1" applyFont="1" applyFill="1" applyBorder="1" applyAlignment="1" applyProtection="1">
      <alignment horizontal="center" vertical="center"/>
    </xf>
    <xf numFmtId="170" fontId="0" fillId="0" borderId="82" xfId="0" applyNumberFormat="1" applyFont="1" applyFill="1" applyBorder="1" applyAlignment="1" applyProtection="1">
      <alignment horizontal="center" vertical="center"/>
    </xf>
    <xf numFmtId="170" fontId="0" fillId="0" borderId="242" xfId="0" applyNumberFormat="1" applyFont="1" applyFill="1" applyBorder="1" applyAlignment="1" applyProtection="1">
      <alignment horizontal="center" vertical="center"/>
    </xf>
    <xf numFmtId="170" fontId="0" fillId="0" borderId="248" xfId="0" applyNumberFormat="1" applyFont="1" applyFill="1" applyBorder="1" applyAlignment="1" applyProtection="1">
      <alignment horizontal="center" vertical="center"/>
    </xf>
    <xf numFmtId="170" fontId="0" fillId="0" borderId="181" xfId="0" applyNumberFormat="1" applyFont="1" applyFill="1" applyBorder="1" applyAlignment="1" applyProtection="1">
      <alignment horizontal="center" vertical="center"/>
    </xf>
    <xf numFmtId="167" fontId="0" fillId="0" borderId="254" xfId="13" applyNumberFormat="1" applyFont="1" applyFill="1" applyBorder="1" applyAlignment="1" applyProtection="1">
      <alignment vertical="center"/>
    </xf>
    <xf numFmtId="167" fontId="0" fillId="0" borderId="255" xfId="13" applyNumberFormat="1" applyFont="1" applyFill="1" applyBorder="1" applyAlignment="1" applyProtection="1">
      <alignment vertical="center"/>
    </xf>
    <xf numFmtId="167" fontId="0" fillId="0" borderId="257" xfId="13" applyNumberFormat="1" applyFont="1" applyFill="1" applyBorder="1" applyAlignment="1" applyProtection="1">
      <alignment vertical="center"/>
    </xf>
    <xf numFmtId="0" fontId="0" fillId="12" borderId="234" xfId="0" applyFont="1" applyFill="1" applyBorder="1" applyAlignment="1" applyProtection="1">
      <alignment horizontal="left" vertical="center"/>
      <protection locked="0"/>
    </xf>
    <xf numFmtId="168" fontId="0" fillId="29" borderId="259" xfId="13" applyNumberFormat="1" applyFont="1" applyFill="1" applyBorder="1" applyAlignment="1" applyProtection="1">
      <alignment vertical="center"/>
    </xf>
    <xf numFmtId="168" fontId="12" fillId="35" borderId="267" xfId="0" applyNumberFormat="1" applyFont="1" applyFill="1" applyBorder="1" applyAlignment="1" applyProtection="1">
      <alignment horizontal="center" vertical="center" wrapText="1"/>
    </xf>
    <xf numFmtId="168" fontId="12" fillId="35" borderId="253" xfId="0" applyNumberFormat="1" applyFont="1" applyFill="1" applyBorder="1" applyAlignment="1" applyProtection="1">
      <alignment horizontal="center" vertical="center" wrapText="1"/>
    </xf>
    <xf numFmtId="168" fontId="12" fillId="35" borderId="268" xfId="0" applyNumberFormat="1" applyFont="1" applyFill="1" applyBorder="1" applyAlignment="1" applyProtection="1">
      <alignment horizontal="center" vertical="center" wrapText="1"/>
    </xf>
    <xf numFmtId="168" fontId="0" fillId="29" borderId="270" xfId="13" applyNumberFormat="1" applyFont="1" applyFill="1" applyBorder="1" applyAlignment="1" applyProtection="1">
      <alignment vertical="center"/>
    </xf>
    <xf numFmtId="168" fontId="0" fillId="29" borderId="271" xfId="13" applyNumberFormat="1" applyFont="1" applyFill="1" applyBorder="1" applyAlignment="1" applyProtection="1">
      <alignment vertical="center"/>
    </xf>
    <xf numFmtId="167" fontId="0" fillId="0" borderId="273" xfId="13" applyNumberFormat="1" applyFont="1" applyFill="1" applyBorder="1" applyAlignment="1" applyProtection="1">
      <alignment vertical="center"/>
    </xf>
    <xf numFmtId="168" fontId="0" fillId="29" borderId="274" xfId="13" applyNumberFormat="1" applyFont="1" applyFill="1" applyBorder="1" applyAlignment="1" applyProtection="1">
      <alignment vertical="center"/>
    </xf>
    <xf numFmtId="168" fontId="0" fillId="29" borderId="275" xfId="13" applyNumberFormat="1" applyFont="1" applyFill="1" applyBorder="1" applyAlignment="1" applyProtection="1">
      <alignment vertical="center"/>
    </xf>
    <xf numFmtId="168" fontId="0" fillId="29" borderId="277" xfId="13" applyNumberFormat="1" applyFont="1" applyFill="1" applyBorder="1" applyAlignment="1" applyProtection="1">
      <alignment vertical="center"/>
    </xf>
    <xf numFmtId="167" fontId="0" fillId="0" borderId="279" xfId="13" applyNumberFormat="1" applyFont="1" applyFill="1" applyBorder="1" applyAlignment="1" applyProtection="1">
      <alignment vertical="center"/>
    </xf>
    <xf numFmtId="168" fontId="0" fillId="29" borderId="280" xfId="13" applyNumberFormat="1" applyFont="1" applyFill="1" applyBorder="1" applyAlignment="1" applyProtection="1">
      <alignment vertical="center"/>
    </xf>
    <xf numFmtId="168" fontId="12" fillId="35" borderId="283" xfId="0" applyNumberFormat="1" applyFont="1" applyFill="1" applyBorder="1" applyAlignment="1" applyProtection="1">
      <alignment horizontal="center" vertical="center" wrapText="1"/>
    </xf>
    <xf numFmtId="168" fontId="12" fillId="35" borderId="284" xfId="0" applyNumberFormat="1" applyFont="1" applyFill="1" applyBorder="1" applyAlignment="1" applyProtection="1">
      <alignment horizontal="center" vertical="center" wrapText="1"/>
    </xf>
    <xf numFmtId="168" fontId="12" fillId="35" borderId="285" xfId="0" applyNumberFormat="1" applyFont="1" applyFill="1" applyBorder="1" applyAlignment="1" applyProtection="1">
      <alignment horizontal="center" vertical="center" wrapText="1"/>
    </xf>
    <xf numFmtId="167" fontId="0" fillId="0" borderId="286" xfId="13" applyNumberFormat="1" applyFont="1" applyFill="1" applyBorder="1" applyAlignment="1" applyProtection="1">
      <alignment vertical="center"/>
    </xf>
    <xf numFmtId="168" fontId="0" fillId="29" borderId="288" xfId="13" applyNumberFormat="1" applyFont="1" applyFill="1" applyBorder="1" applyAlignment="1" applyProtection="1">
      <alignment vertical="center"/>
    </xf>
    <xf numFmtId="167" fontId="0" fillId="0" borderId="290" xfId="13" applyNumberFormat="1" applyFont="1" applyFill="1" applyBorder="1" applyAlignment="1" applyProtection="1">
      <alignment vertical="center"/>
    </xf>
    <xf numFmtId="168" fontId="0" fillId="29" borderId="291" xfId="13" applyNumberFormat="1" applyFont="1" applyFill="1" applyBorder="1" applyAlignment="1" applyProtection="1">
      <alignment vertical="center"/>
    </xf>
    <xf numFmtId="168" fontId="0" fillId="29" borderId="292" xfId="13" applyNumberFormat="1" applyFont="1" applyFill="1" applyBorder="1" applyAlignment="1" applyProtection="1">
      <alignment vertical="center"/>
    </xf>
    <xf numFmtId="168" fontId="12" fillId="15" borderId="293" xfId="0" applyNumberFormat="1" applyFont="1" applyFill="1" applyBorder="1" applyAlignment="1" applyProtection="1">
      <alignment horizontal="center" vertical="center" wrapText="1"/>
    </xf>
    <xf numFmtId="168" fontId="12" fillId="15" borderId="294" xfId="0" applyNumberFormat="1" applyFont="1" applyFill="1" applyBorder="1" applyAlignment="1" applyProtection="1">
      <alignment horizontal="center" vertical="center" wrapText="1"/>
    </xf>
    <xf numFmtId="168" fontId="12" fillId="15" borderId="295" xfId="0" applyNumberFormat="1" applyFont="1" applyFill="1" applyBorder="1" applyAlignment="1" applyProtection="1">
      <alignment horizontal="center" vertical="center" wrapText="1"/>
    </xf>
    <xf numFmtId="180" fontId="13" fillId="37" borderId="231" xfId="16" applyNumberFormat="1" applyFill="1" applyBorder="1" applyAlignment="1" applyProtection="1">
      <alignment horizontal="center" vertical="center"/>
    </xf>
    <xf numFmtId="180" fontId="13" fillId="37" borderId="296" xfId="16" applyNumberFormat="1" applyFill="1" applyBorder="1" applyAlignment="1" applyProtection="1">
      <alignment horizontal="center" vertical="center"/>
    </xf>
    <xf numFmtId="180" fontId="13" fillId="37" borderId="297" xfId="16" applyNumberFormat="1" applyFill="1" applyBorder="1" applyAlignment="1" applyProtection="1">
      <alignment horizontal="center" vertical="center"/>
    </xf>
    <xf numFmtId="180" fontId="13" fillId="37" borderId="134" xfId="16" applyNumberFormat="1" applyFill="1" applyBorder="1" applyAlignment="1" applyProtection="1">
      <alignment horizontal="center" vertical="center"/>
    </xf>
    <xf numFmtId="180" fontId="13" fillId="37" borderId="280" xfId="16" applyNumberFormat="1" applyFill="1" applyBorder="1" applyAlignment="1" applyProtection="1">
      <alignment horizontal="center" vertical="center"/>
    </xf>
    <xf numFmtId="180" fontId="13" fillId="37" borderId="136" xfId="16" applyNumberFormat="1" applyFill="1" applyBorder="1" applyAlignment="1" applyProtection="1">
      <alignment horizontal="center" vertical="center"/>
    </xf>
    <xf numFmtId="180" fontId="13" fillId="37" borderId="137" xfId="16" applyNumberFormat="1" applyFill="1" applyBorder="1" applyAlignment="1" applyProtection="1">
      <alignment horizontal="center" vertical="center"/>
    </xf>
    <xf numFmtId="168" fontId="0" fillId="29" borderId="298" xfId="13" applyNumberFormat="1" applyFont="1" applyFill="1" applyBorder="1" applyAlignment="1" applyProtection="1">
      <alignment vertical="center"/>
    </xf>
    <xf numFmtId="168" fontId="0" fillId="29" borderId="299" xfId="13" applyNumberFormat="1" applyFont="1" applyFill="1" applyBorder="1" applyAlignment="1" applyProtection="1">
      <alignment vertical="center"/>
    </xf>
    <xf numFmtId="168" fontId="12" fillId="15" borderId="300" xfId="0" applyNumberFormat="1" applyFont="1" applyFill="1" applyBorder="1" applyAlignment="1" applyProtection="1">
      <alignment horizontal="center" vertical="center" wrapText="1"/>
    </xf>
    <xf numFmtId="180" fontId="13" fillId="37" borderId="301" xfId="16" applyNumberFormat="1" applyFill="1" applyBorder="1" applyAlignment="1" applyProtection="1">
      <alignment horizontal="center" vertical="center"/>
    </xf>
    <xf numFmtId="180" fontId="13" fillId="37" borderId="302" xfId="16" applyNumberFormat="1" applyFill="1" applyBorder="1" applyAlignment="1" applyProtection="1">
      <alignment horizontal="center" vertical="center"/>
    </xf>
    <xf numFmtId="168" fontId="12" fillId="15" borderId="304" xfId="0" applyNumberFormat="1" applyFont="1" applyFill="1" applyBorder="1" applyAlignment="1" applyProtection="1">
      <alignment horizontal="center" vertical="center" wrapText="1"/>
    </xf>
    <xf numFmtId="168" fontId="12" fillId="15" borderId="305" xfId="0" applyNumberFormat="1" applyFont="1" applyFill="1" applyBorder="1" applyAlignment="1" applyProtection="1">
      <alignment horizontal="center" vertical="center" wrapText="1"/>
    </xf>
    <xf numFmtId="179" fontId="0" fillId="12" borderId="301" xfId="13" applyNumberFormat="1" applyFont="1" applyFill="1" applyBorder="1" applyAlignment="1" applyProtection="1">
      <alignment horizontal="center" vertical="center"/>
      <protection locked="0"/>
    </xf>
    <xf numFmtId="179" fontId="0" fillId="12" borderId="244" xfId="13" applyNumberFormat="1" applyFont="1" applyFill="1" applyBorder="1" applyAlignment="1" applyProtection="1">
      <alignment horizontal="center" vertical="center"/>
      <protection locked="0"/>
    </xf>
    <xf numFmtId="179" fontId="0" fillId="12" borderId="296" xfId="13" applyNumberFormat="1" applyFont="1" applyFill="1" applyBorder="1" applyAlignment="1" applyProtection="1">
      <alignment horizontal="center" vertical="center"/>
      <protection locked="0"/>
    </xf>
    <xf numFmtId="179" fontId="12" fillId="29" borderId="297" xfId="0" applyNumberFormat="1" applyFont="1" applyFill="1" applyBorder="1" applyProtection="1"/>
    <xf numFmtId="179" fontId="0" fillId="12" borderId="306" xfId="13" applyNumberFormat="1" applyFont="1" applyFill="1" applyBorder="1" applyAlignment="1" applyProtection="1">
      <alignment horizontal="center" vertical="center"/>
      <protection locked="0"/>
    </xf>
    <xf numFmtId="179" fontId="12" fillId="29" borderId="307" xfId="0" applyNumberFormat="1" applyFont="1" applyFill="1" applyBorder="1" applyProtection="1"/>
    <xf numFmtId="179" fontId="0" fillId="12" borderId="136" xfId="13" applyNumberFormat="1" applyFont="1" applyFill="1" applyBorder="1" applyAlignment="1" applyProtection="1">
      <alignment horizontal="center" vertical="center"/>
      <protection locked="0"/>
    </xf>
    <xf numFmtId="179" fontId="12" fillId="29" borderId="297" xfId="0" applyNumberFormat="1" applyFont="1" applyFill="1" applyBorder="1" applyAlignment="1" applyProtection="1">
      <alignment vertical="center"/>
    </xf>
    <xf numFmtId="179" fontId="12" fillId="29" borderId="307" xfId="0" applyNumberFormat="1" applyFont="1" applyFill="1" applyBorder="1" applyAlignment="1" applyProtection="1">
      <alignment vertical="center"/>
    </xf>
    <xf numFmtId="179" fontId="12" fillId="29" borderId="137" xfId="0" applyNumberFormat="1" applyFont="1" applyFill="1" applyBorder="1" applyAlignment="1" applyProtection="1">
      <alignment vertical="center"/>
    </xf>
    <xf numFmtId="0" fontId="12" fillId="16" borderId="310" xfId="0" applyFont="1" applyFill="1" applyBorder="1" applyAlignment="1" applyProtection="1">
      <alignment horizontal="center" vertical="center" wrapText="1"/>
    </xf>
    <xf numFmtId="179" fontId="12" fillId="29" borderId="303" xfId="0" applyNumberFormat="1" applyFont="1" applyFill="1" applyBorder="1" applyProtection="1"/>
    <xf numFmtId="179" fontId="12" fillId="29" borderId="311" xfId="0" applyNumberFormat="1" applyFont="1" applyFill="1" applyBorder="1" applyProtection="1"/>
    <xf numFmtId="0" fontId="0" fillId="47" borderId="132" xfId="0" applyFont="1" applyFill="1" applyBorder="1" applyAlignment="1" applyProtection="1">
      <alignment horizontal="left" vertical="center"/>
    </xf>
    <xf numFmtId="178" fontId="0" fillId="47" borderId="132" xfId="13" applyNumberFormat="1" applyFont="1" applyFill="1" applyBorder="1" applyAlignment="1" applyProtection="1">
      <alignment vertical="center"/>
    </xf>
    <xf numFmtId="178" fontId="0" fillId="47" borderId="139" xfId="13" applyNumberFormat="1" applyFont="1" applyFill="1" applyBorder="1" applyAlignment="1" applyProtection="1">
      <alignment vertical="center"/>
    </xf>
    <xf numFmtId="0" fontId="0" fillId="47" borderId="128" xfId="0" applyFont="1" applyFill="1" applyBorder="1" applyAlignment="1" applyProtection="1">
      <alignment horizontal="left" vertical="center"/>
    </xf>
    <xf numFmtId="178" fontId="0" fillId="47" borderId="128" xfId="13" applyNumberFormat="1" applyFont="1" applyFill="1" applyBorder="1" applyAlignment="1" applyProtection="1">
      <alignment vertical="center"/>
    </xf>
    <xf numFmtId="178" fontId="0" fillId="47" borderId="129" xfId="13" applyNumberFormat="1" applyFont="1" applyFill="1" applyBorder="1" applyAlignment="1" applyProtection="1">
      <alignment vertical="center"/>
    </xf>
    <xf numFmtId="0" fontId="22" fillId="47" borderId="135" xfId="0" applyFont="1" applyFill="1" applyBorder="1" applyAlignment="1" applyProtection="1">
      <alignment horizontal="center" vertical="center" wrapText="1"/>
    </xf>
    <xf numFmtId="0" fontId="0" fillId="47" borderId="136" xfId="0" applyFont="1" applyFill="1" applyBorder="1" applyAlignment="1" applyProtection="1">
      <alignment horizontal="left" vertical="center"/>
    </xf>
    <xf numFmtId="178" fontId="0" fillId="47" borderId="136" xfId="13" applyNumberFormat="1" applyFont="1" applyFill="1" applyBorder="1" applyAlignment="1" applyProtection="1">
      <alignment vertical="center"/>
    </xf>
    <xf numFmtId="170" fontId="0" fillId="47" borderId="139" xfId="13" applyNumberFormat="1" applyFont="1" applyFill="1" applyBorder="1" applyAlignment="1" applyProtection="1">
      <alignment horizontal="center" vertical="center"/>
    </xf>
    <xf numFmtId="170" fontId="0" fillId="47" borderId="174" xfId="13" applyNumberFormat="1" applyFont="1" applyFill="1" applyBorder="1" applyAlignment="1" applyProtection="1">
      <alignment horizontal="center" vertical="center"/>
    </xf>
    <xf numFmtId="170" fontId="0" fillId="47" borderId="140" xfId="13" applyNumberFormat="1" applyFont="1" applyFill="1" applyBorder="1" applyAlignment="1" applyProtection="1">
      <alignment horizontal="center" vertical="center"/>
    </xf>
    <xf numFmtId="0" fontId="0" fillId="47" borderId="139" xfId="0" applyFont="1" applyFill="1" applyBorder="1" applyAlignment="1" applyProtection="1">
      <alignment horizontal="left" vertical="center"/>
    </xf>
    <xf numFmtId="0" fontId="0" fillId="47" borderId="171" xfId="0" applyFont="1" applyFill="1" applyBorder="1" applyAlignment="1" applyProtection="1">
      <alignment horizontal="left" vertical="center"/>
    </xf>
    <xf numFmtId="0" fontId="0" fillId="47" borderId="174" xfId="0" applyFont="1" applyFill="1" applyBorder="1" applyAlignment="1" applyProtection="1">
      <alignment horizontal="left" vertical="center"/>
    </xf>
    <xf numFmtId="0" fontId="0" fillId="47" borderId="130" xfId="0" applyFont="1" applyFill="1" applyBorder="1" applyAlignment="1" applyProtection="1">
      <alignment horizontal="left" vertical="center"/>
    </xf>
    <xf numFmtId="0" fontId="0" fillId="47" borderId="157" xfId="0" applyFont="1" applyFill="1" applyBorder="1" applyAlignment="1" applyProtection="1">
      <alignment horizontal="left" vertical="center"/>
    </xf>
    <xf numFmtId="178" fontId="0" fillId="47" borderId="131" xfId="13" applyNumberFormat="1" applyFont="1" applyFill="1" applyBorder="1" applyAlignment="1" applyProtection="1">
      <alignment vertical="center"/>
    </xf>
    <xf numFmtId="178" fontId="0" fillId="47" borderId="133" xfId="13" applyNumberFormat="1" applyFont="1" applyFill="1" applyBorder="1" applyAlignment="1" applyProtection="1">
      <alignment vertical="center"/>
    </xf>
    <xf numFmtId="178" fontId="0" fillId="47" borderId="170" xfId="13" applyNumberFormat="1" applyFont="1" applyFill="1" applyBorder="1" applyAlignment="1" applyProtection="1">
      <alignment vertical="center"/>
    </xf>
    <xf numFmtId="178" fontId="0" fillId="47" borderId="172" xfId="13" applyNumberFormat="1" applyFont="1" applyFill="1" applyBorder="1" applyAlignment="1" applyProtection="1">
      <alignment vertical="center"/>
    </xf>
    <xf numFmtId="178" fontId="0" fillId="47" borderId="173" xfId="13" applyNumberFormat="1" applyFont="1" applyFill="1" applyBorder="1" applyAlignment="1" applyProtection="1">
      <alignment vertical="center"/>
    </xf>
    <xf numFmtId="178" fontId="0" fillId="47" borderId="134" xfId="13" applyNumberFormat="1" applyFont="1" applyFill="1" applyBorder="1" applyAlignment="1" applyProtection="1">
      <alignment vertical="center"/>
    </xf>
    <xf numFmtId="178" fontId="0" fillId="47" borderId="175" xfId="13" applyNumberFormat="1" applyFont="1" applyFill="1" applyBorder="1" applyAlignment="1" applyProtection="1">
      <alignment vertical="center"/>
    </xf>
    <xf numFmtId="178" fontId="0" fillId="47" borderId="176" xfId="13" applyNumberFormat="1" applyFont="1" applyFill="1" applyBorder="1" applyAlignment="1" applyProtection="1">
      <alignment vertical="center"/>
    </xf>
    <xf numFmtId="168" fontId="13" fillId="0" borderId="50" xfId="13" applyNumberFormat="1" applyFont="1" applyFill="1" applyBorder="1" applyAlignment="1" applyProtection="1">
      <alignment vertical="center"/>
    </xf>
    <xf numFmtId="168" fontId="13" fillId="0" borderId="38" xfId="13" applyNumberFormat="1" applyFont="1" applyFill="1" applyBorder="1" applyAlignment="1" applyProtection="1">
      <alignment vertical="center"/>
    </xf>
    <xf numFmtId="168" fontId="13" fillId="0" borderId="114" xfId="13" applyNumberFormat="1" applyFont="1" applyFill="1" applyBorder="1" applyAlignment="1" applyProtection="1">
      <alignment vertical="center"/>
    </xf>
    <xf numFmtId="168" fontId="13" fillId="0" borderId="190" xfId="13" applyNumberFormat="1" applyFont="1" applyFill="1" applyBorder="1" applyAlignment="1" applyProtection="1">
      <alignment vertical="center"/>
    </xf>
    <xf numFmtId="173" fontId="0" fillId="0" borderId="76" xfId="12" applyNumberFormat="1" applyFont="1" applyFill="1" applyBorder="1" applyAlignment="1" applyProtection="1">
      <alignment vertical="center"/>
    </xf>
    <xf numFmtId="173" fontId="0" fillId="0" borderId="38" xfId="12" applyNumberFormat="1" applyFont="1" applyFill="1" applyBorder="1" applyAlignment="1" applyProtection="1">
      <alignment vertical="center"/>
    </xf>
    <xf numFmtId="173" fontId="0" fillId="0" borderId="114" xfId="12" applyNumberFormat="1" applyFont="1" applyFill="1" applyBorder="1" applyAlignment="1" applyProtection="1">
      <alignment vertical="center"/>
    </xf>
    <xf numFmtId="173" fontId="0" fillId="0" borderId="191" xfId="12" applyNumberFormat="1" applyFont="1" applyFill="1" applyBorder="1" applyAlignment="1" applyProtection="1">
      <alignment vertical="center"/>
    </xf>
    <xf numFmtId="168" fontId="13" fillId="1" borderId="172" xfId="13" applyNumberFormat="1" applyFont="1" applyFill="1" applyBorder="1" applyAlignment="1" applyProtection="1">
      <alignment vertical="center"/>
    </xf>
    <xf numFmtId="168" fontId="13" fillId="0" borderId="171" xfId="13" applyNumberFormat="1" applyFont="1" applyFill="1" applyBorder="1" applyAlignment="1" applyProtection="1">
      <alignment vertical="center"/>
    </xf>
    <xf numFmtId="173" fontId="0" fillId="1" borderId="172" xfId="12" applyNumberFormat="1" applyFont="1" applyFill="1" applyBorder="1" applyAlignment="1" applyProtection="1">
      <alignment vertical="center"/>
    </xf>
    <xf numFmtId="173" fontId="0" fillId="0" borderId="171" xfId="12" applyNumberFormat="1" applyFont="1" applyFill="1" applyBorder="1" applyAlignment="1" applyProtection="1">
      <alignment vertical="center"/>
    </xf>
    <xf numFmtId="173" fontId="0" fillId="46" borderId="172" xfId="12" applyNumberFormat="1" applyFont="1" applyFill="1" applyBorder="1" applyAlignment="1" applyProtection="1">
      <alignment vertical="center"/>
    </xf>
    <xf numFmtId="168" fontId="13" fillId="1" borderId="171" xfId="13" applyNumberFormat="1" applyFont="1" applyFill="1" applyBorder="1" applyAlignment="1" applyProtection="1">
      <alignment vertical="center"/>
    </xf>
    <xf numFmtId="173" fontId="0" fillId="1" borderId="171" xfId="12" applyNumberFormat="1" applyFont="1" applyFill="1" applyBorder="1" applyAlignment="1" applyProtection="1">
      <alignment vertical="center"/>
    </xf>
    <xf numFmtId="0" fontId="0" fillId="0" borderId="231" xfId="0" applyFont="1" applyFill="1" applyBorder="1" applyAlignment="1" applyProtection="1">
      <alignment horizontal="left" vertical="center"/>
    </xf>
    <xf numFmtId="0" fontId="0" fillId="0" borderId="302" xfId="0" applyFont="1" applyFill="1" applyBorder="1" applyAlignment="1" applyProtection="1">
      <alignment horizontal="left" vertical="center"/>
    </xf>
    <xf numFmtId="0" fontId="0" fillId="0" borderId="308" xfId="0" applyFont="1" applyFill="1" applyBorder="1" applyAlignment="1" applyProtection="1">
      <alignment horizontal="left" vertical="center"/>
    </xf>
    <xf numFmtId="169" fontId="13" fillId="0" borderId="0" xfId="16" applyProtection="1"/>
    <xf numFmtId="181" fontId="13" fillId="0" borderId="0" xfId="13" applyNumberFormat="1" applyProtection="1"/>
    <xf numFmtId="0" fontId="23" fillId="12" borderId="90" xfId="0" applyFont="1" applyFill="1" applyBorder="1" applyAlignment="1" applyProtection="1">
      <alignment horizontal="center" vertical="center"/>
      <protection locked="0"/>
    </xf>
    <xf numFmtId="178" fontId="0" fillId="12" borderId="301" xfId="13" applyNumberFormat="1" applyFont="1" applyFill="1" applyBorder="1" applyAlignment="1" applyProtection="1">
      <alignment vertical="center"/>
      <protection locked="0"/>
    </xf>
    <xf numFmtId="9" fontId="0" fillId="12" borderId="302" xfId="0" applyNumberFormat="1" applyFont="1" applyFill="1" applyBorder="1" applyAlignment="1" applyProtection="1">
      <alignment horizontal="center" vertical="center"/>
      <protection locked="0"/>
    </xf>
    <xf numFmtId="177" fontId="0" fillId="0" borderId="303" xfId="0" applyNumberFormat="1" applyFont="1" applyFill="1" applyBorder="1" applyAlignment="1" applyProtection="1">
      <alignment horizontal="right" vertical="center"/>
    </xf>
    <xf numFmtId="177" fontId="0" fillId="0" borderId="221" xfId="0" applyNumberFormat="1" applyFont="1" applyFill="1" applyBorder="1" applyAlignment="1" applyProtection="1">
      <alignment horizontal="right" vertical="center"/>
    </xf>
    <xf numFmtId="177" fontId="0" fillId="0" borderId="316" xfId="0" applyNumberFormat="1" applyFont="1" applyFill="1" applyBorder="1" applyAlignment="1" applyProtection="1">
      <alignment horizontal="right" vertical="center"/>
    </xf>
    <xf numFmtId="177" fontId="0" fillId="0" borderId="292" xfId="0" applyNumberFormat="1" applyFont="1" applyFill="1" applyBorder="1" applyAlignment="1" applyProtection="1">
      <alignment horizontal="right" vertical="center"/>
    </xf>
    <xf numFmtId="9" fontId="0" fillId="11" borderId="297" xfId="0" applyNumberFormat="1" applyFont="1" applyFill="1" applyBorder="1" applyAlignment="1" applyProtection="1">
      <alignment horizontal="center" vertical="center"/>
    </xf>
    <xf numFmtId="9" fontId="0" fillId="11" borderId="303" xfId="0" applyNumberFormat="1" applyFont="1" applyFill="1" applyBorder="1" applyAlignment="1" applyProtection="1">
      <alignment horizontal="center" vertical="center"/>
    </xf>
    <xf numFmtId="9" fontId="0" fillId="12" borderId="308" xfId="0" applyNumberFormat="1" applyFont="1" applyFill="1" applyBorder="1" applyAlignment="1" applyProtection="1">
      <alignment horizontal="center" vertical="center"/>
      <protection locked="0"/>
    </xf>
    <xf numFmtId="9" fontId="0" fillId="11" borderId="307" xfId="0" applyNumberFormat="1" applyFont="1" applyFill="1" applyBorder="1" applyAlignment="1" applyProtection="1">
      <alignment horizontal="center" vertical="center"/>
    </xf>
    <xf numFmtId="0" fontId="12" fillId="16" borderId="319" xfId="0" applyFont="1" applyFill="1" applyBorder="1" applyAlignment="1" applyProtection="1">
      <alignment horizontal="center" vertical="center" wrapText="1"/>
    </xf>
    <xf numFmtId="0" fontId="9" fillId="14" borderId="308" xfId="0" applyFont="1" applyFill="1" applyBorder="1" applyAlignment="1" applyProtection="1">
      <alignment horizontal="center" vertical="center"/>
    </xf>
    <xf numFmtId="0" fontId="9" fillId="49" borderId="307" xfId="0" applyFont="1" applyFill="1" applyBorder="1" applyAlignment="1" applyProtection="1">
      <alignment horizontal="center" vertical="center"/>
    </xf>
    <xf numFmtId="0" fontId="9" fillId="14" borderId="292" xfId="0" applyFont="1" applyFill="1" applyBorder="1" applyAlignment="1" applyProtection="1">
      <alignment horizontal="center" vertical="center"/>
    </xf>
    <xf numFmtId="0" fontId="9" fillId="49" borderId="323" xfId="0" applyFont="1" applyFill="1" applyBorder="1" applyAlignment="1" applyProtection="1">
      <alignment horizontal="center" vertical="center"/>
    </xf>
    <xf numFmtId="169" fontId="0" fillId="12" borderId="234" xfId="16" applyFont="1" applyFill="1" applyBorder="1" applyAlignment="1" applyProtection="1">
      <alignment horizontal="center" vertical="center"/>
      <protection locked="0"/>
    </xf>
    <xf numFmtId="169" fontId="0" fillId="12" borderId="324" xfId="16" applyFont="1" applyFill="1" applyBorder="1" applyAlignment="1" applyProtection="1">
      <alignment horizontal="center" vertical="center"/>
      <protection locked="0"/>
    </xf>
    <xf numFmtId="169" fontId="0" fillId="12" borderId="323" xfId="16" applyFont="1" applyFill="1" applyBorder="1" applyAlignment="1" applyProtection="1">
      <alignment horizontal="center" vertical="center"/>
      <protection locked="0"/>
    </xf>
    <xf numFmtId="177" fontId="0" fillId="0" borderId="297" xfId="0" applyNumberFormat="1" applyFont="1" applyFill="1" applyBorder="1" applyAlignment="1" applyProtection="1">
      <alignment horizontal="right" vertical="center"/>
    </xf>
    <xf numFmtId="177" fontId="0" fillId="0" borderId="307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50" borderId="308" xfId="0" applyFont="1" applyFill="1" applyBorder="1" applyAlignment="1" applyProtection="1">
      <alignment horizontal="center" vertical="center"/>
    </xf>
    <xf numFmtId="0" fontId="9" fillId="50" borderId="307" xfId="0" applyFont="1" applyFill="1" applyBorder="1" applyAlignment="1" applyProtection="1">
      <alignment horizontal="center" vertical="center"/>
    </xf>
    <xf numFmtId="169" fontId="32" fillId="0" borderId="242" xfId="16" applyFont="1" applyFill="1" applyBorder="1" applyAlignment="1" applyProtection="1">
      <alignment horizontal="center" vertical="center"/>
    </xf>
    <xf numFmtId="169" fontId="32" fillId="0" borderId="248" xfId="16" applyFont="1" applyFill="1" applyBorder="1" applyAlignment="1" applyProtection="1">
      <alignment horizontal="center" vertical="center"/>
    </xf>
    <xf numFmtId="177" fontId="0" fillId="27" borderId="247" xfId="0" applyNumberFormat="1" applyFont="1" applyFill="1" applyBorder="1" applyAlignment="1" applyProtection="1">
      <alignment horizontal="right" vertical="center"/>
    </xf>
    <xf numFmtId="177" fontId="0" fillId="27" borderId="327" xfId="0" applyNumberFormat="1" applyFont="1" applyFill="1" applyBorder="1" applyAlignment="1" applyProtection="1">
      <alignment horizontal="right" vertical="center"/>
    </xf>
    <xf numFmtId="0" fontId="0" fillId="11" borderId="330" xfId="0" applyFont="1" applyFill="1" applyBorder="1" applyProtection="1"/>
    <xf numFmtId="0" fontId="0" fillId="11" borderId="331" xfId="0" applyFont="1" applyFill="1" applyBorder="1" applyProtection="1"/>
    <xf numFmtId="0" fontId="0" fillId="11" borderId="332" xfId="0" applyFont="1" applyFill="1" applyBorder="1" applyProtection="1"/>
    <xf numFmtId="0" fontId="0" fillId="11" borderId="319" xfId="0" applyFont="1" applyFill="1" applyBorder="1" applyProtection="1"/>
    <xf numFmtId="0" fontId="0" fillId="11" borderId="211" xfId="0" applyFont="1" applyFill="1" applyBorder="1" applyProtection="1"/>
    <xf numFmtId="0" fontId="25" fillId="0" borderId="319" xfId="0" applyFont="1" applyBorder="1" applyAlignment="1" applyProtection="1">
      <alignment vertical="center"/>
    </xf>
    <xf numFmtId="0" fontId="9" fillId="14" borderId="309" xfId="0" applyFont="1" applyFill="1" applyBorder="1" applyAlignment="1" applyProtection="1">
      <alignment horizontal="center" vertical="center"/>
    </xf>
    <xf numFmtId="0" fontId="9" fillId="14" borderId="328" xfId="0" applyFont="1" applyFill="1" applyBorder="1" applyAlignment="1" applyProtection="1">
      <alignment horizontal="center" vertical="center"/>
    </xf>
    <xf numFmtId="0" fontId="9" fillId="50" borderId="309" xfId="0" applyFont="1" applyFill="1" applyBorder="1" applyAlignment="1" applyProtection="1">
      <alignment horizontal="center" vertical="center"/>
    </xf>
    <xf numFmtId="0" fontId="9" fillId="50" borderId="328" xfId="0" applyFont="1" applyFill="1" applyBorder="1" applyAlignment="1" applyProtection="1">
      <alignment horizontal="center" vertical="center"/>
    </xf>
    <xf numFmtId="0" fontId="9" fillId="49" borderId="309" xfId="0" applyFont="1" applyFill="1" applyBorder="1" applyAlignment="1" applyProtection="1">
      <alignment horizontal="center" vertical="center"/>
    </xf>
    <xf numFmtId="0" fontId="9" fillId="49" borderId="328" xfId="0" applyFont="1" applyFill="1" applyBorder="1" applyAlignment="1" applyProtection="1">
      <alignment horizontal="center" vertical="center"/>
    </xf>
    <xf numFmtId="0" fontId="0" fillId="11" borderId="320" xfId="0" applyFont="1" applyFill="1" applyBorder="1" applyProtection="1"/>
    <xf numFmtId="0" fontId="0" fillId="11" borderId="326" xfId="0" applyFont="1" applyFill="1" applyBorder="1" applyProtection="1"/>
    <xf numFmtId="0" fontId="0" fillId="11" borderId="181" xfId="0" applyFont="1" applyFill="1" applyBorder="1" applyProtection="1"/>
    <xf numFmtId="170" fontId="0" fillId="47" borderId="172" xfId="13" applyNumberFormat="1" applyFont="1" applyFill="1" applyBorder="1" applyAlignment="1" applyProtection="1">
      <alignment horizontal="center" vertical="center"/>
    </xf>
    <xf numFmtId="170" fontId="0" fillId="47" borderId="171" xfId="13" applyNumberFormat="1" applyFont="1" applyFill="1" applyBorder="1" applyAlignment="1" applyProtection="1">
      <alignment horizontal="center" vertical="center"/>
    </xf>
    <xf numFmtId="170" fontId="0" fillId="47" borderId="175" xfId="13" applyNumberFormat="1" applyFont="1" applyFill="1" applyBorder="1" applyAlignment="1" applyProtection="1">
      <alignment horizontal="center" vertical="center"/>
    </xf>
    <xf numFmtId="170" fontId="0" fillId="47" borderId="110" xfId="13" applyNumberFormat="1" applyFont="1" applyFill="1" applyBorder="1" applyAlignment="1" applyProtection="1">
      <alignment horizontal="center" vertical="center"/>
    </xf>
    <xf numFmtId="170" fontId="0" fillId="47" borderId="130" xfId="13" applyNumberFormat="1" applyFont="1" applyFill="1" applyBorder="1" applyAlignment="1" applyProtection="1">
      <alignment horizontal="center" vertical="center"/>
    </xf>
    <xf numFmtId="170" fontId="0" fillId="47" borderId="156" xfId="13" applyNumberFormat="1" applyFont="1" applyFill="1" applyBorder="1" applyAlignment="1" applyProtection="1">
      <alignment horizontal="center" vertical="center"/>
    </xf>
    <xf numFmtId="170" fontId="0" fillId="47" borderId="157" xfId="13" applyNumberFormat="1" applyFont="1" applyFill="1" applyBorder="1" applyAlignment="1" applyProtection="1">
      <alignment horizontal="center" vertical="center"/>
    </xf>
    <xf numFmtId="170" fontId="0" fillId="47" borderId="162" xfId="13" applyNumberFormat="1" applyFont="1" applyFill="1" applyBorder="1" applyAlignment="1" applyProtection="1">
      <alignment horizontal="center" vertical="center"/>
    </xf>
    <xf numFmtId="0" fontId="0" fillId="0" borderId="335" xfId="0" applyFont="1" applyFill="1" applyBorder="1" applyAlignment="1" applyProtection="1">
      <alignment horizontal="left" vertical="center"/>
    </xf>
    <xf numFmtId="0" fontId="0" fillId="0" borderId="324" xfId="0" applyFont="1" applyFill="1" applyBorder="1" applyAlignment="1" applyProtection="1">
      <alignment horizontal="left" vertical="center"/>
    </xf>
    <xf numFmtId="0" fontId="0" fillId="0" borderId="323" xfId="0" applyFont="1" applyFill="1" applyBorder="1" applyAlignment="1" applyProtection="1">
      <alignment horizontal="left" vertical="center"/>
    </xf>
    <xf numFmtId="0" fontId="0" fillId="0" borderId="234" xfId="0" applyFont="1" applyFill="1" applyBorder="1" applyAlignment="1" applyProtection="1">
      <alignment horizontal="left" vertical="center"/>
    </xf>
    <xf numFmtId="0" fontId="0" fillId="0" borderId="251" xfId="0" applyFont="1" applyFill="1" applyBorder="1" applyAlignment="1" applyProtection="1">
      <alignment horizontal="left" vertical="center"/>
    </xf>
    <xf numFmtId="0" fontId="22" fillId="0" borderId="214" xfId="0" applyFont="1" applyFill="1" applyBorder="1" applyAlignment="1" applyProtection="1">
      <alignment horizontal="center" vertical="center" wrapText="1"/>
    </xf>
    <xf numFmtId="0" fontId="12" fillId="16" borderId="328" xfId="0" applyFont="1" applyFill="1" applyBorder="1" applyAlignment="1" applyProtection="1">
      <alignment horizontal="center" vertical="center" wrapText="1"/>
    </xf>
    <xf numFmtId="0" fontId="0" fillId="12" borderId="301" xfId="0" applyFont="1" applyFill="1" applyBorder="1" applyAlignment="1" applyProtection="1">
      <alignment horizontal="left" vertical="center"/>
      <protection locked="0"/>
    </xf>
    <xf numFmtId="0" fontId="0" fillId="12" borderId="296" xfId="0" applyFont="1" applyFill="1" applyBorder="1" applyAlignment="1" applyProtection="1">
      <alignment horizontal="left" vertical="center"/>
      <protection locked="0"/>
    </xf>
    <xf numFmtId="178" fontId="0" fillId="12" borderId="296" xfId="13" applyNumberFormat="1" applyFont="1" applyFill="1" applyBorder="1" applyAlignment="1" applyProtection="1">
      <alignment vertical="center"/>
      <protection locked="0"/>
    </xf>
    <xf numFmtId="0" fontId="0" fillId="12" borderId="306" xfId="0" applyFont="1" applyFill="1" applyBorder="1" applyAlignment="1" applyProtection="1">
      <alignment horizontal="left" vertical="center"/>
      <protection locked="0"/>
    </xf>
    <xf numFmtId="178" fontId="0" fillId="12" borderId="306" xfId="13" applyNumberFormat="1" applyFont="1" applyFill="1" applyBorder="1" applyAlignment="1" applyProtection="1">
      <alignment vertical="center"/>
      <protection locked="0"/>
    </xf>
    <xf numFmtId="0" fontId="12" fillId="16" borderId="342" xfId="0" applyFont="1" applyFill="1" applyBorder="1" applyAlignment="1" applyProtection="1">
      <alignment horizontal="center" vertical="center" wrapText="1"/>
    </xf>
    <xf numFmtId="0" fontId="0" fillId="12" borderId="221" xfId="0" applyFont="1" applyFill="1" applyBorder="1" applyAlignment="1" applyProtection="1">
      <alignment horizontal="left" vertical="center"/>
      <protection locked="0"/>
    </xf>
    <xf numFmtId="0" fontId="0" fillId="12" borderId="316" xfId="0" applyFont="1" applyFill="1" applyBorder="1" applyAlignment="1" applyProtection="1">
      <alignment horizontal="left" vertical="center"/>
      <protection locked="0"/>
    </xf>
    <xf numFmtId="0" fontId="0" fillId="12" borderId="292" xfId="0" applyFont="1" applyFill="1" applyBorder="1" applyAlignment="1" applyProtection="1">
      <alignment horizontal="left" vertical="center"/>
      <protection locked="0"/>
    </xf>
    <xf numFmtId="178" fontId="0" fillId="12" borderId="231" xfId="13" applyNumberFormat="1" applyFont="1" applyFill="1" applyBorder="1" applyAlignment="1" applyProtection="1">
      <alignment vertical="center"/>
      <protection locked="0"/>
    </xf>
    <xf numFmtId="177" fontId="0" fillId="29" borderId="297" xfId="0" applyNumberFormat="1" applyFont="1" applyFill="1" applyBorder="1" applyAlignment="1" applyProtection="1">
      <alignment vertical="center"/>
    </xf>
    <xf numFmtId="178" fontId="0" fillId="12" borderId="302" xfId="13" applyNumberFormat="1" applyFont="1" applyFill="1" applyBorder="1" applyAlignment="1" applyProtection="1">
      <alignment vertical="center"/>
      <protection locked="0"/>
    </xf>
    <xf numFmtId="177" fontId="0" fillId="29" borderId="303" xfId="0" applyNumberFormat="1" applyFont="1" applyFill="1" applyBorder="1" applyAlignment="1" applyProtection="1">
      <alignment vertical="center"/>
    </xf>
    <xf numFmtId="178" fontId="0" fillId="12" borderId="308" xfId="13" applyNumberFormat="1" applyFont="1" applyFill="1" applyBorder="1" applyAlignment="1" applyProtection="1">
      <alignment vertical="center"/>
      <protection locked="0"/>
    </xf>
    <xf numFmtId="177" fontId="0" fillId="29" borderId="307" xfId="0" applyNumberFormat="1" applyFont="1" applyFill="1" applyBorder="1" applyAlignment="1" applyProtection="1">
      <alignment vertical="center"/>
    </xf>
    <xf numFmtId="0" fontId="12" fillId="16" borderId="309" xfId="0" applyFont="1" applyFill="1" applyBorder="1" applyAlignment="1" applyProtection="1">
      <alignment horizontal="center" vertical="center" wrapText="1"/>
    </xf>
    <xf numFmtId="177" fontId="0" fillId="29" borderId="322" xfId="0" applyNumberFormat="1" applyFont="1" applyFill="1" applyBorder="1" applyAlignment="1" applyProtection="1">
      <alignment horizontal="right" vertical="center"/>
    </xf>
    <xf numFmtId="177" fontId="0" fillId="29" borderId="346" xfId="0" applyNumberFormat="1" applyFont="1" applyFill="1" applyBorder="1" applyAlignment="1" applyProtection="1">
      <alignment horizontal="right" vertical="center"/>
    </xf>
    <xf numFmtId="177" fontId="0" fillId="29" borderId="347" xfId="0" applyNumberFormat="1" applyFont="1" applyFill="1" applyBorder="1" applyAlignment="1" applyProtection="1">
      <alignment horizontal="right" vertical="center"/>
    </xf>
    <xf numFmtId="177" fontId="22" fillId="28" borderId="318" xfId="0" applyNumberFormat="1" applyFont="1" applyFill="1" applyBorder="1" applyAlignment="1" applyProtection="1">
      <alignment horizontal="center" vertical="center"/>
    </xf>
    <xf numFmtId="177" fontId="23" fillId="28" borderId="126" xfId="0" applyNumberFormat="1" applyFont="1" applyFill="1" applyBorder="1" applyAlignment="1" applyProtection="1">
      <alignment vertical="center"/>
    </xf>
    <xf numFmtId="180" fontId="13" fillId="37" borderId="292" xfId="16" applyNumberFormat="1" applyFill="1" applyBorder="1" applyAlignment="1" applyProtection="1">
      <alignment horizontal="center" vertical="center"/>
    </xf>
    <xf numFmtId="168" fontId="0" fillId="12" borderId="297" xfId="13" applyNumberFormat="1" applyFont="1" applyFill="1" applyBorder="1" applyAlignment="1" applyProtection="1">
      <alignment vertical="center"/>
      <protection locked="0"/>
    </xf>
    <xf numFmtId="0" fontId="0" fillId="12" borderId="302" xfId="0" applyFont="1" applyFill="1" applyBorder="1" applyAlignment="1" applyProtection="1">
      <alignment horizontal="left" vertical="center"/>
      <protection locked="0"/>
    </xf>
    <xf numFmtId="168" fontId="0" fillId="12" borderId="303" xfId="13" applyNumberFormat="1" applyFont="1" applyFill="1" applyBorder="1" applyAlignment="1" applyProtection="1">
      <alignment vertical="center"/>
      <protection locked="0"/>
    </xf>
    <xf numFmtId="168" fontId="0" fillId="12" borderId="307" xfId="13" applyNumberFormat="1" applyFont="1" applyFill="1" applyBorder="1" applyAlignment="1" applyProtection="1">
      <alignment vertical="center"/>
      <protection locked="0"/>
    </xf>
    <xf numFmtId="0" fontId="12" fillId="15" borderId="349" xfId="0" applyFont="1" applyFill="1" applyBorder="1" applyAlignment="1" applyProtection="1">
      <alignment horizontal="center" vertical="center"/>
    </xf>
    <xf numFmtId="0" fontId="0" fillId="12" borderId="324" xfId="0" applyFont="1" applyFill="1" applyBorder="1" applyAlignment="1" applyProtection="1">
      <alignment horizontal="left" vertical="center"/>
      <protection locked="0"/>
    </xf>
    <xf numFmtId="0" fontId="0" fillId="12" borderId="323" xfId="0" applyFont="1" applyFill="1" applyBorder="1" applyAlignment="1" applyProtection="1">
      <alignment horizontal="left" vertical="center"/>
      <protection locked="0"/>
    </xf>
    <xf numFmtId="0" fontId="12" fillId="15" borderId="351" xfId="0" applyFont="1" applyFill="1" applyBorder="1" applyAlignment="1" applyProtection="1">
      <alignment horizontal="center" vertical="center"/>
    </xf>
    <xf numFmtId="168" fontId="12" fillId="15" borderId="352" xfId="0" applyNumberFormat="1" applyFont="1" applyFill="1" applyBorder="1" applyAlignment="1" applyProtection="1">
      <alignment horizontal="center" vertical="center" wrapText="1"/>
    </xf>
    <xf numFmtId="180" fontId="13" fillId="37" borderId="139" xfId="16" applyNumberFormat="1" applyFill="1" applyBorder="1" applyAlignment="1" applyProtection="1">
      <alignment horizontal="center" vertical="center"/>
    </xf>
    <xf numFmtId="180" fontId="13" fillId="37" borderId="316" xfId="16" applyNumberFormat="1" applyFill="1" applyBorder="1" applyAlignment="1" applyProtection="1">
      <alignment horizontal="center" vertical="center"/>
    </xf>
    <xf numFmtId="168" fontId="0" fillId="29" borderId="353" xfId="13" applyNumberFormat="1" applyFont="1" applyFill="1" applyBorder="1" applyAlignment="1" applyProtection="1">
      <alignment vertical="center"/>
    </xf>
    <xf numFmtId="168" fontId="0" fillId="29" borderId="354" xfId="13" applyNumberFormat="1" applyFont="1" applyFill="1" applyBorder="1" applyAlignment="1" applyProtection="1">
      <alignment vertical="center"/>
    </xf>
    <xf numFmtId="168" fontId="0" fillId="12" borderId="345" xfId="13" applyNumberFormat="1" applyFont="1" applyFill="1" applyBorder="1" applyAlignment="1" applyProtection="1">
      <alignment vertical="center"/>
      <protection locked="0"/>
    </xf>
    <xf numFmtId="0" fontId="12" fillId="16" borderId="307" xfId="0" applyFont="1" applyFill="1" applyBorder="1" applyAlignment="1" applyProtection="1">
      <alignment horizontal="center" vertical="center" wrapText="1"/>
    </xf>
    <xf numFmtId="0" fontId="0" fillId="12" borderId="355" xfId="0" applyFont="1" applyFill="1" applyBorder="1" applyAlignment="1" applyProtection="1">
      <alignment horizontal="left" vertical="center"/>
      <protection locked="0"/>
    </xf>
    <xf numFmtId="180" fontId="13" fillId="37" borderId="308" xfId="16" applyNumberFormat="1" applyFill="1" applyBorder="1" applyAlignment="1" applyProtection="1">
      <alignment horizontal="center" vertical="center"/>
    </xf>
    <xf numFmtId="180" fontId="13" fillId="37" borderId="306" xfId="16" applyNumberFormat="1" applyFill="1" applyBorder="1" applyAlignment="1" applyProtection="1">
      <alignment horizontal="center" vertical="center"/>
    </xf>
    <xf numFmtId="180" fontId="13" fillId="37" borderId="307" xfId="16" applyNumberFormat="1" applyFill="1" applyBorder="1" applyAlignment="1" applyProtection="1">
      <alignment horizontal="center" vertical="center"/>
    </xf>
    <xf numFmtId="180" fontId="13" fillId="37" borderId="241" xfId="16" applyNumberFormat="1" applyFill="1" applyBorder="1" applyAlignment="1" applyProtection="1">
      <alignment horizontal="center" vertical="center"/>
    </xf>
    <xf numFmtId="180" fontId="13" fillId="37" borderId="244" xfId="16" applyNumberFormat="1" applyFill="1" applyBorder="1" applyAlignment="1" applyProtection="1">
      <alignment horizontal="center" vertical="center"/>
    </xf>
    <xf numFmtId="180" fontId="13" fillId="37" borderId="345" xfId="16" applyNumberFormat="1" applyFill="1" applyBorder="1" applyAlignment="1" applyProtection="1">
      <alignment horizontal="center" vertical="center"/>
    </xf>
    <xf numFmtId="180" fontId="13" fillId="37" borderId="135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168" fontId="0" fillId="9" borderId="53" xfId="13" applyNumberFormat="1" applyFont="1" applyFill="1" applyBorder="1" applyAlignment="1" applyProtection="1">
      <alignment horizontal="right" vertical="center"/>
    </xf>
    <xf numFmtId="168" fontId="0" fillId="9" borderId="104" xfId="13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22" fillId="0" borderId="269" xfId="0" applyFont="1" applyFill="1" applyBorder="1" applyAlignment="1" applyProtection="1">
      <alignment horizontal="center" vertical="center" wrapText="1"/>
    </xf>
    <xf numFmtId="0" fontId="0" fillId="0" borderId="352" xfId="0" applyFont="1" applyFill="1" applyBorder="1" applyAlignment="1" applyProtection="1">
      <alignment horizontal="left" vertical="center"/>
    </xf>
    <xf numFmtId="0" fontId="0" fillId="0" borderId="360" xfId="0" applyFont="1" applyFill="1" applyBorder="1" applyAlignment="1" applyProtection="1">
      <alignment horizontal="left" vertical="center"/>
    </xf>
    <xf numFmtId="0" fontId="0" fillId="0" borderId="359" xfId="0" applyFont="1" applyFill="1" applyBorder="1" applyAlignment="1" applyProtection="1">
      <alignment horizontal="left" vertical="center"/>
    </xf>
    <xf numFmtId="1" fontId="0" fillId="44" borderId="35" xfId="0" applyNumberFormat="1" applyFont="1" applyFill="1" applyBorder="1" applyAlignment="1" applyProtection="1">
      <alignment horizontal="center" vertical="center" wrapText="1"/>
    </xf>
    <xf numFmtId="175" fontId="32" fillId="0" borderId="352" xfId="0" applyNumberFormat="1" applyFont="1" applyFill="1" applyBorder="1" applyAlignment="1" applyProtection="1">
      <alignment horizontal="left"/>
    </xf>
    <xf numFmtId="175" fontId="18" fillId="0" borderId="352" xfId="0" applyNumberFormat="1" applyFont="1" applyFill="1" applyBorder="1" applyAlignment="1" applyProtection="1">
      <alignment horizontal="left"/>
    </xf>
    <xf numFmtId="175" fontId="0" fillId="0" borderId="352" xfId="0" applyNumberFormat="1" applyFont="1" applyFill="1" applyBorder="1" applyAlignment="1" applyProtection="1">
      <alignment horizontal="left"/>
    </xf>
    <xf numFmtId="175" fontId="18" fillId="44" borderId="352" xfId="0" applyNumberFormat="1" applyFont="1" applyFill="1" applyBorder="1" applyAlignment="1" applyProtection="1">
      <alignment horizontal="left"/>
    </xf>
    <xf numFmtId="181" fontId="13" fillId="49" borderId="301" xfId="13" applyNumberFormat="1" applyFill="1" applyBorder="1" applyAlignment="1" applyProtection="1">
      <alignment vertical="center"/>
    </xf>
    <xf numFmtId="168" fontId="0" fillId="12" borderId="301" xfId="13" applyNumberFormat="1" applyFont="1" applyFill="1" applyBorder="1" applyAlignment="1" applyProtection="1">
      <alignment vertical="center"/>
      <protection locked="0"/>
    </xf>
    <xf numFmtId="176" fontId="18" fillId="12" borderId="301" xfId="12" applyNumberFormat="1" applyFont="1" applyFill="1" applyBorder="1" applyAlignment="1" applyProtection="1">
      <alignment vertical="center"/>
      <protection locked="0"/>
    </xf>
    <xf numFmtId="168" fontId="10" fillId="20" borderId="189" xfId="13" applyNumberFormat="1" applyFont="1" applyFill="1" applyBorder="1" applyAlignment="1" applyProtection="1">
      <alignment horizontal="center" vertical="center"/>
    </xf>
    <xf numFmtId="168" fontId="18" fillId="12" borderId="301" xfId="13" applyNumberFormat="1" applyFont="1" applyFill="1" applyBorder="1" applyAlignment="1" applyProtection="1">
      <alignment vertical="center"/>
      <protection locked="0"/>
    </xf>
    <xf numFmtId="168" fontId="18" fillId="1" borderId="365" xfId="13" applyNumberFormat="1" applyFont="1" applyFill="1" applyBorder="1" applyAlignment="1" applyProtection="1">
      <alignment vertical="center"/>
    </xf>
    <xf numFmtId="176" fontId="18" fillId="1" borderId="365" xfId="12" applyNumberFormat="1" applyFont="1" applyFill="1" applyBorder="1" applyAlignment="1" applyProtection="1">
      <alignment vertical="center"/>
    </xf>
    <xf numFmtId="0" fontId="10" fillId="20" borderId="352" xfId="0" applyFont="1" applyFill="1" applyBorder="1" applyAlignment="1" applyProtection="1">
      <alignment horizontal="left" vertical="center"/>
    </xf>
    <xf numFmtId="175" fontId="18" fillId="0" borderId="295" xfId="0" applyNumberFormat="1" applyFont="1" applyFill="1" applyBorder="1" applyAlignment="1" applyProtection="1">
      <alignment horizontal="left"/>
    </xf>
    <xf numFmtId="168" fontId="10" fillId="20" borderId="301" xfId="13" applyNumberFormat="1" applyFont="1" applyFill="1" applyBorder="1" applyAlignment="1" applyProtection="1">
      <alignment horizontal="center" vertical="center"/>
    </xf>
    <xf numFmtId="168" fontId="10" fillId="22" borderId="301" xfId="13" applyNumberFormat="1" applyFont="1" applyFill="1" applyBorder="1" applyAlignment="1" applyProtection="1">
      <alignment vertical="center"/>
    </xf>
    <xf numFmtId="0" fontId="10" fillId="23" borderId="352" xfId="0" applyFont="1" applyFill="1" applyBorder="1" applyAlignment="1" applyProtection="1">
      <alignment horizontal="left" vertical="center"/>
    </xf>
    <xf numFmtId="0" fontId="12" fillId="32" borderId="72" xfId="0" applyFont="1" applyFill="1" applyBorder="1" applyAlignment="1" applyProtection="1">
      <alignment vertical="center"/>
    </xf>
    <xf numFmtId="168" fontId="10" fillId="28" borderId="359" xfId="13" applyNumberFormat="1" applyFont="1" applyFill="1" applyBorder="1" applyAlignment="1" applyProtection="1">
      <alignment vertical="center"/>
    </xf>
    <xf numFmtId="168" fontId="10" fillId="20" borderId="358" xfId="13" applyNumberFormat="1" applyFont="1" applyFill="1" applyBorder="1" applyAlignment="1" applyProtection="1">
      <alignment horizontal="center" vertical="center"/>
    </xf>
    <xf numFmtId="168" fontId="10" fillId="23" borderId="358" xfId="13" applyNumberFormat="1" applyFont="1" applyFill="1" applyBorder="1" applyAlignment="1" applyProtection="1">
      <alignment horizontal="center" vertical="center"/>
    </xf>
    <xf numFmtId="168" fontId="10" fillId="20" borderId="359" xfId="13" applyNumberFormat="1" applyFont="1" applyFill="1" applyBorder="1" applyAlignment="1" applyProtection="1">
      <alignment vertical="center"/>
    </xf>
    <xf numFmtId="168" fontId="10" fillId="28" borderId="349" xfId="13" applyNumberFormat="1" applyFont="1" applyFill="1" applyBorder="1" applyAlignment="1" applyProtection="1">
      <alignment vertical="center"/>
    </xf>
    <xf numFmtId="168" fontId="10" fillId="23" borderId="359" xfId="13" applyNumberFormat="1" applyFont="1" applyFill="1" applyBorder="1" applyAlignment="1" applyProtection="1">
      <alignment horizontal="center" vertical="center"/>
    </xf>
    <xf numFmtId="168" fontId="18" fillId="29" borderId="349" xfId="13" applyNumberFormat="1" applyFont="1" applyFill="1" applyBorder="1" applyAlignment="1" applyProtection="1">
      <alignment vertical="center"/>
    </xf>
    <xf numFmtId="168" fontId="10" fillId="22" borderId="178" xfId="13" applyNumberFormat="1" applyFont="1" applyFill="1" applyBorder="1" applyAlignment="1" applyProtection="1">
      <alignment vertical="center"/>
    </xf>
    <xf numFmtId="168" fontId="18" fillId="29" borderId="301" xfId="13" applyNumberFormat="1" applyFont="1" applyFill="1" applyBorder="1" applyAlignment="1" applyProtection="1">
      <alignment vertical="center"/>
    </xf>
    <xf numFmtId="168" fontId="10" fillId="23" borderId="301" xfId="13" applyNumberFormat="1" applyFont="1" applyFill="1" applyBorder="1" applyAlignment="1" applyProtection="1">
      <alignment horizontal="center" vertical="center"/>
    </xf>
    <xf numFmtId="168" fontId="10" fillId="24" borderId="301" xfId="13" applyNumberFormat="1" applyFont="1" applyFill="1" applyBorder="1" applyAlignment="1" applyProtection="1">
      <alignment vertical="center"/>
    </xf>
    <xf numFmtId="168" fontId="10" fillId="20" borderId="301" xfId="13" applyNumberFormat="1" applyFont="1" applyFill="1" applyBorder="1" applyAlignment="1" applyProtection="1">
      <alignment vertical="center"/>
    </xf>
    <xf numFmtId="167" fontId="12" fillId="32" borderId="301" xfId="13" applyNumberFormat="1" applyFont="1" applyFill="1" applyBorder="1" applyAlignment="1" applyProtection="1">
      <alignment vertical="center"/>
    </xf>
    <xf numFmtId="167" fontId="12" fillId="33" borderId="301" xfId="13" applyNumberFormat="1" applyFont="1" applyFill="1" applyBorder="1" applyAlignment="1" applyProtection="1">
      <alignment vertical="center"/>
    </xf>
    <xf numFmtId="0" fontId="12" fillId="17" borderId="301" xfId="0" applyFont="1" applyFill="1" applyBorder="1" applyAlignment="1" applyProtection="1">
      <alignment horizontal="center" vertical="center" wrapText="1"/>
    </xf>
    <xf numFmtId="174" fontId="12" fillId="17" borderId="301" xfId="12" applyNumberFormat="1" applyFont="1" applyFill="1" applyBorder="1" applyAlignment="1" applyProtection="1">
      <alignment horizontal="center" vertical="center" wrapText="1"/>
    </xf>
    <xf numFmtId="0" fontId="10" fillId="17" borderId="301" xfId="0" applyFont="1" applyFill="1" applyBorder="1" applyAlignment="1" applyProtection="1">
      <alignment horizontal="center" vertical="center"/>
    </xf>
    <xf numFmtId="168" fontId="12" fillId="41" borderId="301" xfId="13" applyNumberFormat="1" applyFont="1" applyFill="1" applyBorder="1" applyAlignment="1" applyProtection="1">
      <alignment vertical="center"/>
    </xf>
    <xf numFmtId="168" fontId="12" fillId="42" borderId="301" xfId="13" applyNumberFormat="1" applyFont="1" applyFill="1" applyBorder="1" applyAlignment="1" applyProtection="1">
      <alignment vertical="center"/>
    </xf>
    <xf numFmtId="168" fontId="18" fillId="1" borderId="301" xfId="13" applyNumberFormat="1" applyFont="1" applyFill="1" applyBorder="1" applyAlignment="1" applyProtection="1">
      <alignment vertical="center"/>
    </xf>
    <xf numFmtId="176" fontId="18" fillId="1" borderId="301" xfId="12" applyNumberFormat="1" applyFont="1" applyFill="1" applyBorder="1" applyAlignment="1" applyProtection="1">
      <alignment vertical="center"/>
    </xf>
    <xf numFmtId="1" fontId="0" fillId="0" borderId="362" xfId="0" applyNumberFormat="1" applyFont="1" applyFill="1" applyBorder="1" applyAlignment="1" applyProtection="1">
      <alignment horizontal="center" vertical="center" wrapText="1"/>
    </xf>
    <xf numFmtId="0" fontId="12" fillId="21" borderId="360" xfId="0" applyFont="1" applyFill="1" applyBorder="1" applyAlignment="1" applyProtection="1">
      <alignment horizontal="center" vertical="center"/>
    </xf>
    <xf numFmtId="0" fontId="12" fillId="20" borderId="362" xfId="0" applyFont="1" applyFill="1" applyBorder="1" applyAlignment="1" applyProtection="1">
      <alignment horizontal="center" vertical="center" wrapText="1"/>
    </xf>
    <xf numFmtId="1" fontId="0" fillId="44" borderId="362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 applyProtection="1">
      <alignment horizontal="center" vertical="center" wrapText="1"/>
    </xf>
    <xf numFmtId="0" fontId="12" fillId="32" borderId="366" xfId="0" applyFont="1" applyFill="1" applyBorder="1" applyAlignment="1" applyProtection="1">
      <alignment vertical="center"/>
    </xf>
    <xf numFmtId="167" fontId="12" fillId="33" borderId="366" xfId="13" applyNumberFormat="1" applyFont="1" applyFill="1" applyBorder="1" applyAlignment="1" applyProtection="1">
      <alignment vertical="center"/>
    </xf>
    <xf numFmtId="175" fontId="18" fillId="0" borderId="301" xfId="0" applyNumberFormat="1" applyFont="1" applyFill="1" applyBorder="1" applyAlignment="1" applyProtection="1">
      <alignment horizontal="left"/>
    </xf>
    <xf numFmtId="0" fontId="10" fillId="20" borderId="301" xfId="0" applyFont="1" applyFill="1" applyBorder="1" applyAlignment="1" applyProtection="1">
      <alignment horizontal="left" vertical="center"/>
    </xf>
    <xf numFmtId="175" fontId="0" fillId="0" borderId="301" xfId="0" applyNumberFormat="1" applyFont="1" applyFill="1" applyBorder="1" applyAlignment="1" applyProtection="1">
      <alignment horizontal="left"/>
    </xf>
    <xf numFmtId="175" fontId="18" fillId="44" borderId="301" xfId="0" applyNumberFormat="1" applyFont="1" applyFill="1" applyBorder="1" applyAlignment="1" applyProtection="1">
      <alignment horizontal="left"/>
    </xf>
    <xf numFmtId="175" fontId="32" fillId="0" borderId="301" xfId="0" applyNumberFormat="1" applyFont="1" applyFill="1" applyBorder="1" applyAlignment="1" applyProtection="1">
      <alignment horizontal="left"/>
    </xf>
    <xf numFmtId="175" fontId="18" fillId="0" borderId="316" xfId="0" applyNumberFormat="1" applyFont="1" applyFill="1" applyBorder="1" applyAlignment="1" applyProtection="1">
      <alignment horizontal="left"/>
    </xf>
    <xf numFmtId="0" fontId="10" fillId="23" borderId="316" xfId="0" applyFont="1" applyFill="1" applyBorder="1" applyAlignment="1" applyProtection="1">
      <alignment horizontal="left" vertical="center"/>
    </xf>
    <xf numFmtId="0" fontId="10" fillId="20" borderId="316" xfId="0" applyFont="1" applyFill="1" applyBorder="1" applyAlignment="1" applyProtection="1">
      <alignment horizontal="left" vertical="center"/>
    </xf>
    <xf numFmtId="168" fontId="12" fillId="42" borderId="178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81" fontId="13" fillId="12" borderId="301" xfId="13" applyNumberFormat="1" applyFill="1" applyBorder="1" applyProtection="1">
      <protection locked="0"/>
    </xf>
    <xf numFmtId="1" fontId="0" fillId="0" borderId="357" xfId="0" applyNumberFormat="1" applyBorder="1" applyAlignment="1" applyProtection="1">
      <alignment horizontal="center"/>
    </xf>
    <xf numFmtId="1" fontId="0" fillId="0" borderId="363" xfId="0" applyNumberFormat="1" applyBorder="1" applyAlignment="1" applyProtection="1"/>
    <xf numFmtId="1" fontId="32" fillId="0" borderId="363" xfId="0" applyNumberFormat="1" applyFont="1" applyBorder="1" applyAlignment="1" applyProtection="1"/>
    <xf numFmtId="1" fontId="0" fillId="0" borderId="363" xfId="0" applyNumberFormat="1" applyBorder="1" applyAlignment="1" applyProtection="1">
      <alignment horizontal="center"/>
    </xf>
    <xf numFmtId="1" fontId="0" fillId="0" borderId="301" xfId="0" applyNumberFormat="1" applyBorder="1" applyAlignment="1" applyProtection="1"/>
    <xf numFmtId="1" fontId="32" fillId="0" borderId="301" xfId="0" applyNumberFormat="1" applyFont="1" applyBorder="1" applyAlignment="1" applyProtection="1"/>
    <xf numFmtId="168" fontId="0" fillId="47" borderId="301" xfId="13" applyNumberFormat="1" applyFont="1" applyFill="1" applyBorder="1" applyAlignment="1" applyProtection="1">
      <alignment vertical="center"/>
    </xf>
    <xf numFmtId="168" fontId="18" fillId="47" borderId="301" xfId="13" applyNumberFormat="1" applyFont="1" applyFill="1" applyBorder="1" applyAlignment="1" applyProtection="1">
      <alignment vertical="center"/>
    </xf>
    <xf numFmtId="176" fontId="18" fillId="47" borderId="301" xfId="12" applyNumberFormat="1" applyFont="1" applyFill="1" applyBorder="1" applyAlignment="1" applyProtection="1">
      <alignment vertical="center"/>
    </xf>
    <xf numFmtId="181" fontId="13" fillId="49" borderId="301" xfId="13" applyNumberFormat="1" applyFill="1" applyBorder="1" applyProtection="1"/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8" fontId="0" fillId="29" borderId="296" xfId="13" applyNumberFormat="1" applyFont="1" applyFill="1" applyBorder="1" applyAlignment="1" applyProtection="1">
      <alignment vertical="center"/>
    </xf>
    <xf numFmtId="178" fontId="0" fillId="29" borderId="297" xfId="13" applyNumberFormat="1" applyFont="1" applyFill="1" applyBorder="1" applyAlignment="1" applyProtection="1">
      <alignment vertical="center"/>
    </xf>
    <xf numFmtId="178" fontId="0" fillId="29" borderId="308" xfId="13" applyNumberFormat="1" applyFont="1" applyFill="1" applyBorder="1" applyAlignment="1" applyProtection="1">
      <alignment vertical="center"/>
    </xf>
    <xf numFmtId="178" fontId="0" fillId="29" borderId="306" xfId="13" applyNumberFormat="1" applyFont="1" applyFill="1" applyBorder="1" applyAlignment="1" applyProtection="1">
      <alignment vertical="center"/>
    </xf>
    <xf numFmtId="178" fontId="0" fillId="29" borderId="307" xfId="13" applyNumberFormat="1" applyFont="1" applyFill="1" applyBorder="1" applyAlignment="1" applyProtection="1">
      <alignment vertical="center"/>
    </xf>
    <xf numFmtId="178" fontId="0" fillId="29" borderId="309" xfId="13" applyNumberFormat="1" applyFont="1" applyFill="1" applyBorder="1" applyAlignment="1" applyProtection="1">
      <alignment vertical="center"/>
    </xf>
    <xf numFmtId="178" fontId="0" fillId="29" borderId="365" xfId="13" applyNumberFormat="1" applyFont="1" applyFill="1" applyBorder="1" applyAlignment="1" applyProtection="1">
      <alignment vertical="center"/>
    </xf>
    <xf numFmtId="178" fontId="0" fillId="29" borderId="328" xfId="13" applyNumberFormat="1" applyFont="1" applyFill="1" applyBorder="1" applyAlignment="1" applyProtection="1">
      <alignment vertical="center"/>
    </xf>
    <xf numFmtId="178" fontId="0" fillId="29" borderId="341" xfId="13" applyNumberFormat="1" applyFont="1" applyFill="1" applyBorder="1" applyAlignment="1" applyProtection="1">
      <alignment vertical="center"/>
    </xf>
    <xf numFmtId="178" fontId="0" fillId="29" borderId="367" xfId="13" applyNumberFormat="1" applyFont="1" applyFill="1" applyBorder="1" applyAlignment="1" applyProtection="1">
      <alignment vertical="center"/>
    </xf>
    <xf numFmtId="178" fontId="0" fillId="29" borderId="368" xfId="13" applyNumberFormat="1" applyFont="1" applyFill="1" applyBorder="1" applyAlignment="1" applyProtection="1">
      <alignment vertical="center"/>
    </xf>
    <xf numFmtId="168" fontId="0" fillId="0" borderId="0" xfId="0" applyNumberFormat="1" applyFont="1" applyAlignment="1" applyProtection="1">
      <alignment vertical="center"/>
    </xf>
    <xf numFmtId="168" fontId="12" fillId="0" borderId="0" xfId="0" applyNumberFormat="1" applyFont="1" applyAlignment="1" applyProtection="1">
      <alignment vertical="center"/>
    </xf>
    <xf numFmtId="0" fontId="0" fillId="12" borderId="369" xfId="0" applyFont="1" applyFill="1" applyBorder="1" applyAlignment="1" applyProtection="1">
      <alignment horizontal="left" vertical="center"/>
      <protection locked="0"/>
    </xf>
    <xf numFmtId="168" fontId="0" fillId="12" borderId="328" xfId="13" applyNumberFormat="1" applyFont="1" applyFill="1" applyBorder="1" applyAlignment="1" applyProtection="1">
      <alignment vertical="center"/>
      <protection locked="0"/>
    </xf>
    <xf numFmtId="168" fontId="0" fillId="29" borderId="370" xfId="13" applyNumberFormat="1" applyFont="1" applyFill="1" applyBorder="1" applyAlignment="1" applyProtection="1">
      <alignment vertical="center"/>
    </xf>
    <xf numFmtId="168" fontId="0" fillId="29" borderId="371" xfId="13" applyNumberFormat="1" applyFont="1" applyFill="1" applyBorder="1" applyAlignment="1" applyProtection="1">
      <alignment vertical="center"/>
    </xf>
    <xf numFmtId="0" fontId="0" fillId="12" borderId="131" xfId="0" applyFont="1" applyFill="1" applyBorder="1" applyAlignment="1" applyProtection="1">
      <alignment horizontal="left" vertical="center"/>
      <protection locked="0"/>
    </xf>
    <xf numFmtId="168" fontId="0" fillId="29" borderId="372" xfId="13" applyNumberFormat="1" applyFont="1" applyFill="1" applyBorder="1" applyAlignment="1" applyProtection="1">
      <alignment vertical="center"/>
    </xf>
    <xf numFmtId="0" fontId="0" fillId="12" borderId="135" xfId="0" applyFont="1" applyFill="1" applyBorder="1" applyAlignment="1" applyProtection="1">
      <alignment horizontal="left" vertical="center"/>
      <protection locked="0"/>
    </xf>
    <xf numFmtId="168" fontId="0" fillId="12" borderId="137" xfId="13" applyNumberFormat="1" applyFont="1" applyFill="1" applyBorder="1" applyAlignment="1" applyProtection="1">
      <alignment vertical="center"/>
      <protection locked="0"/>
    </xf>
    <xf numFmtId="0" fontId="0" fillId="12" borderId="251" xfId="0" applyFont="1" applyFill="1" applyBorder="1" applyAlignment="1" applyProtection="1">
      <alignment horizontal="left" vertical="center"/>
      <protection locked="0"/>
    </xf>
    <xf numFmtId="168" fontId="0" fillId="29" borderId="373" xfId="13" applyNumberFormat="1" applyFont="1" applyFill="1" applyBorder="1" applyAlignment="1" applyProtection="1">
      <alignment vertical="center"/>
    </xf>
    <xf numFmtId="0" fontId="12" fillId="15" borderId="309" xfId="0" applyFont="1" applyFill="1" applyBorder="1" applyAlignment="1" applyProtection="1">
      <alignment horizontal="center" vertical="center"/>
    </xf>
    <xf numFmtId="0" fontId="12" fillId="15" borderId="369" xfId="0" applyFont="1" applyFill="1" applyBorder="1" applyAlignment="1" applyProtection="1">
      <alignment horizontal="center" vertical="center"/>
    </xf>
    <xf numFmtId="168" fontId="0" fillId="29" borderId="374" xfId="13" applyNumberFormat="1" applyFont="1" applyFill="1" applyBorder="1" applyAlignment="1" applyProtection="1">
      <alignment vertical="center"/>
    </xf>
    <xf numFmtId="168" fontId="0" fillId="47" borderId="365" xfId="13" applyNumberFormat="1" applyFont="1" applyFill="1" applyBorder="1" applyAlignment="1" applyProtection="1">
      <alignment vertical="center"/>
    </xf>
    <xf numFmtId="177" fontId="23" fillId="26" borderId="214" xfId="0" applyNumberFormat="1" applyFont="1" applyFill="1" applyBorder="1" applyAlignment="1" applyProtection="1">
      <alignment horizontal="right" vertical="center"/>
    </xf>
    <xf numFmtId="169" fontId="14" fillId="19" borderId="135" xfId="16" applyFont="1" applyFill="1" applyBorder="1" applyAlignment="1" applyProtection="1">
      <alignment horizontal="center" vertical="center"/>
    </xf>
    <xf numFmtId="177" fontId="23" fillId="26" borderId="137" xfId="0" applyNumberFormat="1" applyFont="1" applyFill="1" applyBorder="1" applyAlignment="1" applyProtection="1">
      <alignment horizontal="right" vertical="center"/>
    </xf>
    <xf numFmtId="0" fontId="0" fillId="12" borderId="375" xfId="0" applyFont="1" applyFill="1" applyBorder="1" applyAlignment="1" applyProtection="1">
      <alignment horizontal="left" vertical="center"/>
      <protection locked="0"/>
    </xf>
    <xf numFmtId="0" fontId="0" fillId="12" borderId="296" xfId="0" applyFont="1" applyFill="1" applyBorder="1" applyProtection="1">
      <protection locked="0"/>
    </xf>
    <xf numFmtId="177" fontId="0" fillId="29" borderId="336" xfId="0" applyNumberFormat="1" applyFont="1" applyFill="1" applyBorder="1" applyAlignment="1" applyProtection="1">
      <alignment horizontal="right" vertical="center"/>
    </xf>
    <xf numFmtId="177" fontId="0" fillId="0" borderId="336" xfId="0" applyNumberFormat="1" applyFont="1" applyFill="1" applyBorder="1" applyAlignment="1" applyProtection="1">
      <alignment horizontal="right" vertical="center"/>
    </xf>
    <xf numFmtId="0" fontId="0" fillId="12" borderId="376" xfId="0" applyFont="1" applyFill="1" applyBorder="1" applyAlignment="1" applyProtection="1">
      <alignment horizontal="left" vertical="center"/>
      <protection locked="0"/>
    </xf>
    <xf numFmtId="0" fontId="0" fillId="12" borderId="376" xfId="0" applyFont="1" applyFill="1" applyBorder="1" applyProtection="1">
      <protection locked="0"/>
    </xf>
    <xf numFmtId="0" fontId="0" fillId="12" borderId="377" xfId="0" applyFont="1" applyFill="1" applyBorder="1" applyProtection="1">
      <protection locked="0"/>
    </xf>
    <xf numFmtId="178" fontId="0" fillId="12" borderId="316" xfId="13" applyNumberFormat="1" applyFont="1" applyFill="1" applyBorder="1" applyAlignment="1" applyProtection="1">
      <alignment vertical="center"/>
      <protection locked="0"/>
    </xf>
    <xf numFmtId="177" fontId="0" fillId="29" borderId="337" xfId="0" applyNumberFormat="1" applyFont="1" applyFill="1" applyBorder="1" applyAlignment="1" applyProtection="1">
      <alignment horizontal="right" vertical="center"/>
    </xf>
    <xf numFmtId="177" fontId="0" fillId="0" borderId="337" xfId="0" applyNumberFormat="1" applyFont="1" applyFill="1" applyBorder="1" applyAlignment="1" applyProtection="1">
      <alignment horizontal="right" vertical="center"/>
    </xf>
    <xf numFmtId="0" fontId="0" fillId="12" borderId="378" xfId="0" applyFont="1" applyFill="1" applyBorder="1" applyAlignment="1" applyProtection="1">
      <alignment horizontal="left" vertical="center"/>
      <protection locked="0"/>
    </xf>
    <xf numFmtId="0" fontId="0" fillId="12" borderId="301" xfId="0" applyFont="1" applyFill="1" applyBorder="1" applyProtection="1">
      <protection locked="0"/>
    </xf>
    <xf numFmtId="0" fontId="0" fillId="12" borderId="316" xfId="0" applyFont="1" applyFill="1" applyBorder="1" applyProtection="1">
      <protection locked="0"/>
    </xf>
    <xf numFmtId="0" fontId="0" fillId="12" borderId="306" xfId="0" applyFont="1" applyFill="1" applyBorder="1" applyProtection="1">
      <protection locked="0"/>
    </xf>
    <xf numFmtId="0" fontId="0" fillId="12" borderId="292" xfId="0" applyFont="1" applyFill="1" applyBorder="1" applyProtection="1">
      <protection locked="0"/>
    </xf>
    <xf numFmtId="178" fontId="0" fillId="12" borderId="292" xfId="13" applyNumberFormat="1" applyFont="1" applyFill="1" applyBorder="1" applyAlignment="1" applyProtection="1">
      <alignment vertical="center"/>
      <protection locked="0"/>
    </xf>
    <xf numFmtId="177" fontId="0" fillId="29" borderId="338" xfId="0" applyNumberFormat="1" applyFont="1" applyFill="1" applyBorder="1" applyAlignment="1" applyProtection="1">
      <alignment horizontal="right" vertical="center"/>
    </xf>
    <xf numFmtId="177" fontId="0" fillId="0" borderId="338" xfId="0" applyNumberFormat="1" applyFont="1" applyFill="1" applyBorder="1" applyAlignment="1" applyProtection="1">
      <alignment horizontal="right" vertical="center"/>
    </xf>
    <xf numFmtId="9" fontId="0" fillId="44" borderId="135" xfId="0" applyNumberFormat="1" applyFont="1" applyFill="1" applyBorder="1" applyAlignment="1" applyProtection="1">
      <alignment horizontal="center" vertical="center"/>
    </xf>
    <xf numFmtId="177" fontId="0" fillId="26" borderId="136" xfId="0" applyNumberFormat="1" applyFont="1" applyFill="1" applyBorder="1" applyAlignment="1" applyProtection="1">
      <alignment horizontal="right" vertical="center"/>
    </xf>
    <xf numFmtId="9" fontId="0" fillId="44" borderId="136" xfId="0" applyNumberFormat="1" applyFont="1" applyFill="1" applyBorder="1" applyAlignment="1" applyProtection="1">
      <alignment horizontal="center" vertical="center"/>
    </xf>
    <xf numFmtId="169" fontId="0" fillId="44" borderId="136" xfId="16" applyFont="1" applyFill="1" applyBorder="1" applyAlignment="1" applyProtection="1">
      <alignment horizontal="center" vertical="center"/>
    </xf>
    <xf numFmtId="177" fontId="0" fillId="26" borderId="137" xfId="0" applyNumberFormat="1" applyFont="1" applyFill="1" applyBorder="1" applyAlignment="1" applyProtection="1">
      <alignment horizontal="right" vertical="center"/>
    </xf>
    <xf numFmtId="178" fontId="0" fillId="12" borderId="309" xfId="13" applyNumberFormat="1" applyFont="1" applyFill="1" applyBorder="1" applyAlignment="1" applyProtection="1">
      <alignment vertical="center"/>
      <protection locked="0"/>
    </xf>
    <xf numFmtId="178" fontId="0" fillId="12" borderId="365" xfId="13" applyNumberFormat="1" applyFont="1" applyFill="1" applyBorder="1" applyAlignment="1" applyProtection="1">
      <alignment vertical="center"/>
      <protection locked="0"/>
    </xf>
    <xf numFmtId="177" fontId="0" fillId="29" borderId="328" xfId="0" applyNumberFormat="1" applyFont="1" applyFill="1" applyBorder="1" applyAlignment="1" applyProtection="1">
      <alignment vertical="center"/>
    </xf>
    <xf numFmtId="177" fontId="0" fillId="29" borderId="33" xfId="0" applyNumberFormat="1" applyFont="1" applyFill="1" applyBorder="1" applyAlignment="1" applyProtection="1">
      <alignment horizontal="right" vertical="center"/>
    </xf>
    <xf numFmtId="0" fontId="0" fillId="12" borderId="365" xfId="0" applyFont="1" applyFill="1" applyBorder="1" applyAlignment="1" applyProtection="1">
      <alignment horizontal="left" vertical="center"/>
      <protection locked="0"/>
    </xf>
    <xf numFmtId="0" fontId="0" fillId="12" borderId="329" xfId="0" applyFont="1" applyFill="1" applyBorder="1" applyAlignment="1" applyProtection="1">
      <alignment horizontal="left" vertical="center"/>
      <protection locked="0"/>
    </xf>
    <xf numFmtId="0" fontId="0" fillId="12" borderId="139" xfId="0" applyFont="1" applyFill="1" applyBorder="1" applyAlignment="1" applyProtection="1">
      <alignment horizontal="left" vertical="center"/>
      <protection locked="0"/>
    </xf>
    <xf numFmtId="178" fontId="0" fillId="12" borderId="131" xfId="13" applyNumberFormat="1" applyFont="1" applyFill="1" applyBorder="1" applyAlignment="1" applyProtection="1">
      <alignment vertical="center"/>
      <protection locked="0"/>
    </xf>
    <xf numFmtId="168" fontId="0" fillId="12" borderId="379" xfId="13" applyNumberFormat="1" applyFont="1" applyFill="1" applyBorder="1" applyAlignment="1" applyProtection="1">
      <alignment vertical="center"/>
      <protection locked="0"/>
    </xf>
    <xf numFmtId="168" fontId="0" fillId="12" borderId="380" xfId="13" applyNumberFormat="1" applyFont="1" applyFill="1" applyBorder="1" applyAlignment="1" applyProtection="1">
      <alignment vertical="center"/>
      <protection locked="0"/>
    </xf>
    <xf numFmtId="0" fontId="38" fillId="11" borderId="301" xfId="0" applyFont="1" applyFill="1" applyBorder="1" applyProtection="1"/>
    <xf numFmtId="0" fontId="38" fillId="0" borderId="301" xfId="0" applyFont="1" applyBorder="1"/>
    <xf numFmtId="165" fontId="38" fillId="0" borderId="301" xfId="0" applyNumberFormat="1" applyFont="1" applyBorder="1"/>
    <xf numFmtId="9" fontId="38" fillId="0" borderId="301" xfId="0" applyNumberFormat="1" applyFont="1" applyBorder="1"/>
    <xf numFmtId="0" fontId="32" fillId="0" borderId="131" xfId="0" quotePrefix="1" applyFont="1" applyBorder="1" applyAlignment="1">
      <alignment horizontal="left" vertical="center" wrapText="1" shrinkToFit="1"/>
    </xf>
    <xf numFmtId="0" fontId="32" fillId="0" borderId="296" xfId="0" quotePrefix="1" applyFont="1" applyBorder="1" applyAlignment="1">
      <alignment horizontal="left" vertical="center" wrapText="1" shrinkToFit="1"/>
    </xf>
    <xf numFmtId="0" fontId="32" fillId="0" borderId="297" xfId="0" quotePrefix="1" applyFont="1" applyBorder="1" applyAlignment="1">
      <alignment horizontal="left" vertical="center" wrapText="1" shrinkToFit="1"/>
    </xf>
    <xf numFmtId="0" fontId="32" fillId="0" borderId="302" xfId="0" quotePrefix="1" applyFont="1" applyBorder="1" applyAlignment="1">
      <alignment horizontal="left" vertical="center" wrapText="1" shrinkToFit="1"/>
    </xf>
    <xf numFmtId="186" fontId="39" fillId="0" borderId="301" xfId="0" applyNumberFormat="1" applyFont="1" applyBorder="1"/>
    <xf numFmtId="188" fontId="39" fillId="0" borderId="301" xfId="0" applyNumberFormat="1" applyFont="1" applyBorder="1" applyAlignment="1"/>
    <xf numFmtId="0" fontId="32" fillId="0" borderId="308" xfId="0" applyFont="1" applyBorder="1"/>
    <xf numFmtId="186" fontId="39" fillId="0" borderId="306" xfId="0" applyNumberFormat="1" applyFont="1" applyBorder="1"/>
    <xf numFmtId="168" fontId="10" fillId="20" borderId="301" xfId="13" applyNumberFormat="1" applyFont="1" applyFill="1" applyBorder="1" applyAlignment="1" applyProtection="1">
      <alignment horizontal="center" vertical="center"/>
      <protection locked="0"/>
    </xf>
    <xf numFmtId="0" fontId="13" fillId="12" borderId="356" xfId="27" applyFont="1" applyFill="1" applyBorder="1" applyAlignment="1" applyProtection="1">
      <alignment horizontal="left" vertical="center"/>
      <protection locked="0"/>
    </xf>
    <xf numFmtId="0" fontId="13" fillId="12" borderId="244" xfId="27" applyFont="1" applyFill="1" applyBorder="1" applyProtection="1">
      <protection locked="0"/>
    </xf>
    <xf numFmtId="0" fontId="13" fillId="12" borderId="318" xfId="27" applyFont="1" applyFill="1" applyBorder="1" applyProtection="1">
      <protection locked="0"/>
    </xf>
    <xf numFmtId="178" fontId="0" fillId="12" borderId="244" xfId="26" applyNumberFormat="1" applyFont="1" applyFill="1" applyBorder="1" applyAlignment="1" applyProtection="1">
      <alignment vertical="center"/>
      <protection locked="0"/>
    </xf>
    <xf numFmtId="178" fontId="0" fillId="12" borderId="318" xfId="26" applyNumberFormat="1" applyFont="1" applyFill="1" applyBorder="1" applyAlignment="1" applyProtection="1">
      <alignment vertical="center"/>
      <protection locked="0"/>
    </xf>
    <xf numFmtId="0" fontId="13" fillId="12" borderId="324" xfId="27" applyFont="1" applyFill="1" applyBorder="1" applyAlignment="1" applyProtection="1">
      <alignment horizontal="left" vertical="center"/>
      <protection locked="0"/>
    </xf>
    <xf numFmtId="0" fontId="13" fillId="12" borderId="301" xfId="27" applyFont="1" applyFill="1" applyBorder="1" applyAlignment="1" applyProtection="1">
      <alignment horizontal="left" vertical="center"/>
      <protection locked="0"/>
    </xf>
    <xf numFmtId="0" fontId="13" fillId="12" borderId="301" xfId="27" applyFont="1" applyFill="1" applyBorder="1" applyProtection="1">
      <protection locked="0"/>
    </xf>
    <xf numFmtId="0" fontId="13" fillId="12" borderId="316" xfId="27" applyFont="1" applyFill="1" applyBorder="1" applyProtection="1">
      <protection locked="0"/>
    </xf>
    <xf numFmtId="178" fontId="0" fillId="12" borderId="301" xfId="26" applyNumberFormat="1" applyFont="1" applyFill="1" applyBorder="1" applyAlignment="1" applyProtection="1">
      <alignment vertical="center"/>
      <protection locked="0"/>
    </xf>
    <xf numFmtId="178" fontId="0" fillId="12" borderId="316" xfId="26" applyNumberFormat="1" applyFont="1" applyFill="1" applyBorder="1" applyAlignment="1" applyProtection="1">
      <alignment vertical="center"/>
      <protection locked="0"/>
    </xf>
    <xf numFmtId="0" fontId="13" fillId="12" borderId="381" xfId="27" applyFont="1" applyFill="1" applyBorder="1" applyAlignment="1" applyProtection="1">
      <alignment horizontal="left" vertical="center"/>
      <protection locked="0"/>
    </xf>
    <xf numFmtId="0" fontId="13" fillId="12" borderId="383" xfId="27" applyFont="1" applyFill="1" applyBorder="1" applyProtection="1">
      <protection locked="0"/>
    </xf>
    <xf numFmtId="0" fontId="13" fillId="12" borderId="382" xfId="27" applyFont="1" applyFill="1" applyBorder="1" applyProtection="1">
      <protection locked="0"/>
    </xf>
    <xf numFmtId="9" fontId="13" fillId="12" borderId="302" xfId="27" applyNumberFormat="1" applyFont="1" applyFill="1" applyBorder="1" applyAlignment="1" applyProtection="1">
      <alignment horizontal="center" vertical="center"/>
      <protection locked="0"/>
    </xf>
    <xf numFmtId="168" fontId="0" fillId="12" borderId="301" xfId="26" applyNumberFormat="1" applyFont="1" applyFill="1" applyBorder="1" applyAlignment="1" applyProtection="1">
      <alignment vertical="center"/>
      <protection locked="0"/>
    </xf>
    <xf numFmtId="168" fontId="10" fillId="20" borderId="301" xfId="26" applyNumberFormat="1" applyFont="1" applyFill="1" applyBorder="1" applyAlignment="1" applyProtection="1">
      <alignment horizontal="center" vertical="center"/>
      <protection locked="0"/>
    </xf>
    <xf numFmtId="0" fontId="0" fillId="0" borderId="301" xfId="0" applyFont="1" applyBorder="1" applyAlignment="1" applyProtection="1">
      <alignment horizontal="left" vertical="center" wrapText="1"/>
      <protection locked="0"/>
    </xf>
    <xf numFmtId="0" fontId="0" fillId="0" borderId="301" xfId="0" applyFont="1" applyBorder="1" applyAlignment="1" applyProtection="1">
      <alignment horizontal="left" vertical="top" wrapText="1"/>
      <protection locked="0"/>
    </xf>
    <xf numFmtId="0" fontId="0" fillId="0" borderId="301" xfId="0" applyBorder="1" applyAlignment="1" applyProtection="1">
      <alignment vertical="top" wrapText="1"/>
      <protection locked="0"/>
    </xf>
    <xf numFmtId="0" fontId="42" fillId="53" borderId="321" xfId="0" applyFont="1" applyFill="1" applyBorder="1" applyAlignment="1">
      <alignment vertical="center" wrapText="1"/>
    </xf>
    <xf numFmtId="0" fontId="42" fillId="53" borderId="315" xfId="0" applyFont="1" applyFill="1" applyBorder="1" applyAlignment="1">
      <alignment horizontal="center" vertical="center" wrapText="1"/>
    </xf>
    <xf numFmtId="0" fontId="42" fillId="53" borderId="126" xfId="0" applyFont="1" applyFill="1" applyBorder="1" applyAlignment="1">
      <alignment horizontal="center" vertical="center" wrapText="1"/>
    </xf>
    <xf numFmtId="0" fontId="43" fillId="53" borderId="315" xfId="0" applyFont="1" applyFill="1" applyBorder="1" applyAlignment="1">
      <alignment horizontal="center" vertical="center" wrapText="1"/>
    </xf>
    <xf numFmtId="0" fontId="43" fillId="53" borderId="126" xfId="0" applyFont="1" applyFill="1" applyBorder="1" applyAlignment="1">
      <alignment horizontal="center" vertical="center" wrapText="1"/>
    </xf>
    <xf numFmtId="0" fontId="43" fillId="53" borderId="211" xfId="0" applyFont="1" applyFill="1" applyBorder="1" applyAlignment="1">
      <alignment horizontal="center" vertical="center" wrapText="1"/>
    </xf>
    <xf numFmtId="0" fontId="44" fillId="53" borderId="181" xfId="0" applyFont="1" applyFill="1" applyBorder="1" applyAlignment="1">
      <alignment horizontal="center" vertical="center" wrapText="1"/>
    </xf>
    <xf numFmtId="0" fontId="44" fillId="11" borderId="211" xfId="0" applyFont="1" applyFill="1" applyBorder="1" applyAlignment="1">
      <alignment horizontal="center" vertical="center" wrapText="1"/>
    </xf>
    <xf numFmtId="0" fontId="44" fillId="11" borderId="181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0" fillId="54" borderId="321" xfId="0" applyFont="1" applyFill="1" applyBorder="1" applyAlignment="1">
      <alignment vertical="center" wrapText="1"/>
    </xf>
    <xf numFmtId="0" fontId="42" fillId="54" borderId="315" xfId="0" applyFont="1" applyFill="1" applyBorder="1" applyAlignment="1">
      <alignment vertical="center" wrapText="1"/>
    </xf>
    <xf numFmtId="0" fontId="42" fillId="54" borderId="126" xfId="0" applyFont="1" applyFill="1" applyBorder="1" applyAlignment="1">
      <alignment vertical="center" wrapText="1"/>
    </xf>
    <xf numFmtId="0" fontId="43" fillId="54" borderId="315" xfId="0" applyFont="1" applyFill="1" applyBorder="1" applyAlignment="1">
      <alignment horizontal="center" vertical="center" wrapText="1"/>
    </xf>
    <xf numFmtId="0" fontId="43" fillId="54" borderId="126" xfId="0" applyFont="1" applyFill="1" applyBorder="1" applyAlignment="1">
      <alignment horizontal="center" vertical="center" wrapText="1"/>
    </xf>
    <xf numFmtId="0" fontId="43" fillId="54" borderId="211" xfId="0" applyFont="1" applyFill="1" applyBorder="1" applyAlignment="1">
      <alignment horizontal="center" vertical="center" wrapText="1"/>
    </xf>
    <xf numFmtId="0" fontId="44" fillId="54" borderId="18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12" fillId="0" borderId="0" xfId="0" applyFont="1" applyProtection="1">
      <protection locked="0"/>
    </xf>
    <xf numFmtId="9" fontId="0" fillId="12" borderId="131" xfId="0" applyNumberFormat="1" applyFont="1" applyFill="1" applyBorder="1" applyAlignment="1" applyProtection="1">
      <alignment horizontal="center" vertical="center"/>
      <protection locked="0"/>
    </xf>
    <xf numFmtId="168" fontId="12" fillId="31" borderId="301" xfId="0" applyNumberFormat="1" applyFont="1" applyFill="1" applyBorder="1" applyAlignment="1" applyProtection="1">
      <alignment horizontal="center" vertical="center" wrapText="1"/>
    </xf>
    <xf numFmtId="168" fontId="13" fillId="12" borderId="301" xfId="26" applyNumberFormat="1" applyFont="1" applyFill="1" applyBorder="1" applyAlignment="1" applyProtection="1">
      <alignment vertical="center"/>
      <protection locked="0"/>
    </xf>
    <xf numFmtId="0" fontId="4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47" fillId="56" borderId="384" xfId="0" applyFont="1" applyFill="1" applyBorder="1" applyAlignment="1">
      <alignment horizontal="center" wrapText="1"/>
    </xf>
    <xf numFmtId="0" fontId="48" fillId="57" borderId="384" xfId="0" applyFont="1" applyFill="1" applyBorder="1" applyAlignment="1">
      <alignment horizontal="center" vertical="center" wrapText="1"/>
    </xf>
    <xf numFmtId="0" fontId="46" fillId="59" borderId="384" xfId="0" applyFont="1" applyFill="1" applyBorder="1" applyAlignment="1">
      <alignment horizontal="left" vertical="top" wrapText="1"/>
    </xf>
    <xf numFmtId="0" fontId="49" fillId="0" borderId="384" xfId="0" applyFont="1" applyBorder="1" applyAlignment="1">
      <alignment horizontal="left" vertical="center" wrapText="1"/>
    </xf>
    <xf numFmtId="0" fontId="0" fillId="0" borderId="384" xfId="0" applyBorder="1" applyAlignment="1">
      <alignment horizontal="center" vertical="center" wrapText="1"/>
    </xf>
    <xf numFmtId="3" fontId="50" fillId="0" borderId="384" xfId="0" applyNumberFormat="1" applyFont="1" applyBorder="1" applyAlignment="1">
      <alignment horizontal="center" vertical="center" wrapText="1"/>
    </xf>
    <xf numFmtId="0" fontId="49" fillId="0" borderId="387" xfId="0" applyFont="1" applyBorder="1" applyAlignment="1">
      <alignment horizontal="center" vertical="center" wrapText="1"/>
    </xf>
    <xf numFmtId="0" fontId="49" fillId="0" borderId="384" xfId="0" applyFont="1" applyBorder="1" applyAlignment="1">
      <alignment horizontal="center" vertical="center" wrapText="1"/>
    </xf>
    <xf numFmtId="0" fontId="46" fillId="60" borderId="384" xfId="0" applyFont="1" applyFill="1" applyBorder="1" applyAlignment="1">
      <alignment horizontal="left" wrapText="1"/>
    </xf>
    <xf numFmtId="0" fontId="0" fillId="60" borderId="384" xfId="0" applyFill="1" applyBorder="1" applyAlignment="1">
      <alignment horizontal="center" wrapText="1"/>
    </xf>
    <xf numFmtId="0" fontId="50" fillId="60" borderId="384" xfId="0" applyFont="1" applyFill="1" applyBorder="1" applyAlignment="1">
      <alignment horizontal="left" wrapText="1"/>
    </xf>
    <xf numFmtId="0" fontId="46" fillId="60" borderId="387" xfId="0" applyFont="1" applyFill="1" applyBorder="1" applyAlignment="1">
      <alignment horizontal="left" wrapText="1"/>
    </xf>
    <xf numFmtId="6" fontId="0" fillId="0" borderId="0" xfId="0" applyNumberFormat="1" applyAlignment="1">
      <alignment horizontal="right" wrapText="1"/>
    </xf>
    <xf numFmtId="0" fontId="0" fillId="0" borderId="0" xfId="0" applyAlignment="1">
      <alignment horizontal="left" vertical="center" wrapText="1"/>
    </xf>
    <xf numFmtId="6" fontId="0" fillId="61" borderId="0" xfId="0" applyNumberFormat="1" applyFill="1" applyAlignment="1">
      <alignment horizontal="right" wrapText="1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0" fillId="0" borderId="390" xfId="0" applyBorder="1" applyAlignment="1" applyProtection="1">
      <alignment horizontal="center"/>
      <protection locked="0"/>
    </xf>
    <xf numFmtId="0" fontId="12" fillId="0" borderId="390" xfId="0" applyFont="1" applyBorder="1" applyAlignment="1" applyProtection="1">
      <alignment horizontal="center"/>
      <protection locked="0"/>
    </xf>
    <xf numFmtId="165" fontId="0" fillId="0" borderId="390" xfId="33" applyFont="1" applyBorder="1" applyAlignment="1" applyProtection="1">
      <alignment horizontal="center"/>
      <protection locked="0"/>
    </xf>
    <xf numFmtId="165" fontId="13" fillId="0" borderId="390" xfId="33" applyFont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0" fillId="0" borderId="390" xfId="0" applyBorder="1" applyProtection="1">
      <protection locked="0"/>
    </xf>
    <xf numFmtId="165" fontId="0" fillId="0" borderId="390" xfId="33" applyFont="1" applyBorder="1" applyProtection="1">
      <protection locked="0"/>
    </xf>
    <xf numFmtId="165" fontId="0" fillId="0" borderId="390" xfId="0" applyNumberFormat="1" applyBorder="1" applyProtection="1">
      <protection locked="0"/>
    </xf>
    <xf numFmtId="165" fontId="12" fillId="0" borderId="390" xfId="33" applyFont="1" applyBorder="1" applyProtection="1">
      <protection locked="0"/>
    </xf>
    <xf numFmtId="3" fontId="0" fillId="0" borderId="390" xfId="0" applyNumberFormat="1" applyBorder="1" applyProtection="1">
      <protection locked="0"/>
    </xf>
    <xf numFmtId="165" fontId="0" fillId="0" borderId="390" xfId="0" applyNumberFormat="1" applyBorder="1" applyAlignment="1" applyProtection="1">
      <alignment horizontal="center"/>
      <protection locked="0"/>
    </xf>
    <xf numFmtId="0" fontId="0" fillId="12" borderId="0" xfId="0" applyFill="1" applyProtection="1">
      <protection locked="0"/>
    </xf>
    <xf numFmtId="10" fontId="0" fillId="12" borderId="0" xfId="0" applyNumberFormat="1" applyFill="1" applyProtection="1">
      <protection locked="0"/>
    </xf>
    <xf numFmtId="0" fontId="12" fillId="12" borderId="390" xfId="0" applyFont="1" applyFill="1" applyBorder="1" applyAlignment="1" applyProtection="1">
      <alignment horizontal="center"/>
      <protection locked="0"/>
    </xf>
    <xf numFmtId="165" fontId="0" fillId="12" borderId="390" xfId="33" applyFont="1" applyFill="1" applyBorder="1" applyAlignment="1" applyProtection="1">
      <alignment horizontal="center"/>
      <protection locked="0"/>
    </xf>
    <xf numFmtId="165" fontId="31" fillId="12" borderId="390" xfId="33" applyFont="1" applyFill="1" applyBorder="1" applyAlignment="1" applyProtection="1">
      <alignment horizontal="center"/>
      <protection locked="0"/>
    </xf>
    <xf numFmtId="0" fontId="0" fillId="0" borderId="391" xfId="0" applyBorder="1" applyProtection="1">
      <protection locked="0"/>
    </xf>
    <xf numFmtId="3" fontId="51" fillId="0" borderId="390" xfId="0" applyNumberFormat="1" applyFont="1" applyBorder="1"/>
    <xf numFmtId="0" fontId="0" fillId="0" borderId="0" xfId="0" applyBorder="1" applyProtection="1">
      <protection locked="0"/>
    </xf>
    <xf numFmtId="0" fontId="12" fillId="0" borderId="390" xfId="0" applyFont="1" applyBorder="1" applyProtection="1">
      <protection locked="0"/>
    </xf>
    <xf numFmtId="165" fontId="12" fillId="0" borderId="0" xfId="33" applyFont="1" applyBorder="1" applyProtection="1">
      <protection locked="0"/>
    </xf>
    <xf numFmtId="0" fontId="0" fillId="0" borderId="0" xfId="0" applyBorder="1"/>
    <xf numFmtId="0" fontId="12" fillId="0" borderId="0" xfId="0" applyFont="1" applyBorder="1" applyProtection="1">
      <protection locked="0"/>
    </xf>
    <xf numFmtId="165" fontId="30" fillId="0" borderId="0" xfId="33" applyFont="1" applyBorder="1" applyProtection="1">
      <protection locked="0"/>
    </xf>
    <xf numFmtId="0" fontId="23" fillId="0" borderId="0" xfId="0" applyFont="1" applyProtection="1">
      <protection locked="0"/>
    </xf>
    <xf numFmtId="0" fontId="51" fillId="0" borderId="0" xfId="0" applyFont="1" applyProtection="1">
      <protection locked="0"/>
    </xf>
    <xf numFmtId="0" fontId="51" fillId="0" borderId="390" xfId="0" applyFont="1" applyBorder="1" applyProtection="1">
      <protection locked="0"/>
    </xf>
    <xf numFmtId="165" fontId="23" fillId="0" borderId="390" xfId="33" applyFont="1" applyBorder="1" applyProtection="1">
      <protection locked="0"/>
    </xf>
    <xf numFmtId="0" fontId="51" fillId="0" borderId="0" xfId="0" applyFont="1"/>
    <xf numFmtId="165" fontId="52" fillId="0" borderId="390" xfId="33" applyFont="1" applyBorder="1" applyProtection="1">
      <protection locked="0"/>
    </xf>
    <xf numFmtId="0" fontId="51" fillId="0" borderId="0" xfId="0" applyFont="1" applyBorder="1" applyProtection="1">
      <protection locked="0"/>
    </xf>
    <xf numFmtId="165" fontId="23" fillId="0" borderId="0" xfId="33" applyFont="1" applyBorder="1" applyProtection="1">
      <protection locked="0"/>
    </xf>
    <xf numFmtId="165" fontId="23" fillId="0" borderId="0" xfId="33" applyFont="1" applyFill="1" applyBorder="1" applyProtection="1">
      <protection locked="0"/>
    </xf>
    <xf numFmtId="165" fontId="23" fillId="0" borderId="0" xfId="0" applyNumberFormat="1" applyFont="1" applyBorder="1" applyProtection="1">
      <protection locked="0"/>
    </xf>
    <xf numFmtId="165" fontId="51" fillId="0" borderId="390" xfId="0" applyNumberFormat="1" applyFont="1" applyBorder="1" applyProtection="1">
      <protection locked="0"/>
    </xf>
    <xf numFmtId="3" fontId="51" fillId="0" borderId="390" xfId="0" applyNumberFormat="1" applyFont="1" applyBorder="1" applyProtection="1">
      <protection locked="0"/>
    </xf>
    <xf numFmtId="168" fontId="23" fillId="15" borderId="14" xfId="13" applyNumberFormat="1" applyFont="1" applyFill="1" applyBorder="1" applyAlignment="1" applyProtection="1">
      <alignment vertical="center"/>
    </xf>
    <xf numFmtId="165" fontId="52" fillId="0" borderId="0" xfId="33" applyFont="1" applyBorder="1" applyProtection="1">
      <protection locked="0"/>
    </xf>
    <xf numFmtId="0" fontId="23" fillId="12" borderId="0" xfId="0" applyFont="1" applyFill="1" applyProtection="1">
      <protection locked="0"/>
    </xf>
    <xf numFmtId="164" fontId="51" fillId="0" borderId="390" xfId="0" applyNumberFormat="1" applyFont="1" applyBorder="1" applyProtection="1">
      <protection locked="0"/>
    </xf>
    <xf numFmtId="10" fontId="51" fillId="0" borderId="390" xfId="0" applyNumberFormat="1" applyFont="1" applyBorder="1" applyProtection="1">
      <protection locked="0"/>
    </xf>
    <xf numFmtId="0" fontId="23" fillId="0" borderId="390" xfId="0" applyFont="1" applyBorder="1" applyProtection="1">
      <protection locked="0"/>
    </xf>
    <xf numFmtId="164" fontId="0" fillId="0" borderId="390" xfId="0" applyNumberFormat="1" applyBorder="1" applyProtection="1">
      <protection locked="0"/>
    </xf>
    <xf numFmtId="165" fontId="0" fillId="0" borderId="390" xfId="34" applyFont="1" applyBorder="1" applyProtection="1">
      <protection locked="0"/>
    </xf>
    <xf numFmtId="164" fontId="12" fillId="0" borderId="390" xfId="0" applyNumberFormat="1" applyFont="1" applyBorder="1" applyProtection="1">
      <protection locked="0"/>
    </xf>
    <xf numFmtId="0" fontId="12" fillId="62" borderId="390" xfId="0" applyFont="1" applyFill="1" applyBorder="1" applyProtection="1">
      <protection locked="0"/>
    </xf>
    <xf numFmtId="165" fontId="12" fillId="62" borderId="390" xfId="34" applyFont="1" applyFill="1" applyBorder="1" applyProtection="1">
      <protection locked="0"/>
    </xf>
    <xf numFmtId="165" fontId="30" fillId="0" borderId="0" xfId="0" applyNumberFormat="1" applyFont="1" applyProtection="1">
      <protection locked="0"/>
    </xf>
    <xf numFmtId="181" fontId="13" fillId="0" borderId="0" xfId="13" applyNumberFormat="1"/>
    <xf numFmtId="181" fontId="0" fillId="0" borderId="0" xfId="0" applyNumberFormat="1" applyProtection="1">
      <protection locked="0"/>
    </xf>
    <xf numFmtId="0" fontId="0" fillId="37" borderId="0" xfId="0" applyFill="1" applyProtection="1">
      <protection locked="0"/>
    </xf>
    <xf numFmtId="181" fontId="13" fillId="37" borderId="0" xfId="13" applyNumberFormat="1" applyFill="1"/>
    <xf numFmtId="181" fontId="0" fillId="37" borderId="0" xfId="0" applyNumberFormat="1" applyFill="1" applyProtection="1">
      <protection locked="0"/>
    </xf>
    <xf numFmtId="167" fontId="12" fillId="0" borderId="0" xfId="0" applyNumberFormat="1" applyFont="1" applyAlignment="1" applyProtection="1">
      <alignment vertical="center"/>
    </xf>
    <xf numFmtId="0" fontId="0" fillId="37" borderId="390" xfId="0" applyFill="1" applyBorder="1" applyProtection="1">
      <protection locked="0"/>
    </xf>
    <xf numFmtId="181" fontId="13" fillId="37" borderId="390" xfId="13" applyNumberFormat="1" applyFill="1" applyBorder="1"/>
    <xf numFmtId="181" fontId="0" fillId="37" borderId="390" xfId="0" applyNumberFormat="1" applyFill="1" applyBorder="1" applyProtection="1">
      <protection locked="0"/>
    </xf>
    <xf numFmtId="0" fontId="12" fillId="37" borderId="390" xfId="0" applyFont="1" applyFill="1" applyBorder="1" applyAlignment="1" applyProtection="1">
      <alignment horizontal="center" vertical="center"/>
      <protection locked="0"/>
    </xf>
    <xf numFmtId="9" fontId="12" fillId="37" borderId="39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44" borderId="244" xfId="27" applyFont="1" applyFill="1" applyBorder="1" applyAlignment="1" applyProtection="1">
      <alignment horizontal="left" vertical="center"/>
      <protection locked="0"/>
    </xf>
    <xf numFmtId="0" fontId="12" fillId="44" borderId="301" xfId="27" applyFont="1" applyFill="1" applyBorder="1" applyAlignment="1" applyProtection="1">
      <alignment horizontal="left" vertical="center"/>
      <protection locked="0"/>
    </xf>
    <xf numFmtId="0" fontId="12" fillId="44" borderId="383" xfId="27" applyFont="1" applyFill="1" applyBorder="1" applyAlignment="1" applyProtection="1">
      <alignment horizontal="left" vertical="center"/>
      <protection locked="0"/>
    </xf>
    <xf numFmtId="0" fontId="31" fillId="12" borderId="301" xfId="27" applyFont="1" applyFill="1" applyBorder="1" applyAlignment="1" applyProtection="1">
      <alignment horizontal="left" vertical="center"/>
      <protection locked="0"/>
    </xf>
    <xf numFmtId="0" fontId="31" fillId="12" borderId="383" xfId="27" applyFont="1" applyFill="1" applyBorder="1" applyAlignment="1" applyProtection="1">
      <alignment horizontal="left" vertical="center"/>
      <protection locked="0"/>
    </xf>
    <xf numFmtId="0" fontId="21" fillId="0" borderId="0" xfId="20"/>
    <xf numFmtId="0" fontId="0" fillId="0" borderId="0" xfId="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Font="1"/>
    <xf numFmtId="168" fontId="22" fillId="32" borderId="26" xfId="0" applyNumberFormat="1" applyFont="1" applyFill="1" applyBorder="1" applyAlignment="1" applyProtection="1">
      <alignment horizontal="center" vertical="center"/>
    </xf>
    <xf numFmtId="168" fontId="22" fillId="32" borderId="78" xfId="0" applyNumberFormat="1" applyFont="1" applyFill="1" applyBorder="1" applyAlignment="1" applyProtection="1">
      <alignment horizontal="center" vertical="center"/>
    </xf>
    <xf numFmtId="168" fontId="22" fillId="32" borderId="39" xfId="0" applyNumberFormat="1" applyFont="1" applyFill="1" applyBorder="1" applyAlignment="1" applyProtection="1">
      <alignment horizontal="center" vertical="center"/>
    </xf>
    <xf numFmtId="168" fontId="22" fillId="32" borderId="58" xfId="0" applyNumberFormat="1" applyFont="1" applyFill="1" applyBorder="1" applyAlignment="1" applyProtection="1">
      <alignment horizontal="center" vertical="center"/>
    </xf>
    <xf numFmtId="168" fontId="22" fillId="32" borderId="167" xfId="0" applyNumberFormat="1" applyFont="1" applyFill="1" applyBorder="1" applyAlignment="1" applyProtection="1">
      <alignment horizontal="center" vertical="center"/>
    </xf>
    <xf numFmtId="168" fontId="22" fillId="32" borderId="187" xfId="0" applyNumberFormat="1" applyFont="1" applyFill="1" applyBorder="1" applyAlignment="1" applyProtection="1">
      <alignment horizontal="center" vertical="center"/>
    </xf>
    <xf numFmtId="168" fontId="22" fillId="32" borderId="172" xfId="0" applyNumberFormat="1" applyFont="1" applyFill="1" applyBorder="1" applyAlignment="1" applyProtection="1">
      <alignment horizontal="center" vertical="center"/>
    </xf>
    <xf numFmtId="0" fontId="0" fillId="0" borderId="172" xfId="0" applyFont="1" applyFill="1" applyBorder="1" applyAlignment="1" applyProtection="1">
      <alignment horizontal="center" vertical="center" wrapText="1"/>
    </xf>
    <xf numFmtId="0" fontId="23" fillId="37" borderId="172" xfId="0" applyFont="1" applyFill="1" applyBorder="1" applyAlignment="1" applyProtection="1">
      <alignment horizontal="center" vertical="center" wrapText="1"/>
    </xf>
    <xf numFmtId="0" fontId="0" fillId="0" borderId="37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31" xfId="0" applyFont="1" applyFill="1" applyBorder="1" applyAlignment="1" applyProtection="1">
      <alignment horizontal="center" vertical="center" wrapText="1"/>
    </xf>
    <xf numFmtId="0" fontId="23" fillId="0" borderId="37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178" xfId="0" applyFont="1" applyFill="1" applyBorder="1" applyAlignment="1" applyProtection="1">
      <alignment horizontal="center" vertical="center" wrapText="1"/>
    </xf>
    <xf numFmtId="168" fontId="24" fillId="34" borderId="196" xfId="0" applyNumberFormat="1" applyFont="1" applyFill="1" applyBorder="1" applyAlignment="1" applyProtection="1">
      <alignment horizontal="center" vertical="center" wrapText="1"/>
    </xf>
    <xf numFmtId="168" fontId="24" fillId="34" borderId="197" xfId="0" applyNumberFormat="1" applyFont="1" applyFill="1" applyBorder="1" applyAlignment="1" applyProtection="1">
      <alignment horizontal="center" vertical="center" wrapText="1"/>
    </xf>
    <xf numFmtId="168" fontId="24" fillId="34" borderId="198" xfId="0" applyNumberFormat="1" applyFont="1" applyFill="1" applyBorder="1" applyAlignment="1" applyProtection="1">
      <alignment horizontal="center" vertical="center" wrapText="1"/>
    </xf>
    <xf numFmtId="168" fontId="0" fillId="9" borderId="53" xfId="13" applyNumberFormat="1" applyFont="1" applyFill="1" applyBorder="1" applyAlignment="1" applyProtection="1">
      <alignment horizontal="right" vertical="center"/>
    </xf>
    <xf numFmtId="168" fontId="0" fillId="9" borderId="104" xfId="13" applyNumberFormat="1" applyFont="1" applyFill="1" applyBorder="1" applyAlignment="1" applyProtection="1">
      <alignment horizontal="right" vertical="center"/>
    </xf>
    <xf numFmtId="168" fontId="0" fillId="9" borderId="103" xfId="13" applyNumberFormat="1" applyFont="1" applyFill="1" applyBorder="1" applyAlignment="1" applyProtection="1">
      <alignment horizontal="right" vertical="center"/>
    </xf>
    <xf numFmtId="0" fontId="23" fillId="0" borderId="48" xfId="0" applyFont="1" applyFill="1" applyBorder="1" applyAlignment="1" applyProtection="1">
      <alignment horizontal="center" vertical="center" wrapText="1"/>
    </xf>
    <xf numFmtId="0" fontId="23" fillId="0" borderId="56" xfId="0" applyFont="1" applyFill="1" applyBorder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23" fillId="12" borderId="5" xfId="0" applyFont="1" applyFill="1" applyBorder="1" applyAlignment="1" applyProtection="1">
      <alignment horizontal="center" vertical="center"/>
      <protection locked="0"/>
    </xf>
    <xf numFmtId="0" fontId="23" fillId="12" borderId="119" xfId="0" applyFont="1" applyFill="1" applyBorder="1" applyAlignment="1" applyProtection="1">
      <alignment horizontal="center" vertical="center"/>
      <protection locked="0"/>
    </xf>
    <xf numFmtId="0" fontId="23" fillId="12" borderId="7" xfId="0" applyFont="1" applyFill="1" applyBorder="1" applyAlignment="1" applyProtection="1">
      <alignment horizontal="center" vertical="center"/>
      <protection locked="0"/>
    </xf>
    <xf numFmtId="168" fontId="12" fillId="15" borderId="47" xfId="0" applyNumberFormat="1" applyFont="1" applyFill="1" applyBorder="1" applyAlignment="1" applyProtection="1">
      <alignment horizontal="center" vertical="center"/>
    </xf>
    <xf numFmtId="168" fontId="12" fillId="15" borderId="49" xfId="0" applyNumberFormat="1" applyFont="1" applyFill="1" applyBorder="1" applyAlignment="1" applyProtection="1">
      <alignment horizontal="center" vertical="center"/>
    </xf>
    <xf numFmtId="168" fontId="23" fillId="39" borderId="45" xfId="0" applyNumberFormat="1" applyFont="1" applyFill="1" applyBorder="1" applyAlignment="1" applyProtection="1">
      <alignment horizontal="center" vertical="center" wrapText="1"/>
    </xf>
    <xf numFmtId="168" fontId="23" fillId="39" borderId="46" xfId="0" applyNumberFormat="1" applyFont="1" applyFill="1" applyBorder="1" applyAlignment="1" applyProtection="1">
      <alignment horizontal="center" vertical="center" wrapText="1"/>
    </xf>
    <xf numFmtId="168" fontId="23" fillId="39" borderId="14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45" xfId="0" applyFont="1" applyFill="1" applyBorder="1" applyAlignment="1" applyProtection="1">
      <alignment horizontal="center" vertical="center" wrapText="1"/>
    </xf>
    <xf numFmtId="0" fontId="12" fillId="15" borderId="50" xfId="0" applyFont="1" applyFill="1" applyBorder="1" applyAlignment="1" applyProtection="1">
      <alignment horizontal="center" vertical="center" wrapText="1"/>
    </xf>
    <xf numFmtId="0" fontId="12" fillId="15" borderId="46" xfId="0" applyFont="1" applyFill="1" applyBorder="1" applyAlignment="1" applyProtection="1">
      <alignment horizontal="center" vertical="center" wrapText="1"/>
    </xf>
    <xf numFmtId="0" fontId="12" fillId="15" borderId="37" xfId="0" applyFont="1" applyFill="1" applyBorder="1" applyAlignment="1" applyProtection="1">
      <alignment horizontal="center" vertical="center" wrapText="1"/>
    </xf>
    <xf numFmtId="168" fontId="0" fillId="9" borderId="172" xfId="13" applyNumberFormat="1" applyFont="1" applyFill="1" applyBorder="1" applyAlignment="1" applyProtection="1">
      <alignment horizontal="right" vertical="center"/>
    </xf>
    <xf numFmtId="168" fontId="29" fillId="45" borderId="55" xfId="0" applyNumberFormat="1" applyFont="1" applyFill="1" applyBorder="1" applyAlignment="1" applyProtection="1">
      <alignment horizontal="center" vertical="center" wrapText="1"/>
    </xf>
    <xf numFmtId="168" fontId="29" fillId="45" borderId="109" xfId="0" applyNumberFormat="1" applyFont="1" applyFill="1" applyBorder="1" applyAlignment="1" applyProtection="1">
      <alignment horizontal="center" vertical="center" wrapText="1"/>
    </xf>
    <xf numFmtId="0" fontId="22" fillId="0" borderId="37" xfId="0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22" fillId="0" borderId="31" xfId="0" applyFont="1" applyFill="1" applyBorder="1" applyAlignment="1" applyProtection="1">
      <alignment horizontal="center" vertical="center" wrapText="1"/>
    </xf>
    <xf numFmtId="0" fontId="23" fillId="0" borderId="31" xfId="0" applyFont="1" applyFill="1" applyBorder="1" applyAlignment="1" applyProtection="1">
      <alignment horizontal="center" vertical="center" wrapText="1"/>
    </xf>
    <xf numFmtId="168" fontId="17" fillId="34" borderId="192" xfId="0" applyNumberFormat="1" applyFont="1" applyFill="1" applyBorder="1" applyAlignment="1" applyProtection="1">
      <alignment horizontal="center" vertical="center" wrapText="1"/>
    </xf>
    <xf numFmtId="168" fontId="17" fillId="34" borderId="35" xfId="0" applyNumberFormat="1" applyFont="1" applyFill="1" applyBorder="1" applyAlignment="1" applyProtection="1">
      <alignment horizontal="center" vertical="center" wrapText="1"/>
    </xf>
    <xf numFmtId="168" fontId="17" fillId="34" borderId="54" xfId="0" applyNumberFormat="1" applyFont="1" applyFill="1" applyBorder="1" applyAlignment="1" applyProtection="1">
      <alignment horizontal="center" vertical="center" wrapText="1"/>
    </xf>
    <xf numFmtId="168" fontId="17" fillId="34" borderId="31" xfId="0" applyNumberFormat="1" applyFont="1" applyFill="1" applyBorder="1" applyAlignment="1" applyProtection="1">
      <alignment horizontal="center" vertical="center" wrapText="1"/>
    </xf>
    <xf numFmtId="168" fontId="17" fillId="34" borderId="105" xfId="0" applyNumberFormat="1" applyFont="1" applyFill="1" applyBorder="1" applyAlignment="1" applyProtection="1">
      <alignment horizontal="center" vertical="center" wrapText="1"/>
    </xf>
    <xf numFmtId="168" fontId="17" fillId="34" borderId="106" xfId="0" applyNumberFormat="1" applyFont="1" applyFill="1" applyBorder="1" applyAlignment="1" applyProtection="1">
      <alignment horizontal="center" vertical="center" wrapText="1"/>
    </xf>
    <xf numFmtId="168" fontId="0" fillId="9" borderId="89" xfId="13" applyNumberFormat="1" applyFont="1" applyFill="1" applyBorder="1" applyAlignment="1" applyProtection="1">
      <alignment horizontal="right" vertical="center"/>
    </xf>
    <xf numFmtId="168" fontId="0" fillId="9" borderId="108" xfId="13" applyNumberFormat="1" applyFont="1" applyFill="1" applyBorder="1" applyAlignment="1" applyProtection="1">
      <alignment horizontal="right" vertical="center"/>
    </xf>
    <xf numFmtId="168" fontId="0" fillId="9" borderId="78" xfId="13" applyNumberFormat="1" applyFont="1" applyFill="1" applyBorder="1" applyAlignment="1" applyProtection="1">
      <alignment horizontal="right" vertical="center"/>
    </xf>
    <xf numFmtId="0" fontId="22" fillId="0" borderId="312" xfId="0" applyFont="1" applyFill="1" applyBorder="1" applyAlignment="1" applyProtection="1">
      <alignment horizontal="center" vertical="center" wrapText="1"/>
    </xf>
    <xf numFmtId="0" fontId="22" fillId="0" borderId="313" xfId="0" applyFont="1" applyFill="1" applyBorder="1" applyAlignment="1" applyProtection="1">
      <alignment horizontal="center" vertical="center" wrapText="1"/>
    </xf>
    <xf numFmtId="0" fontId="22" fillId="0" borderId="314" xfId="0" applyFont="1" applyFill="1" applyBorder="1" applyAlignment="1" applyProtection="1">
      <alignment horizontal="center" vertical="center" wrapText="1"/>
    </xf>
    <xf numFmtId="0" fontId="22" fillId="47" borderId="110" xfId="0" applyFont="1" applyFill="1" applyBorder="1" applyAlignment="1" applyProtection="1">
      <alignment horizontal="center" vertical="center" wrapText="1"/>
    </xf>
    <xf numFmtId="0" fontId="22" fillId="47" borderId="156" xfId="0" applyFont="1" applyFill="1" applyBorder="1" applyAlignment="1" applyProtection="1">
      <alignment horizontal="center" vertical="center" wrapText="1"/>
    </xf>
    <xf numFmtId="0" fontId="22" fillId="0" borderId="336" xfId="0" applyFont="1" applyFill="1" applyBorder="1" applyAlignment="1" applyProtection="1">
      <alignment horizontal="center" vertical="center" wrapText="1"/>
    </xf>
    <xf numFmtId="0" fontId="22" fillId="0" borderId="337" xfId="0" applyFont="1" applyFill="1" applyBorder="1" applyAlignment="1" applyProtection="1">
      <alignment horizontal="center" vertical="center" wrapText="1"/>
    </xf>
    <xf numFmtId="0" fontId="22" fillId="0" borderId="338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168" fontId="24" fillId="34" borderId="111" xfId="0" applyNumberFormat="1" applyFont="1" applyFill="1" applyBorder="1" applyAlignment="1" applyProtection="1">
      <alignment horizontal="center" vertical="center" wrapText="1"/>
    </xf>
    <xf numFmtId="168" fontId="24" fillId="34" borderId="112" xfId="0" applyNumberFormat="1" applyFont="1" applyFill="1" applyBorder="1" applyAlignment="1" applyProtection="1">
      <alignment horizontal="center" vertical="center" wrapText="1"/>
    </xf>
    <xf numFmtId="168" fontId="24" fillId="34" borderId="113" xfId="0" applyNumberFormat="1" applyFont="1" applyFill="1" applyBorder="1" applyAlignment="1" applyProtection="1">
      <alignment horizontal="center" vertical="center" wrapText="1"/>
    </xf>
    <xf numFmtId="0" fontId="23" fillId="16" borderId="81" xfId="0" applyFont="1" applyFill="1" applyBorder="1" applyAlignment="1" applyProtection="1">
      <alignment horizontal="center" vertical="center" wrapText="1"/>
    </xf>
    <xf numFmtId="0" fontId="23" fillId="16" borderId="123" xfId="0" applyFont="1" applyFill="1" applyBorder="1" applyAlignment="1" applyProtection="1">
      <alignment horizontal="center" vertical="center" wrapText="1"/>
    </xf>
    <xf numFmtId="168" fontId="24" fillId="34" borderId="45" xfId="0" applyNumberFormat="1" applyFont="1" applyFill="1" applyBorder="1" applyAlignment="1" applyProtection="1">
      <alignment horizontal="center" vertical="center" wrapText="1"/>
    </xf>
    <xf numFmtId="168" fontId="24" fillId="34" borderId="46" xfId="0" applyNumberFormat="1" applyFont="1" applyFill="1" applyBorder="1" applyAlignment="1" applyProtection="1">
      <alignment horizontal="center" vertical="center" wrapText="1"/>
    </xf>
    <xf numFmtId="168" fontId="24" fillId="34" borderId="147" xfId="0" applyNumberFormat="1" applyFont="1" applyFill="1" applyBorder="1" applyAlignment="1" applyProtection="1">
      <alignment horizontal="center" vertical="center" wrapText="1"/>
    </xf>
    <xf numFmtId="0" fontId="22" fillId="47" borderId="131" xfId="0" applyFont="1" applyFill="1" applyBorder="1" applyAlignment="1" applyProtection="1">
      <alignment horizontal="center" vertical="center" wrapText="1"/>
    </xf>
    <xf numFmtId="0" fontId="22" fillId="47" borderId="134" xfId="0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5" borderId="62" xfId="0" applyFont="1" applyFill="1" applyBorder="1" applyAlignment="1" applyProtection="1">
      <alignment horizontal="center" vertical="center" wrapText="1"/>
    </xf>
    <xf numFmtId="0" fontId="23" fillId="15" borderId="120" xfId="0" applyFont="1" applyFill="1" applyBorder="1" applyAlignment="1" applyProtection="1">
      <alignment horizontal="center" vertical="center" wrapText="1"/>
    </xf>
    <xf numFmtId="0" fontId="23" fillId="16" borderId="339" xfId="0" applyFont="1" applyFill="1" applyBorder="1" applyAlignment="1" applyProtection="1">
      <alignment horizontal="center" vertical="center" wrapText="1"/>
    </xf>
    <xf numFmtId="0" fontId="23" fillId="16" borderId="340" xfId="0" applyFont="1" applyFill="1" applyBorder="1" applyAlignment="1" applyProtection="1">
      <alignment horizontal="center" vertical="center" wrapText="1"/>
    </xf>
    <xf numFmtId="0" fontId="23" fillId="15" borderId="336" xfId="0" applyFont="1" applyFill="1" applyBorder="1" applyAlignment="1" applyProtection="1">
      <alignment horizontal="center" vertical="center" wrapText="1"/>
    </xf>
    <xf numFmtId="0" fontId="23" fillId="15" borderId="317" xfId="0" applyFont="1" applyFill="1" applyBorder="1" applyAlignment="1" applyProtection="1">
      <alignment horizontal="center" vertical="center" wrapText="1"/>
    </xf>
    <xf numFmtId="0" fontId="23" fillId="13" borderId="333" xfId="0" applyFont="1" applyFill="1" applyBorder="1" applyAlignment="1" applyProtection="1">
      <alignment horizontal="center" vertical="center"/>
      <protection locked="0"/>
    </xf>
    <xf numFmtId="0" fontId="23" fillId="13" borderId="334" xfId="0" applyFont="1" applyFill="1" applyBorder="1" applyAlignment="1" applyProtection="1">
      <alignment horizontal="center" vertical="center"/>
      <protection locked="0"/>
    </xf>
    <xf numFmtId="0" fontId="22" fillId="47" borderId="170" xfId="0" applyFont="1" applyFill="1" applyBorder="1" applyAlignment="1" applyProtection="1">
      <alignment horizontal="center" vertical="center" wrapText="1"/>
    </xf>
    <xf numFmtId="168" fontId="24" fillId="34" borderId="141" xfId="0" applyNumberFormat="1" applyFont="1" applyFill="1" applyBorder="1" applyAlignment="1" applyProtection="1">
      <alignment horizontal="center" vertical="center" wrapText="1"/>
    </xf>
    <xf numFmtId="168" fontId="24" fillId="34" borderId="142" xfId="0" applyNumberFormat="1" applyFont="1" applyFill="1" applyBorder="1" applyAlignment="1" applyProtection="1">
      <alignment horizontal="center" vertical="center" wrapText="1"/>
    </xf>
    <xf numFmtId="168" fontId="24" fillId="34" borderId="143" xfId="0" applyNumberFormat="1" applyFont="1" applyFill="1" applyBorder="1" applyAlignment="1" applyProtection="1">
      <alignment horizontal="center" vertical="center" wrapText="1"/>
    </xf>
    <xf numFmtId="168" fontId="12" fillId="15" borderId="148" xfId="0" applyNumberFormat="1" applyFont="1" applyFill="1" applyBorder="1" applyAlignment="1" applyProtection="1">
      <alignment horizontal="center" vertical="center" wrapText="1"/>
    </xf>
    <xf numFmtId="168" fontId="12" fillId="15" borderId="149" xfId="0" applyNumberFormat="1" applyFont="1" applyFill="1" applyBorder="1" applyAlignment="1" applyProtection="1">
      <alignment horizontal="center" vertical="center" wrapText="1"/>
    </xf>
    <xf numFmtId="168" fontId="12" fillId="15" borderId="150" xfId="0" applyNumberFormat="1" applyFont="1" applyFill="1" applyBorder="1" applyAlignment="1" applyProtection="1">
      <alignment horizontal="center" vertical="center" wrapText="1"/>
    </xf>
    <xf numFmtId="0" fontId="23" fillId="16" borderId="182" xfId="0" applyFont="1" applyFill="1" applyBorder="1" applyAlignment="1" applyProtection="1">
      <alignment horizontal="center" vertical="center" wrapText="1"/>
    </xf>
    <xf numFmtId="168" fontId="24" fillId="34" borderId="183" xfId="0" applyNumberFormat="1" applyFont="1" applyFill="1" applyBorder="1" applyAlignment="1" applyProtection="1">
      <alignment horizontal="center" vertical="center" wrapText="1"/>
    </xf>
    <xf numFmtId="168" fontId="24" fillId="34" borderId="184" xfId="0" applyNumberFormat="1" applyFont="1" applyFill="1" applyBorder="1" applyAlignment="1" applyProtection="1">
      <alignment horizontal="center" vertical="center" wrapText="1"/>
    </xf>
    <xf numFmtId="168" fontId="24" fillId="34" borderId="185" xfId="0" applyNumberFormat="1" applyFont="1" applyFill="1" applyBorder="1" applyAlignment="1" applyProtection="1">
      <alignment horizontal="center" vertical="center" wrapText="1"/>
    </xf>
    <xf numFmtId="0" fontId="23" fillId="16" borderId="161" xfId="0" applyFont="1" applyFill="1" applyBorder="1" applyAlignment="1" applyProtection="1">
      <alignment horizontal="center" vertical="center" wrapText="1"/>
    </xf>
    <xf numFmtId="0" fontId="23" fillId="16" borderId="127" xfId="0" applyFont="1" applyFill="1" applyBorder="1" applyAlignment="1" applyProtection="1">
      <alignment horizontal="center" vertical="center" wrapText="1"/>
    </xf>
    <xf numFmtId="168" fontId="12" fillId="15" borderId="158" xfId="0" applyNumberFormat="1" applyFont="1" applyFill="1" applyBorder="1" applyAlignment="1" applyProtection="1">
      <alignment horizontal="center" vertical="center" wrapText="1"/>
    </xf>
    <xf numFmtId="168" fontId="12" fillId="15" borderId="95" xfId="0" applyNumberFormat="1" applyFont="1" applyFill="1" applyBorder="1" applyAlignment="1" applyProtection="1">
      <alignment horizontal="center" vertical="center" wrapText="1"/>
    </xf>
    <xf numFmtId="168" fontId="24" fillId="34" borderId="131" xfId="0" applyNumberFormat="1" applyFont="1" applyFill="1" applyBorder="1" applyAlignment="1" applyProtection="1">
      <alignment horizontal="center" vertical="center" wrapText="1"/>
    </xf>
    <xf numFmtId="168" fontId="24" fillId="34" borderId="132" xfId="0" applyNumberFormat="1" applyFont="1" applyFill="1" applyBorder="1" applyAlignment="1" applyProtection="1">
      <alignment horizontal="center" vertical="center" wrapText="1"/>
    </xf>
    <xf numFmtId="168" fontId="24" fillId="34" borderId="133" xfId="0" applyNumberFormat="1" applyFont="1" applyFill="1" applyBorder="1" applyAlignment="1" applyProtection="1">
      <alignment horizontal="center" vertical="center" wrapText="1"/>
    </xf>
    <xf numFmtId="0" fontId="23" fillId="15" borderId="131" xfId="0" applyFont="1" applyFill="1" applyBorder="1" applyAlignment="1" applyProtection="1">
      <alignment horizontal="center" vertical="center" wrapText="1"/>
    </xf>
    <xf numFmtId="0" fontId="23" fillId="15" borderId="309" xfId="0" applyFont="1" applyFill="1" applyBorder="1" applyAlignment="1" applyProtection="1">
      <alignment horizontal="center" vertical="center" wrapText="1"/>
    </xf>
    <xf numFmtId="0" fontId="33" fillId="51" borderId="364" xfId="0" applyFont="1" applyFill="1" applyBorder="1" applyAlignment="1" applyProtection="1">
      <alignment horizontal="center" vertical="center" wrapText="1"/>
    </xf>
    <xf numFmtId="0" fontId="33" fillId="51" borderId="362" xfId="0" applyFont="1" applyFill="1" applyBorder="1" applyAlignment="1" applyProtection="1">
      <alignment horizontal="center" vertical="center" wrapText="1"/>
    </xf>
    <xf numFmtId="0" fontId="36" fillId="37" borderId="301" xfId="0" applyFont="1" applyFill="1" applyBorder="1" applyAlignment="1" applyProtection="1">
      <alignment horizontal="center" vertical="center"/>
    </xf>
    <xf numFmtId="0" fontId="23" fillId="0" borderId="43" xfId="0" applyFont="1" applyFill="1" applyBorder="1" applyAlignment="1" applyProtection="1">
      <alignment horizontal="center" vertical="top" wrapText="1"/>
    </xf>
    <xf numFmtId="0" fontId="23" fillId="0" borderId="15" xfId="0" applyFont="1" applyFill="1" applyBorder="1" applyAlignment="1" applyProtection="1">
      <alignment horizontal="center" vertical="top" wrapText="1"/>
    </xf>
    <xf numFmtId="0" fontId="23" fillId="0" borderId="101" xfId="0" applyFont="1" applyFill="1" applyBorder="1" applyAlignment="1" applyProtection="1">
      <alignment horizontal="center" vertical="top" wrapText="1"/>
    </xf>
    <xf numFmtId="0" fontId="0" fillId="0" borderId="18" xfId="0" applyFont="1" applyFill="1" applyBorder="1" applyAlignment="1" applyProtection="1">
      <alignment horizontal="left" vertical="center"/>
    </xf>
    <xf numFmtId="0" fontId="0" fillId="0" borderId="28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10" fillId="16" borderId="17" xfId="0" applyFont="1" applyFill="1" applyBorder="1" applyAlignment="1" applyProtection="1">
      <alignment horizontal="center" vertical="center"/>
    </xf>
    <xf numFmtId="0" fontId="10" fillId="16" borderId="9" xfId="0" applyFont="1" applyFill="1" applyBorder="1" applyAlignment="1" applyProtection="1">
      <alignment horizontal="center" vertical="center"/>
    </xf>
    <xf numFmtId="0" fontId="12" fillId="17" borderId="17" xfId="0" applyFont="1" applyFill="1" applyBorder="1" applyAlignment="1" applyProtection="1">
      <alignment horizontal="center" vertical="center"/>
    </xf>
    <xf numFmtId="0" fontId="12" fillId="17" borderId="24" xfId="0" applyFont="1" applyFill="1" applyBorder="1" applyAlignment="1" applyProtection="1">
      <alignment horizontal="center" vertical="center"/>
    </xf>
    <xf numFmtId="0" fontId="10" fillId="15" borderId="295" xfId="0" applyFont="1" applyFill="1" applyBorder="1" applyAlignment="1" applyProtection="1">
      <alignment horizontal="center" vertical="center"/>
    </xf>
    <xf numFmtId="0" fontId="10" fillId="15" borderId="361" xfId="0" applyFont="1" applyFill="1" applyBorder="1" applyAlignment="1" applyProtection="1">
      <alignment horizontal="center" vertical="center"/>
    </xf>
    <xf numFmtId="0" fontId="10" fillId="16" borderId="301" xfId="0" applyFont="1" applyFill="1" applyBorder="1" applyAlignment="1" applyProtection="1">
      <alignment horizontal="center" vertical="center" wrapText="1"/>
    </xf>
    <xf numFmtId="166" fontId="12" fillId="18" borderId="349" xfId="13" applyFont="1" applyFill="1" applyBorder="1" applyAlignment="1" applyProtection="1">
      <alignment horizontal="center" vertical="center" wrapText="1"/>
    </xf>
    <xf numFmtId="166" fontId="12" fillId="18" borderId="189" xfId="13" applyFont="1" applyFill="1" applyBorder="1" applyAlignment="1" applyProtection="1">
      <alignment horizontal="center" vertical="center" wrapText="1"/>
    </xf>
    <xf numFmtId="0" fontId="10" fillId="17" borderId="29" xfId="0" applyFont="1" applyFill="1" applyBorder="1" applyAlignment="1" applyProtection="1">
      <alignment horizontal="left" vertical="center"/>
    </xf>
    <xf numFmtId="0" fontId="10" fillId="17" borderId="25" xfId="0" applyFont="1" applyFill="1" applyBorder="1" applyAlignment="1" applyProtection="1">
      <alignment horizontal="left" vertical="center"/>
    </xf>
    <xf numFmtId="0" fontId="10" fillId="17" borderId="30" xfId="0" applyFont="1" applyFill="1" applyBorder="1" applyAlignment="1" applyProtection="1">
      <alignment horizontal="left" vertical="center"/>
    </xf>
    <xf numFmtId="0" fontId="10" fillId="17" borderId="26" xfId="0" applyFont="1" applyFill="1" applyBorder="1" applyAlignment="1" applyProtection="1">
      <alignment horizontal="left" vertical="center"/>
    </xf>
    <xf numFmtId="0" fontId="10" fillId="17" borderId="10" xfId="0" applyFont="1" applyFill="1" applyBorder="1" applyAlignment="1" applyProtection="1">
      <alignment horizontal="left" vertical="center"/>
    </xf>
    <xf numFmtId="0" fontId="10" fillId="17" borderId="23" xfId="0" applyFont="1" applyFill="1" applyBorder="1" applyAlignment="1" applyProtection="1">
      <alignment horizontal="left" vertical="center"/>
    </xf>
    <xf numFmtId="0" fontId="10" fillId="17" borderId="301" xfId="0" applyFont="1" applyFill="1" applyBorder="1" applyAlignment="1" applyProtection="1">
      <alignment horizontal="center" vertical="center"/>
    </xf>
    <xf numFmtId="0" fontId="10" fillId="15" borderId="17" xfId="0" applyFont="1" applyFill="1" applyBorder="1" applyAlignment="1" applyProtection="1">
      <alignment horizontal="center" vertical="center"/>
    </xf>
    <xf numFmtId="0" fontId="10" fillId="15" borderId="24" xfId="0" applyFont="1" applyFill="1" applyBorder="1" applyAlignment="1" applyProtection="1">
      <alignment horizontal="center" vertical="center"/>
    </xf>
    <xf numFmtId="0" fontId="10" fillId="16" borderId="17" xfId="0" applyFont="1" applyFill="1" applyBorder="1" applyAlignment="1" applyProtection="1">
      <alignment horizontal="center" vertical="center" wrapText="1"/>
    </xf>
    <xf numFmtId="0" fontId="10" fillId="16" borderId="24" xfId="0" applyFont="1" applyFill="1" applyBorder="1" applyAlignment="1" applyProtection="1">
      <alignment horizontal="center" vertical="center" wrapText="1"/>
    </xf>
    <xf numFmtId="0" fontId="10" fillId="17" borderId="5" xfId="0" applyFont="1" applyFill="1" applyBorder="1" applyAlignment="1" applyProtection="1">
      <alignment horizontal="center" vertical="center"/>
    </xf>
    <xf numFmtId="0" fontId="10" fillId="17" borderId="6" xfId="0" applyFont="1" applyFill="1" applyBorder="1" applyAlignment="1" applyProtection="1">
      <alignment horizontal="center" vertical="center"/>
    </xf>
    <xf numFmtId="0" fontId="10" fillId="17" borderId="7" xfId="0" applyFont="1" applyFill="1" applyBorder="1" applyAlignment="1" applyProtection="1">
      <alignment horizontal="center" vertical="center"/>
    </xf>
    <xf numFmtId="166" fontId="12" fillId="18" borderId="17" xfId="13" applyFont="1" applyFill="1" applyBorder="1" applyAlignment="1" applyProtection="1">
      <alignment horizontal="center" vertical="center" wrapText="1"/>
    </xf>
    <xf numFmtId="166" fontId="12" fillId="18" borderId="9" xfId="13" applyFont="1" applyFill="1" applyBorder="1" applyAlignment="1" applyProtection="1">
      <alignment horizontal="center" vertical="center" wrapText="1"/>
    </xf>
    <xf numFmtId="174" fontId="24" fillId="30" borderId="33" xfId="12" applyNumberFormat="1" applyFont="1" applyFill="1" applyBorder="1" applyAlignment="1" applyProtection="1">
      <alignment horizontal="right" vertical="center" wrapText="1"/>
    </xf>
    <xf numFmtId="174" fontId="24" fillId="30" borderId="59" xfId="12" applyNumberFormat="1" applyFont="1" applyFill="1" applyBorder="1" applyAlignment="1" applyProtection="1">
      <alignment horizontal="right" vertical="center" wrapText="1"/>
    </xf>
    <xf numFmtId="0" fontId="0" fillId="0" borderId="42" xfId="0" applyFont="1" applyFill="1" applyBorder="1" applyAlignment="1" applyProtection="1">
      <alignment horizontal="left" vertical="center"/>
    </xf>
    <xf numFmtId="0" fontId="0" fillId="0" borderId="69" xfId="0" applyFont="1" applyFill="1" applyBorder="1" applyAlignment="1" applyProtection="1">
      <alignment horizontal="left" vertical="center"/>
    </xf>
    <xf numFmtId="0" fontId="0" fillId="0" borderId="44" xfId="0" applyFont="1" applyFill="1" applyBorder="1" applyAlignment="1" applyProtection="1">
      <alignment horizontal="left" vertical="center"/>
    </xf>
    <xf numFmtId="0" fontId="0" fillId="0" borderId="72" xfId="0" applyFont="1" applyFill="1" applyBorder="1" applyAlignment="1" applyProtection="1">
      <alignment horizontal="left" vertical="center"/>
    </xf>
    <xf numFmtId="0" fontId="0" fillId="0" borderId="66" xfId="0" applyFont="1" applyFill="1" applyBorder="1" applyAlignment="1" applyProtection="1">
      <alignment horizontal="left" vertical="center"/>
    </xf>
    <xf numFmtId="0" fontId="0" fillId="0" borderId="67" xfId="0" applyFont="1" applyFill="1" applyBorder="1" applyAlignment="1" applyProtection="1">
      <alignment horizontal="left" vertical="center"/>
    </xf>
    <xf numFmtId="0" fontId="23" fillId="12" borderId="68" xfId="0" applyFont="1" applyFill="1" applyBorder="1" applyAlignment="1" applyProtection="1">
      <alignment horizontal="center" vertical="center"/>
      <protection locked="0"/>
    </xf>
    <xf numFmtId="0" fontId="23" fillId="12" borderId="40" xfId="0" applyFont="1" applyFill="1" applyBorder="1" applyAlignment="1" applyProtection="1">
      <alignment horizontal="center" vertical="center"/>
      <protection locked="0"/>
    </xf>
    <xf numFmtId="177" fontId="0" fillId="26" borderId="249" xfId="0" applyNumberFormat="1" applyFont="1" applyFill="1" applyBorder="1" applyAlignment="1" applyProtection="1">
      <alignment horizontal="center" vertical="center"/>
    </xf>
    <xf numFmtId="177" fontId="0" fillId="26" borderId="373" xfId="0" applyNumberFormat="1" applyFont="1" applyFill="1" applyBorder="1" applyAlignment="1" applyProtection="1">
      <alignment horizontal="center" vertical="center"/>
    </xf>
    <xf numFmtId="0" fontId="9" fillId="50" borderId="314" xfId="0" applyFont="1" applyFill="1" applyBorder="1" applyAlignment="1" applyProtection="1">
      <alignment horizontal="center" vertical="center"/>
    </xf>
    <xf numFmtId="0" fontId="9" fillId="50" borderId="325" xfId="0" applyFont="1" applyFill="1" applyBorder="1" applyAlignment="1" applyProtection="1">
      <alignment horizontal="center" vertical="center"/>
    </xf>
    <xf numFmtId="0" fontId="9" fillId="49" borderId="314" xfId="0" applyFont="1" applyFill="1" applyBorder="1" applyAlignment="1" applyProtection="1">
      <alignment horizontal="center" vertical="center"/>
    </xf>
    <xf numFmtId="0" fontId="9" fillId="49" borderId="325" xfId="0" applyFont="1" applyFill="1" applyBorder="1" applyAlignment="1" applyProtection="1">
      <alignment horizontal="center" vertical="center"/>
    </xf>
    <xf numFmtId="0" fontId="12" fillId="16" borderId="321" xfId="0" applyFont="1" applyFill="1" applyBorder="1" applyAlignment="1" applyProtection="1">
      <alignment horizontal="center" vertical="center" wrapText="1"/>
    </xf>
    <xf numFmtId="0" fontId="12" fillId="16" borderId="126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10" fillId="16" borderId="217" xfId="0" applyFont="1" applyFill="1" applyBorder="1" applyAlignment="1" applyProtection="1">
      <alignment horizontal="center" vertical="center" wrapText="1"/>
    </xf>
    <xf numFmtId="0" fontId="17" fillId="50" borderId="312" xfId="0" applyFont="1" applyFill="1" applyBorder="1" applyAlignment="1" applyProtection="1">
      <alignment horizontal="center" vertical="center"/>
    </xf>
    <xf numFmtId="0" fontId="17" fillId="50" borderId="233" xfId="0" applyFont="1" applyFill="1" applyBorder="1" applyAlignment="1" applyProtection="1">
      <alignment horizontal="center" vertical="center"/>
    </xf>
    <xf numFmtId="0" fontId="17" fillId="49" borderId="312" xfId="0" applyFont="1" applyFill="1" applyBorder="1" applyAlignment="1" applyProtection="1">
      <alignment horizontal="center" vertical="center"/>
    </xf>
    <xf numFmtId="0" fontId="17" fillId="49" borderId="233" xfId="0" applyFont="1" applyFill="1" applyBorder="1" applyAlignment="1" applyProtection="1">
      <alignment horizontal="center" vertical="center"/>
    </xf>
    <xf numFmtId="0" fontId="9" fillId="14" borderId="314" xfId="0" applyFont="1" applyFill="1" applyBorder="1" applyAlignment="1" applyProtection="1">
      <alignment horizontal="center" vertical="center"/>
    </xf>
    <xf numFmtId="0" fontId="9" fillId="14" borderId="325" xfId="0" applyFont="1" applyFill="1" applyBorder="1" applyAlignment="1" applyProtection="1">
      <alignment horizontal="center" vertical="center"/>
    </xf>
    <xf numFmtId="0" fontId="17" fillId="14" borderId="231" xfId="0" applyFont="1" applyFill="1" applyBorder="1" applyAlignment="1" applyProtection="1">
      <alignment horizontal="center" vertical="center"/>
    </xf>
    <xf numFmtId="0" fontId="17" fillId="14" borderId="221" xfId="0" applyFont="1" applyFill="1" applyBorder="1" applyAlignment="1" applyProtection="1">
      <alignment horizontal="center" vertical="center"/>
    </xf>
    <xf numFmtId="0" fontId="17" fillId="50" borderId="231" xfId="0" applyFont="1" applyFill="1" applyBorder="1" applyAlignment="1" applyProtection="1">
      <alignment horizontal="center" vertical="center"/>
    </xf>
    <xf numFmtId="0" fontId="17" fillId="50" borderId="297" xfId="0" applyFont="1" applyFill="1" applyBorder="1" applyAlignment="1" applyProtection="1">
      <alignment horizontal="center" vertical="center"/>
    </xf>
    <xf numFmtId="0" fontId="17" fillId="49" borderId="234" xfId="0" applyFont="1" applyFill="1" applyBorder="1" applyAlignment="1" applyProtection="1">
      <alignment horizontal="center" vertical="center"/>
    </xf>
    <xf numFmtId="0" fontId="17" fillId="49" borderId="297" xfId="0" applyFont="1" applyFill="1" applyBorder="1" applyAlignment="1" applyProtection="1">
      <alignment horizontal="center" vertical="center"/>
    </xf>
    <xf numFmtId="0" fontId="17" fillId="14" borderId="312" xfId="0" applyFont="1" applyFill="1" applyBorder="1" applyAlignment="1" applyProtection="1">
      <alignment horizontal="center" vertical="center"/>
    </xf>
    <xf numFmtId="0" fontId="17" fillId="14" borderId="233" xfId="0" applyFont="1" applyFill="1" applyBorder="1" applyAlignment="1" applyProtection="1">
      <alignment horizontal="center" vertical="center"/>
    </xf>
    <xf numFmtId="0" fontId="22" fillId="16" borderId="86" xfId="0" applyFont="1" applyFill="1" applyBorder="1" applyAlignment="1" applyProtection="1">
      <alignment horizontal="center" vertical="center" wrapText="1"/>
    </xf>
    <xf numFmtId="0" fontId="22" fillId="16" borderId="95" xfId="0" applyFont="1" applyFill="1" applyBorder="1" applyAlignment="1" applyProtection="1">
      <alignment horizontal="center" vertical="center" wrapText="1"/>
    </xf>
    <xf numFmtId="0" fontId="22" fillId="16" borderId="96" xfId="0" applyFont="1" applyFill="1" applyBorder="1" applyAlignment="1" applyProtection="1">
      <alignment horizontal="center" vertical="center" wrapText="1"/>
    </xf>
    <xf numFmtId="0" fontId="26" fillId="49" borderId="225" xfId="0" applyFont="1" applyFill="1" applyBorder="1" applyAlignment="1" applyProtection="1">
      <alignment horizontal="center" vertical="center" textRotation="90" wrapText="1"/>
    </xf>
    <xf numFmtId="0" fontId="26" fillId="49" borderId="211" xfId="0" applyFont="1" applyFill="1" applyBorder="1" applyAlignment="1" applyProtection="1">
      <alignment horizontal="center" vertical="center" textRotation="90" wrapText="1"/>
    </xf>
    <xf numFmtId="0" fontId="26" fillId="49" borderId="181" xfId="0" applyFont="1" applyFill="1" applyBorder="1" applyAlignment="1" applyProtection="1">
      <alignment horizontal="center" vertical="center" textRotation="90" wrapText="1"/>
    </xf>
    <xf numFmtId="0" fontId="23" fillId="12" borderId="226" xfId="0" applyFont="1" applyFill="1" applyBorder="1" applyAlignment="1" applyProtection="1">
      <alignment horizontal="left" vertical="center" wrapText="1"/>
      <protection locked="0"/>
    </xf>
    <xf numFmtId="0" fontId="23" fillId="12" borderId="227" xfId="0" applyFont="1" applyFill="1" applyBorder="1" applyAlignment="1" applyProtection="1">
      <alignment horizontal="left" vertical="center" wrapText="1"/>
      <protection locked="0"/>
    </xf>
    <xf numFmtId="0" fontId="23" fillId="12" borderId="224" xfId="0" applyFont="1" applyFill="1" applyBorder="1" applyAlignment="1" applyProtection="1">
      <alignment horizontal="left" vertical="center" wrapText="1"/>
      <protection locked="0"/>
    </xf>
    <xf numFmtId="0" fontId="23" fillId="12" borderId="220" xfId="0" applyFont="1" applyFill="1" applyBorder="1" applyAlignment="1" applyProtection="1">
      <alignment horizontal="left" vertical="center" wrapText="1"/>
      <protection locked="0"/>
    </xf>
    <xf numFmtId="0" fontId="23" fillId="12" borderId="315" xfId="0" applyFont="1" applyFill="1" applyBorder="1" applyAlignment="1" applyProtection="1">
      <alignment horizontal="left" vertical="center" wrapText="1"/>
      <protection locked="0"/>
    </xf>
    <xf numFmtId="0" fontId="23" fillId="12" borderId="222" xfId="0" applyFont="1" applyFill="1" applyBorder="1" applyAlignment="1" applyProtection="1">
      <alignment horizontal="left" vertical="center" wrapText="1"/>
      <protection locked="0"/>
    </xf>
    <xf numFmtId="0" fontId="23" fillId="12" borderId="126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3" fillId="49" borderId="321" xfId="0" applyFont="1" applyFill="1" applyBorder="1" applyAlignment="1" applyProtection="1">
      <alignment horizontal="center" vertical="center" textRotation="90" wrapText="1"/>
    </xf>
    <xf numFmtId="0" fontId="23" fillId="49" borderId="315" xfId="0" applyFont="1" applyFill="1" applyBorder="1" applyAlignment="1" applyProtection="1">
      <alignment horizontal="center" vertical="center" textRotation="90" wrapText="1"/>
    </xf>
    <xf numFmtId="0" fontId="23" fillId="49" borderId="126" xfId="0" applyFont="1" applyFill="1" applyBorder="1" applyAlignment="1" applyProtection="1">
      <alignment horizontal="center" vertical="center" textRotation="90" wrapText="1"/>
    </xf>
    <xf numFmtId="0" fontId="23" fillId="49" borderId="321" xfId="0" applyFont="1" applyFill="1" applyBorder="1" applyAlignment="1" applyProtection="1">
      <alignment horizontal="left" vertical="center" wrapText="1"/>
    </xf>
    <xf numFmtId="0" fontId="23" fillId="49" borderId="315" xfId="0" applyFont="1" applyFill="1" applyBorder="1" applyAlignment="1" applyProtection="1">
      <alignment horizontal="left" vertical="center" wrapText="1"/>
    </xf>
    <xf numFmtId="0" fontId="23" fillId="49" borderId="126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/>
    </xf>
    <xf numFmtId="0" fontId="12" fillId="17" borderId="43" xfId="0" applyFont="1" applyFill="1" applyBorder="1" applyAlignment="1" applyProtection="1">
      <alignment horizontal="center" vertical="center" wrapText="1"/>
    </xf>
    <xf numFmtId="0" fontId="12" fillId="17" borderId="244" xfId="0" applyFont="1" applyFill="1" applyBorder="1" applyAlignment="1" applyProtection="1">
      <alignment horizontal="center" vertical="center" wrapText="1"/>
    </xf>
    <xf numFmtId="0" fontId="10" fillId="15" borderId="43" xfId="0" applyFont="1" applyFill="1" applyBorder="1" applyAlignment="1" applyProtection="1">
      <alignment horizontal="center" vertical="center" wrapText="1"/>
    </xf>
    <xf numFmtId="0" fontId="10" fillId="15" borderId="244" xfId="0" applyFont="1" applyFill="1" applyBorder="1" applyAlignment="1" applyProtection="1">
      <alignment horizontal="center" vertical="center" wrapText="1"/>
    </xf>
    <xf numFmtId="0" fontId="12" fillId="26" borderId="97" xfId="0" applyFont="1" applyFill="1" applyBorder="1" applyAlignment="1" applyProtection="1">
      <alignment horizontal="center" vertical="center" wrapText="1"/>
    </xf>
    <xf numFmtId="0" fontId="12" fillId="26" borderId="222" xfId="0" applyFont="1" applyFill="1" applyBorder="1" applyAlignment="1" applyProtection="1">
      <alignment horizontal="center" vertical="center" wrapText="1"/>
    </xf>
    <xf numFmtId="0" fontId="17" fillId="14" borderId="322" xfId="0" applyFont="1" applyFill="1" applyBorder="1" applyAlignment="1" applyProtection="1">
      <alignment horizontal="center" vertical="center"/>
    </xf>
    <xf numFmtId="0" fontId="17" fillId="49" borderId="322" xfId="0" applyFont="1" applyFill="1" applyBorder="1" applyAlignment="1" applyProtection="1">
      <alignment horizontal="center" vertical="center"/>
    </xf>
    <xf numFmtId="0" fontId="12" fillId="16" borderId="88" xfId="0" applyFont="1" applyFill="1" applyBorder="1" applyAlignment="1" applyProtection="1">
      <alignment horizontal="center" vertical="center" wrapText="1"/>
    </xf>
    <xf numFmtId="0" fontId="12" fillId="16" borderId="94" xfId="0" applyFont="1" applyFill="1" applyBorder="1" applyAlignment="1" applyProtection="1">
      <alignment horizontal="center" vertical="center" wrapText="1"/>
    </xf>
    <xf numFmtId="0" fontId="12" fillId="16" borderId="98" xfId="0" applyFont="1" applyFill="1" applyBorder="1" applyAlignment="1" applyProtection="1">
      <alignment horizontal="center" vertical="center" wrapText="1"/>
    </xf>
    <xf numFmtId="0" fontId="12" fillId="16" borderId="99" xfId="0" applyFont="1" applyFill="1" applyBorder="1" applyAlignment="1" applyProtection="1">
      <alignment horizontal="center" vertical="center" wrapText="1"/>
    </xf>
    <xf numFmtId="0" fontId="12" fillId="16" borderId="85" xfId="0" applyFont="1" applyFill="1" applyBorder="1" applyAlignment="1" applyProtection="1">
      <alignment horizontal="center" vertical="center"/>
    </xf>
    <xf numFmtId="0" fontId="12" fillId="16" borderId="15" xfId="0" applyFont="1" applyFill="1" applyBorder="1" applyAlignment="1" applyProtection="1">
      <alignment horizontal="center" vertical="center"/>
    </xf>
    <xf numFmtId="0" fontId="12" fillId="16" borderId="85" xfId="0" applyFont="1" applyFill="1" applyBorder="1" applyAlignment="1" applyProtection="1">
      <alignment horizontal="center" vertical="center" wrapText="1"/>
    </xf>
    <xf numFmtId="0" fontId="12" fillId="16" borderId="15" xfId="0" applyFont="1" applyFill="1" applyBorder="1" applyAlignment="1" applyProtection="1">
      <alignment horizontal="center" vertical="center" wrapText="1"/>
    </xf>
    <xf numFmtId="0" fontId="23" fillId="0" borderId="220" xfId="0" applyFont="1" applyFill="1" applyBorder="1" applyAlignment="1" applyProtection="1">
      <alignment horizontal="left" vertical="center" wrapText="1"/>
    </xf>
    <xf numFmtId="0" fontId="23" fillId="0" borderId="222" xfId="0" applyFont="1" applyFill="1" applyBorder="1" applyAlignment="1" applyProtection="1">
      <alignment horizontal="left" vertical="center" wrapText="1"/>
    </xf>
    <xf numFmtId="0" fontId="23" fillId="0" borderId="126" xfId="0" applyFont="1" applyFill="1" applyBorder="1" applyAlignment="1" applyProtection="1">
      <alignment horizontal="left" vertical="center" wrapText="1"/>
    </xf>
    <xf numFmtId="0" fontId="12" fillId="15" borderId="226" xfId="0" applyFont="1" applyFill="1" applyBorder="1" applyAlignment="1" applyProtection="1">
      <alignment horizontal="center" vertical="center" wrapText="1"/>
    </xf>
    <xf numFmtId="0" fontId="12" fillId="15" borderId="228" xfId="0" applyFont="1" applyFill="1" applyBorder="1" applyAlignment="1" applyProtection="1">
      <alignment horizontal="center" vertical="center" wrapText="1"/>
    </xf>
    <xf numFmtId="0" fontId="12" fillId="15" borderId="233" xfId="0" applyFont="1" applyFill="1" applyBorder="1" applyAlignment="1" applyProtection="1">
      <alignment horizontal="center" vertical="center" wrapText="1"/>
    </xf>
    <xf numFmtId="0" fontId="12" fillId="15" borderId="93" xfId="0" applyFont="1" applyFill="1" applyBorder="1" applyAlignment="1" applyProtection="1">
      <alignment horizontal="center" vertical="center" wrapText="1"/>
    </xf>
    <xf numFmtId="0" fontId="23" fillId="16" borderId="60" xfId="0" applyFont="1" applyFill="1" applyBorder="1" applyAlignment="1" applyProtection="1">
      <alignment horizontal="center" vertical="center"/>
    </xf>
    <xf numFmtId="0" fontId="23" fillId="16" borderId="61" xfId="0" applyFont="1" applyFill="1" applyBorder="1" applyAlignment="1" applyProtection="1">
      <alignment horizontal="center" vertical="center"/>
    </xf>
    <xf numFmtId="0" fontId="23" fillId="12" borderId="21" xfId="0" applyFont="1" applyFill="1" applyBorder="1" applyAlignment="1" applyProtection="1">
      <alignment horizontal="center" vertical="center"/>
      <protection locked="0"/>
    </xf>
    <xf numFmtId="0" fontId="23" fillId="12" borderId="22" xfId="0" applyFont="1" applyFill="1" applyBorder="1" applyAlignment="1" applyProtection="1">
      <alignment horizontal="center" vertical="center"/>
      <protection locked="0"/>
    </xf>
    <xf numFmtId="168" fontId="23" fillId="17" borderId="73" xfId="0" applyNumberFormat="1" applyFont="1" applyFill="1" applyBorder="1" applyAlignment="1" applyProtection="1">
      <alignment horizontal="center" vertical="center" wrapText="1"/>
    </xf>
    <xf numFmtId="168" fontId="23" fillId="17" borderId="46" xfId="0" applyNumberFormat="1" applyFont="1" applyFill="1" applyBorder="1" applyAlignment="1" applyProtection="1">
      <alignment horizontal="center" vertical="center" wrapText="1"/>
    </xf>
    <xf numFmtId="168" fontId="23" fillId="17" borderId="74" xfId="0" applyNumberFormat="1" applyFont="1" applyFill="1" applyBorder="1" applyAlignment="1" applyProtection="1">
      <alignment horizontal="center" vertical="center" wrapText="1"/>
    </xf>
    <xf numFmtId="168" fontId="24" fillId="34" borderId="73" xfId="0" applyNumberFormat="1" applyFont="1" applyFill="1" applyBorder="1" applyAlignment="1" applyProtection="1">
      <alignment horizontal="center" vertical="center" wrapText="1"/>
    </xf>
    <xf numFmtId="168" fontId="24" fillId="34" borderId="7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23" fillId="11" borderId="330" xfId="0" applyFont="1" applyFill="1" applyBorder="1" applyAlignment="1" applyProtection="1">
      <alignment horizontal="center" vertical="center" wrapText="1"/>
    </xf>
    <xf numFmtId="0" fontId="23" fillId="11" borderId="319" xfId="0" applyFont="1" applyFill="1" applyBorder="1" applyAlignment="1" applyProtection="1">
      <alignment horizontal="center" vertical="center" wrapText="1"/>
    </xf>
    <xf numFmtId="0" fontId="23" fillId="11" borderId="320" xfId="0" applyFont="1" applyFill="1" applyBorder="1" applyAlignment="1" applyProtection="1">
      <alignment horizontal="center" vertical="center" wrapText="1"/>
    </xf>
    <xf numFmtId="177" fontId="23" fillId="29" borderId="321" xfId="0" applyNumberFormat="1" applyFont="1" applyFill="1" applyBorder="1" applyAlignment="1" applyProtection="1">
      <alignment horizontal="right" vertical="center"/>
    </xf>
    <xf numFmtId="177" fontId="23" fillId="29" borderId="222" xfId="0" applyNumberFormat="1" applyFont="1" applyFill="1" applyBorder="1" applyAlignment="1" applyProtection="1">
      <alignment horizontal="right" vertical="center"/>
    </xf>
    <xf numFmtId="177" fontId="23" fillId="29" borderId="126" xfId="0" applyNumberFormat="1" applyFont="1" applyFill="1" applyBorder="1" applyAlignment="1" applyProtection="1">
      <alignment horizontal="right" vertical="center"/>
    </xf>
    <xf numFmtId="0" fontId="22" fillId="16" borderId="241" xfId="0" applyFont="1" applyFill="1" applyBorder="1" applyAlignment="1" applyProtection="1">
      <alignment horizontal="center" vertical="center"/>
    </xf>
    <xf numFmtId="0" fontId="22" fillId="16" borderId="244" xfId="0" applyFont="1" applyFill="1" applyBorder="1" applyAlignment="1" applyProtection="1">
      <alignment horizontal="center" vertical="center"/>
    </xf>
    <xf numFmtId="0" fontId="22" fillId="16" borderId="345" xfId="0" applyFont="1" applyFill="1" applyBorder="1" applyAlignment="1" applyProtection="1">
      <alignment horizontal="center" vertical="center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222" xfId="0" applyFont="1" applyFill="1" applyBorder="1" applyAlignment="1" applyProtection="1">
      <alignment horizontal="center" vertical="center" wrapText="1"/>
    </xf>
    <xf numFmtId="0" fontId="12" fillId="16" borderId="319" xfId="0" applyFont="1" applyFill="1" applyBorder="1" applyAlignment="1" applyProtection="1">
      <alignment horizontal="center" vertical="center" wrapText="1"/>
    </xf>
    <xf numFmtId="0" fontId="12" fillId="16" borderId="244" xfId="0" applyFont="1" applyFill="1" applyBorder="1" applyAlignment="1" applyProtection="1">
      <alignment horizontal="center" vertical="center"/>
    </xf>
    <xf numFmtId="0" fontId="12" fillId="16" borderId="342" xfId="0" applyFont="1" applyFill="1" applyBorder="1" applyAlignment="1" applyProtection="1">
      <alignment horizontal="center" vertical="center"/>
    </xf>
    <xf numFmtId="0" fontId="12" fillId="16" borderId="244" xfId="0" applyFont="1" applyFill="1" applyBorder="1" applyAlignment="1" applyProtection="1">
      <alignment horizontal="center" vertical="center" wrapText="1"/>
    </xf>
    <xf numFmtId="0" fontId="12" fillId="16" borderId="342" xfId="0" applyFont="1" applyFill="1" applyBorder="1" applyAlignment="1" applyProtection="1">
      <alignment horizontal="center" vertical="center" wrapText="1"/>
    </xf>
    <xf numFmtId="0" fontId="12" fillId="16" borderId="318" xfId="0" applyFont="1" applyFill="1" applyBorder="1" applyAlignment="1" applyProtection="1">
      <alignment horizontal="center" vertical="center" wrapText="1"/>
    </xf>
    <xf numFmtId="0" fontId="12" fillId="16" borderId="329" xfId="0" applyFont="1" applyFill="1" applyBorder="1" applyAlignment="1" applyProtection="1">
      <alignment horizontal="center" vertical="center" wrapText="1"/>
    </xf>
    <xf numFmtId="0" fontId="22" fillId="16" borderId="312" xfId="0" applyFont="1" applyFill="1" applyBorder="1" applyAlignment="1" applyProtection="1">
      <alignment horizontal="center" vertical="center"/>
    </xf>
    <xf numFmtId="0" fontId="22" fillId="16" borderId="322" xfId="0" applyFont="1" applyFill="1" applyBorder="1" applyAlignment="1" applyProtection="1">
      <alignment horizontal="center" vertical="center"/>
    </xf>
    <xf numFmtId="0" fontId="22" fillId="16" borderId="344" xfId="0" applyFont="1" applyFill="1" applyBorder="1" applyAlignment="1" applyProtection="1">
      <alignment horizontal="center" vertical="center"/>
    </xf>
    <xf numFmtId="0" fontId="12" fillId="27" borderId="95" xfId="0" applyFont="1" applyFill="1" applyBorder="1" applyAlignment="1" applyProtection="1">
      <alignment horizontal="center" vertical="center" wrapText="1"/>
    </xf>
    <xf numFmtId="0" fontId="12" fillId="27" borderId="32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2" fillId="16" borderId="343" xfId="0" applyFont="1" applyFill="1" applyBorder="1" applyAlignment="1" applyProtection="1">
      <alignment horizontal="center" vertical="center" wrapText="1"/>
    </xf>
    <xf numFmtId="0" fontId="12" fillId="16" borderId="65" xfId="0" applyFont="1" applyFill="1" applyBorder="1" applyAlignment="1" applyProtection="1">
      <alignment horizontal="center" vertical="center" wrapText="1"/>
    </xf>
    <xf numFmtId="0" fontId="12" fillId="16" borderId="84" xfId="0" applyFont="1" applyFill="1" applyBorder="1" applyAlignment="1" applyProtection="1">
      <alignment horizontal="center" vertical="center" wrapText="1"/>
    </xf>
    <xf numFmtId="0" fontId="12" fillId="16" borderId="341" xfId="0" applyFont="1" applyFill="1" applyBorder="1" applyAlignment="1" applyProtection="1">
      <alignment horizontal="center" vertical="center" wrapText="1"/>
    </xf>
    <xf numFmtId="177" fontId="23" fillId="29" borderId="315" xfId="0" applyNumberFormat="1" applyFont="1" applyFill="1" applyBorder="1" applyAlignment="1" applyProtection="1">
      <alignment horizontal="right" vertical="center"/>
    </xf>
    <xf numFmtId="177" fontId="23" fillId="29" borderId="150" xfId="0" applyNumberFormat="1" applyFont="1" applyFill="1" applyBorder="1" applyAlignment="1" applyProtection="1">
      <alignment horizontal="right" vertical="center"/>
    </xf>
    <xf numFmtId="177" fontId="23" fillId="29" borderId="211" xfId="0" applyNumberFormat="1" applyFont="1" applyFill="1" applyBorder="1" applyAlignment="1" applyProtection="1">
      <alignment horizontal="right" vertical="center"/>
    </xf>
    <xf numFmtId="177" fontId="23" fillId="29" borderId="181" xfId="0" applyNumberFormat="1" applyFont="1" applyFill="1" applyBorder="1" applyAlignment="1" applyProtection="1">
      <alignment horizontal="right" vertical="center"/>
    </xf>
    <xf numFmtId="0" fontId="22" fillId="0" borderId="281" xfId="0" applyFont="1" applyFill="1" applyBorder="1" applyAlignment="1" applyProtection="1">
      <alignment horizontal="center" vertical="center" wrapText="1"/>
    </xf>
    <xf numFmtId="0" fontId="22" fillId="0" borderId="269" xfId="0" applyFont="1" applyFill="1" applyBorder="1" applyAlignment="1" applyProtection="1">
      <alignment horizontal="center" vertical="center" wrapText="1"/>
    </xf>
    <xf numFmtId="0" fontId="22" fillId="0" borderId="289" xfId="0" applyFont="1" applyFill="1" applyBorder="1" applyAlignment="1" applyProtection="1">
      <alignment horizontal="center" vertical="center" wrapText="1"/>
    </xf>
    <xf numFmtId="0" fontId="22" fillId="0" borderId="260" xfId="0" applyFont="1" applyFill="1" applyBorder="1" applyAlignment="1" applyProtection="1">
      <alignment horizontal="center" vertical="center" wrapText="1"/>
    </xf>
    <xf numFmtId="0" fontId="22" fillId="0" borderId="272" xfId="0" applyFont="1" applyFill="1" applyBorder="1" applyAlignment="1" applyProtection="1">
      <alignment horizontal="center" vertical="center" wrapText="1"/>
    </xf>
    <xf numFmtId="0" fontId="22" fillId="0" borderId="256" xfId="0" applyFont="1" applyFill="1" applyBorder="1" applyAlignment="1" applyProtection="1">
      <alignment horizontal="center" vertical="center" wrapText="1"/>
    </xf>
    <xf numFmtId="0" fontId="22" fillId="0" borderId="276" xfId="0" applyFont="1" applyFill="1" applyBorder="1" applyAlignment="1" applyProtection="1">
      <alignment horizontal="center" vertical="center" wrapText="1"/>
    </xf>
    <xf numFmtId="0" fontId="22" fillId="0" borderId="278" xfId="0" applyFont="1" applyFill="1" applyBorder="1" applyAlignment="1" applyProtection="1">
      <alignment horizontal="center" vertical="center" wrapText="1"/>
    </xf>
    <xf numFmtId="0" fontId="23" fillId="15" borderId="256" xfId="0" applyFont="1" applyFill="1" applyBorder="1" applyAlignment="1" applyProtection="1">
      <alignment horizontal="center" vertical="center" wrapText="1"/>
    </xf>
    <xf numFmtId="0" fontId="23" fillId="15" borderId="260" xfId="0" applyFont="1" applyFill="1" applyBorder="1" applyAlignment="1" applyProtection="1">
      <alignment horizontal="center" vertical="center" wrapText="1"/>
    </xf>
    <xf numFmtId="0" fontId="12" fillId="16" borderId="265" xfId="0" applyFont="1" applyFill="1" applyBorder="1" applyAlignment="1" applyProtection="1">
      <alignment horizontal="center" vertical="center" wrapText="1"/>
    </xf>
    <xf numFmtId="0" fontId="12" fillId="16" borderId="287" xfId="0" applyFont="1" applyFill="1" applyBorder="1" applyAlignment="1" applyProtection="1">
      <alignment horizontal="center" vertical="center" wrapText="1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0" fontId="23" fillId="12" borderId="19" xfId="0" applyFont="1" applyFill="1" applyBorder="1" applyAlignment="1" applyProtection="1">
      <alignment horizontal="center" vertical="center"/>
      <protection locked="0"/>
    </xf>
    <xf numFmtId="0" fontId="12" fillId="16" borderId="348" xfId="0" applyFont="1" applyFill="1" applyBorder="1" applyAlignment="1" applyProtection="1">
      <alignment horizontal="center" vertical="center"/>
    </xf>
    <xf numFmtId="0" fontId="12" fillId="16" borderId="264" xfId="0" applyFont="1" applyFill="1" applyBorder="1" applyAlignment="1" applyProtection="1">
      <alignment horizontal="center" vertical="center"/>
    </xf>
    <xf numFmtId="0" fontId="23" fillId="15" borderId="281" xfId="0" applyFont="1" applyFill="1" applyBorder="1" applyAlignment="1" applyProtection="1">
      <alignment horizontal="center" vertical="center" wrapText="1"/>
    </xf>
    <xf numFmtId="0" fontId="23" fillId="15" borderId="261" xfId="0" applyFont="1" applyFill="1" applyBorder="1" applyAlignment="1" applyProtection="1">
      <alignment horizontal="center" vertical="center" wrapText="1"/>
    </xf>
    <xf numFmtId="0" fontId="23" fillId="15" borderId="282" xfId="0" applyFont="1" applyFill="1" applyBorder="1" applyAlignment="1" applyProtection="1">
      <alignment horizontal="center" vertical="center" wrapText="1"/>
    </xf>
    <xf numFmtId="0" fontId="12" fillId="16" borderId="350" xfId="0" applyFont="1" applyFill="1" applyBorder="1" applyAlignment="1" applyProtection="1">
      <alignment horizontal="center" vertical="center"/>
    </xf>
    <xf numFmtId="0" fontId="12" fillId="16" borderId="259" xfId="0" applyFont="1" applyFill="1" applyBorder="1" applyAlignment="1" applyProtection="1">
      <alignment horizontal="center" vertical="center"/>
    </xf>
    <xf numFmtId="168" fontId="24" fillId="34" borderId="256" xfId="0" applyNumberFormat="1" applyFont="1" applyFill="1" applyBorder="1" applyAlignment="1" applyProtection="1">
      <alignment horizontal="center" vertical="center" wrapText="1"/>
    </xf>
    <xf numFmtId="168" fontId="24" fillId="34" borderId="258" xfId="0" applyNumberFormat="1" applyFont="1" applyFill="1" applyBorder="1" applyAlignment="1" applyProtection="1">
      <alignment horizontal="center" vertical="center" wrapText="1"/>
    </xf>
    <xf numFmtId="168" fontId="24" fillId="34" borderId="262" xfId="0" applyNumberFormat="1" applyFont="1" applyFill="1" applyBorder="1" applyAlignment="1" applyProtection="1">
      <alignment horizontal="center" vertical="center" wrapText="1"/>
    </xf>
    <xf numFmtId="168" fontId="12" fillId="17" borderId="263" xfId="0" applyNumberFormat="1" applyFont="1" applyFill="1" applyBorder="1" applyAlignment="1" applyProtection="1">
      <alignment horizontal="center" vertical="center" wrapText="1"/>
    </xf>
    <xf numFmtId="168" fontId="12" fillId="17" borderId="258" xfId="0" applyNumberFormat="1" applyFont="1" applyFill="1" applyBorder="1" applyAlignment="1" applyProtection="1">
      <alignment horizontal="center" vertical="center" wrapText="1"/>
    </xf>
    <xf numFmtId="168" fontId="12" fillId="17" borderId="257" xfId="0" applyNumberFormat="1" applyFont="1" applyFill="1" applyBorder="1" applyAlignment="1" applyProtection="1">
      <alignment horizontal="center" vertical="center" wrapText="1"/>
    </xf>
    <xf numFmtId="0" fontId="0" fillId="38" borderId="64" xfId="0" applyFont="1" applyFill="1" applyBorder="1" applyAlignment="1" applyProtection="1">
      <alignment horizontal="left" vertical="center" wrapText="1"/>
    </xf>
    <xf numFmtId="0" fontId="0" fillId="38" borderId="33" xfId="0" applyFont="1" applyFill="1" applyBorder="1" applyAlignment="1" applyProtection="1">
      <alignment horizontal="left" vertical="center" wrapText="1"/>
    </xf>
    <xf numFmtId="0" fontId="0" fillId="38" borderId="79" xfId="0" applyFont="1" applyFill="1" applyBorder="1" applyAlignment="1" applyProtection="1">
      <alignment horizontal="left" vertical="center" wrapText="1"/>
    </xf>
    <xf numFmtId="0" fontId="0" fillId="38" borderId="65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80" xfId="0" applyFont="1" applyFill="1" applyBorder="1" applyAlignment="1" applyProtection="1">
      <alignment horizontal="left" vertical="center" wrapText="1"/>
    </xf>
    <xf numFmtId="0" fontId="0" fillId="38" borderId="34" xfId="0" applyFont="1" applyFill="1" applyBorder="1" applyAlignment="1" applyProtection="1">
      <alignment horizontal="left" vertical="center" wrapText="1"/>
    </xf>
    <xf numFmtId="0" fontId="0" fillId="38" borderId="27" xfId="0" applyFont="1" applyFill="1" applyBorder="1" applyAlignment="1" applyProtection="1">
      <alignment horizontal="left" vertical="center" wrapText="1"/>
    </xf>
    <xf numFmtId="0" fontId="0" fillId="38" borderId="32" xfId="0" applyFont="1" applyFill="1" applyBorder="1" applyAlignment="1" applyProtection="1">
      <alignment horizontal="left" vertical="center" wrapText="1"/>
    </xf>
    <xf numFmtId="0" fontId="12" fillId="16" borderId="332" xfId="0" applyFont="1" applyFill="1" applyBorder="1" applyAlignment="1" applyProtection="1">
      <alignment horizontal="center" vertical="center" wrapText="1"/>
    </xf>
    <xf numFmtId="0" fontId="12" fillId="16" borderId="211" xfId="0" applyFont="1" applyFill="1" applyBorder="1" applyAlignment="1" applyProtection="1">
      <alignment horizontal="center" vertical="center" wrapText="1"/>
    </xf>
    <xf numFmtId="0" fontId="23" fillId="15" borderId="266" xfId="0" applyFont="1" applyFill="1" applyBorder="1" applyAlignment="1" applyProtection="1">
      <alignment horizontal="center" vertical="center" wrapText="1"/>
    </xf>
    <xf numFmtId="0" fontId="12" fillId="16" borderId="231" xfId="0" applyFont="1" applyFill="1" applyBorder="1" applyAlignment="1" applyProtection="1">
      <alignment horizontal="center" vertical="center"/>
    </xf>
    <xf numFmtId="0" fontId="12" fillId="16" borderId="297" xfId="0" applyFont="1" applyFill="1" applyBorder="1" applyAlignment="1" applyProtection="1">
      <alignment horizontal="center" vertical="center"/>
    </xf>
    <xf numFmtId="0" fontId="12" fillId="16" borderId="355" xfId="0" applyFont="1" applyFill="1" applyBorder="1" applyAlignment="1" applyProtection="1">
      <alignment horizontal="center" vertical="center"/>
    </xf>
    <xf numFmtId="0" fontId="0" fillId="0" borderId="390" xfId="0" applyBorder="1" applyAlignment="1" applyProtection="1">
      <alignment horizontal="center"/>
      <protection locked="0"/>
    </xf>
    <xf numFmtId="0" fontId="0" fillId="0" borderId="390" xfId="0" applyBorder="1" applyAlignment="1">
      <alignment horizontal="center"/>
    </xf>
    <xf numFmtId="0" fontId="0" fillId="0" borderId="390" xfId="0" applyBorder="1" applyAlignment="1" applyProtection="1">
      <protection locked="0"/>
    </xf>
    <xf numFmtId="0" fontId="0" fillId="0" borderId="390" xfId="0" applyBorder="1" applyAlignment="1"/>
    <xf numFmtId="10" fontId="0" fillId="0" borderId="391" xfId="0" applyNumberFormat="1" applyBorder="1" applyAlignment="1" applyProtection="1">
      <alignment horizontal="center"/>
      <protection locked="0"/>
    </xf>
    <xf numFmtId="0" fontId="0" fillId="0" borderId="393" xfId="0" applyBorder="1" applyAlignment="1">
      <alignment horizontal="center"/>
    </xf>
    <xf numFmtId="0" fontId="0" fillId="0" borderId="392" xfId="0" applyBorder="1" applyAlignment="1">
      <alignment horizontal="center"/>
    </xf>
    <xf numFmtId="0" fontId="0" fillId="0" borderId="391" xfId="0" applyBorder="1" applyAlignment="1" applyProtection="1">
      <alignment horizontal="center"/>
      <protection locked="0"/>
    </xf>
    <xf numFmtId="0" fontId="37" fillId="11" borderId="301" xfId="0" applyFont="1" applyFill="1" applyBorder="1" applyAlignment="1" applyProtection="1">
      <alignment horizontal="center"/>
    </xf>
    <xf numFmtId="0" fontId="32" fillId="0" borderId="302" xfId="0" quotePrefix="1" applyFont="1" applyBorder="1" applyAlignment="1">
      <alignment horizontal="left" vertical="center" wrapText="1" shrinkToFit="1"/>
    </xf>
    <xf numFmtId="0" fontId="32" fillId="0" borderId="301" xfId="0" quotePrefix="1" applyFont="1" applyBorder="1" applyAlignment="1">
      <alignment horizontal="left" vertical="center" wrapText="1" shrinkToFit="1"/>
    </xf>
    <xf numFmtId="0" fontId="32" fillId="0" borderId="303" xfId="0" quotePrefix="1" applyFont="1" applyBorder="1" applyAlignment="1">
      <alignment horizontal="left" vertical="center" wrapText="1" shrinkToFit="1"/>
    </xf>
    <xf numFmtId="0" fontId="32" fillId="0" borderId="309" xfId="0" quotePrefix="1" applyFont="1" applyBorder="1" applyAlignment="1">
      <alignment horizontal="left" vertical="center" wrapText="1" shrinkToFit="1"/>
    </xf>
    <xf numFmtId="0" fontId="32" fillId="0" borderId="365" xfId="0" quotePrefix="1" applyFont="1" applyBorder="1" applyAlignment="1">
      <alignment horizontal="left" vertical="center" wrapText="1" shrinkToFit="1"/>
    </xf>
    <xf numFmtId="0" fontId="32" fillId="0" borderId="328" xfId="0" quotePrefix="1" applyFont="1" applyBorder="1" applyAlignment="1">
      <alignment horizontal="left" vertical="center" wrapText="1" shrinkToFit="1"/>
    </xf>
    <xf numFmtId="0" fontId="0" fillId="0" borderId="301" xfId="0" applyFont="1" applyFill="1" applyBorder="1" applyAlignment="1" applyProtection="1">
      <alignment horizontal="left" vertical="top" wrapText="1"/>
      <protection locked="0"/>
    </xf>
    <xf numFmtId="0" fontId="42" fillId="0" borderId="330" xfId="0" applyFont="1" applyBorder="1" applyAlignment="1">
      <alignment vertical="center" wrapText="1"/>
    </xf>
    <xf numFmtId="0" fontId="42" fillId="0" borderId="95" xfId="0" applyFont="1" applyBorder="1" applyAlignment="1">
      <alignment vertical="center" wrapText="1"/>
    </xf>
    <xf numFmtId="0" fontId="42" fillId="0" borderId="332" xfId="0" applyFont="1" applyBorder="1" applyAlignment="1">
      <alignment vertical="center" wrapText="1"/>
    </xf>
    <xf numFmtId="0" fontId="42" fillId="0" borderId="319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0" fontId="42" fillId="0" borderId="211" xfId="0" applyFont="1" applyBorder="1" applyAlignment="1">
      <alignment vertical="center" wrapText="1"/>
    </xf>
    <xf numFmtId="0" fontId="42" fillId="0" borderId="320" xfId="0" applyFont="1" applyBorder="1" applyAlignment="1">
      <alignment vertical="center" wrapText="1"/>
    </xf>
    <xf numFmtId="0" fontId="42" fillId="0" borderId="326" xfId="0" applyFont="1" applyBorder="1" applyAlignment="1">
      <alignment vertical="center" wrapText="1"/>
    </xf>
    <xf numFmtId="0" fontId="42" fillId="0" borderId="181" xfId="0" applyFont="1" applyBorder="1" applyAlignment="1">
      <alignment vertical="center" wrapText="1"/>
    </xf>
    <xf numFmtId="0" fontId="43" fillId="53" borderId="321" xfId="0" applyFont="1" applyFill="1" applyBorder="1" applyAlignment="1">
      <alignment horizontal="center" vertical="center" wrapText="1"/>
    </xf>
    <xf numFmtId="0" fontId="43" fillId="53" borderId="126" xfId="0" applyFont="1" applyFill="1" applyBorder="1" applyAlignment="1">
      <alignment horizontal="center" vertical="center" wrapText="1"/>
    </xf>
    <xf numFmtId="0" fontId="14" fillId="52" borderId="302" xfId="0" quotePrefix="1" applyFont="1" applyFill="1" applyBorder="1" applyAlignment="1">
      <alignment horizontal="center" vertical="center" wrapText="1" shrinkToFit="1"/>
    </xf>
    <xf numFmtId="0" fontId="14" fillId="52" borderId="301" xfId="0" quotePrefix="1" applyFont="1" applyFill="1" applyBorder="1" applyAlignment="1">
      <alignment horizontal="center" vertical="center" wrapText="1" shrinkToFit="1"/>
    </xf>
    <xf numFmtId="0" fontId="14" fillId="52" borderId="303" xfId="0" quotePrefix="1" applyFont="1" applyFill="1" applyBorder="1" applyAlignment="1">
      <alignment horizontal="center" vertical="center" wrapText="1" shrinkToFit="1"/>
    </xf>
    <xf numFmtId="187" fontId="32" fillId="0" borderId="301" xfId="0" applyNumberFormat="1" applyFont="1" applyBorder="1" applyAlignment="1">
      <alignment horizontal="center"/>
    </xf>
    <xf numFmtId="189" fontId="39" fillId="0" borderId="301" xfId="0" applyNumberFormat="1" applyFont="1" applyBorder="1" applyAlignment="1">
      <alignment horizontal="center"/>
    </xf>
    <xf numFmtId="189" fontId="39" fillId="0" borderId="303" xfId="0" applyNumberFormat="1" applyFont="1" applyBorder="1" applyAlignment="1">
      <alignment horizontal="center"/>
    </xf>
    <xf numFmtId="190" fontId="39" fillId="0" borderId="301" xfId="0" applyNumberFormat="1" applyFont="1" applyBorder="1" applyAlignment="1">
      <alignment horizontal="center" vertical="center"/>
    </xf>
    <xf numFmtId="190" fontId="39" fillId="0" borderId="306" xfId="0" applyNumberFormat="1" applyFont="1" applyBorder="1" applyAlignment="1">
      <alignment horizontal="center" vertical="center"/>
    </xf>
    <xf numFmtId="0" fontId="44" fillId="11" borderId="321" xfId="0" applyFont="1" applyFill="1" applyBorder="1" applyAlignment="1">
      <alignment horizontal="justify" vertical="center" wrapText="1"/>
    </xf>
    <xf numFmtId="0" fontId="44" fillId="11" borderId="126" xfId="0" applyFont="1" applyFill="1" applyBorder="1" applyAlignment="1">
      <alignment horizontal="justify" vertical="center" wrapText="1"/>
    </xf>
    <xf numFmtId="0" fontId="44" fillId="11" borderId="321" xfId="0" applyFont="1" applyFill="1" applyBorder="1" applyAlignment="1">
      <alignment horizontal="center" vertical="center" wrapText="1"/>
    </xf>
    <xf numFmtId="0" fontId="44" fillId="11" borderId="126" xfId="0" applyFont="1" applyFill="1" applyBorder="1" applyAlignment="1">
      <alignment horizontal="center" vertical="center" wrapText="1"/>
    </xf>
    <xf numFmtId="0" fontId="43" fillId="54" borderId="321" xfId="0" applyFont="1" applyFill="1" applyBorder="1" applyAlignment="1">
      <alignment horizontal="center" vertical="center" wrapText="1"/>
    </xf>
    <xf numFmtId="0" fontId="43" fillId="54" borderId="126" xfId="0" applyFont="1" applyFill="1" applyBorder="1" applyAlignment="1">
      <alignment horizontal="center" vertical="center" wrapText="1"/>
    </xf>
    <xf numFmtId="0" fontId="45" fillId="55" borderId="316" xfId="0" applyFont="1" applyFill="1" applyBorder="1" applyAlignment="1">
      <alignment horizontal="center" wrapText="1"/>
    </xf>
    <xf numFmtId="0" fontId="45" fillId="55" borderId="66" xfId="0" applyFont="1" applyFill="1" applyBorder="1" applyAlignment="1">
      <alignment horizontal="center" wrapText="1"/>
    </xf>
    <xf numFmtId="0" fontId="45" fillId="55" borderId="324" xfId="0" applyFont="1" applyFill="1" applyBorder="1" applyAlignment="1">
      <alignment horizontal="center" wrapText="1"/>
    </xf>
    <xf numFmtId="0" fontId="47" fillId="58" borderId="385" xfId="0" applyFont="1" applyFill="1" applyBorder="1" applyAlignment="1">
      <alignment horizontal="center" vertical="center" wrapText="1"/>
    </xf>
    <xf numFmtId="0" fontId="47" fillId="58" borderId="386" xfId="0" applyFont="1" applyFill="1" applyBorder="1" applyAlignment="1">
      <alignment horizontal="center" vertical="center" wrapText="1"/>
    </xf>
  </cellXfs>
  <cellStyles count="35">
    <cellStyle name="Accent" xfId="1"/>
    <cellStyle name="Accent 1" xfId="2"/>
    <cellStyle name="Accent 2" xfId="3"/>
    <cellStyle name="Accent 3" xfId="4"/>
    <cellStyle name="Bad" xfId="5"/>
    <cellStyle name="Error" xfId="6"/>
    <cellStyle name="Euro" xfId="21"/>
    <cellStyle name="Euro 2" xfId="22"/>
    <cellStyle name="Euro 3" xfId="23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illares 2" xfId="24"/>
    <cellStyle name="Moneda" xfId="13" builtinId="4"/>
    <cellStyle name="Moneda [0]" xfId="34" builtinId="7"/>
    <cellStyle name="Moneda [0] 2" xfId="33"/>
    <cellStyle name="Moneda 2" xfId="26"/>
    <cellStyle name="Moneda 3" xfId="25"/>
    <cellStyle name="Neutral" xfId="14" builtinId="28" customBuiltin="1"/>
    <cellStyle name="Normal" xfId="0" builtinId="0"/>
    <cellStyle name="Normal 2" xfId="27"/>
    <cellStyle name="Normal 3" xfId="28"/>
    <cellStyle name="Normal 4" xfId="29"/>
    <cellStyle name="Note" xfId="15"/>
    <cellStyle name="Note 2" xfId="31"/>
    <cellStyle name="Note 3" xfId="32"/>
    <cellStyle name="Porcentaje" xfId="16" builtinId="5"/>
    <cellStyle name="Porcentaje 2" xfId="30"/>
    <cellStyle name="Status" xfId="17"/>
    <cellStyle name="Text" xfId="18"/>
    <cellStyle name="Warning" xfId="19"/>
  </cellStyles>
  <dxfs count="5">
    <dxf>
      <font>
        <b/>
        <i val="0"/>
        <condense val="0"/>
        <extend val="0"/>
        <color indexed="10"/>
      </font>
    </dxf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211666</xdr:colOff>
      <xdr:row>6</xdr:row>
      <xdr:rowOff>127000</xdr:rowOff>
    </xdr:from>
    <xdr:to>
      <xdr:col>8</xdr:col>
      <xdr:colOff>306917</xdr:colOff>
      <xdr:row>57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3222" t="16051" r="32920" b="6470"/>
        <a:stretch/>
      </xdr:blipFill>
      <xdr:spPr>
        <a:xfrm>
          <a:off x="211666" y="1098550"/>
          <a:ext cx="6191251" cy="8131175"/>
        </a:xfrm>
        <a:prstGeom prst="rect">
          <a:avLst/>
        </a:prstGeom>
      </xdr:spPr>
    </xdr:pic>
    <xdr:clientData/>
  </xdr:twoCellAnchor>
  <xdr:twoCellAnchor editAs="oneCell">
    <xdr:from>
      <xdr:col>8</xdr:col>
      <xdr:colOff>391583</xdr:colOff>
      <xdr:row>6</xdr:row>
      <xdr:rowOff>137584</xdr:rowOff>
    </xdr:from>
    <xdr:to>
      <xdr:col>16</xdr:col>
      <xdr:colOff>508000</xdr:colOff>
      <xdr:row>57</xdr:row>
      <xdr:rowOff>21168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33164" t="15948" r="32862" b="6470"/>
        <a:stretch/>
      </xdr:blipFill>
      <xdr:spPr>
        <a:xfrm>
          <a:off x="6487583" y="1109134"/>
          <a:ext cx="6212417" cy="8141759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57</xdr:row>
      <xdr:rowOff>84667</xdr:rowOff>
    </xdr:from>
    <xdr:to>
      <xdr:col>8</xdr:col>
      <xdr:colOff>285749</xdr:colOff>
      <xdr:row>107</xdr:row>
      <xdr:rowOff>63501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33222" t="15846" r="32978" b="7190"/>
        <a:stretch/>
      </xdr:blipFill>
      <xdr:spPr>
        <a:xfrm>
          <a:off x="201083" y="9314392"/>
          <a:ext cx="6180666" cy="8075084"/>
        </a:xfrm>
        <a:prstGeom prst="rect">
          <a:avLst/>
        </a:prstGeom>
      </xdr:spPr>
    </xdr:pic>
    <xdr:clientData/>
  </xdr:twoCellAnchor>
  <xdr:twoCellAnchor editAs="oneCell">
    <xdr:from>
      <xdr:col>8</xdr:col>
      <xdr:colOff>402167</xdr:colOff>
      <xdr:row>57</xdr:row>
      <xdr:rowOff>63501</xdr:rowOff>
    </xdr:from>
    <xdr:to>
      <xdr:col>16</xdr:col>
      <xdr:colOff>497417</xdr:colOff>
      <xdr:row>107</xdr:row>
      <xdr:rowOff>84667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33164" t="15949" r="32978" b="6675"/>
        <a:stretch/>
      </xdr:blipFill>
      <xdr:spPr>
        <a:xfrm>
          <a:off x="6498167" y="9293226"/>
          <a:ext cx="6191250" cy="811741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108</xdr:row>
      <xdr:rowOff>0</xdr:rowOff>
    </xdr:from>
    <xdr:to>
      <xdr:col>8</xdr:col>
      <xdr:colOff>296333</xdr:colOff>
      <xdr:row>157</xdr:row>
      <xdr:rowOff>148168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3164" t="15948" r="32919" b="6985"/>
        <a:stretch/>
      </xdr:blipFill>
      <xdr:spPr>
        <a:xfrm>
          <a:off x="190500" y="17487900"/>
          <a:ext cx="6201833" cy="8082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topLeftCell="A10" zoomScale="90" zoomScaleNormal="90" workbookViewId="0">
      <selection activeCell="P128" sqref="P128"/>
    </sheetView>
  </sheetViews>
  <sheetFormatPr baseColWidth="10" defaultColWidth="11.42578125" defaultRowHeight="12.75" x14ac:dyDescent="0.2"/>
  <cols>
    <col min="1" max="16384" width="11.42578125" style="143"/>
  </cols>
  <sheetData>
    <row r="1" spans="3:10" x14ac:dyDescent="0.2">
      <c r="J1" s="142"/>
    </row>
    <row r="2" spans="3:10" x14ac:dyDescent="0.2">
      <c r="J2" s="142" t="s">
        <v>85</v>
      </c>
    </row>
    <row r="3" spans="3:10" x14ac:dyDescent="0.2">
      <c r="J3" s="142"/>
    </row>
    <row r="5" spans="3:10" x14ac:dyDescent="0.2">
      <c r="C5" s="144"/>
      <c r="D5" s="144"/>
      <c r="E5" s="144"/>
      <c r="F5" s="144"/>
      <c r="G5" s="144"/>
      <c r="H5" s="144"/>
      <c r="I5" s="144"/>
      <c r="J5" s="144"/>
    </row>
    <row r="6" spans="3:10" x14ac:dyDescent="0.2">
      <c r="C6" s="144"/>
      <c r="D6" s="144"/>
      <c r="E6" s="144"/>
      <c r="F6" s="144"/>
      <c r="G6" s="144"/>
      <c r="H6" s="144"/>
      <c r="I6" s="144"/>
      <c r="J6" s="144"/>
    </row>
    <row r="7" spans="3:10" x14ac:dyDescent="0.2">
      <c r="C7" s="144"/>
      <c r="D7" s="144"/>
      <c r="E7" s="144"/>
      <c r="F7" s="144"/>
      <c r="G7" s="144"/>
      <c r="H7" s="144"/>
      <c r="I7" s="144"/>
      <c r="J7" s="144"/>
    </row>
    <row r="8" spans="3:10" x14ac:dyDescent="0.2">
      <c r="C8" s="144"/>
      <c r="D8" s="144"/>
      <c r="E8" s="144"/>
      <c r="F8" s="144"/>
      <c r="G8" s="144"/>
      <c r="H8" s="144"/>
      <c r="I8" s="144"/>
      <c r="J8" s="144"/>
    </row>
    <row r="9" spans="3:10" x14ac:dyDescent="0.2">
      <c r="C9" s="144"/>
      <c r="D9" s="144"/>
      <c r="E9" s="144"/>
      <c r="F9" s="144"/>
      <c r="G9" s="144"/>
      <c r="H9" s="144"/>
      <c r="I9" s="144"/>
      <c r="J9" s="144"/>
    </row>
    <row r="10" spans="3:10" x14ac:dyDescent="0.2">
      <c r="C10" s="144"/>
      <c r="D10" s="144"/>
      <c r="E10" s="144"/>
      <c r="F10" s="144"/>
      <c r="G10" s="144"/>
      <c r="H10" s="144"/>
      <c r="I10" s="144"/>
      <c r="J10" s="144"/>
    </row>
    <row r="11" spans="3:10" x14ac:dyDescent="0.2">
      <c r="C11" s="144"/>
      <c r="D11" s="144"/>
      <c r="E11" s="144"/>
      <c r="F11" s="144"/>
      <c r="G11" s="144"/>
      <c r="H11" s="144"/>
      <c r="I11" s="144"/>
      <c r="J11" s="144"/>
    </row>
    <row r="12" spans="3:10" x14ac:dyDescent="0.2">
      <c r="C12" s="144"/>
      <c r="D12" s="144"/>
      <c r="E12" s="144"/>
      <c r="F12" s="144"/>
      <c r="G12" s="144"/>
      <c r="H12" s="144"/>
      <c r="I12" s="144"/>
      <c r="J12" s="144"/>
    </row>
    <row r="13" spans="3:10" x14ac:dyDescent="0.2">
      <c r="C13" s="144"/>
      <c r="D13" s="144"/>
      <c r="E13" s="144"/>
      <c r="F13" s="144"/>
      <c r="G13" s="144"/>
      <c r="H13" s="144"/>
      <c r="I13" s="144"/>
      <c r="J13" s="144"/>
    </row>
    <row r="14" spans="3:10" x14ac:dyDescent="0.2">
      <c r="C14" s="144"/>
      <c r="D14" s="144"/>
      <c r="E14" s="144"/>
      <c r="F14" s="144"/>
      <c r="G14" s="144"/>
      <c r="H14" s="144"/>
      <c r="I14" s="144"/>
      <c r="J14" s="144"/>
    </row>
    <row r="15" spans="3:10" x14ac:dyDescent="0.2">
      <c r="C15" s="144"/>
      <c r="D15" s="144"/>
      <c r="E15" s="144"/>
      <c r="F15" s="144"/>
      <c r="G15" s="144"/>
      <c r="H15" s="144"/>
      <c r="I15" s="144"/>
      <c r="J15" s="144"/>
    </row>
    <row r="16" spans="3:10" x14ac:dyDescent="0.2">
      <c r="C16" s="144"/>
      <c r="D16" s="144"/>
      <c r="E16" s="144"/>
      <c r="F16" s="144"/>
      <c r="G16" s="144"/>
      <c r="H16" s="144"/>
      <c r="I16" s="144"/>
      <c r="J16" s="144"/>
    </row>
    <row r="17" spans="3:10" x14ac:dyDescent="0.2">
      <c r="C17" s="144"/>
      <c r="D17" s="144"/>
      <c r="E17" s="144"/>
      <c r="F17" s="144"/>
      <c r="G17" s="144"/>
      <c r="H17" s="144"/>
      <c r="I17" s="144"/>
      <c r="J17" s="144"/>
    </row>
    <row r="18" spans="3:10" x14ac:dyDescent="0.2">
      <c r="C18" s="144"/>
      <c r="D18" s="144"/>
      <c r="E18" s="144"/>
      <c r="F18" s="144"/>
      <c r="G18" s="144"/>
      <c r="H18" s="144"/>
      <c r="I18" s="144"/>
      <c r="J18" s="144"/>
    </row>
    <row r="19" spans="3:10" x14ac:dyDescent="0.2">
      <c r="C19" s="144"/>
      <c r="D19" s="144"/>
      <c r="E19" s="144"/>
      <c r="F19" s="144"/>
      <c r="G19" s="144"/>
      <c r="H19" s="144"/>
      <c r="I19" s="144"/>
      <c r="J19" s="144"/>
    </row>
    <row r="20" spans="3:10" x14ac:dyDescent="0.2">
      <c r="C20" s="144"/>
      <c r="D20" s="144"/>
      <c r="E20" s="144"/>
      <c r="F20" s="144"/>
      <c r="G20" s="144"/>
      <c r="H20" s="144"/>
      <c r="I20" s="144"/>
      <c r="J20" s="144"/>
    </row>
    <row r="21" spans="3:10" x14ac:dyDescent="0.2">
      <c r="C21" s="144"/>
      <c r="D21" s="144"/>
      <c r="E21" s="144"/>
      <c r="F21" s="144"/>
      <c r="G21" s="144"/>
      <c r="H21" s="144"/>
      <c r="I21" s="144"/>
      <c r="J21" s="144"/>
    </row>
    <row r="22" spans="3:10" x14ac:dyDescent="0.2">
      <c r="C22" s="144"/>
      <c r="D22" s="144"/>
      <c r="E22" s="144"/>
      <c r="F22" s="144"/>
      <c r="G22" s="144"/>
      <c r="H22" s="144"/>
      <c r="I22" s="144"/>
      <c r="J22" s="144"/>
    </row>
    <row r="23" spans="3:10" x14ac:dyDescent="0.2">
      <c r="C23" s="144"/>
      <c r="D23" s="144"/>
      <c r="E23" s="144"/>
      <c r="F23" s="144"/>
      <c r="G23" s="144"/>
      <c r="H23" s="144"/>
      <c r="I23" s="144"/>
      <c r="J23" s="144"/>
    </row>
    <row r="24" spans="3:10" x14ac:dyDescent="0.2">
      <c r="C24" s="144"/>
      <c r="D24" s="144"/>
      <c r="E24" s="144"/>
      <c r="F24" s="144"/>
      <c r="G24" s="144"/>
      <c r="H24" s="144"/>
      <c r="I24" s="144"/>
      <c r="J24" s="144"/>
    </row>
    <row r="25" spans="3:10" x14ac:dyDescent="0.2">
      <c r="C25" s="144"/>
      <c r="D25" s="144"/>
      <c r="E25" s="144"/>
      <c r="F25" s="144"/>
      <c r="G25" s="144"/>
      <c r="H25" s="144"/>
      <c r="I25" s="144"/>
      <c r="J25" s="144"/>
    </row>
    <row r="26" spans="3:10" x14ac:dyDescent="0.2">
      <c r="C26" s="144"/>
      <c r="D26" s="144"/>
      <c r="E26" s="144"/>
      <c r="F26" s="144"/>
      <c r="G26" s="144"/>
      <c r="H26" s="144"/>
      <c r="I26" s="144"/>
      <c r="J26" s="144"/>
    </row>
    <row r="27" spans="3:10" x14ac:dyDescent="0.2">
      <c r="C27" s="144"/>
      <c r="D27" s="144"/>
      <c r="E27" s="144"/>
      <c r="F27" s="144"/>
      <c r="G27" s="144"/>
      <c r="H27" s="144"/>
      <c r="I27" s="144"/>
      <c r="J27" s="144"/>
    </row>
    <row r="28" spans="3:10" x14ac:dyDescent="0.2">
      <c r="C28" s="144"/>
      <c r="D28" s="144"/>
      <c r="E28" s="144"/>
      <c r="F28" s="144"/>
      <c r="G28" s="144"/>
      <c r="H28" s="144"/>
      <c r="I28" s="144"/>
      <c r="J28" s="144"/>
    </row>
    <row r="29" spans="3:10" x14ac:dyDescent="0.2">
      <c r="C29" s="144"/>
      <c r="D29" s="144"/>
      <c r="E29" s="144"/>
      <c r="F29" s="144"/>
      <c r="G29" s="144"/>
      <c r="H29" s="144"/>
      <c r="I29" s="144"/>
      <c r="J29" s="144"/>
    </row>
    <row r="30" spans="3:10" x14ac:dyDescent="0.2">
      <c r="C30" s="144"/>
      <c r="D30" s="144"/>
      <c r="E30" s="144"/>
      <c r="F30" s="144"/>
      <c r="G30" s="144"/>
      <c r="H30" s="144"/>
      <c r="I30" s="144"/>
      <c r="J30" s="144"/>
    </row>
    <row r="31" spans="3:10" x14ac:dyDescent="0.2">
      <c r="C31" s="144"/>
      <c r="D31" s="144"/>
      <c r="E31" s="144"/>
      <c r="F31" s="144"/>
      <c r="G31" s="144"/>
      <c r="H31" s="144"/>
      <c r="I31" s="144"/>
      <c r="J31" s="144"/>
    </row>
    <row r="32" spans="3:10" x14ac:dyDescent="0.2">
      <c r="C32" s="144"/>
      <c r="D32" s="144"/>
      <c r="E32" s="144"/>
      <c r="F32" s="144"/>
      <c r="G32" s="144"/>
      <c r="H32" s="144"/>
      <c r="I32" s="144"/>
      <c r="J32" s="144"/>
    </row>
    <row r="33" spans="3:10" x14ac:dyDescent="0.2">
      <c r="C33" s="144"/>
      <c r="D33" s="144"/>
      <c r="E33" s="144"/>
      <c r="F33" s="144"/>
      <c r="G33" s="144"/>
      <c r="H33" s="144"/>
      <c r="I33" s="144"/>
      <c r="J33" s="144"/>
    </row>
    <row r="34" spans="3:10" x14ac:dyDescent="0.2">
      <c r="C34" s="144"/>
      <c r="D34" s="144"/>
      <c r="E34" s="144"/>
      <c r="F34" s="144"/>
      <c r="G34" s="144"/>
      <c r="H34" s="144"/>
      <c r="I34" s="144"/>
      <c r="J34" s="144"/>
    </row>
    <row r="35" spans="3:10" x14ac:dyDescent="0.2">
      <c r="C35" s="144"/>
      <c r="D35" s="144"/>
      <c r="E35" s="144"/>
      <c r="F35" s="144"/>
      <c r="G35" s="144"/>
      <c r="H35" s="144"/>
      <c r="I35" s="144"/>
      <c r="J35" s="144"/>
    </row>
    <row r="36" spans="3:10" x14ac:dyDescent="0.2">
      <c r="C36" s="144"/>
      <c r="D36" s="144"/>
      <c r="E36" s="144"/>
      <c r="F36" s="144"/>
      <c r="G36" s="144"/>
      <c r="H36" s="144"/>
      <c r="I36" s="144"/>
      <c r="J36" s="144"/>
    </row>
    <row r="37" spans="3:10" x14ac:dyDescent="0.2">
      <c r="C37" s="144"/>
      <c r="D37" s="144"/>
      <c r="E37" s="144"/>
      <c r="F37" s="144"/>
      <c r="G37" s="144"/>
      <c r="H37" s="144"/>
      <c r="I37" s="144"/>
      <c r="J37" s="144"/>
    </row>
    <row r="38" spans="3:10" x14ac:dyDescent="0.2">
      <c r="C38" s="144"/>
      <c r="D38" s="144"/>
      <c r="E38" s="144"/>
      <c r="F38" s="144"/>
      <c r="G38" s="144"/>
      <c r="H38" s="144"/>
      <c r="I38" s="144"/>
      <c r="J38" s="144"/>
    </row>
    <row r="39" spans="3:10" x14ac:dyDescent="0.2">
      <c r="C39" s="144"/>
      <c r="D39" s="144"/>
      <c r="E39" s="144"/>
      <c r="F39" s="144"/>
      <c r="G39" s="144"/>
      <c r="H39" s="144"/>
      <c r="I39" s="144"/>
      <c r="J39" s="144"/>
    </row>
    <row r="40" spans="3:10" x14ac:dyDescent="0.2">
      <c r="C40" s="144"/>
      <c r="D40" s="144"/>
      <c r="E40" s="144"/>
      <c r="F40" s="144"/>
      <c r="G40" s="144"/>
      <c r="H40" s="144"/>
      <c r="I40" s="144"/>
      <c r="J40" s="144"/>
    </row>
    <row r="41" spans="3:10" x14ac:dyDescent="0.2">
      <c r="C41" s="144"/>
      <c r="D41" s="144"/>
      <c r="E41" s="144"/>
      <c r="F41" s="144"/>
      <c r="G41" s="144"/>
      <c r="H41" s="144"/>
      <c r="I41" s="144"/>
      <c r="J41" s="144"/>
    </row>
    <row r="42" spans="3:10" x14ac:dyDescent="0.2">
      <c r="C42" s="144"/>
      <c r="D42" s="144"/>
      <c r="E42" s="144"/>
      <c r="F42" s="144"/>
      <c r="G42" s="144"/>
      <c r="H42" s="144"/>
      <c r="I42" s="144"/>
      <c r="J42" s="144"/>
    </row>
    <row r="43" spans="3:10" x14ac:dyDescent="0.2">
      <c r="C43" s="144"/>
      <c r="D43" s="144"/>
      <c r="E43" s="144"/>
      <c r="F43" s="144"/>
      <c r="G43" s="144"/>
      <c r="H43" s="144"/>
      <c r="I43" s="144"/>
      <c r="J43" s="144"/>
    </row>
    <row r="44" spans="3:10" x14ac:dyDescent="0.2">
      <c r="C44" s="144"/>
      <c r="D44" s="144"/>
      <c r="E44" s="144"/>
      <c r="F44" s="144"/>
      <c r="G44" s="144"/>
      <c r="H44" s="144"/>
      <c r="I44" s="144"/>
      <c r="J44" s="144"/>
    </row>
    <row r="45" spans="3:10" x14ac:dyDescent="0.2">
      <c r="C45" s="144"/>
      <c r="D45" s="144"/>
      <c r="E45" s="144"/>
      <c r="F45" s="144"/>
      <c r="G45" s="144"/>
      <c r="H45" s="144"/>
      <c r="I45" s="144"/>
      <c r="J45" s="144"/>
    </row>
    <row r="46" spans="3:10" x14ac:dyDescent="0.2">
      <c r="C46" s="144"/>
      <c r="D46" s="144"/>
      <c r="E46" s="144"/>
      <c r="F46" s="144"/>
      <c r="G46" s="144"/>
      <c r="H46" s="144"/>
      <c r="I46" s="144"/>
      <c r="J46" s="144"/>
    </row>
    <row r="47" spans="3:10" x14ac:dyDescent="0.2">
      <c r="C47" s="144"/>
      <c r="D47" s="144"/>
      <c r="E47" s="144"/>
      <c r="F47" s="144"/>
      <c r="G47" s="144"/>
      <c r="H47" s="144"/>
      <c r="I47" s="144"/>
      <c r="J47" s="144"/>
    </row>
    <row r="48" spans="3:10" x14ac:dyDescent="0.2">
      <c r="C48" s="144"/>
      <c r="D48" s="144"/>
      <c r="E48" s="144"/>
      <c r="F48" s="144"/>
      <c r="G48" s="144"/>
      <c r="H48" s="144"/>
      <c r="I48" s="144"/>
      <c r="J48" s="144"/>
    </row>
    <row r="49" spans="3:10" x14ac:dyDescent="0.2">
      <c r="C49" s="144"/>
      <c r="D49" s="144"/>
      <c r="E49" s="144"/>
      <c r="F49" s="144"/>
      <c r="G49" s="144"/>
      <c r="H49" s="144"/>
      <c r="I49" s="144"/>
      <c r="J49" s="144"/>
    </row>
    <row r="50" spans="3:10" x14ac:dyDescent="0.2">
      <c r="C50" s="144"/>
      <c r="D50" s="144"/>
      <c r="E50" s="144"/>
      <c r="F50" s="144"/>
      <c r="G50" s="144"/>
      <c r="H50" s="144"/>
      <c r="I50" s="144"/>
      <c r="J50" s="144"/>
    </row>
    <row r="51" spans="3:10" x14ac:dyDescent="0.2">
      <c r="C51" s="144"/>
      <c r="D51" s="144"/>
      <c r="E51" s="144"/>
      <c r="F51" s="144"/>
      <c r="G51" s="144"/>
      <c r="H51" s="144"/>
      <c r="I51" s="144"/>
      <c r="J51" s="144"/>
    </row>
    <row r="52" spans="3:10" x14ac:dyDescent="0.2">
      <c r="C52" s="144"/>
      <c r="D52" s="144"/>
      <c r="E52" s="144"/>
      <c r="F52" s="144"/>
      <c r="G52" s="144"/>
      <c r="H52" s="144"/>
      <c r="I52" s="144"/>
      <c r="J52" s="144"/>
    </row>
  </sheetData>
  <sheetProtection password="9C6E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203"/>
  <sheetViews>
    <sheetView showGridLines="0" topLeftCell="A165" zoomScaleNormal="100" workbookViewId="0">
      <selection activeCell="D185" sqref="D185"/>
    </sheetView>
  </sheetViews>
  <sheetFormatPr baseColWidth="10" defaultColWidth="11.42578125" defaultRowHeight="12.75" x14ac:dyDescent="0.2"/>
  <cols>
    <col min="1" max="1" width="64.7109375" style="157" customWidth="1"/>
    <col min="2" max="2" width="26.140625" style="157" customWidth="1"/>
    <col min="3" max="3" width="22.85546875" style="157" customWidth="1"/>
    <col min="4" max="4" width="62.85546875" style="157" customWidth="1"/>
    <col min="5" max="5" width="21.7109375" style="157" customWidth="1"/>
    <col min="6" max="6" width="19" style="157" customWidth="1"/>
    <col min="7" max="7" width="15.28515625" style="157" customWidth="1"/>
    <col min="8" max="8" width="22.140625" style="157" customWidth="1"/>
    <col min="9" max="9" width="11.42578125" style="157"/>
    <col min="10" max="11" width="13.28515625" style="157" customWidth="1"/>
    <col min="12" max="12" width="13" style="157" customWidth="1"/>
    <col min="13" max="13" width="5" style="157" customWidth="1"/>
    <col min="14" max="15" width="11.42578125" style="157" hidden="1" customWidth="1"/>
    <col min="16" max="16384" width="11.42578125" style="157"/>
  </cols>
  <sheetData>
    <row r="1" spans="1:16" x14ac:dyDescent="0.2">
      <c r="J1" s="687"/>
      <c r="K1" s="701"/>
    </row>
    <row r="2" spans="1:16" x14ac:dyDescent="0.2">
      <c r="J2" s="687" t="s">
        <v>238</v>
      </c>
      <c r="K2" s="701"/>
    </row>
    <row r="4" spans="1:16" ht="19.5" customHeight="1" x14ac:dyDescent="0.2">
      <c r="I4" s="688" t="s">
        <v>0</v>
      </c>
      <c r="J4" s="1129" t="str">
        <f>+'B) Reajuste Tarifas y Ocupación'!F5</f>
        <v>(DEPTO./DELEG.)</v>
      </c>
      <c r="K4" s="1130"/>
    </row>
    <row r="6" spans="1:16" ht="12.75" customHeight="1" x14ac:dyDescent="0.2">
      <c r="A6" s="700" t="s">
        <v>127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1:16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1:16" x14ac:dyDescent="0.2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</row>
    <row r="9" spans="1:16" ht="153.75" customHeight="1" x14ac:dyDescent="0.2">
      <c r="A9" s="796" t="s">
        <v>247</v>
      </c>
      <c r="B9" s="796" t="s">
        <v>466</v>
      </c>
      <c r="C9" s="796" t="s">
        <v>248</v>
      </c>
      <c r="D9" s="795" t="s">
        <v>476</v>
      </c>
      <c r="E9" s="796" t="s">
        <v>462</v>
      </c>
      <c r="F9" s="796" t="s">
        <v>564</v>
      </c>
      <c r="G9" s="796" t="s">
        <v>463</v>
      </c>
      <c r="H9" s="796" t="s">
        <v>477</v>
      </c>
      <c r="I9" s="796" t="s">
        <v>464</v>
      </c>
      <c r="J9" s="796" t="s">
        <v>465</v>
      </c>
      <c r="K9" s="797" t="s">
        <v>506</v>
      </c>
      <c r="L9" s="1226" t="s">
        <v>565</v>
      </c>
      <c r="M9" s="1226"/>
      <c r="N9" s="1226"/>
      <c r="O9" s="1226"/>
      <c r="P9" s="797" t="s">
        <v>507</v>
      </c>
    </row>
    <row r="11" spans="1:16" x14ac:dyDescent="0.2">
      <c r="A11" s="1219" t="s">
        <v>456</v>
      </c>
      <c r="B11" s="1219"/>
      <c r="C11" s="1219"/>
      <c r="D11" s="1219"/>
    </row>
    <row r="12" spans="1:16" x14ac:dyDescent="0.2">
      <c r="A12" s="765" t="s">
        <v>457</v>
      </c>
      <c r="B12" s="765"/>
      <c r="C12" s="766"/>
      <c r="D12" s="767">
        <v>769000</v>
      </c>
    </row>
    <row r="13" spans="1:16" x14ac:dyDescent="0.2">
      <c r="A13" s="765" t="s">
        <v>458</v>
      </c>
      <c r="B13" s="765"/>
      <c r="C13" s="766"/>
      <c r="D13" s="767">
        <v>683123</v>
      </c>
    </row>
    <row r="14" spans="1:16" x14ac:dyDescent="0.2">
      <c r="A14" s="765" t="s">
        <v>459</v>
      </c>
      <c r="B14" s="765"/>
      <c r="C14" s="766"/>
      <c r="D14" s="767">
        <v>85877</v>
      </c>
    </row>
    <row r="15" spans="1:16" x14ac:dyDescent="0.2">
      <c r="A15" s="765"/>
      <c r="B15" s="765"/>
      <c r="C15" s="766"/>
      <c r="D15" s="768">
        <v>0.12571235341219664</v>
      </c>
    </row>
    <row r="16" spans="1:16" x14ac:dyDescent="0.2">
      <c r="A16" s="765" t="s">
        <v>460</v>
      </c>
      <c r="B16" s="765"/>
      <c r="C16" s="766"/>
      <c r="D16" s="766">
        <v>555836</v>
      </c>
    </row>
    <row r="17" spans="1:8" x14ac:dyDescent="0.2">
      <c r="A17" s="765" t="s">
        <v>461</v>
      </c>
      <c r="B17" s="765"/>
      <c r="C17" s="766"/>
      <c r="D17" s="767">
        <v>641713</v>
      </c>
    </row>
    <row r="19" spans="1:8" x14ac:dyDescent="0.2">
      <c r="A19" s="1220" t="s">
        <v>467</v>
      </c>
      <c r="B19" s="1221"/>
      <c r="C19" s="1221"/>
      <c r="D19" s="1221"/>
      <c r="E19" s="1221"/>
      <c r="F19" s="1221"/>
      <c r="G19" s="1221"/>
      <c r="H19" s="1222"/>
    </row>
    <row r="20" spans="1:8" x14ac:dyDescent="0.2">
      <c r="A20" s="1223" t="s">
        <v>468</v>
      </c>
      <c r="B20" s="1224"/>
      <c r="C20" s="1224"/>
      <c r="D20" s="1224"/>
      <c r="E20" s="1224"/>
      <c r="F20" s="1224"/>
      <c r="G20" s="1224"/>
      <c r="H20" s="1225"/>
    </row>
    <row r="21" spans="1:8" ht="13.5" thickBot="1" x14ac:dyDescent="0.25">
      <c r="A21" s="1223" t="s">
        <v>469</v>
      </c>
      <c r="B21" s="1224"/>
      <c r="C21" s="1224"/>
      <c r="D21" s="1224"/>
      <c r="E21" s="1224"/>
      <c r="F21" s="1224"/>
      <c r="G21" s="1224"/>
      <c r="H21" s="1225"/>
    </row>
    <row r="22" spans="1:8" x14ac:dyDescent="0.2">
      <c r="A22" s="769"/>
      <c r="B22" s="770"/>
      <c r="C22" s="770"/>
      <c r="D22" s="770"/>
      <c r="E22" s="770"/>
      <c r="F22" s="770"/>
      <c r="G22" s="770"/>
      <c r="H22" s="771"/>
    </row>
    <row r="23" spans="1:8" x14ac:dyDescent="0.2">
      <c r="A23" s="1238" t="s">
        <v>470</v>
      </c>
      <c r="B23" s="1239"/>
      <c r="C23" s="1239"/>
      <c r="D23" s="1239"/>
      <c r="E23" s="1239"/>
      <c r="F23" s="1239"/>
      <c r="G23" s="1239"/>
      <c r="H23" s="1240"/>
    </row>
    <row r="24" spans="1:8" x14ac:dyDescent="0.2">
      <c r="A24" s="772" t="s">
        <v>471</v>
      </c>
      <c r="B24" s="773">
        <v>59374.193999999996</v>
      </c>
      <c r="C24" s="1241">
        <f>+(118748.388)+(118748*5.2%)</f>
        <v>124923.28400000001</v>
      </c>
      <c r="D24" s="1241"/>
      <c r="E24" s="774"/>
      <c r="F24" s="1242">
        <f>+(124780.8061104*C25)+C24+E24</f>
        <v>128292.36576498082</v>
      </c>
      <c r="G24" s="1242"/>
      <c r="H24" s="1243"/>
    </row>
    <row r="25" spans="1:8" x14ac:dyDescent="0.2">
      <c r="A25" s="772" t="s">
        <v>472</v>
      </c>
      <c r="B25" s="773">
        <v>189000</v>
      </c>
      <c r="C25" s="1244">
        <v>2.7E-2</v>
      </c>
      <c r="D25" s="1244"/>
      <c r="E25" s="1244"/>
      <c r="F25" s="1242">
        <f>+(B25+D25)+((B25+D25)*2.7%)</f>
        <v>194103</v>
      </c>
      <c r="G25" s="1242"/>
      <c r="H25" s="1243"/>
    </row>
    <row r="26" spans="1:8" x14ac:dyDescent="0.2">
      <c r="A26" s="772" t="s">
        <v>473</v>
      </c>
      <c r="B26" s="773">
        <v>107000</v>
      </c>
      <c r="C26" s="1244"/>
      <c r="D26" s="1244"/>
      <c r="E26" s="1244"/>
      <c r="F26" s="1242">
        <f t="shared" ref="F26:F28" si="0">+(B26+D26)+((B26+D26)*2.7%)</f>
        <v>109889</v>
      </c>
      <c r="G26" s="1242"/>
      <c r="H26" s="1243"/>
    </row>
    <row r="27" spans="1:8" x14ac:dyDescent="0.2">
      <c r="A27" s="772" t="s">
        <v>474</v>
      </c>
      <c r="B27" s="773">
        <v>119000</v>
      </c>
      <c r="C27" s="1244"/>
      <c r="D27" s="1244"/>
      <c r="E27" s="1244"/>
      <c r="F27" s="1242">
        <f t="shared" si="0"/>
        <v>122213</v>
      </c>
      <c r="G27" s="1242"/>
      <c r="H27" s="1243"/>
    </row>
    <row r="28" spans="1:8" ht="13.5" thickBot="1" x14ac:dyDescent="0.25">
      <c r="A28" s="775" t="s">
        <v>475</v>
      </c>
      <c r="B28" s="776">
        <v>83000</v>
      </c>
      <c r="C28" s="1245"/>
      <c r="D28" s="1245"/>
      <c r="E28" s="1245"/>
      <c r="F28" s="1242">
        <f t="shared" si="0"/>
        <v>85241</v>
      </c>
      <c r="G28" s="1242"/>
      <c r="H28" s="1243"/>
    </row>
    <row r="30" spans="1:8" ht="13.5" thickBot="1" x14ac:dyDescent="0.25">
      <c r="A30" s="816" t="s">
        <v>536</v>
      </c>
    </row>
    <row r="31" spans="1:8" ht="59.25" customHeight="1" x14ac:dyDescent="0.2">
      <c r="A31" s="798"/>
      <c r="B31" s="1227" t="s">
        <v>509</v>
      </c>
      <c r="C31" s="1228"/>
      <c r="D31" s="1228"/>
      <c r="E31" s="1229"/>
    </row>
    <row r="32" spans="1:8" ht="15" x14ac:dyDescent="0.2">
      <c r="A32" s="799"/>
      <c r="B32" s="1230"/>
      <c r="C32" s="1231"/>
      <c r="D32" s="1231"/>
      <c r="E32" s="1232"/>
    </row>
    <row r="33" spans="1:5" ht="15.75" thickBot="1" x14ac:dyDescent="0.25">
      <c r="A33" s="800" t="s">
        <v>508</v>
      </c>
      <c r="B33" s="1233"/>
      <c r="C33" s="1234"/>
      <c r="D33" s="1234"/>
      <c r="E33" s="1235"/>
    </row>
    <row r="34" spans="1:5" ht="15" x14ac:dyDescent="0.2">
      <c r="A34" s="801" t="s">
        <v>510</v>
      </c>
      <c r="B34" s="1236" t="s">
        <v>512</v>
      </c>
      <c r="C34" s="803" t="s">
        <v>513</v>
      </c>
      <c r="D34" s="1236" t="s">
        <v>515</v>
      </c>
      <c r="E34" s="1236" t="s">
        <v>516</v>
      </c>
    </row>
    <row r="35" spans="1:5" ht="30.75" thickBot="1" x14ac:dyDescent="0.25">
      <c r="A35" s="802" t="s">
        <v>511</v>
      </c>
      <c r="B35" s="1237"/>
      <c r="C35" s="804" t="s">
        <v>514</v>
      </c>
      <c r="D35" s="1237"/>
      <c r="E35" s="1237"/>
    </row>
    <row r="36" spans="1:5" ht="29.25" customHeight="1" x14ac:dyDescent="0.2">
      <c r="A36" s="1246" t="s">
        <v>517</v>
      </c>
      <c r="B36" s="1248" t="s">
        <v>518</v>
      </c>
      <c r="C36" s="1248" t="s">
        <v>519</v>
      </c>
      <c r="D36" s="805" t="s">
        <v>520</v>
      </c>
      <c r="E36" s="1248" t="s">
        <v>522</v>
      </c>
    </row>
    <row r="37" spans="1:5" ht="15.75" thickBot="1" x14ac:dyDescent="0.25">
      <c r="A37" s="1247"/>
      <c r="B37" s="1249"/>
      <c r="C37" s="1249"/>
      <c r="D37" s="806" t="s">
        <v>521</v>
      </c>
      <c r="E37" s="1249"/>
    </row>
    <row r="38" spans="1:5" ht="44.25" customHeight="1" x14ac:dyDescent="0.2">
      <c r="A38" s="1246" t="s">
        <v>523</v>
      </c>
      <c r="B38" s="1248" t="s">
        <v>518</v>
      </c>
      <c r="C38" s="1248" t="s">
        <v>524</v>
      </c>
      <c r="D38" s="805" t="s">
        <v>525</v>
      </c>
      <c r="E38" s="1248" t="s">
        <v>522</v>
      </c>
    </row>
    <row r="39" spans="1:5" ht="15.75" thickBot="1" x14ac:dyDescent="0.25">
      <c r="A39" s="1247"/>
      <c r="B39" s="1249"/>
      <c r="C39" s="1249"/>
      <c r="D39" s="806" t="s">
        <v>526</v>
      </c>
      <c r="E39" s="1249"/>
    </row>
    <row r="40" spans="1:5" x14ac:dyDescent="0.2">
      <c r="A40" s="807"/>
      <c r="B40"/>
      <c r="C40"/>
      <c r="D40"/>
      <c r="E40"/>
    </row>
    <row r="41" spans="1:5" ht="13.5" thickBot="1" x14ac:dyDescent="0.25">
      <c r="A41" s="807"/>
      <c r="B41"/>
      <c r="C41"/>
      <c r="D41"/>
      <c r="E41"/>
    </row>
    <row r="42" spans="1:5" ht="15" x14ac:dyDescent="0.2">
      <c r="A42" s="808"/>
      <c r="B42" s="1227" t="s">
        <v>528</v>
      </c>
      <c r="C42" s="1228"/>
      <c r="D42" s="1228"/>
      <c r="E42" s="1229"/>
    </row>
    <row r="43" spans="1:5" ht="15" x14ac:dyDescent="0.2">
      <c r="A43" s="809"/>
      <c r="B43" s="1230"/>
      <c r="C43" s="1231"/>
      <c r="D43" s="1231"/>
      <c r="E43" s="1232"/>
    </row>
    <row r="44" spans="1:5" ht="47.25" customHeight="1" thickBot="1" x14ac:dyDescent="0.25">
      <c r="A44" s="810" t="s">
        <v>527</v>
      </c>
      <c r="B44" s="1233"/>
      <c r="C44" s="1234"/>
      <c r="D44" s="1234"/>
      <c r="E44" s="1235"/>
    </row>
    <row r="45" spans="1:5" ht="15" x14ac:dyDescent="0.2">
      <c r="A45" s="811" t="s">
        <v>529</v>
      </c>
      <c r="B45" s="1250" t="s">
        <v>512</v>
      </c>
      <c r="C45" s="813" t="s">
        <v>513</v>
      </c>
      <c r="D45" s="1250" t="s">
        <v>515</v>
      </c>
      <c r="E45" s="1250" t="s">
        <v>516</v>
      </c>
    </row>
    <row r="46" spans="1:5" ht="30.75" thickBot="1" x14ac:dyDescent="0.25">
      <c r="A46" s="812" t="s">
        <v>530</v>
      </c>
      <c r="B46" s="1251"/>
      <c r="C46" s="814" t="s">
        <v>514</v>
      </c>
      <c r="D46" s="1251"/>
      <c r="E46" s="1251"/>
    </row>
    <row r="47" spans="1:5" ht="44.25" customHeight="1" x14ac:dyDescent="0.2">
      <c r="A47" s="1248" t="s">
        <v>531</v>
      </c>
      <c r="B47" s="1248" t="s">
        <v>518</v>
      </c>
      <c r="C47" s="1248" t="s">
        <v>524</v>
      </c>
      <c r="D47" s="805" t="s">
        <v>532</v>
      </c>
      <c r="E47" s="1248" t="s">
        <v>522</v>
      </c>
    </row>
    <row r="48" spans="1:5" ht="15.75" thickBot="1" x14ac:dyDescent="0.25">
      <c r="A48" s="1249"/>
      <c r="B48" s="1249"/>
      <c r="C48" s="1249"/>
      <c r="D48" s="806" t="s">
        <v>533</v>
      </c>
      <c r="E48" s="1249"/>
    </row>
    <row r="49" spans="1:12" ht="15" x14ac:dyDescent="0.2">
      <c r="A49" s="1248" t="s">
        <v>534</v>
      </c>
      <c r="B49" s="1248" t="s">
        <v>518</v>
      </c>
      <c r="C49" s="1248" t="s">
        <v>524</v>
      </c>
      <c r="D49" s="805" t="s">
        <v>535</v>
      </c>
      <c r="E49" s="1248" t="s">
        <v>522</v>
      </c>
    </row>
    <row r="50" spans="1:12" ht="15.75" thickBot="1" x14ac:dyDescent="0.25">
      <c r="A50" s="1249"/>
      <c r="B50" s="1249"/>
      <c r="C50" s="1249"/>
      <c r="D50" s="806" t="s">
        <v>533</v>
      </c>
      <c r="E50" s="1249"/>
    </row>
    <row r="51" spans="1:12" x14ac:dyDescent="0.2">
      <c r="A51" s="807"/>
      <c r="B51"/>
      <c r="C51"/>
      <c r="D51"/>
      <c r="E51"/>
    </row>
    <row r="52" spans="1:12" ht="15" x14ac:dyDescent="0.2">
      <c r="A52" s="815"/>
      <c r="B52"/>
      <c r="C52"/>
      <c r="D52"/>
      <c r="E52"/>
    </row>
    <row r="53" spans="1:12" ht="17.25" customHeight="1" x14ac:dyDescent="0.25">
      <c r="A53" s="1252" t="s">
        <v>563</v>
      </c>
      <c r="B53" s="1253"/>
      <c r="C53" s="1253"/>
      <c r="D53" s="1253"/>
      <c r="E53" s="1253"/>
      <c r="F53" s="1254"/>
      <c r="G53" s="1252" t="s">
        <v>563</v>
      </c>
      <c r="H53" s="1253"/>
      <c r="I53" s="1253"/>
      <c r="J53" s="1253"/>
      <c r="K53" s="1253"/>
      <c r="L53" s="1254"/>
    </row>
    <row r="54" spans="1:12" ht="26.25" customHeight="1" x14ac:dyDescent="0.2">
      <c r="A54" s="820"/>
      <c r="B54" s="821"/>
      <c r="C54" s="821"/>
      <c r="D54" s="821"/>
      <c r="E54" s="821"/>
      <c r="F54" s="821"/>
      <c r="G54" s="820"/>
      <c r="H54" s="821"/>
      <c r="I54" s="821"/>
      <c r="J54" s="821"/>
      <c r="K54" s="821"/>
      <c r="L54" s="821"/>
    </row>
    <row r="55" spans="1:12" ht="13.5" thickBot="1" x14ac:dyDescent="0.25">
      <c r="A55" s="821"/>
      <c r="B55" s="821"/>
      <c r="C55" s="821"/>
      <c r="D55" s="822"/>
      <c r="E55" s="821"/>
      <c r="F55" s="821"/>
      <c r="G55" s="821"/>
      <c r="H55" s="821"/>
      <c r="I55" s="821"/>
      <c r="J55" s="822"/>
      <c r="K55" s="821"/>
      <c r="L55" s="821"/>
    </row>
    <row r="56" spans="1:12" ht="36.75" thickBot="1" x14ac:dyDescent="0.35">
      <c r="A56" s="823" t="s">
        <v>537</v>
      </c>
      <c r="B56" s="823" t="s">
        <v>538</v>
      </c>
      <c r="C56" s="824" t="s">
        <v>539</v>
      </c>
      <c r="D56" s="824" t="s">
        <v>540</v>
      </c>
      <c r="E56" s="824" t="s">
        <v>541</v>
      </c>
      <c r="F56" s="824" t="s">
        <v>542</v>
      </c>
      <c r="G56" s="823" t="s">
        <v>537</v>
      </c>
      <c r="H56" s="823" t="s">
        <v>538</v>
      </c>
      <c r="I56" s="824" t="s">
        <v>539</v>
      </c>
      <c r="J56" s="824" t="s">
        <v>540</v>
      </c>
      <c r="K56" s="824" t="s">
        <v>541</v>
      </c>
      <c r="L56" s="824" t="s">
        <v>542</v>
      </c>
    </row>
    <row r="57" spans="1:12" ht="26.25" customHeight="1" thickBot="1" x14ac:dyDescent="0.25">
      <c r="A57" s="1255" t="s">
        <v>548</v>
      </c>
      <c r="B57" s="825" t="s">
        <v>543</v>
      </c>
      <c r="C57" s="825"/>
      <c r="D57" s="825"/>
      <c r="E57" s="825"/>
      <c r="F57" s="825"/>
      <c r="G57" s="1255" t="s">
        <v>549</v>
      </c>
      <c r="H57" s="825" t="s">
        <v>543</v>
      </c>
      <c r="I57" s="825"/>
      <c r="J57" s="825"/>
      <c r="K57" s="825"/>
      <c r="L57" s="825"/>
    </row>
    <row r="58" spans="1:12" ht="26.25" thickBot="1" x14ac:dyDescent="0.25">
      <c r="A58" s="1256"/>
      <c r="B58" s="826" t="s">
        <v>547</v>
      </c>
      <c r="C58" s="827">
        <v>1</v>
      </c>
      <c r="D58" s="828">
        <v>120000</v>
      </c>
      <c r="E58" s="828">
        <v>120000</v>
      </c>
      <c r="F58" s="829" t="s">
        <v>541</v>
      </c>
      <c r="G58" s="1256"/>
      <c r="H58" s="826" t="s">
        <v>547</v>
      </c>
      <c r="I58" s="827">
        <v>1</v>
      </c>
      <c r="J58" s="828">
        <v>120000</v>
      </c>
      <c r="K58" s="828">
        <v>120000</v>
      </c>
      <c r="L58" s="829" t="s">
        <v>541</v>
      </c>
    </row>
    <row r="59" spans="1:12" ht="26.25" thickBot="1" x14ac:dyDescent="0.25">
      <c r="A59" s="1256"/>
      <c r="B59" s="826" t="s">
        <v>545</v>
      </c>
      <c r="C59" s="827">
        <v>1</v>
      </c>
      <c r="D59" s="828">
        <v>250000</v>
      </c>
      <c r="E59" s="828">
        <f>+C59*D59</f>
        <v>250000</v>
      </c>
      <c r="F59" s="830" t="s">
        <v>541</v>
      </c>
      <c r="G59" s="1256"/>
      <c r="H59" s="826" t="s">
        <v>545</v>
      </c>
      <c r="I59" s="827">
        <v>1</v>
      </c>
      <c r="J59" s="828">
        <v>250000</v>
      </c>
      <c r="K59" s="828">
        <v>250000</v>
      </c>
      <c r="L59" s="830" t="s">
        <v>541</v>
      </c>
    </row>
    <row r="60" spans="1:12" ht="13.5" thickBot="1" x14ac:dyDescent="0.25">
      <c r="A60" s="1256"/>
      <c r="B60" s="826" t="s">
        <v>546</v>
      </c>
      <c r="C60" s="827">
        <v>1</v>
      </c>
      <c r="D60" s="828">
        <v>200000</v>
      </c>
      <c r="E60" s="828">
        <v>200000</v>
      </c>
      <c r="F60" s="830" t="s">
        <v>541</v>
      </c>
      <c r="G60" s="1256"/>
      <c r="H60" s="826" t="s">
        <v>546</v>
      </c>
      <c r="I60" s="827">
        <v>1</v>
      </c>
      <c r="J60" s="828">
        <v>200000</v>
      </c>
      <c r="K60" s="828">
        <v>200000</v>
      </c>
      <c r="L60" s="830" t="s">
        <v>541</v>
      </c>
    </row>
    <row r="61" spans="1:12" ht="26.25" thickBot="1" x14ac:dyDescent="0.25">
      <c r="A61" s="1256"/>
      <c r="B61" s="831" t="s">
        <v>544</v>
      </c>
      <c r="C61" s="832"/>
      <c r="D61" s="833"/>
      <c r="E61" s="833"/>
      <c r="F61" s="834"/>
      <c r="G61" s="1256"/>
      <c r="H61" s="831" t="s">
        <v>544</v>
      </c>
      <c r="I61" s="832"/>
      <c r="J61" s="833"/>
      <c r="K61" s="833"/>
      <c r="L61" s="834"/>
    </row>
    <row r="62" spans="1:12" ht="26.25" thickBot="1" x14ac:dyDescent="0.25">
      <c r="A62" s="1256"/>
      <c r="B62" s="826" t="s">
        <v>552</v>
      </c>
      <c r="C62" s="827">
        <v>1</v>
      </c>
      <c r="D62" s="828">
        <v>250000</v>
      </c>
      <c r="E62" s="828">
        <v>200000</v>
      </c>
      <c r="F62" s="830" t="s">
        <v>541</v>
      </c>
      <c r="G62" s="1256"/>
      <c r="H62" s="826" t="s">
        <v>555</v>
      </c>
      <c r="I62" s="827">
        <v>1</v>
      </c>
      <c r="J62" s="828">
        <v>200000</v>
      </c>
      <c r="K62" s="828">
        <v>200000</v>
      </c>
      <c r="L62" s="830" t="s">
        <v>541</v>
      </c>
    </row>
    <row r="63" spans="1:12" ht="26.25" thickBot="1" x14ac:dyDescent="0.25">
      <c r="A63" s="1256"/>
      <c r="B63" s="826" t="s">
        <v>554</v>
      </c>
      <c r="C63" s="827">
        <v>1</v>
      </c>
      <c r="D63" s="828">
        <v>230000</v>
      </c>
      <c r="E63" s="828">
        <v>230000</v>
      </c>
      <c r="F63" s="829" t="s">
        <v>541</v>
      </c>
      <c r="G63" s="1256"/>
      <c r="H63" s="826" t="s">
        <v>558</v>
      </c>
      <c r="I63" s="827">
        <v>1</v>
      </c>
      <c r="J63" s="828">
        <v>350000</v>
      </c>
      <c r="K63" s="828">
        <v>350000</v>
      </c>
      <c r="L63" s="830" t="s">
        <v>541</v>
      </c>
    </row>
    <row r="64" spans="1:12" ht="13.5" thickBot="1" x14ac:dyDescent="0.25">
      <c r="A64" s="1256"/>
      <c r="B64" s="826"/>
      <c r="C64" s="827"/>
      <c r="D64" s="828"/>
      <c r="E64" s="828"/>
      <c r="F64" s="830"/>
      <c r="G64" s="1256"/>
      <c r="H64" s="826" t="s">
        <v>559</v>
      </c>
      <c r="I64" s="827">
        <v>1</v>
      </c>
      <c r="J64" s="828">
        <v>380000</v>
      </c>
      <c r="K64" s="828">
        <v>380000</v>
      </c>
      <c r="L64" s="830" t="s">
        <v>541</v>
      </c>
    </row>
    <row r="65" spans="1:12" x14ac:dyDescent="0.2">
      <c r="A65" s="821"/>
      <c r="B65" s="821"/>
      <c r="C65" s="821"/>
      <c r="D65" s="821"/>
      <c r="E65" s="835">
        <f>SUM(E58:E64)</f>
        <v>1000000</v>
      </c>
      <c r="F65" s="836"/>
      <c r="G65" s="821"/>
      <c r="H65" s="821"/>
      <c r="I65" s="821"/>
      <c r="J65" s="821"/>
      <c r="K65" s="835">
        <f>SUM(K58:K64)</f>
        <v>1500000</v>
      </c>
      <c r="L65" s="836"/>
    </row>
    <row r="66" spans="1:12" x14ac:dyDescent="0.2">
      <c r="A66" s="821"/>
      <c r="B66" s="821"/>
      <c r="C66" s="821"/>
      <c r="D66" s="821"/>
      <c r="E66" s="837">
        <f>+E65</f>
        <v>1000000</v>
      </c>
      <c r="F66" s="821"/>
      <c r="G66" s="821"/>
      <c r="H66" s="821"/>
      <c r="I66" s="821"/>
      <c r="J66" s="821"/>
      <c r="K66" s="837">
        <f>+K65</f>
        <v>1500000</v>
      </c>
      <c r="L66" s="821"/>
    </row>
    <row r="68" spans="1:12" ht="17.25" customHeight="1" x14ac:dyDescent="0.25">
      <c r="A68" s="1252" t="s">
        <v>563</v>
      </c>
      <c r="B68" s="1253"/>
      <c r="C68" s="1253"/>
      <c r="D68" s="1253"/>
      <c r="E68" s="1253"/>
      <c r="F68" s="1254"/>
      <c r="G68" s="1252" t="s">
        <v>563</v>
      </c>
      <c r="H68" s="1253"/>
      <c r="I68" s="1253"/>
      <c r="J68" s="1253"/>
      <c r="K68" s="1253"/>
      <c r="L68" s="1254"/>
    </row>
    <row r="69" spans="1:12" x14ac:dyDescent="0.2">
      <c r="A69" s="820"/>
      <c r="B69" s="821"/>
      <c r="C69" s="821"/>
      <c r="D69" s="821"/>
      <c r="E69" s="821"/>
      <c r="F69" s="821"/>
      <c r="G69" s="820"/>
      <c r="H69" s="821"/>
      <c r="I69" s="821"/>
      <c r="J69" s="821"/>
      <c r="K69" s="821"/>
      <c r="L69" s="821"/>
    </row>
    <row r="70" spans="1:12" ht="13.5" thickBot="1" x14ac:dyDescent="0.25">
      <c r="A70" s="821"/>
      <c r="B70" s="821"/>
      <c r="C70" s="821"/>
      <c r="D70" s="822"/>
      <c r="E70" s="821"/>
      <c r="F70" s="821"/>
      <c r="G70" s="821"/>
      <c r="H70" s="821"/>
      <c r="I70" s="821"/>
      <c r="J70" s="822"/>
      <c r="K70" s="821"/>
      <c r="L70" s="821"/>
    </row>
    <row r="71" spans="1:12" ht="36.75" thickBot="1" x14ac:dyDescent="0.35">
      <c r="A71" s="823" t="s">
        <v>537</v>
      </c>
      <c r="B71" s="823" t="s">
        <v>538</v>
      </c>
      <c r="C71" s="824" t="s">
        <v>539</v>
      </c>
      <c r="D71" s="824" t="s">
        <v>540</v>
      </c>
      <c r="E71" s="824" t="s">
        <v>541</v>
      </c>
      <c r="F71" s="824" t="s">
        <v>542</v>
      </c>
      <c r="G71" s="823" t="s">
        <v>537</v>
      </c>
      <c r="H71" s="823" t="s">
        <v>538</v>
      </c>
      <c r="I71" s="824" t="s">
        <v>539</v>
      </c>
      <c r="J71" s="824" t="s">
        <v>540</v>
      </c>
      <c r="K71" s="824" t="s">
        <v>541</v>
      </c>
      <c r="L71" s="824" t="s">
        <v>542</v>
      </c>
    </row>
    <row r="72" spans="1:12" ht="26.25" thickBot="1" x14ac:dyDescent="0.25">
      <c r="A72" s="1255" t="s">
        <v>550</v>
      </c>
      <c r="B72" s="825" t="s">
        <v>543</v>
      </c>
      <c r="C72" s="825"/>
      <c r="D72" s="825"/>
      <c r="E72" s="825"/>
      <c r="F72" s="825"/>
      <c r="G72" s="1255" t="s">
        <v>551</v>
      </c>
      <c r="H72" s="825" t="s">
        <v>543</v>
      </c>
      <c r="I72" s="825"/>
      <c r="J72" s="825"/>
      <c r="K72" s="825"/>
      <c r="L72" s="825"/>
    </row>
    <row r="73" spans="1:12" ht="26.25" thickBot="1" x14ac:dyDescent="0.25">
      <c r="A73" s="1256"/>
      <c r="B73" s="826" t="s">
        <v>547</v>
      </c>
      <c r="C73" s="827">
        <v>1</v>
      </c>
      <c r="D73" s="828">
        <v>120000</v>
      </c>
      <c r="E73" s="828">
        <v>120000</v>
      </c>
      <c r="F73" s="829" t="s">
        <v>541</v>
      </c>
      <c r="G73" s="1256"/>
      <c r="H73" s="826" t="s">
        <v>547</v>
      </c>
      <c r="I73" s="827">
        <v>1</v>
      </c>
      <c r="J73" s="828">
        <v>120000</v>
      </c>
      <c r="K73" s="828">
        <v>120000</v>
      </c>
      <c r="L73" s="829" t="s">
        <v>541</v>
      </c>
    </row>
    <row r="74" spans="1:12" ht="26.25" thickBot="1" x14ac:dyDescent="0.25">
      <c r="A74" s="1256"/>
      <c r="B74" s="826" t="s">
        <v>545</v>
      </c>
      <c r="C74" s="827">
        <v>1</v>
      </c>
      <c r="D74" s="828">
        <v>250000</v>
      </c>
      <c r="E74" s="828">
        <f>+C74*D74</f>
        <v>250000</v>
      </c>
      <c r="F74" s="830" t="s">
        <v>541</v>
      </c>
      <c r="G74" s="1256"/>
      <c r="H74" s="826" t="s">
        <v>545</v>
      </c>
      <c r="I74" s="827">
        <v>1</v>
      </c>
      <c r="J74" s="828">
        <v>250000</v>
      </c>
      <c r="K74" s="828">
        <f>+I74*J74</f>
        <v>250000</v>
      </c>
      <c r="L74" s="830" t="s">
        <v>541</v>
      </c>
    </row>
    <row r="75" spans="1:12" ht="13.5" thickBot="1" x14ac:dyDescent="0.25">
      <c r="A75" s="1256"/>
      <c r="B75" s="826" t="s">
        <v>546</v>
      </c>
      <c r="C75" s="827">
        <v>1</v>
      </c>
      <c r="D75" s="828">
        <v>200000</v>
      </c>
      <c r="E75" s="828">
        <v>200000</v>
      </c>
      <c r="F75" s="830" t="s">
        <v>541</v>
      </c>
      <c r="G75" s="1256"/>
      <c r="H75" s="826" t="s">
        <v>546</v>
      </c>
      <c r="I75" s="827">
        <v>1</v>
      </c>
      <c r="J75" s="828">
        <v>200000</v>
      </c>
      <c r="K75" s="828">
        <v>200000</v>
      </c>
      <c r="L75" s="830" t="s">
        <v>541</v>
      </c>
    </row>
    <row r="76" spans="1:12" ht="26.25" thickBot="1" x14ac:dyDescent="0.25">
      <c r="A76" s="1256"/>
      <c r="B76" s="831" t="s">
        <v>544</v>
      </c>
      <c r="C76" s="832"/>
      <c r="D76" s="833"/>
      <c r="E76" s="833"/>
      <c r="F76" s="834"/>
      <c r="G76" s="1256"/>
      <c r="H76" s="831" t="s">
        <v>544</v>
      </c>
      <c r="I76" s="832"/>
      <c r="J76" s="833"/>
      <c r="K76" s="833"/>
      <c r="L76" s="834"/>
    </row>
    <row r="77" spans="1:12" ht="26.25" thickBot="1" x14ac:dyDescent="0.25">
      <c r="A77" s="1256"/>
      <c r="B77" s="826" t="s">
        <v>556</v>
      </c>
      <c r="C77" s="827">
        <v>1</v>
      </c>
      <c r="D77" s="828">
        <v>250000</v>
      </c>
      <c r="E77" s="828">
        <v>250000</v>
      </c>
      <c r="F77" s="830" t="s">
        <v>541</v>
      </c>
      <c r="G77" s="1256"/>
      <c r="H77" s="826" t="s">
        <v>557</v>
      </c>
      <c r="I77" s="827">
        <v>1</v>
      </c>
      <c r="J77" s="828">
        <v>250000</v>
      </c>
      <c r="K77" s="828">
        <v>250000</v>
      </c>
      <c r="L77" s="830" t="s">
        <v>541</v>
      </c>
    </row>
    <row r="78" spans="1:12" ht="39" thickBot="1" x14ac:dyDescent="0.25">
      <c r="A78" s="1256"/>
      <c r="B78" s="826" t="s">
        <v>560</v>
      </c>
      <c r="C78" s="827">
        <v>1</v>
      </c>
      <c r="D78" s="828">
        <v>680000</v>
      </c>
      <c r="E78" s="828">
        <v>680000</v>
      </c>
      <c r="F78" s="830" t="s">
        <v>541</v>
      </c>
      <c r="G78" s="1256"/>
      <c r="H78" s="826" t="s">
        <v>562</v>
      </c>
      <c r="I78" s="827">
        <v>1</v>
      </c>
      <c r="J78" s="828">
        <v>680000</v>
      </c>
      <c r="K78" s="828">
        <v>680000</v>
      </c>
      <c r="L78" s="830" t="s">
        <v>541</v>
      </c>
    </row>
    <row r="79" spans="1:12" x14ac:dyDescent="0.2">
      <c r="A79" s="821"/>
      <c r="B79" s="821"/>
      <c r="C79" s="821"/>
      <c r="D79" s="821"/>
      <c r="E79" s="835">
        <f>SUM(E73:E78)</f>
        <v>1500000</v>
      </c>
      <c r="F79" s="836"/>
      <c r="G79" s="821"/>
      <c r="H79" s="821"/>
      <c r="I79" s="821"/>
      <c r="J79" s="821"/>
      <c r="K79" s="835">
        <f>SUM(K73:K78)</f>
        <v>1500000</v>
      </c>
      <c r="L79" s="836"/>
    </row>
    <row r="80" spans="1:12" x14ac:dyDescent="0.2">
      <c r="A80" s="821"/>
      <c r="B80" s="821"/>
      <c r="C80" s="821"/>
      <c r="D80" s="821"/>
      <c r="E80" s="837">
        <f>+E79</f>
        <v>1500000</v>
      </c>
      <c r="F80" s="821"/>
      <c r="G80" s="821"/>
      <c r="H80" s="821"/>
      <c r="I80" s="821"/>
      <c r="J80" s="821"/>
      <c r="K80" s="837">
        <f>+K79</f>
        <v>1500000</v>
      </c>
      <c r="L80" s="821"/>
    </row>
    <row r="81" spans="1:11" ht="17.25" customHeight="1" x14ac:dyDescent="0.25">
      <c r="A81" s="1252" t="s">
        <v>563</v>
      </c>
      <c r="B81" s="1253"/>
      <c r="C81" s="1253"/>
      <c r="D81" s="1253"/>
      <c r="E81" s="1253"/>
      <c r="F81" s="1254"/>
    </row>
    <row r="82" spans="1:11" x14ac:dyDescent="0.2">
      <c r="A82" s="820"/>
      <c r="B82" s="821"/>
      <c r="C82" s="821"/>
      <c r="D82" s="821"/>
      <c r="E82" s="821"/>
      <c r="F82" s="821"/>
    </row>
    <row r="83" spans="1:11" ht="13.5" thickBot="1" x14ac:dyDescent="0.25">
      <c r="A83" s="821"/>
      <c r="B83" s="821"/>
      <c r="C83" s="821"/>
      <c r="D83" s="822"/>
      <c r="E83" s="821"/>
      <c r="F83" s="821"/>
    </row>
    <row r="84" spans="1:11" ht="36.75" thickBot="1" x14ac:dyDescent="0.35">
      <c r="A84" s="823" t="s">
        <v>537</v>
      </c>
      <c r="B84" s="823" t="s">
        <v>538</v>
      </c>
      <c r="C84" s="824" t="s">
        <v>539</v>
      </c>
      <c r="D84" s="824" t="s">
        <v>540</v>
      </c>
      <c r="E84" s="824" t="s">
        <v>541</v>
      </c>
      <c r="F84" s="824" t="s">
        <v>542</v>
      </c>
    </row>
    <row r="85" spans="1:11" ht="13.5" thickBot="1" x14ac:dyDescent="0.25">
      <c r="A85" s="1255" t="s">
        <v>553</v>
      </c>
      <c r="B85" s="825" t="s">
        <v>543</v>
      </c>
      <c r="C85" s="825"/>
      <c r="D85" s="825"/>
      <c r="E85" s="825"/>
      <c r="F85" s="825"/>
    </row>
    <row r="86" spans="1:11" ht="13.5" thickBot="1" x14ac:dyDescent="0.25">
      <c r="A86" s="1256"/>
      <c r="B86" s="826" t="s">
        <v>547</v>
      </c>
      <c r="C86" s="827">
        <v>1</v>
      </c>
      <c r="D86" s="828">
        <v>50000</v>
      </c>
      <c r="E86" s="828">
        <v>50000</v>
      </c>
      <c r="F86" s="829" t="s">
        <v>541</v>
      </c>
    </row>
    <row r="87" spans="1:11" ht="26.25" thickBot="1" x14ac:dyDescent="0.25">
      <c r="A87" s="1256"/>
      <c r="B87" s="826" t="s">
        <v>545</v>
      </c>
      <c r="C87" s="827">
        <v>1</v>
      </c>
      <c r="D87" s="828">
        <v>50000</v>
      </c>
      <c r="E87" s="828">
        <v>50000</v>
      </c>
      <c r="F87" s="830" t="s">
        <v>541</v>
      </c>
    </row>
    <row r="88" spans="1:11" ht="13.5" thickBot="1" x14ac:dyDescent="0.25">
      <c r="A88" s="1256"/>
      <c r="B88" s="826" t="s">
        <v>546</v>
      </c>
      <c r="C88" s="827">
        <v>1</v>
      </c>
      <c r="D88" s="828">
        <v>30000</v>
      </c>
      <c r="E88" s="828">
        <v>30000</v>
      </c>
      <c r="F88" s="830" t="s">
        <v>541</v>
      </c>
    </row>
    <row r="89" spans="1:11" ht="13.5" thickBot="1" x14ac:dyDescent="0.25">
      <c r="A89" s="1256"/>
      <c r="B89" s="831" t="s">
        <v>544</v>
      </c>
      <c r="C89" s="832"/>
      <c r="D89" s="833"/>
      <c r="E89" s="833"/>
      <c r="F89" s="834"/>
    </row>
    <row r="90" spans="1:11" ht="13.5" thickBot="1" x14ac:dyDescent="0.25">
      <c r="A90" s="1256"/>
      <c r="B90" s="826" t="s">
        <v>561</v>
      </c>
      <c r="C90" s="827">
        <v>1</v>
      </c>
      <c r="D90" s="828">
        <v>670000</v>
      </c>
      <c r="E90" s="828">
        <v>670000</v>
      </c>
      <c r="F90" s="830" t="s">
        <v>541</v>
      </c>
    </row>
    <row r="91" spans="1:11" x14ac:dyDescent="0.2">
      <c r="A91" s="821"/>
      <c r="B91" s="821"/>
      <c r="C91" s="821"/>
      <c r="D91" s="821"/>
      <c r="E91" s="835">
        <f>SUM(E86:E90)</f>
        <v>800000</v>
      </c>
      <c r="F91" s="836"/>
    </row>
    <row r="92" spans="1:11" x14ac:dyDescent="0.2">
      <c r="A92" s="821"/>
      <c r="B92" s="821"/>
      <c r="C92" s="821"/>
      <c r="D92" s="821"/>
      <c r="E92" s="837">
        <f>+E91</f>
        <v>800000</v>
      </c>
      <c r="F92" s="821"/>
    </row>
    <row r="96" spans="1:11" x14ac:dyDescent="0.2">
      <c r="A96" s="841" t="s">
        <v>70</v>
      </c>
      <c r="B96" s="839"/>
      <c r="C96" s="839"/>
      <c r="D96" s="839"/>
      <c r="E96" s="839"/>
      <c r="F96" s="839"/>
      <c r="G96" s="839"/>
      <c r="H96" s="1213" t="s">
        <v>567</v>
      </c>
      <c r="I96" s="1214"/>
      <c r="J96" s="1214"/>
      <c r="K96" s="1214"/>
    </row>
    <row r="97" spans="1:11" x14ac:dyDescent="0.2">
      <c r="A97" s="853" t="s">
        <v>568</v>
      </c>
      <c r="B97" s="854">
        <v>3.4000000000000002E-2</v>
      </c>
      <c r="C97" s="853"/>
      <c r="D97" s="839"/>
      <c r="E97" s="842"/>
      <c r="F97" s="1218" t="s">
        <v>569</v>
      </c>
      <c r="G97" s="1217"/>
      <c r="H97" s="1215">
        <v>3.4000000000000002E-2</v>
      </c>
      <c r="I97" s="1216"/>
      <c r="J97" s="1216"/>
      <c r="K97" s="1217"/>
    </row>
    <row r="98" spans="1:11" x14ac:dyDescent="0.2">
      <c r="A98" s="855" t="s">
        <v>570</v>
      </c>
      <c r="B98" s="855" t="s">
        <v>571</v>
      </c>
      <c r="C98" s="855" t="s">
        <v>459</v>
      </c>
      <c r="D98" s="839"/>
      <c r="E98" s="842" t="s">
        <v>572</v>
      </c>
      <c r="F98" s="842" t="s">
        <v>573</v>
      </c>
      <c r="G98" s="842" t="s">
        <v>574</v>
      </c>
      <c r="H98" s="1211" t="s">
        <v>575</v>
      </c>
      <c r="I98" s="1212"/>
      <c r="J98" s="1211" t="s">
        <v>576</v>
      </c>
      <c r="K98" s="1212"/>
    </row>
    <row r="99" spans="1:11" x14ac:dyDescent="0.2">
      <c r="A99" s="856">
        <v>857130400</v>
      </c>
      <c r="B99" s="856">
        <v>856939920.00800002</v>
      </c>
      <c r="C99" s="857">
        <v>190479.99199998379</v>
      </c>
      <c r="D99" s="846"/>
      <c r="E99" s="852">
        <v>1258584720.0079999</v>
      </c>
      <c r="F99" s="844">
        <v>103600</v>
      </c>
      <c r="G99" s="844">
        <v>169300</v>
      </c>
      <c r="H99" s="844">
        <v>318800</v>
      </c>
      <c r="I99" s="844">
        <v>304500</v>
      </c>
      <c r="J99" s="844">
        <v>259900</v>
      </c>
      <c r="K99" s="844">
        <v>248300</v>
      </c>
    </row>
    <row r="100" spans="1:11" x14ac:dyDescent="0.2">
      <c r="A100" s="839"/>
      <c r="B100" s="839"/>
      <c r="C100" s="839"/>
      <c r="D100" s="839"/>
      <c r="E100" s="842"/>
      <c r="F100" s="842"/>
      <c r="G100" s="842"/>
      <c r="H100" s="842"/>
      <c r="I100" s="842"/>
      <c r="J100" s="842"/>
      <c r="K100" s="842"/>
    </row>
    <row r="101" spans="1:11" x14ac:dyDescent="0.2">
      <c r="A101" s="840" t="s">
        <v>577</v>
      </c>
      <c r="B101" s="839"/>
      <c r="C101" s="839"/>
      <c r="D101" s="839"/>
      <c r="E101" s="839"/>
      <c r="F101" s="839"/>
      <c r="G101" s="839"/>
      <c r="H101" s="839"/>
      <c r="I101" s="839"/>
      <c r="J101" s="839"/>
      <c r="K101" s="839"/>
    </row>
    <row r="102" spans="1:11" x14ac:dyDescent="0.2">
      <c r="A102" s="843" t="s">
        <v>570</v>
      </c>
      <c r="B102" s="843" t="s">
        <v>571</v>
      </c>
      <c r="C102" s="843" t="s">
        <v>459</v>
      </c>
      <c r="D102" s="839"/>
      <c r="E102" s="839"/>
      <c r="F102" s="839"/>
      <c r="G102" s="839"/>
      <c r="H102" s="839"/>
      <c r="I102" s="839"/>
      <c r="J102" s="839"/>
      <c r="K102" s="839"/>
    </row>
    <row r="103" spans="1:11" x14ac:dyDescent="0.2">
      <c r="A103" s="844">
        <v>857302000</v>
      </c>
      <c r="B103" s="844">
        <v>856939920</v>
      </c>
      <c r="C103" s="845">
        <v>362080</v>
      </c>
      <c r="D103" s="839"/>
      <c r="E103" s="839"/>
      <c r="F103" s="839"/>
      <c r="G103" s="839"/>
      <c r="H103" s="839"/>
      <c r="I103" s="839"/>
      <c r="J103" s="839"/>
      <c r="K103" s="839"/>
    </row>
    <row r="104" spans="1:11" x14ac:dyDescent="0.2">
      <c r="A104" s="838"/>
      <c r="B104" s="838"/>
      <c r="C104" s="838"/>
      <c r="D104" s="838"/>
      <c r="E104" s="838"/>
      <c r="F104" s="838"/>
      <c r="G104" s="838"/>
      <c r="H104" s="838"/>
      <c r="I104" s="838"/>
      <c r="J104" s="838"/>
      <c r="K104" s="838"/>
    </row>
    <row r="105" spans="1:11" x14ac:dyDescent="0.2">
      <c r="A105" s="838"/>
      <c r="B105" s="838"/>
      <c r="C105" s="838"/>
      <c r="D105" s="838"/>
      <c r="E105" s="838"/>
      <c r="F105" s="838"/>
      <c r="G105" s="838"/>
      <c r="H105" s="838"/>
      <c r="I105" s="838"/>
      <c r="J105" s="838"/>
      <c r="K105" s="838"/>
    </row>
    <row r="106" spans="1:11" x14ac:dyDescent="0.2">
      <c r="A106" s="841" t="s">
        <v>578</v>
      </c>
      <c r="B106" s="841"/>
      <c r="C106" s="841" t="s">
        <v>579</v>
      </c>
      <c r="D106" s="839"/>
      <c r="E106" s="839"/>
      <c r="F106" s="839"/>
      <c r="G106" s="839"/>
      <c r="H106" s="839"/>
      <c r="I106" s="839"/>
      <c r="J106" s="839"/>
      <c r="K106" s="839"/>
    </row>
    <row r="107" spans="1:11" x14ac:dyDescent="0.2">
      <c r="A107" s="847" t="s">
        <v>580</v>
      </c>
      <c r="B107" s="847"/>
      <c r="C107" s="847"/>
      <c r="D107" s="847" t="s">
        <v>581</v>
      </c>
      <c r="E107" s="839"/>
      <c r="F107" s="839"/>
      <c r="G107" s="839"/>
      <c r="H107" s="839"/>
      <c r="I107" s="839"/>
      <c r="J107" s="839"/>
      <c r="K107" s="839"/>
    </row>
    <row r="108" spans="1:11" x14ac:dyDescent="0.2">
      <c r="A108" s="847" t="s">
        <v>582</v>
      </c>
      <c r="B108" s="847">
        <v>16</v>
      </c>
      <c r="C108" s="848">
        <v>317644800</v>
      </c>
      <c r="D108" s="845">
        <v>19852800</v>
      </c>
      <c r="E108" s="839"/>
      <c r="F108" s="839"/>
      <c r="G108" s="839"/>
      <c r="H108" s="839"/>
      <c r="I108" s="839"/>
      <c r="J108" s="839"/>
      <c r="K108" s="839"/>
    </row>
    <row r="109" spans="1:11" x14ac:dyDescent="0.2">
      <c r="A109" s="847" t="s">
        <v>583</v>
      </c>
      <c r="B109" s="847">
        <v>4</v>
      </c>
      <c r="C109" s="849">
        <v>72000000</v>
      </c>
      <c r="D109" s="851">
        <v>18000000</v>
      </c>
      <c r="E109" s="839"/>
      <c r="F109" s="839"/>
      <c r="G109" s="839"/>
      <c r="H109" s="839"/>
      <c r="I109" s="839"/>
      <c r="J109" s="839"/>
      <c r="K109" s="839"/>
    </row>
    <row r="110" spans="1:11" x14ac:dyDescent="0.2">
      <c r="A110" s="847" t="s">
        <v>584</v>
      </c>
      <c r="B110" s="847">
        <v>2</v>
      </c>
      <c r="C110" s="849">
        <v>12000000</v>
      </c>
      <c r="D110" s="847">
        <v>6000000</v>
      </c>
      <c r="E110" s="839"/>
      <c r="F110" s="839"/>
      <c r="G110" s="839"/>
      <c r="H110" s="839"/>
      <c r="I110" s="839"/>
      <c r="J110" s="839"/>
      <c r="K110" s="839"/>
    </row>
    <row r="111" spans="1:11" x14ac:dyDescent="0.2">
      <c r="A111" s="847"/>
      <c r="B111" s="847">
        <v>22</v>
      </c>
      <c r="C111" s="850">
        <v>401644800</v>
      </c>
      <c r="D111" s="839"/>
      <c r="E111" s="839"/>
      <c r="F111" s="839"/>
      <c r="G111" s="839"/>
      <c r="H111" s="839"/>
      <c r="I111" s="839"/>
      <c r="J111" s="839"/>
      <c r="K111" s="839"/>
    </row>
    <row r="112" spans="1:11" x14ac:dyDescent="0.2">
      <c r="A112" s="838"/>
      <c r="B112" s="838"/>
      <c r="C112" s="838"/>
      <c r="D112" s="838"/>
      <c r="E112" s="838"/>
      <c r="F112" s="838"/>
      <c r="G112" s="838"/>
      <c r="H112" s="838"/>
      <c r="I112" s="838"/>
      <c r="J112" s="838"/>
      <c r="K112" s="838"/>
    </row>
    <row r="113" spans="1:11" x14ac:dyDescent="0.2">
      <c r="A113" s="838"/>
      <c r="B113" s="838"/>
      <c r="C113" s="838"/>
      <c r="D113" s="838"/>
      <c r="E113" s="838"/>
      <c r="F113" s="838"/>
      <c r="G113" s="838"/>
      <c r="H113" s="838"/>
      <c r="I113" s="838"/>
      <c r="J113" s="838"/>
      <c r="K113" s="838"/>
    </row>
    <row r="114" spans="1:11" x14ac:dyDescent="0.2">
      <c r="A114" s="861" t="s">
        <v>585</v>
      </c>
      <c r="B114" s="847"/>
      <c r="C114" s="839"/>
      <c r="D114" s="839"/>
      <c r="E114" s="839"/>
      <c r="F114" s="839"/>
      <c r="G114" s="839"/>
      <c r="H114" s="839"/>
      <c r="I114" s="839"/>
      <c r="J114" s="839"/>
      <c r="K114" s="839"/>
    </row>
    <row r="115" spans="1:11" x14ac:dyDescent="0.2">
      <c r="A115" s="858" t="s">
        <v>586</v>
      </c>
      <c r="B115" s="849">
        <v>1030524</v>
      </c>
      <c r="C115" s="839"/>
      <c r="D115" s="838"/>
      <c r="E115" s="838"/>
      <c r="F115" s="838"/>
      <c r="G115" s="838"/>
      <c r="H115" s="838"/>
      <c r="I115" s="838"/>
      <c r="J115" s="838"/>
      <c r="K115" s="838"/>
    </row>
    <row r="116" spans="1:11" x14ac:dyDescent="0.2">
      <c r="A116" s="858" t="s">
        <v>587</v>
      </c>
      <c r="B116" s="849">
        <v>3310000</v>
      </c>
      <c r="C116" s="839"/>
      <c r="D116" s="838"/>
      <c r="E116" s="838"/>
      <c r="F116" s="838"/>
      <c r="G116" s="838"/>
      <c r="H116" s="838"/>
      <c r="I116" s="838"/>
      <c r="J116" s="838"/>
      <c r="K116" s="838"/>
    </row>
    <row r="117" spans="1:11" ht="15" x14ac:dyDescent="0.2">
      <c r="A117" s="858" t="s">
        <v>588</v>
      </c>
      <c r="B117" s="859">
        <v>12709623</v>
      </c>
      <c r="C117" s="839"/>
      <c r="D117" s="838"/>
      <c r="E117" s="838"/>
      <c r="F117" s="838"/>
      <c r="G117" s="838"/>
      <c r="H117" s="838"/>
      <c r="I117" s="838"/>
      <c r="J117" s="838"/>
      <c r="K117" s="838"/>
    </row>
    <row r="118" spans="1:11" ht="15" x14ac:dyDescent="0.2">
      <c r="A118" s="860" t="s">
        <v>589</v>
      </c>
      <c r="B118" s="859">
        <v>900000</v>
      </c>
      <c r="C118" s="839"/>
      <c r="D118" s="838"/>
      <c r="E118" s="838"/>
      <c r="F118" s="838"/>
      <c r="G118" s="838"/>
      <c r="H118" s="838"/>
      <c r="I118" s="838"/>
      <c r="J118" s="838"/>
      <c r="K118" s="838"/>
    </row>
    <row r="119" spans="1:11" x14ac:dyDescent="0.2">
      <c r="A119" s="839"/>
      <c r="B119" s="849">
        <v>17950147</v>
      </c>
      <c r="C119" s="846"/>
      <c r="D119" s="838"/>
      <c r="E119" s="838"/>
      <c r="F119" s="838"/>
      <c r="G119" s="838"/>
      <c r="H119" s="838"/>
      <c r="I119" s="838"/>
      <c r="J119" s="838"/>
      <c r="K119" s="838"/>
    </row>
    <row r="120" spans="1:11" x14ac:dyDescent="0.2">
      <c r="A120" s="838"/>
      <c r="B120" s="838"/>
      <c r="C120" s="838"/>
      <c r="D120" s="838"/>
      <c r="E120" s="838"/>
      <c r="F120" s="838"/>
      <c r="G120" s="838"/>
      <c r="H120" s="838"/>
      <c r="I120" s="838"/>
      <c r="J120" s="838"/>
      <c r="K120" s="838"/>
    </row>
    <row r="121" spans="1:11" x14ac:dyDescent="0.2">
      <c r="A121" s="838"/>
      <c r="B121" s="838"/>
      <c r="C121" s="838"/>
      <c r="D121" s="838"/>
      <c r="E121" s="838"/>
      <c r="F121" s="838"/>
      <c r="G121" s="838"/>
      <c r="H121" s="838"/>
      <c r="I121" s="838"/>
      <c r="J121" s="838"/>
      <c r="K121" s="838"/>
    </row>
    <row r="122" spans="1:11" x14ac:dyDescent="0.2">
      <c r="A122" s="838"/>
      <c r="B122" s="838"/>
      <c r="C122" s="838"/>
      <c r="D122" s="838"/>
      <c r="E122" s="838"/>
      <c r="F122" s="838"/>
      <c r="G122" s="838"/>
      <c r="H122" s="838"/>
      <c r="I122" s="838"/>
      <c r="J122" s="838"/>
      <c r="K122" s="838"/>
    </row>
    <row r="123" spans="1:11" x14ac:dyDescent="0.2">
      <c r="A123" s="861" t="s">
        <v>590</v>
      </c>
      <c r="B123" s="847"/>
      <c r="C123" s="839"/>
      <c r="D123" s="838"/>
      <c r="E123" s="838"/>
      <c r="F123" s="838"/>
      <c r="G123" s="838"/>
      <c r="H123" s="838"/>
      <c r="I123" s="838"/>
      <c r="J123" s="838"/>
      <c r="K123" s="838"/>
    </row>
    <row r="124" spans="1:11" x14ac:dyDescent="0.2">
      <c r="A124" s="847" t="s">
        <v>591</v>
      </c>
      <c r="B124" s="847" t="s">
        <v>592</v>
      </c>
      <c r="C124" s="839"/>
      <c r="D124" s="838"/>
      <c r="E124" s="838"/>
      <c r="F124" s="838"/>
      <c r="G124" s="838"/>
      <c r="H124" s="838"/>
      <c r="I124" s="838"/>
      <c r="J124" s="838"/>
      <c r="K124" s="838"/>
    </row>
    <row r="125" spans="1:11" x14ac:dyDescent="0.2">
      <c r="A125" s="847" t="s">
        <v>593</v>
      </c>
      <c r="B125" s="851">
        <v>99900</v>
      </c>
      <c r="C125" s="839"/>
      <c r="D125" s="838"/>
      <c r="E125" s="838"/>
      <c r="F125" s="838"/>
      <c r="G125" s="838"/>
      <c r="H125" s="838"/>
      <c r="I125" s="838"/>
      <c r="J125" s="838"/>
      <c r="K125" s="838"/>
    </row>
    <row r="126" spans="1:11" x14ac:dyDescent="0.2">
      <c r="A126" s="847" t="s">
        <v>594</v>
      </c>
      <c r="B126" s="851">
        <v>163300</v>
      </c>
      <c r="C126" s="839"/>
      <c r="D126" s="838"/>
      <c r="E126" s="838"/>
      <c r="F126" s="838"/>
      <c r="G126" s="838"/>
      <c r="H126" s="838"/>
      <c r="I126" s="838"/>
      <c r="J126" s="838"/>
      <c r="K126" s="838"/>
    </row>
    <row r="127" spans="1:11" x14ac:dyDescent="0.2">
      <c r="A127" s="838"/>
      <c r="B127" s="838"/>
      <c r="C127" s="838"/>
      <c r="D127" s="838"/>
      <c r="E127" s="838"/>
      <c r="F127" s="838"/>
      <c r="G127" s="838"/>
      <c r="H127" s="838"/>
      <c r="I127" s="838"/>
      <c r="J127" s="838"/>
      <c r="K127" s="838"/>
    </row>
    <row r="128" spans="1:11" s="840" customFormat="1" x14ac:dyDescent="0.2"/>
    <row r="129" spans="1:11" s="840" customFormat="1" ht="15.75" x14ac:dyDescent="0.25">
      <c r="A129" s="866" t="s">
        <v>606</v>
      </c>
    </row>
    <row r="130" spans="1:11" x14ac:dyDescent="0.2">
      <c r="A130" s="838"/>
      <c r="B130" s="838"/>
      <c r="C130" s="838"/>
      <c r="D130" s="838"/>
      <c r="E130" s="838"/>
      <c r="F130" s="838"/>
      <c r="G130" s="838"/>
      <c r="H130" s="838"/>
      <c r="I130" s="838"/>
      <c r="J130" s="838"/>
      <c r="K130" s="838"/>
    </row>
    <row r="131" spans="1:11" ht="15.75" x14ac:dyDescent="0.25">
      <c r="A131" s="866" t="s">
        <v>602</v>
      </c>
      <c r="B131" s="838"/>
      <c r="C131" s="838"/>
      <c r="D131" s="838"/>
      <c r="E131" s="838"/>
      <c r="F131" s="838"/>
      <c r="G131" s="838"/>
      <c r="H131" s="838"/>
      <c r="I131" s="838"/>
      <c r="J131" s="838"/>
      <c r="K131" s="838"/>
    </row>
    <row r="132" spans="1:11" s="840" customFormat="1" ht="15.75" x14ac:dyDescent="0.25">
      <c r="A132" s="868" t="s">
        <v>604</v>
      </c>
      <c r="B132" s="869">
        <v>864357800</v>
      </c>
    </row>
    <row r="133" spans="1:11" s="840" customFormat="1" ht="15.75" x14ac:dyDescent="0.25">
      <c r="A133" s="868" t="s">
        <v>596</v>
      </c>
      <c r="B133" s="869">
        <v>856939920</v>
      </c>
    </row>
    <row r="134" spans="1:11" ht="15.75" x14ac:dyDescent="0.25">
      <c r="A134" s="868" t="s">
        <v>597</v>
      </c>
      <c r="B134" s="869">
        <f>B132-B133</f>
        <v>7417880</v>
      </c>
      <c r="C134" s="838"/>
      <c r="D134" s="838"/>
      <c r="E134" s="838"/>
      <c r="F134" s="838"/>
      <c r="G134" s="838"/>
      <c r="H134" s="838"/>
      <c r="I134" s="838"/>
      <c r="J134" s="838"/>
      <c r="K134" s="838"/>
    </row>
    <row r="135" spans="1:11" ht="15.75" x14ac:dyDescent="0.25">
      <c r="A135" s="870"/>
      <c r="B135" s="866"/>
      <c r="C135" s="838"/>
      <c r="D135" s="838"/>
      <c r="E135" s="838"/>
      <c r="F135" s="838"/>
      <c r="G135" s="838"/>
      <c r="H135" s="838"/>
      <c r="I135" s="838"/>
      <c r="J135" s="838"/>
      <c r="K135" s="838"/>
    </row>
    <row r="136" spans="1:11" ht="15.75" x14ac:dyDescent="0.25">
      <c r="A136" s="870" t="s">
        <v>601</v>
      </c>
      <c r="B136" s="880">
        <v>89549199</v>
      </c>
      <c r="C136" s="838"/>
      <c r="D136" s="838"/>
      <c r="E136" s="838"/>
      <c r="F136" s="838"/>
      <c r="G136" s="838"/>
      <c r="H136" s="838"/>
      <c r="I136" s="838"/>
      <c r="J136" s="838"/>
      <c r="K136" s="838"/>
    </row>
    <row r="137" spans="1:11" ht="15.75" x14ac:dyDescent="0.25">
      <c r="A137" s="868" t="s">
        <v>598</v>
      </c>
      <c r="B137" s="871">
        <f>B134-B136</f>
        <v>-82131319</v>
      </c>
      <c r="C137" s="838"/>
      <c r="D137" s="838"/>
      <c r="E137" s="838"/>
      <c r="F137" s="838"/>
      <c r="G137" s="838"/>
      <c r="H137" s="838"/>
      <c r="I137" s="838"/>
      <c r="J137" s="838"/>
      <c r="K137" s="838"/>
    </row>
    <row r="138" spans="1:11" s="840" customFormat="1" ht="15.75" x14ac:dyDescent="0.25">
      <c r="A138" s="872"/>
      <c r="B138" s="879"/>
    </row>
    <row r="139" spans="1:11" ht="15.75" x14ac:dyDescent="0.25">
      <c r="A139" s="866" t="s">
        <v>605</v>
      </c>
      <c r="B139" s="867"/>
      <c r="C139" s="867"/>
      <c r="D139" s="838"/>
      <c r="E139" s="838"/>
      <c r="F139" s="838"/>
      <c r="G139" s="838"/>
      <c r="H139" s="838"/>
      <c r="I139" s="838"/>
      <c r="J139" s="838"/>
      <c r="K139" s="838"/>
    </row>
    <row r="140" spans="1:11" ht="15.75" x14ac:dyDescent="0.25">
      <c r="A140" s="868" t="s">
        <v>595</v>
      </c>
      <c r="B140" s="869">
        <f>'A) Resumen Ingresos y Egresos'!E17</f>
        <v>914181400</v>
      </c>
      <c r="C140" s="867"/>
      <c r="D140" s="860"/>
      <c r="E140" s="862"/>
      <c r="F140" s="838"/>
      <c r="G140" s="838"/>
      <c r="H140" s="838"/>
      <c r="I140" s="838"/>
      <c r="J140" s="838"/>
      <c r="K140" s="838"/>
    </row>
    <row r="141" spans="1:11" ht="15.75" x14ac:dyDescent="0.25">
      <c r="A141" s="868" t="s">
        <v>596</v>
      </c>
      <c r="B141" s="869">
        <f>'A) Resumen Ingresos y Egresos'!F17</f>
        <v>840738400.36400008</v>
      </c>
      <c r="C141" s="867"/>
      <c r="D141" s="860"/>
      <c r="E141" s="862"/>
      <c r="F141" s="838"/>
      <c r="G141" s="838"/>
      <c r="H141" s="838"/>
      <c r="I141" s="838"/>
      <c r="J141" s="838"/>
      <c r="K141" s="838"/>
    </row>
    <row r="142" spans="1:11" ht="15.75" x14ac:dyDescent="0.25">
      <c r="A142" s="868" t="s">
        <v>597</v>
      </c>
      <c r="B142" s="869">
        <f>B140-B141</f>
        <v>73442999.635999918</v>
      </c>
      <c r="C142" s="867"/>
      <c r="D142" s="860"/>
      <c r="E142" s="862"/>
      <c r="F142" s="838"/>
      <c r="G142" s="838"/>
      <c r="H142" s="838"/>
      <c r="I142" s="838"/>
      <c r="J142" s="838"/>
      <c r="K142" s="838"/>
    </row>
    <row r="143" spans="1:11" ht="15.75" x14ac:dyDescent="0.25">
      <c r="A143" s="870"/>
      <c r="B143" s="866"/>
      <c r="C143" s="867"/>
      <c r="D143" s="863"/>
      <c r="E143" s="864"/>
      <c r="F143" s="838"/>
      <c r="G143" s="838"/>
      <c r="H143" s="838"/>
      <c r="I143" s="838"/>
      <c r="J143" s="838"/>
      <c r="K143" s="838"/>
    </row>
    <row r="144" spans="1:11" ht="15.75" x14ac:dyDescent="0.25">
      <c r="A144" s="870" t="s">
        <v>601</v>
      </c>
      <c r="B144" s="880">
        <v>89549199</v>
      </c>
      <c r="C144" s="867"/>
      <c r="D144" s="863"/>
      <c r="E144" s="864"/>
      <c r="F144" s="838"/>
      <c r="G144" s="838"/>
      <c r="H144" s="838"/>
      <c r="I144" s="838"/>
      <c r="J144" s="838"/>
      <c r="K144" s="838"/>
    </row>
    <row r="145" spans="1:11" ht="15.75" x14ac:dyDescent="0.25">
      <c r="A145" s="868" t="s">
        <v>598</v>
      </c>
      <c r="B145" s="871">
        <f>'A) Resumen Ingresos y Egresos'!I17</f>
        <v>-16106199.841345072</v>
      </c>
      <c r="C145" s="867"/>
      <c r="D145" s="860"/>
      <c r="E145" s="865"/>
      <c r="F145" s="838"/>
      <c r="G145" s="838"/>
      <c r="H145" s="838"/>
      <c r="I145" s="838"/>
      <c r="J145" s="838"/>
      <c r="K145" s="838"/>
    </row>
    <row r="146" spans="1:11" ht="15.75" x14ac:dyDescent="0.25">
      <c r="A146" s="872"/>
      <c r="B146" s="873"/>
      <c r="C146" s="867"/>
      <c r="D146" s="838"/>
      <c r="E146" s="838"/>
      <c r="F146" s="838"/>
      <c r="G146" s="838"/>
      <c r="H146" s="838"/>
      <c r="I146" s="838"/>
      <c r="J146" s="838"/>
      <c r="K146" s="838"/>
    </row>
    <row r="147" spans="1:11" ht="15.75" x14ac:dyDescent="0.25">
      <c r="A147" s="872"/>
      <c r="B147" s="874"/>
      <c r="C147" s="867"/>
      <c r="D147" s="838"/>
      <c r="E147" s="838"/>
      <c r="F147" s="838"/>
      <c r="G147" s="838"/>
      <c r="H147" s="838"/>
      <c r="I147" s="838"/>
      <c r="J147" s="838"/>
      <c r="K147" s="838"/>
    </row>
    <row r="148" spans="1:11" ht="15.75" x14ac:dyDescent="0.25">
      <c r="A148" s="866" t="s">
        <v>603</v>
      </c>
      <c r="B148" s="875"/>
      <c r="C148" s="867"/>
      <c r="D148" s="838"/>
      <c r="E148" s="838"/>
      <c r="F148" s="838"/>
      <c r="G148" s="838"/>
      <c r="H148" s="838"/>
      <c r="I148" s="838"/>
      <c r="J148" s="838"/>
      <c r="K148" s="838"/>
    </row>
    <row r="149" spans="1:11" ht="15" x14ac:dyDescent="0.2">
      <c r="A149" s="868" t="s">
        <v>600</v>
      </c>
      <c r="B149" s="876">
        <v>947949200</v>
      </c>
      <c r="C149" s="867"/>
      <c r="D149" s="838"/>
      <c r="E149" s="838"/>
      <c r="F149" s="838"/>
      <c r="G149" s="838"/>
      <c r="H149" s="838"/>
      <c r="I149" s="838"/>
      <c r="J149" s="838"/>
      <c r="K149" s="838"/>
    </row>
    <row r="150" spans="1:11" ht="15" x14ac:dyDescent="0.2">
      <c r="A150" s="868" t="s">
        <v>596</v>
      </c>
      <c r="B150" s="877">
        <v>856939920</v>
      </c>
      <c r="C150" s="867"/>
    </row>
    <row r="151" spans="1:11" ht="15" x14ac:dyDescent="0.2">
      <c r="A151" s="868" t="s">
        <v>599</v>
      </c>
      <c r="B151" s="877">
        <f>B149-B150</f>
        <v>91009280</v>
      </c>
      <c r="C151" s="867"/>
    </row>
    <row r="152" spans="1:11" ht="15" x14ac:dyDescent="0.2">
      <c r="A152" s="867"/>
      <c r="B152" s="867"/>
      <c r="C152" s="867"/>
    </row>
    <row r="153" spans="1:11" ht="15.75" x14ac:dyDescent="0.25">
      <c r="A153" s="870" t="s">
        <v>601</v>
      </c>
      <c r="B153" s="880">
        <v>89549199</v>
      </c>
      <c r="C153" s="867"/>
    </row>
    <row r="154" spans="1:11" ht="15.75" x14ac:dyDescent="0.2">
      <c r="A154" s="868" t="s">
        <v>598</v>
      </c>
      <c r="B154" s="878">
        <v>1460081</v>
      </c>
      <c r="C154" s="867"/>
    </row>
    <row r="155" spans="1:11" ht="15" x14ac:dyDescent="0.2">
      <c r="A155" s="867"/>
      <c r="B155" s="867"/>
      <c r="C155" s="882">
        <v>0.22500000000000001</v>
      </c>
    </row>
    <row r="156" spans="1:11" ht="15.75" x14ac:dyDescent="0.25">
      <c r="A156" s="867"/>
      <c r="B156" s="883">
        <v>2019</v>
      </c>
      <c r="C156" s="883">
        <v>2020</v>
      </c>
      <c r="D156" s="847" t="s">
        <v>459</v>
      </c>
      <c r="E156" s="843" t="s">
        <v>609</v>
      </c>
      <c r="F156" s="847" t="s">
        <v>611</v>
      </c>
    </row>
    <row r="157" spans="1:11" ht="15" x14ac:dyDescent="0.2">
      <c r="A157" s="868" t="s">
        <v>607</v>
      </c>
      <c r="B157" s="881">
        <v>120900</v>
      </c>
      <c r="C157" s="881">
        <f>B157*1.225</f>
        <v>148102.5</v>
      </c>
      <c r="D157" s="884">
        <f>C157-B157</f>
        <v>27202.5</v>
      </c>
      <c r="E157" s="884">
        <f>D157*11</f>
        <v>299227.5</v>
      </c>
      <c r="F157" s="884">
        <f>C157*11</f>
        <v>1629127.5</v>
      </c>
    </row>
    <row r="158" spans="1:11" ht="15" x14ac:dyDescent="0.2">
      <c r="A158" s="868" t="s">
        <v>608</v>
      </c>
      <c r="B158" s="881">
        <v>74000</v>
      </c>
      <c r="C158" s="881">
        <f>B158*1.225</f>
        <v>90650</v>
      </c>
      <c r="D158" s="884">
        <f>C158-B158</f>
        <v>16650</v>
      </c>
      <c r="E158" s="884">
        <f>D158*11</f>
        <v>183150</v>
      </c>
      <c r="F158" s="884">
        <f>C158*11</f>
        <v>997150</v>
      </c>
    </row>
    <row r="162" spans="1:6" ht="15.75" x14ac:dyDescent="0.25">
      <c r="A162" s="867" t="s">
        <v>610</v>
      </c>
      <c r="B162" s="883">
        <v>2019</v>
      </c>
      <c r="C162" s="883" t="s">
        <v>611</v>
      </c>
      <c r="D162" s="885" t="s">
        <v>612</v>
      </c>
      <c r="E162" s="847" t="s">
        <v>459</v>
      </c>
    </row>
    <row r="163" spans="1:6" ht="15" x14ac:dyDescent="0.2">
      <c r="A163" s="868" t="s">
        <v>607</v>
      </c>
      <c r="B163" s="881">
        <v>310000</v>
      </c>
      <c r="C163" s="881">
        <f>B163*11</f>
        <v>3410000</v>
      </c>
      <c r="D163" s="885">
        <v>1629127.5</v>
      </c>
      <c r="E163" s="884">
        <f>C163-D163</f>
        <v>1780872.5</v>
      </c>
    </row>
    <row r="164" spans="1:6" ht="15" x14ac:dyDescent="0.2">
      <c r="A164" s="868" t="s">
        <v>608</v>
      </c>
      <c r="B164" s="881">
        <v>150000</v>
      </c>
      <c r="C164" s="881">
        <f>B164*11</f>
        <v>1650000</v>
      </c>
      <c r="D164" s="885">
        <v>997150</v>
      </c>
      <c r="E164" s="884">
        <f>C164-D164</f>
        <v>652850</v>
      </c>
    </row>
    <row r="166" spans="1:6" x14ac:dyDescent="0.2">
      <c r="D166" s="887" t="s">
        <v>622</v>
      </c>
      <c r="E166" s="887" t="s">
        <v>623</v>
      </c>
      <c r="F166" s="840"/>
    </row>
    <row r="167" spans="1:6" x14ac:dyDescent="0.2">
      <c r="A167" s="847" t="s">
        <v>613</v>
      </c>
      <c r="B167" s="847"/>
      <c r="C167" s="157" t="s">
        <v>621</v>
      </c>
      <c r="D167" s="888">
        <v>248000</v>
      </c>
      <c r="E167" s="888">
        <v>138000</v>
      </c>
      <c r="F167" s="840" t="s">
        <v>624</v>
      </c>
    </row>
    <row r="168" spans="1:6" x14ac:dyDescent="0.2">
      <c r="A168" s="847" t="s">
        <v>614</v>
      </c>
      <c r="B168" s="884">
        <v>14800000</v>
      </c>
      <c r="D168" s="888">
        <v>138000</v>
      </c>
      <c r="E168" s="888">
        <v>200000</v>
      </c>
      <c r="F168" s="840" t="s">
        <v>625</v>
      </c>
    </row>
    <row r="169" spans="1:6" s="840" customFormat="1" x14ac:dyDescent="0.2">
      <c r="A169" s="847" t="s">
        <v>616</v>
      </c>
      <c r="B169" s="884">
        <f>SUM(248000+138000+1555665+1625191+4233111)</f>
        <v>7799967</v>
      </c>
      <c r="D169" s="888">
        <v>1555665</v>
      </c>
      <c r="E169" s="888"/>
    </row>
    <row r="170" spans="1:6" x14ac:dyDescent="0.2">
      <c r="A170" s="847" t="s">
        <v>615</v>
      </c>
      <c r="B170" s="884">
        <v>10000000</v>
      </c>
      <c r="D170" s="888">
        <v>1625191</v>
      </c>
      <c r="E170" s="888"/>
      <c r="F170" s="840"/>
    </row>
    <row r="171" spans="1:6" x14ac:dyDescent="0.2">
      <c r="A171" s="847"/>
      <c r="B171" s="886">
        <f>SUM(B168:B170)</f>
        <v>32599967</v>
      </c>
      <c r="D171" s="888">
        <v>4233111</v>
      </c>
      <c r="E171" s="888">
        <v>4518004</v>
      </c>
      <c r="F171" s="840" t="s">
        <v>626</v>
      </c>
    </row>
    <row r="172" spans="1:6" x14ac:dyDescent="0.2">
      <c r="D172" s="888">
        <f>SUM(D167:D171)</f>
        <v>7799967</v>
      </c>
      <c r="E172" s="888">
        <f>SUM(E167:E171)</f>
        <v>4856004</v>
      </c>
      <c r="F172" s="889">
        <f>D172-E172</f>
        <v>2943963</v>
      </c>
    </row>
    <row r="174" spans="1:6" x14ac:dyDescent="0.2">
      <c r="A174" s="885"/>
      <c r="B174" s="885"/>
      <c r="C174" s="885">
        <v>0.22500000000000001</v>
      </c>
      <c r="D174" s="885"/>
      <c r="E174" s="885"/>
      <c r="F174" s="885"/>
    </row>
    <row r="175" spans="1:6" x14ac:dyDescent="0.2">
      <c r="A175" s="885"/>
      <c r="B175" s="885">
        <v>2019</v>
      </c>
      <c r="C175" s="885">
        <v>2020</v>
      </c>
      <c r="D175" s="885" t="s">
        <v>459</v>
      </c>
      <c r="E175" s="885" t="s">
        <v>609</v>
      </c>
      <c r="F175" s="885" t="s">
        <v>611</v>
      </c>
    </row>
    <row r="176" spans="1:6" x14ac:dyDescent="0.2">
      <c r="A176" s="885" t="s">
        <v>607</v>
      </c>
      <c r="B176" s="885">
        <v>120900</v>
      </c>
      <c r="C176" s="885">
        <f>B176*1.15</f>
        <v>139035</v>
      </c>
      <c r="D176" s="885">
        <f>C176-B176</f>
        <v>18135</v>
      </c>
      <c r="E176" s="885">
        <f>D176*11</f>
        <v>199485</v>
      </c>
      <c r="F176" s="885">
        <f>C176*11</f>
        <v>1529385</v>
      </c>
    </row>
    <row r="177" spans="1:6" x14ac:dyDescent="0.2">
      <c r="A177" s="885" t="s">
        <v>608</v>
      </c>
      <c r="B177" s="885">
        <v>74000</v>
      </c>
      <c r="C177" s="885">
        <f>B177*1.15</f>
        <v>85100</v>
      </c>
      <c r="D177" s="885">
        <f>C177-B177</f>
        <v>11100</v>
      </c>
      <c r="E177" s="885">
        <f>D177*11</f>
        <v>122100</v>
      </c>
      <c r="F177" s="885">
        <f>C177*11</f>
        <v>936100</v>
      </c>
    </row>
    <row r="182" spans="1:6" x14ac:dyDescent="0.2">
      <c r="A182" s="157" t="s">
        <v>617</v>
      </c>
    </row>
    <row r="183" spans="1:6" x14ac:dyDescent="0.2">
      <c r="A183" s="847" t="s">
        <v>619</v>
      </c>
      <c r="B183" s="847"/>
    </row>
    <row r="184" spans="1:6" x14ac:dyDescent="0.2">
      <c r="A184" s="847" t="s">
        <v>618</v>
      </c>
      <c r="B184" s="847">
        <v>150000</v>
      </c>
    </row>
    <row r="185" spans="1:6" x14ac:dyDescent="0.2">
      <c r="A185" s="847" t="s">
        <v>620</v>
      </c>
      <c r="B185" s="847">
        <v>400000</v>
      </c>
    </row>
    <row r="186" spans="1:6" x14ac:dyDescent="0.2">
      <c r="A186" s="847" t="s">
        <v>551</v>
      </c>
      <c r="B186" s="847">
        <v>250000</v>
      </c>
    </row>
    <row r="187" spans="1:6" x14ac:dyDescent="0.2">
      <c r="A187" s="847"/>
      <c r="B187" s="847">
        <f>SUM(B184:B186)</f>
        <v>800000</v>
      </c>
    </row>
    <row r="190" spans="1:6" x14ac:dyDescent="0.2">
      <c r="A190" s="892" t="s">
        <v>627</v>
      </c>
      <c r="B190" s="893">
        <f>+'F) Remuneraciones'!L144</f>
        <v>601963403.36400008</v>
      </c>
    </row>
    <row r="191" spans="1:6" x14ac:dyDescent="0.2">
      <c r="A191" s="892" t="s">
        <v>628</v>
      </c>
      <c r="B191" s="893">
        <v>602548971</v>
      </c>
    </row>
    <row r="192" spans="1:6" x14ac:dyDescent="0.2">
      <c r="A192" s="892" t="s">
        <v>629</v>
      </c>
      <c r="B192" s="893">
        <v>603134538</v>
      </c>
    </row>
    <row r="193" spans="1:5" x14ac:dyDescent="0.2">
      <c r="A193" s="892"/>
      <c r="B193" s="892"/>
    </row>
    <row r="194" spans="1:5" x14ac:dyDescent="0.2">
      <c r="A194" s="892" t="s">
        <v>630</v>
      </c>
      <c r="B194" s="894">
        <f>+B191-B190</f>
        <v>585567.63599991798</v>
      </c>
    </row>
    <row r="195" spans="1:5" x14ac:dyDescent="0.2">
      <c r="B195" s="891"/>
    </row>
    <row r="197" spans="1:5" s="901" customFormat="1" x14ac:dyDescent="0.2">
      <c r="A197" s="899" t="s">
        <v>636</v>
      </c>
      <c r="B197" s="899" t="s">
        <v>631</v>
      </c>
      <c r="C197" s="899" t="s">
        <v>635</v>
      </c>
      <c r="D197" s="900">
        <v>0.03</v>
      </c>
      <c r="E197" s="899" t="s">
        <v>459</v>
      </c>
    </row>
    <row r="198" spans="1:5" x14ac:dyDescent="0.2">
      <c r="A198" s="892"/>
      <c r="B198" s="892"/>
      <c r="C198" s="892"/>
      <c r="D198" s="892"/>
      <c r="E198" s="892"/>
    </row>
    <row r="199" spans="1:5" x14ac:dyDescent="0.2">
      <c r="A199" s="896" t="s">
        <v>633</v>
      </c>
      <c r="B199" s="897">
        <f>+B190/1.028</f>
        <v>585567513.00000012</v>
      </c>
      <c r="C199" s="897">
        <f>+B199*1.028</f>
        <v>601963403.36400008</v>
      </c>
      <c r="D199" s="897">
        <f>+B199*1.03</f>
        <v>603134538.3900001</v>
      </c>
      <c r="E199" s="897">
        <f>+C199-D199</f>
        <v>-1171135.0260000229</v>
      </c>
    </row>
    <row r="200" spans="1:5" x14ac:dyDescent="0.2">
      <c r="A200" s="896" t="s">
        <v>634</v>
      </c>
      <c r="B200" s="897">
        <f>236191097/1.034</f>
        <v>228424658.60735008</v>
      </c>
      <c r="C200" s="897">
        <f>+B200*1.034</f>
        <v>236191097</v>
      </c>
      <c r="D200" s="897">
        <f>+B200*1.03</f>
        <v>235277398.36557057</v>
      </c>
      <c r="E200" s="898">
        <f>+C200-D200</f>
        <v>913698.634429425</v>
      </c>
    </row>
    <row r="201" spans="1:5" x14ac:dyDescent="0.2">
      <c r="A201" s="896"/>
      <c r="B201" s="897"/>
      <c r="C201" s="897"/>
      <c r="D201" s="897"/>
      <c r="E201" s="896"/>
    </row>
    <row r="202" spans="1:5" x14ac:dyDescent="0.2">
      <c r="A202" s="892"/>
      <c r="B202" s="893"/>
      <c r="C202" s="893"/>
      <c r="D202" s="893"/>
      <c r="E202" s="898">
        <f>+E200+E199</f>
        <v>-257436.39157059789</v>
      </c>
    </row>
    <row r="203" spans="1:5" x14ac:dyDescent="0.2">
      <c r="A203" s="892"/>
      <c r="B203" s="893"/>
      <c r="C203" s="893"/>
      <c r="D203" s="893"/>
      <c r="E203" s="892"/>
    </row>
  </sheetData>
  <mergeCells count="53">
    <mergeCell ref="A81:F81"/>
    <mergeCell ref="A85:A90"/>
    <mergeCell ref="A68:F68"/>
    <mergeCell ref="A72:A78"/>
    <mergeCell ref="G68:L68"/>
    <mergeCell ref="G72:G78"/>
    <mergeCell ref="G53:L53"/>
    <mergeCell ref="A53:F53"/>
    <mergeCell ref="A57:A64"/>
    <mergeCell ref="G57:G64"/>
    <mergeCell ref="A49:A50"/>
    <mergeCell ref="B49:B50"/>
    <mergeCell ref="C49:C50"/>
    <mergeCell ref="E49:E50"/>
    <mergeCell ref="B42:E44"/>
    <mergeCell ref="B45:B46"/>
    <mergeCell ref="D45:D46"/>
    <mergeCell ref="E45:E46"/>
    <mergeCell ref="A47:A48"/>
    <mergeCell ref="B47:B48"/>
    <mergeCell ref="C47:C48"/>
    <mergeCell ref="E47:E48"/>
    <mergeCell ref="A36:A37"/>
    <mergeCell ref="B36:B37"/>
    <mergeCell ref="C36:C37"/>
    <mergeCell ref="E36:E37"/>
    <mergeCell ref="A38:A39"/>
    <mergeCell ref="B38:B39"/>
    <mergeCell ref="C38:C39"/>
    <mergeCell ref="E38:E39"/>
    <mergeCell ref="L9:O9"/>
    <mergeCell ref="B31:E33"/>
    <mergeCell ref="B34:B35"/>
    <mergeCell ref="D34:D35"/>
    <mergeCell ref="E34:E35"/>
    <mergeCell ref="A23:H23"/>
    <mergeCell ref="C24:D24"/>
    <mergeCell ref="F24:H24"/>
    <mergeCell ref="C25:E28"/>
    <mergeCell ref="F25:H25"/>
    <mergeCell ref="F26:H26"/>
    <mergeCell ref="F27:H27"/>
    <mergeCell ref="F28:H28"/>
    <mergeCell ref="J4:K4"/>
    <mergeCell ref="A11:D11"/>
    <mergeCell ref="A19:H19"/>
    <mergeCell ref="A20:H20"/>
    <mergeCell ref="A21:H21"/>
    <mergeCell ref="H98:I98"/>
    <mergeCell ref="J98:K98"/>
    <mergeCell ref="H96:K96"/>
    <mergeCell ref="H97:K97"/>
    <mergeCell ref="F97:G97"/>
  </mergeCells>
  <conditionalFormatting sqref="B154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showGridLines="0" zoomScale="80" zoomScaleNormal="80" workbookViewId="0">
      <selection activeCell="L48" sqref="L48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58"/>
    </row>
    <row r="2" spans="2:11" x14ac:dyDescent="0.2">
      <c r="H2" s="58" t="s">
        <v>86</v>
      </c>
    </row>
    <row r="5" spans="2:11" x14ac:dyDescent="0.2">
      <c r="B5" s="912" t="s">
        <v>189</v>
      </c>
      <c r="C5" s="912"/>
      <c r="D5" s="912"/>
      <c r="E5" s="912"/>
      <c r="F5" s="912"/>
    </row>
    <row r="7" spans="2:11" x14ac:dyDescent="0.2">
      <c r="C7" s="613" t="s">
        <v>174</v>
      </c>
      <c r="D7" s="613"/>
      <c r="E7" s="613"/>
      <c r="F7" s="613"/>
      <c r="G7" s="613"/>
      <c r="H7" s="613"/>
      <c r="I7" s="613"/>
      <c r="J7" s="613"/>
      <c r="K7" s="613"/>
    </row>
    <row r="9" spans="2:11" x14ac:dyDescent="0.2">
      <c r="C9" s="613" t="s">
        <v>175</v>
      </c>
      <c r="D9" s="613"/>
      <c r="E9" s="613"/>
      <c r="F9" s="613"/>
      <c r="G9" s="613"/>
      <c r="H9" s="613"/>
      <c r="I9" s="612"/>
      <c r="J9" s="612"/>
      <c r="K9" s="612"/>
    </row>
    <row r="11" spans="2:11" x14ac:dyDescent="0.2">
      <c r="B11" s="907" t="s">
        <v>190</v>
      </c>
      <c r="C11" s="907"/>
      <c r="D11" s="907"/>
      <c r="E11" s="907"/>
      <c r="F11" s="907"/>
    </row>
    <row r="13" spans="2:11" x14ac:dyDescent="0.2">
      <c r="C13" s="614" t="s">
        <v>176</v>
      </c>
      <c r="D13" s="614"/>
      <c r="E13" s="614"/>
      <c r="F13" s="614"/>
      <c r="G13" s="614"/>
      <c r="H13" s="614"/>
    </row>
    <row r="15" spans="2:11" x14ac:dyDescent="0.2">
      <c r="C15" s="614" t="s">
        <v>177</v>
      </c>
      <c r="D15" s="614"/>
      <c r="E15" s="614"/>
      <c r="F15" s="614"/>
      <c r="G15" s="614"/>
      <c r="H15" s="614"/>
      <c r="I15" s="612"/>
      <c r="J15" s="612"/>
      <c r="K15" s="612"/>
    </row>
    <row r="19" spans="2:16" x14ac:dyDescent="0.2">
      <c r="B19" s="907" t="s">
        <v>191</v>
      </c>
      <c r="C19" s="907"/>
      <c r="D19" s="907"/>
      <c r="E19" s="907"/>
      <c r="F19" s="907"/>
    </row>
    <row r="21" spans="2:16" x14ac:dyDescent="0.2">
      <c r="C21" s="614" t="s">
        <v>179</v>
      </c>
      <c r="D21" s="614"/>
      <c r="E21" s="614"/>
      <c r="F21" s="615"/>
      <c r="G21" s="615"/>
      <c r="H21" s="615"/>
    </row>
    <row r="22" spans="2:16" x14ac:dyDescent="0.2">
      <c r="C22" s="908"/>
      <c r="D22" s="908"/>
      <c r="E22" s="908"/>
      <c r="F22" s="908"/>
      <c r="G22" s="908"/>
      <c r="H22" s="908"/>
      <c r="I22" s="908"/>
      <c r="J22" s="908"/>
      <c r="K22" s="908"/>
    </row>
    <row r="24" spans="2:16" x14ac:dyDescent="0.2">
      <c r="B24" s="907" t="s">
        <v>192</v>
      </c>
      <c r="C24" s="907"/>
      <c r="D24" s="907"/>
      <c r="E24" s="907"/>
      <c r="F24" s="907"/>
    </row>
    <row r="26" spans="2:16" x14ac:dyDescent="0.2">
      <c r="C26" s="616" t="s">
        <v>180</v>
      </c>
      <c r="D26" s="616"/>
      <c r="E26" s="616"/>
      <c r="F26" s="616"/>
      <c r="G26" s="616"/>
      <c r="H26" s="616"/>
      <c r="I26" s="616"/>
      <c r="J26" s="616"/>
    </row>
    <row r="27" spans="2:16" ht="12.75" customHeight="1" x14ac:dyDescent="0.2">
      <c r="C27" s="909" t="s">
        <v>181</v>
      </c>
      <c r="D27" s="909"/>
      <c r="E27" s="909"/>
      <c r="F27" s="909"/>
      <c r="G27" s="909"/>
      <c r="H27" s="909"/>
      <c r="I27" s="909"/>
      <c r="J27" s="909"/>
      <c r="K27" s="909"/>
      <c r="L27" s="909"/>
      <c r="M27" s="909"/>
    </row>
    <row r="28" spans="2:16" ht="12.75" customHeight="1" x14ac:dyDescent="0.2">
      <c r="C28" s="909"/>
      <c r="D28" s="909"/>
      <c r="E28" s="909"/>
      <c r="F28" s="909"/>
      <c r="G28" s="909"/>
      <c r="H28" s="909"/>
      <c r="I28" s="909"/>
      <c r="J28" s="909"/>
      <c r="K28" s="909"/>
      <c r="L28" s="909"/>
      <c r="M28" s="909"/>
    </row>
    <row r="29" spans="2:16" ht="12.75" customHeight="1" x14ac:dyDescent="0.2">
      <c r="C29" s="616" t="s">
        <v>182</v>
      </c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5"/>
    </row>
    <row r="30" spans="2:16" ht="12.75" customHeight="1" x14ac:dyDescent="0.2"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5"/>
    </row>
    <row r="31" spans="2:16" ht="12.75" customHeight="1" x14ac:dyDescent="0.2">
      <c r="C31" s="620" t="s">
        <v>183</v>
      </c>
      <c r="D31" s="617"/>
      <c r="E31" s="617"/>
      <c r="F31" s="619"/>
      <c r="G31" s="617"/>
      <c r="H31" s="617"/>
      <c r="I31" s="617"/>
      <c r="J31" s="617"/>
      <c r="K31" s="617"/>
      <c r="L31" s="617"/>
      <c r="M31" s="617"/>
      <c r="N31" s="615"/>
      <c r="O31" s="615"/>
      <c r="P31" s="615"/>
    </row>
    <row r="32" spans="2:16" ht="12.75" customHeight="1" x14ac:dyDescent="0.2">
      <c r="C32" s="618"/>
      <c r="D32" s="618"/>
      <c r="E32" s="618"/>
      <c r="F32" s="618"/>
      <c r="G32" s="618"/>
      <c r="H32" s="618"/>
      <c r="I32" s="617"/>
      <c r="J32" s="617"/>
      <c r="K32" s="617"/>
      <c r="L32" s="617"/>
      <c r="M32" s="617"/>
      <c r="N32" s="615"/>
    </row>
    <row r="33" spans="2:19" ht="12.75" customHeight="1" x14ac:dyDescent="0.2">
      <c r="C33" s="910" t="s">
        <v>184</v>
      </c>
      <c r="D33" s="910"/>
      <c r="E33" s="910"/>
      <c r="F33" s="910"/>
      <c r="G33" s="910"/>
      <c r="H33" s="910"/>
      <c r="I33" s="910"/>
      <c r="J33" s="910"/>
      <c r="K33" s="910"/>
      <c r="L33" s="910"/>
      <c r="M33" s="910"/>
      <c r="N33" s="615"/>
    </row>
    <row r="34" spans="2:19" ht="12.75" customHeight="1" x14ac:dyDescent="0.2">
      <c r="C34" s="530"/>
      <c r="D34" s="530"/>
      <c r="E34" s="530"/>
      <c r="F34" s="530"/>
      <c r="G34" s="530"/>
      <c r="H34" s="530"/>
      <c r="I34" s="616"/>
      <c r="J34" s="616"/>
      <c r="K34" s="616"/>
      <c r="L34" s="616"/>
      <c r="M34" s="616"/>
      <c r="N34" s="615"/>
    </row>
    <row r="35" spans="2:19" ht="12.75" customHeight="1" x14ac:dyDescent="0.2">
      <c r="C35" s="617" t="s">
        <v>185</v>
      </c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5"/>
    </row>
    <row r="36" spans="2:19" ht="12.75" customHeight="1" x14ac:dyDescent="0.2">
      <c r="C36" s="618"/>
      <c r="D36" s="618"/>
      <c r="E36" s="618"/>
      <c r="F36" s="618"/>
      <c r="G36" s="618"/>
      <c r="H36" s="618"/>
      <c r="I36" s="617"/>
      <c r="J36" s="617"/>
      <c r="K36" s="617"/>
      <c r="L36" s="617"/>
      <c r="M36" s="617"/>
      <c r="N36" s="615"/>
    </row>
    <row r="37" spans="2:19" ht="12.75" customHeight="1" x14ac:dyDescent="0.2"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</row>
    <row r="38" spans="2:19" ht="12.75" customHeight="1" x14ac:dyDescent="0.2"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</row>
    <row r="39" spans="2:19" ht="12.75" customHeight="1" x14ac:dyDescent="0.2">
      <c r="B39" s="620" t="s">
        <v>193</v>
      </c>
      <c r="C39" s="616"/>
      <c r="D39" s="324"/>
      <c r="E39" s="324"/>
      <c r="F39" s="324"/>
      <c r="G39" s="324"/>
      <c r="H39" s="324"/>
      <c r="I39" s="324"/>
      <c r="J39" s="324"/>
      <c r="K39" s="324"/>
      <c r="L39" s="324"/>
      <c r="M39" s="324"/>
    </row>
    <row r="40" spans="2:19" x14ac:dyDescent="0.2">
      <c r="O40" s="908"/>
      <c r="P40" s="908"/>
      <c r="Q40" s="908"/>
      <c r="R40" s="908"/>
      <c r="S40" s="908"/>
    </row>
    <row r="41" spans="2:19" x14ac:dyDescent="0.2">
      <c r="C41" s="911" t="s">
        <v>186</v>
      </c>
      <c r="D41" s="911"/>
      <c r="E41" s="911"/>
      <c r="F41" s="911"/>
    </row>
    <row r="42" spans="2:19" x14ac:dyDescent="0.2">
      <c r="C42" s="908"/>
      <c r="D42" s="908"/>
      <c r="E42" s="908"/>
      <c r="F42" s="908"/>
      <c r="G42" s="908"/>
      <c r="H42" s="908"/>
      <c r="I42" s="908"/>
      <c r="J42" s="908"/>
    </row>
    <row r="44" spans="2:19" x14ac:dyDescent="0.2">
      <c r="B44" s="907" t="s">
        <v>194</v>
      </c>
      <c r="C44" s="907"/>
      <c r="D44" s="907"/>
      <c r="E44" s="907"/>
      <c r="F44" s="907"/>
    </row>
    <row r="46" spans="2:19" x14ac:dyDescent="0.2">
      <c r="C46" s="621" t="s">
        <v>187</v>
      </c>
      <c r="D46" s="621"/>
      <c r="E46" s="621"/>
      <c r="F46" s="621"/>
      <c r="G46" s="621"/>
      <c r="H46" s="621"/>
      <c r="I46" s="621"/>
      <c r="J46" s="621"/>
      <c r="K46" s="622"/>
      <c r="L46" s="622"/>
      <c r="M46" s="622"/>
    </row>
    <row r="50" spans="2:13" x14ac:dyDescent="0.2">
      <c r="B50" s="907" t="s">
        <v>195</v>
      </c>
      <c r="C50" s="907"/>
      <c r="D50" s="907"/>
      <c r="E50" s="907"/>
      <c r="F50" s="907"/>
    </row>
    <row r="52" spans="2:13" x14ac:dyDescent="0.2">
      <c r="C52" s="616" t="s">
        <v>188</v>
      </c>
      <c r="D52" s="616"/>
      <c r="E52" s="616"/>
      <c r="F52" s="616"/>
      <c r="G52" s="615"/>
      <c r="H52" s="615"/>
      <c r="I52" s="615"/>
      <c r="J52" s="615"/>
      <c r="K52" s="615"/>
      <c r="L52" s="615"/>
      <c r="M52" s="615"/>
    </row>
    <row r="54" spans="2:13" x14ac:dyDescent="0.2">
      <c r="B54" s="615" t="s">
        <v>196</v>
      </c>
      <c r="C54" s="615"/>
    </row>
  </sheetData>
  <sheetProtection password="9C6E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/>
    <hyperlink ref="B11:F11" location="'B) Reajuste Tarifas y Ocupación'!A1" display="B) Reajuste Tarifas y Ocupación"/>
    <hyperlink ref="C7:F7" location="'A) Resumen Ingresos y Egresos'!A6" display="TABLA 1: RESUMEN DE INGRESOS Y EGRESOS DE CENTROS DE BENEFICIOS"/>
    <hyperlink ref="C9:F9" location="'A) Resumen Ingresos y Egresos'!A22" display="TABLA 2: DETALLE DE INGRESOS POR PRESTACIÓN Y SEGMENTO"/>
    <hyperlink ref="C13:F13" location="'B) Reajuste Tarifas y Ocupación'!A8" display="TABLA 3: REAJUSTE DE TARIFAS POR PRESTACIÓN Y SEGMENTO"/>
    <hyperlink ref="C15:H15" location="'B) Reajuste Tarifas y Ocupación'!A32" display="TABLA 4: METAS DE OCUPACIÓN POR PRESTACIÓN Y SEGMENTO"/>
    <hyperlink ref="B19:F19" location="'C) Costos Directos'!Área_de_impresión" display="C) Costos Directos"/>
    <hyperlink ref="C21:E21" location="'C) Costos Directos'!Área_de_impresión" display="TABLA 5: COSTOS DIRECTOS DE CENTROS DE BENEFICIOS"/>
    <hyperlink ref="C21:H21" location="'C) Costos Directos'!Área_de_impresión" display="TABLA 5: COSTOS DIRECTOS DE CENTROS DE BENEFICIOS"/>
    <hyperlink ref="C21" location="'C) Costos Directos'!A8" display="TABLA 5: COSTOS DIRECTOS DE CENTROS DE BENEFICIOS"/>
    <hyperlink ref="B24:F24" location="'D) Costos Indirectos'!A1" display="D) Costos Indirectos"/>
    <hyperlink ref="C26:J26" location="'D) Costos Indirectos'!A9" display="TABLA 6: REMUNERACIONES DEL PERSONAL LEY 18.712 ADMINISTRACION CENTRAL Y APOYO ADMINISTRATIVO ASISTENCIA EDUCACIONAL"/>
    <hyperlink ref="C27:M28" location="'D) Costos Indirectos'!M9" display="TABLA 7: DISTRIBUCION COSTOS REMUNERACIONES ADMINISTRACION CENTRAL Y APOYO ADMINISTRATIVO A. EDUCACIONAL"/>
    <hyperlink ref="C29:N29" location="'D) Costos Indirectos'!U9" display="TABLA 8: COSTOS DE OPERACION ADMINISTRACIÓN CENTRAL Y  APOYO ADMINISTRATIVO ASISTENCIA EDUCACIONAL"/>
    <hyperlink ref="C31:M31" location="'D) Costos Indirectos'!Z9" display="TABLA 9: RESUMEN DISTRIBUCION COSTOS REMUNERACIONES ADMINISTRACION CENTRAL Y APOYO ADMINISTRATIVO A. EDUCACIONAL"/>
    <hyperlink ref="C33:M33" location="'D) Costos Indirectos'!AG9" display="TABLA 10: RESUMEN DISTRIBUCION COSTOS OPERACIÓN ADMINISTRACION CENTRAL  Y APOYO ADMINISTRATIVO A. EDUCACIONAL"/>
    <hyperlink ref="C35:N35" location="'D) Costos Indirectos'!AN9" display="'D) Costos Indirectos'!AN9"/>
    <hyperlink ref="B39:C39" location="'E) Resumen Tarifado '!A1" display="E) Resumen Tarifado"/>
    <hyperlink ref="B44:F44" location="'F) Remuneraciones'!A1" display="F) Remuneraciones"/>
    <hyperlink ref="B50:F50" location="'G) Comparación Mercado'!A1" display="G) Comparación Mercado"/>
    <hyperlink ref="B54:C54" location="'H) Detalle Datos'!A1" display="H) Detalle Gastos"/>
    <hyperlink ref="C41:F41" location="'E) Resumen Tarifado '!A6" display="TABLA 12: RESUMEN DE TARIFADO"/>
    <hyperlink ref="C46:M46" location="'F) Remuneraciones'!B7" display="TABLA 13: REMUNERACIONES DEL PERSONAL LEY 18.712 DE CENTROS DE BENEFICIOS"/>
    <hyperlink ref="C52:M52" location="'G) Comparación Mercado'!A12" display="TABLA 14: COMPARACIÓN TARIFAS CON PRECIOS DE MERCAD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M71"/>
  <sheetViews>
    <sheetView showGridLines="0" tabSelected="1" topLeftCell="A34" zoomScale="80" zoomScaleNormal="80" workbookViewId="0">
      <selection activeCell="E78" sqref="E78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58" t="s">
        <v>239</v>
      </c>
      <c r="F1" s="58"/>
      <c r="G1" s="7"/>
      <c r="H1" s="7"/>
      <c r="IL1" s="4"/>
      <c r="IM1" s="4"/>
    </row>
    <row r="2" spans="1:247" s="6" customFormat="1" x14ac:dyDescent="0.2">
      <c r="A2" s="8"/>
      <c r="C2" s="7"/>
      <c r="D2" s="7"/>
      <c r="E2" s="58" t="s">
        <v>232</v>
      </c>
      <c r="F2" s="58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6"/>
      <c r="B4" s="27"/>
      <c r="C4" s="937" t="s">
        <v>0</v>
      </c>
      <c r="D4" s="937"/>
      <c r="E4" s="938" t="s">
        <v>170</v>
      </c>
      <c r="F4" s="939"/>
      <c r="G4" s="940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625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946" t="s">
        <v>174</v>
      </c>
      <c r="B6" s="946"/>
      <c r="C6" s="946"/>
      <c r="D6" s="946"/>
      <c r="E6" s="4"/>
      <c r="F6" s="4"/>
      <c r="G6" s="9"/>
      <c r="H6" s="625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x14ac:dyDescent="0.2">
      <c r="B7" s="69"/>
      <c r="C7" s="69"/>
      <c r="E7" s="68"/>
      <c r="F7" s="69"/>
      <c r="G7" s="69"/>
      <c r="H7" s="69"/>
      <c r="I7" s="69"/>
      <c r="M7" s="77"/>
    </row>
    <row r="8" spans="1:247" ht="39" customHeight="1" x14ac:dyDescent="0.2">
      <c r="A8" s="11" t="s">
        <v>117</v>
      </c>
      <c r="B8" s="106" t="str">
        <f>+N24</f>
        <v>Ingreso por Matrícula</v>
      </c>
      <c r="C8" s="107" t="str">
        <f>+O24</f>
        <v>Ingreso por Mensualidad</v>
      </c>
      <c r="D8" s="108" t="s">
        <v>131</v>
      </c>
      <c r="E8" s="109" t="s">
        <v>84</v>
      </c>
      <c r="F8" s="61" t="s">
        <v>81</v>
      </c>
      <c r="G8" s="62" t="s">
        <v>82</v>
      </c>
      <c r="H8" s="63" t="s">
        <v>110</v>
      </c>
      <c r="I8" s="12" t="s">
        <v>116</v>
      </c>
      <c r="L8" s="113" t="s">
        <v>115</v>
      </c>
      <c r="N8" s="290"/>
    </row>
    <row r="9" spans="1:247" x14ac:dyDescent="0.2">
      <c r="A9" s="97" t="str">
        <f>+'B) Reajuste Tarifas y Ocupación'!A12</f>
        <v>Jardín Infantil Lobito Marino</v>
      </c>
      <c r="B9" s="114">
        <f>+N32</f>
        <v>18408900</v>
      </c>
      <c r="C9" s="123">
        <f>+O32</f>
        <v>184089000</v>
      </c>
      <c r="D9" s="125">
        <f>+P32</f>
        <v>1450800</v>
      </c>
      <c r="E9" s="116">
        <f t="shared" ref="E9:E16" si="0">+B9+D9+C9</f>
        <v>203948700</v>
      </c>
      <c r="F9" s="64">
        <f>+'C) Costos Directos'!H75</f>
        <v>174796614.74000001</v>
      </c>
      <c r="G9" s="65">
        <f>+'D) Costos Indirectos'!$AP$15*(F9/$F$17)</f>
        <v>18618034.949444342</v>
      </c>
      <c r="H9" s="67">
        <f>+F9+G9</f>
        <v>193414649.68944436</v>
      </c>
      <c r="I9" s="124">
        <f>E9-H9</f>
        <v>10534050.310555637</v>
      </c>
      <c r="L9" s="154">
        <f>+G9/$G$17</f>
        <v>0.20790844650883239</v>
      </c>
      <c r="N9" s="291"/>
    </row>
    <row r="10" spans="1:247" x14ac:dyDescent="0.2">
      <c r="A10" s="97" t="str">
        <f>+'B) Reajuste Tarifas y Ocupación'!A14</f>
        <v>Jardín Infantil Los Delfines</v>
      </c>
      <c r="B10" s="114">
        <f>+N39</f>
        <v>18141900</v>
      </c>
      <c r="C10" s="123">
        <f>+O39</f>
        <v>181419000</v>
      </c>
      <c r="D10" s="125">
        <f>+P39</f>
        <v>1450800</v>
      </c>
      <c r="E10" s="116">
        <f t="shared" si="0"/>
        <v>201011700</v>
      </c>
      <c r="F10" s="66">
        <f>+'C) Costos Directos'!H141</f>
        <v>188223074.89200002</v>
      </c>
      <c r="G10" s="65">
        <f>+'D) Costos Indirectos'!$AP$15*(F10/$F$17)</f>
        <v>20048121.594595224</v>
      </c>
      <c r="H10" s="67">
        <f t="shared" ref="H10:H16" si="1">+F10+G10</f>
        <v>208271196.48659524</v>
      </c>
      <c r="I10" s="124">
        <f t="shared" ref="I10:I15" si="2">E10-H10</f>
        <v>-7259496.4865952432</v>
      </c>
      <c r="L10" s="154">
        <f>+G10/$G$17</f>
        <v>0.22387828938289045</v>
      </c>
      <c r="N10" s="291"/>
      <c r="O10" s="713"/>
    </row>
    <row r="11" spans="1:247" x14ac:dyDescent="0.2">
      <c r="A11" s="97" t="str">
        <f>+'B) Reajuste Tarifas y Ocupación'!A16</f>
        <v>Jardín Infantil Pecesitos de Colores</v>
      </c>
      <c r="B11" s="114">
        <f>+N43</f>
        <v>707800</v>
      </c>
      <c r="C11" s="123">
        <f>+O43</f>
        <v>7078000</v>
      </c>
      <c r="D11" s="125">
        <f>+P43</f>
        <v>0</v>
      </c>
      <c r="E11" s="116">
        <f t="shared" si="0"/>
        <v>7785800</v>
      </c>
      <c r="F11" s="66">
        <f>+'C) Costos Directos'!H207</f>
        <v>14783775.148</v>
      </c>
      <c r="G11" s="65">
        <f>+'D) Costos Indirectos'!$AP$15*(F11/$F$17)</f>
        <v>1574657.7403664349</v>
      </c>
      <c r="H11" s="67">
        <f t="shared" si="1"/>
        <v>16358432.888366435</v>
      </c>
      <c r="I11" s="124">
        <f t="shared" si="2"/>
        <v>-8572632.8883664347</v>
      </c>
      <c r="L11" s="154">
        <f t="shared" ref="L11:L16" si="3">+G11/$G$17</f>
        <v>1.7584274896447365E-2</v>
      </c>
      <c r="N11" s="291"/>
      <c r="O11" s="713"/>
    </row>
    <row r="12" spans="1:247" x14ac:dyDescent="0.2">
      <c r="A12" s="97" t="str">
        <f>+'B) Reajuste Tarifas y Ocupación'!A17</f>
        <v>Jardín Infantil Caracolito de Mar</v>
      </c>
      <c r="B12" s="114">
        <f>+N50</f>
        <v>4399600</v>
      </c>
      <c r="C12" s="123">
        <f>+O50</f>
        <v>43996000</v>
      </c>
      <c r="D12" s="125">
        <f>+P50</f>
        <v>483600</v>
      </c>
      <c r="E12" s="116">
        <f t="shared" si="0"/>
        <v>48879200</v>
      </c>
      <c r="F12" s="66">
        <f>+'C) Costos Directos'!H273</f>
        <v>50128354.516000003</v>
      </c>
      <c r="G12" s="65">
        <f>+'D) Costos Indirectos'!$AP$15*(F12/$F$17)</f>
        <v>5339299.3778812131</v>
      </c>
      <c r="H12" s="67">
        <f>+F12+G12</f>
        <v>55467653.893881217</v>
      </c>
      <c r="I12" s="124">
        <f t="shared" si="2"/>
        <v>-6588453.8938812166</v>
      </c>
      <c r="L12" s="154">
        <f t="shared" si="3"/>
        <v>5.9624199982178508E-2</v>
      </c>
      <c r="N12" s="155"/>
      <c r="O12" s="713"/>
    </row>
    <row r="13" spans="1:247" x14ac:dyDescent="0.2">
      <c r="A13" s="97" t="s">
        <v>159</v>
      </c>
      <c r="B13" s="115">
        <f>+N53+N59</f>
        <v>0</v>
      </c>
      <c r="C13" s="115">
        <f>+O53+O59</f>
        <v>124339200</v>
      </c>
      <c r="D13" s="115">
        <f>+P53+P59</f>
        <v>0</v>
      </c>
      <c r="E13" s="116">
        <f t="shared" si="0"/>
        <v>124339200</v>
      </c>
      <c r="F13" s="66">
        <f>+'C) Costos Directos'!H339</f>
        <v>124439610.25600001</v>
      </c>
      <c r="G13" s="65">
        <f>+'D) Costos Indirectos'!$AP$15*(F13/$F$17)</f>
        <v>13254381.478082854</v>
      </c>
      <c r="H13" s="67">
        <f>+F13+G13</f>
        <v>137693991.73408288</v>
      </c>
      <c r="I13" s="124">
        <f t="shared" si="2"/>
        <v>-13354791.734082878</v>
      </c>
      <c r="L13" s="154">
        <f>+G13/$G$17</f>
        <v>0.14801228325258312</v>
      </c>
      <c r="N13" s="155"/>
      <c r="O13" s="713"/>
    </row>
    <row r="14" spans="1:247" x14ac:dyDescent="0.2">
      <c r="A14" s="97" t="s">
        <v>160</v>
      </c>
      <c r="B14" s="284">
        <f>+N56</f>
        <v>0</v>
      </c>
      <c r="C14" s="284">
        <f>+O56</f>
        <v>6333600</v>
      </c>
      <c r="D14" s="284">
        <f>+P56</f>
        <v>0</v>
      </c>
      <c r="E14" s="285">
        <f t="shared" si="0"/>
        <v>6333600</v>
      </c>
      <c r="F14" s="66">
        <f>+'C) Costos Directos'!H405</f>
        <v>19975553.776000001</v>
      </c>
      <c r="G14" s="65">
        <f>+'D) Costos Indirectos'!$AP$15*(F14/$F$17)</f>
        <v>2127647.3740024152</v>
      </c>
      <c r="H14" s="67">
        <f>+F14+G14</f>
        <v>22103201.150002416</v>
      </c>
      <c r="I14" s="124">
        <f t="shared" si="2"/>
        <v>-15769601.150002416</v>
      </c>
      <c r="L14" s="154">
        <f t="shared" si="3"/>
        <v>2.3759535388595938E-2</v>
      </c>
      <c r="N14" s="155"/>
      <c r="O14" s="713"/>
    </row>
    <row r="15" spans="1:247" x14ac:dyDescent="0.2">
      <c r="A15" s="97" t="s">
        <v>161</v>
      </c>
      <c r="B15" s="284">
        <f>+N63+N69</f>
        <v>0</v>
      </c>
      <c r="C15" s="284">
        <f>+O63+O69</f>
        <v>267408000</v>
      </c>
      <c r="D15" s="284">
        <f>+P63+P69</f>
        <v>0</v>
      </c>
      <c r="E15" s="287">
        <f t="shared" si="0"/>
        <v>267408000</v>
      </c>
      <c r="F15" s="66">
        <f>+'C) Costos Directos'!H471</f>
        <v>205810509.87600002</v>
      </c>
      <c r="G15" s="65">
        <f>+'D) Costos Indirectos'!$AP$15*(F15/$F$17)</f>
        <v>21921404.322011001</v>
      </c>
      <c r="H15" s="67">
        <f>+F15+G15</f>
        <v>227731914.19801101</v>
      </c>
      <c r="I15" s="124">
        <f t="shared" si="2"/>
        <v>39676085.801988989</v>
      </c>
      <c r="L15" s="154">
        <f t="shared" si="3"/>
        <v>0.24479732314700242</v>
      </c>
      <c r="N15" s="155"/>
      <c r="O15" s="713"/>
    </row>
    <row r="16" spans="1:247" x14ac:dyDescent="0.2">
      <c r="A16" s="97" t="s">
        <v>162</v>
      </c>
      <c r="B16" s="284">
        <f>+N66</f>
        <v>0</v>
      </c>
      <c r="C16" s="284">
        <f>+O66</f>
        <v>54475200</v>
      </c>
      <c r="D16" s="284">
        <f>+P66</f>
        <v>0</v>
      </c>
      <c r="E16" s="286">
        <f t="shared" si="0"/>
        <v>54475200</v>
      </c>
      <c r="F16" s="66">
        <f>+'C) Costos Directos'!H537</f>
        <v>62580907.160000004</v>
      </c>
      <c r="G16" s="65">
        <f>+'D) Costos Indirectos'!$AP$15*(F16/$F$17)</f>
        <v>6665652.6409615045</v>
      </c>
      <c r="H16" s="288">
        <f t="shared" si="1"/>
        <v>69246559.800961509</v>
      </c>
      <c r="I16" s="289">
        <f>E16-H16</f>
        <v>-14771359.800961509</v>
      </c>
      <c r="L16" s="154">
        <f t="shared" si="3"/>
        <v>7.4435647441469813E-2</v>
      </c>
      <c r="N16" s="155"/>
      <c r="O16" s="713"/>
    </row>
    <row r="17" spans="1:247" s="6" customFormat="1" ht="15" x14ac:dyDescent="0.2">
      <c r="A17" s="13" t="s">
        <v>1</v>
      </c>
      <c r="B17" s="139">
        <f t="shared" ref="B17:I17" si="4">SUM(B9:B16)</f>
        <v>41658200</v>
      </c>
      <c r="C17" s="139">
        <f t="shared" si="4"/>
        <v>869138000</v>
      </c>
      <c r="D17" s="139">
        <f t="shared" si="4"/>
        <v>3385200</v>
      </c>
      <c r="E17" s="140">
        <f t="shared" si="4"/>
        <v>914181400</v>
      </c>
      <c r="F17" s="139">
        <f t="shared" si="4"/>
        <v>840738400.36400008</v>
      </c>
      <c r="G17" s="139">
        <f t="shared" si="4"/>
        <v>89549199.47734499</v>
      </c>
      <c r="H17" s="139">
        <f t="shared" si="4"/>
        <v>930287599.84134507</v>
      </c>
      <c r="I17" s="139">
        <f t="shared" si="4"/>
        <v>-16106199.841345072</v>
      </c>
      <c r="L17" s="156">
        <f>SUM(L9:L16)</f>
        <v>1</v>
      </c>
      <c r="N17" s="77"/>
      <c r="O17" s="713"/>
      <c r="IB17" s="4"/>
      <c r="IC17" s="4"/>
      <c r="ID17" s="4"/>
      <c r="IE17" s="4"/>
      <c r="IF17" s="4"/>
      <c r="IG17" s="4"/>
      <c r="IH17" s="4"/>
    </row>
    <row r="18" spans="1:247" s="6" customFormat="1" ht="15.75" customHeight="1" x14ac:dyDescent="0.2">
      <c r="A18" s="14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IB18" s="4"/>
      <c r="IC18" s="4"/>
      <c r="ID18" s="4"/>
      <c r="IE18" s="4"/>
      <c r="IF18" s="4"/>
      <c r="IG18" s="4"/>
      <c r="IH18" s="4"/>
    </row>
    <row r="19" spans="1:247" s="6" customFormat="1" ht="15.75" customHeight="1" x14ac:dyDescent="0.2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714"/>
      <c r="IB19" s="4"/>
      <c r="IC19" s="4"/>
      <c r="ID19" s="4"/>
      <c r="IE19" s="4"/>
      <c r="IF19" s="4"/>
      <c r="IG19" s="4"/>
      <c r="IH19" s="4"/>
    </row>
    <row r="20" spans="1:247" s="6" customFormat="1" ht="15.75" customHeight="1" x14ac:dyDescent="0.2">
      <c r="A20" s="14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IB20" s="4"/>
      <c r="IC20" s="4"/>
      <c r="ID20" s="4"/>
      <c r="IE20" s="4"/>
      <c r="IF20" s="4"/>
      <c r="IG20" s="4"/>
      <c r="IH20" s="4"/>
    </row>
    <row r="21" spans="1:247" s="6" customFormat="1" ht="15.75" customHeight="1" x14ac:dyDescent="0.2">
      <c r="A21" s="14"/>
      <c r="B21" s="14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IB21" s="4"/>
      <c r="IC21" s="4"/>
      <c r="ID21" s="4"/>
      <c r="IE21" s="4"/>
      <c r="IF21" s="4"/>
      <c r="IG21" s="4"/>
      <c r="IH21" s="4"/>
    </row>
    <row r="22" spans="1:247" s="6" customFormat="1" ht="15.75" customHeight="1" x14ac:dyDescent="0.2">
      <c r="A22" s="946" t="s">
        <v>175</v>
      </c>
      <c r="B22" s="946"/>
      <c r="C22" s="946"/>
      <c r="D22" s="946"/>
      <c r="E22" s="15"/>
      <c r="F22" s="15"/>
      <c r="G22" s="15"/>
      <c r="H22" s="15"/>
      <c r="I22" s="15"/>
      <c r="J22" s="15"/>
      <c r="K22" s="15"/>
      <c r="L22" s="15"/>
      <c r="M22" s="15"/>
      <c r="N22" s="15"/>
      <c r="IB22" s="4"/>
      <c r="IC22" s="4"/>
      <c r="ID22" s="4"/>
      <c r="IE22" s="4"/>
      <c r="IF22" s="4"/>
      <c r="IG22" s="4"/>
      <c r="IH22" s="4"/>
    </row>
    <row r="23" spans="1:247" s="17" customFormat="1" ht="13.5" thickBot="1" x14ac:dyDescent="0.25">
      <c r="B23" s="69"/>
      <c r="C23" s="69"/>
      <c r="D23" s="69"/>
      <c r="E23" s="69"/>
      <c r="F23" s="69"/>
      <c r="G23" s="69"/>
      <c r="H23" s="69"/>
      <c r="I23" s="16"/>
      <c r="J23" s="16"/>
      <c r="K23" s="16"/>
      <c r="L23" s="3"/>
      <c r="M23" s="3"/>
      <c r="O23" s="18"/>
      <c r="P23" s="18"/>
      <c r="IL23" s="10"/>
      <c r="IM23" s="10"/>
    </row>
    <row r="24" spans="1:247" s="19" customFormat="1" ht="15.75" customHeight="1" x14ac:dyDescent="0.2">
      <c r="A24" s="947" t="s">
        <v>117</v>
      </c>
      <c r="B24" s="949" t="s">
        <v>5</v>
      </c>
      <c r="C24" s="941" t="s">
        <v>2</v>
      </c>
      <c r="D24" s="943" t="s">
        <v>147</v>
      </c>
      <c r="E24" s="944"/>
      <c r="F24" s="944"/>
      <c r="G24" s="944"/>
      <c r="H24" s="945"/>
      <c r="I24" s="928" t="s">
        <v>148</v>
      </c>
      <c r="J24" s="929"/>
      <c r="K24" s="929"/>
      <c r="L24" s="929"/>
      <c r="M24" s="930"/>
      <c r="N24" s="958" t="s">
        <v>92</v>
      </c>
      <c r="O24" s="960" t="s">
        <v>93</v>
      </c>
      <c r="P24" s="952" t="s">
        <v>131</v>
      </c>
      <c r="Q24" s="962" t="s">
        <v>109</v>
      </c>
    </row>
    <row r="25" spans="1:247" s="19" customFormat="1" ht="38.25" x14ac:dyDescent="0.2">
      <c r="A25" s="948"/>
      <c r="B25" s="950"/>
      <c r="C25" s="942"/>
      <c r="D25" s="100" t="s">
        <v>89</v>
      </c>
      <c r="E25" s="101" t="s">
        <v>143</v>
      </c>
      <c r="F25" s="161" t="s">
        <v>144</v>
      </c>
      <c r="G25" s="101" t="s">
        <v>90</v>
      </c>
      <c r="H25" s="230" t="s">
        <v>91</v>
      </c>
      <c r="I25" s="240" t="s">
        <v>89</v>
      </c>
      <c r="J25" s="241" t="s">
        <v>143</v>
      </c>
      <c r="K25" s="241" t="s">
        <v>144</v>
      </c>
      <c r="L25" s="241" t="s">
        <v>90</v>
      </c>
      <c r="M25" s="242" t="s">
        <v>91</v>
      </c>
      <c r="N25" s="959"/>
      <c r="O25" s="961"/>
      <c r="P25" s="953"/>
      <c r="Q25" s="963"/>
    </row>
    <row r="26" spans="1:247" ht="12.75" customHeight="1" x14ac:dyDescent="0.2">
      <c r="A26" s="934" t="str">
        <f>+'B) Reajuste Tarifas y Ocupación'!A12</f>
        <v>Jardín Infantil Lobito Marino</v>
      </c>
      <c r="B26" s="922" t="str">
        <f>+'B) Reajuste Tarifas y Ocupación'!B12</f>
        <v>Media jornada</v>
      </c>
      <c r="C26" s="91" t="s">
        <v>150</v>
      </c>
      <c r="D26" s="489">
        <f t="shared" ref="D26:F27" si="5">+I26</f>
        <v>79200</v>
      </c>
      <c r="E26" s="490">
        <f t="shared" si="5"/>
        <v>95100</v>
      </c>
      <c r="F26" s="491">
        <f t="shared" si="5"/>
        <v>95100</v>
      </c>
      <c r="G26" s="490">
        <f>+L26</f>
        <v>106200</v>
      </c>
      <c r="H26" s="492">
        <f>+M26</f>
        <v>156200</v>
      </c>
      <c r="I26" s="243">
        <f>+'B) Reajuste Tarifas y Ocupación'!M12</f>
        <v>79200</v>
      </c>
      <c r="J26" s="244">
        <f>+'B) Reajuste Tarifas y Ocupación'!N12</f>
        <v>95100</v>
      </c>
      <c r="K26" s="244">
        <f>+'B) Reajuste Tarifas y Ocupación'!O12</f>
        <v>95100</v>
      </c>
      <c r="L26" s="244">
        <f>+'B) Reajuste Tarifas y Ocupación'!P12</f>
        <v>106200</v>
      </c>
      <c r="M26" s="245">
        <f>+'B) Reajuste Tarifas y Ocupación'!Q12</f>
        <v>156200</v>
      </c>
      <c r="N26" s="234"/>
      <c r="O26" s="127"/>
      <c r="P26" s="166">
        <f>+'B) Reajuste Tarifas y Ocupación'!C12</f>
        <v>74000</v>
      </c>
      <c r="Q26" s="964"/>
    </row>
    <row r="27" spans="1:247" x14ac:dyDescent="0.2">
      <c r="A27" s="935"/>
      <c r="B27" s="923"/>
      <c r="C27" s="91" t="s">
        <v>7</v>
      </c>
      <c r="D27" s="493">
        <f t="shared" si="5"/>
        <v>0</v>
      </c>
      <c r="E27" s="494">
        <f t="shared" si="5"/>
        <v>0</v>
      </c>
      <c r="F27" s="495">
        <f t="shared" si="5"/>
        <v>0</v>
      </c>
      <c r="G27" s="494">
        <f>+L27</f>
        <v>0</v>
      </c>
      <c r="H27" s="496">
        <f>+M27</f>
        <v>0</v>
      </c>
      <c r="I27" s="246">
        <f>+'B) Reajuste Tarifas y Ocupación'!C36</f>
        <v>0</v>
      </c>
      <c r="J27" s="247">
        <f>+'B) Reajuste Tarifas y Ocupación'!D36</f>
        <v>0</v>
      </c>
      <c r="K27" s="247">
        <f>+'B) Reajuste Tarifas y Ocupación'!E36</f>
        <v>0</v>
      </c>
      <c r="L27" s="247">
        <f>+'B) Reajuste Tarifas y Ocupación'!F36</f>
        <v>0</v>
      </c>
      <c r="M27" s="248">
        <f>+'B) Reajuste Tarifas y Ocupación'!G36</f>
        <v>0</v>
      </c>
      <c r="N27" s="235"/>
      <c r="O27" s="128"/>
      <c r="P27" s="167">
        <v>0</v>
      </c>
      <c r="Q27" s="965"/>
    </row>
    <row r="28" spans="1:247" x14ac:dyDescent="0.2">
      <c r="A28" s="935"/>
      <c r="B28" s="924"/>
      <c r="C28" s="136" t="s">
        <v>9</v>
      </c>
      <c r="D28" s="132">
        <f>D27*D26</f>
        <v>0</v>
      </c>
      <c r="E28" s="133">
        <f>E27*E26</f>
        <v>0</v>
      </c>
      <c r="F28" s="162">
        <f>F27*F26</f>
        <v>0</v>
      </c>
      <c r="G28" s="133">
        <f>G27*G26</f>
        <v>0</v>
      </c>
      <c r="H28" s="231">
        <f>H27*H26</f>
        <v>0</v>
      </c>
      <c r="I28" s="249">
        <f>I27*I26*10</f>
        <v>0</v>
      </c>
      <c r="J28" s="250">
        <f>J27*J26*10</f>
        <v>0</v>
      </c>
      <c r="K28" s="250">
        <f>K27*K26*10</f>
        <v>0</v>
      </c>
      <c r="L28" s="250">
        <f>L27*L26*10</f>
        <v>0</v>
      </c>
      <c r="M28" s="251">
        <f>M27*M26*10</f>
        <v>0</v>
      </c>
      <c r="N28" s="236">
        <f>SUM(D28:H28)</f>
        <v>0</v>
      </c>
      <c r="O28" s="163">
        <f>SUM(I28:M28)</f>
        <v>0</v>
      </c>
      <c r="P28" s="168">
        <f>P27*P26</f>
        <v>0</v>
      </c>
      <c r="Q28" s="165">
        <f>N28+O28+P28</f>
        <v>0</v>
      </c>
    </row>
    <row r="29" spans="1:247" x14ac:dyDescent="0.2">
      <c r="A29" s="935"/>
      <c r="B29" s="922" t="str">
        <f>+'B) Reajuste Tarifas y Ocupación'!B13</f>
        <v>Jornada completa</v>
      </c>
      <c r="C29" s="91" t="s">
        <v>150</v>
      </c>
      <c r="D29" s="489">
        <f t="shared" ref="D29:F30" si="6">+I29</f>
        <v>129400</v>
      </c>
      <c r="E29" s="490">
        <f t="shared" si="6"/>
        <v>155300</v>
      </c>
      <c r="F29" s="491">
        <f t="shared" si="6"/>
        <v>155300</v>
      </c>
      <c r="G29" s="490">
        <f>+L29</f>
        <v>218400</v>
      </c>
      <c r="H29" s="492">
        <f>+M29</f>
        <v>325800</v>
      </c>
      <c r="I29" s="252">
        <f>+'B) Reajuste Tarifas y Ocupación'!M13</f>
        <v>129400</v>
      </c>
      <c r="J29" s="78">
        <f>+'B) Reajuste Tarifas y Ocupación'!N13</f>
        <v>155300</v>
      </c>
      <c r="K29" s="78">
        <f>+'B) Reajuste Tarifas y Ocupación'!O13</f>
        <v>155300</v>
      </c>
      <c r="L29" s="78">
        <f>+'B) Reajuste Tarifas y Ocupación'!P13</f>
        <v>218400</v>
      </c>
      <c r="M29" s="253">
        <f>+'B) Reajuste Tarifas y Ocupación'!Q13</f>
        <v>325800</v>
      </c>
      <c r="N29" s="110"/>
      <c r="O29" s="164"/>
      <c r="P29" s="166">
        <f>+'B) Reajuste Tarifas y Ocupación'!C13</f>
        <v>120900</v>
      </c>
      <c r="Q29" s="966"/>
    </row>
    <row r="30" spans="1:247" x14ac:dyDescent="0.2">
      <c r="A30" s="935"/>
      <c r="B30" s="923"/>
      <c r="C30" s="91" t="s">
        <v>7</v>
      </c>
      <c r="D30" s="493">
        <f t="shared" si="6"/>
        <v>136</v>
      </c>
      <c r="E30" s="494">
        <f t="shared" si="6"/>
        <v>1</v>
      </c>
      <c r="F30" s="495">
        <f t="shared" si="6"/>
        <v>0</v>
      </c>
      <c r="G30" s="494">
        <f>+L30</f>
        <v>3</v>
      </c>
      <c r="H30" s="496">
        <f>+M30</f>
        <v>0</v>
      </c>
      <c r="I30" s="254">
        <f>+'B) Reajuste Tarifas y Ocupación'!C37</f>
        <v>136</v>
      </c>
      <c r="J30" s="255">
        <f>+'B) Reajuste Tarifas y Ocupación'!D37</f>
        <v>1</v>
      </c>
      <c r="K30" s="255">
        <f>+'B) Reajuste Tarifas y Ocupación'!E37</f>
        <v>0</v>
      </c>
      <c r="L30" s="255">
        <f>+'B) Reajuste Tarifas y Ocupación'!F37</f>
        <v>3</v>
      </c>
      <c r="M30" s="256">
        <f>+'B) Reajuste Tarifas y Ocupación'!G37</f>
        <v>0</v>
      </c>
      <c r="N30" s="234"/>
      <c r="O30" s="127"/>
      <c r="P30" s="167">
        <v>12</v>
      </c>
      <c r="Q30" s="964"/>
    </row>
    <row r="31" spans="1:247" x14ac:dyDescent="0.2">
      <c r="A31" s="935"/>
      <c r="B31" s="924"/>
      <c r="C31" s="136" t="s">
        <v>9</v>
      </c>
      <c r="D31" s="132">
        <f>D30*D29</f>
        <v>17598400</v>
      </c>
      <c r="E31" s="133">
        <f>E30*E29</f>
        <v>155300</v>
      </c>
      <c r="F31" s="162">
        <f>F30*F29</f>
        <v>0</v>
      </c>
      <c r="G31" s="133">
        <f>G30*G29</f>
        <v>655200</v>
      </c>
      <c r="H31" s="231">
        <f>H30*H29</f>
        <v>0</v>
      </c>
      <c r="I31" s="249">
        <f>I30*I29*10</f>
        <v>175984000</v>
      </c>
      <c r="J31" s="250">
        <f>J30*J29*10</f>
        <v>1553000</v>
      </c>
      <c r="K31" s="250">
        <f>K30*K29*10</f>
        <v>0</v>
      </c>
      <c r="L31" s="250">
        <f>L30*L29*10</f>
        <v>6552000</v>
      </c>
      <c r="M31" s="251">
        <f>M30*M29*10</f>
        <v>0</v>
      </c>
      <c r="N31" s="236">
        <f>SUM(D31:H31)</f>
        <v>18408900</v>
      </c>
      <c r="O31" s="163">
        <f>SUM(I31:M31)</f>
        <v>184089000</v>
      </c>
      <c r="P31" s="168">
        <f>P30*P29</f>
        <v>1450800</v>
      </c>
      <c r="Q31" s="165">
        <f>N31+O31+P31</f>
        <v>203948700</v>
      </c>
    </row>
    <row r="32" spans="1:247" s="10" customFormat="1" ht="15" x14ac:dyDescent="0.2">
      <c r="A32" s="936"/>
      <c r="B32" s="915" t="s">
        <v>10</v>
      </c>
      <c r="C32" s="916"/>
      <c r="D32" s="104">
        <f t="shared" ref="D32:Q32" si="7">+D28+D31</f>
        <v>17598400</v>
      </c>
      <c r="E32" s="104">
        <f t="shared" si="7"/>
        <v>155300</v>
      </c>
      <c r="F32" s="104">
        <f t="shared" si="7"/>
        <v>0</v>
      </c>
      <c r="G32" s="104">
        <f t="shared" si="7"/>
        <v>655200</v>
      </c>
      <c r="H32" s="105">
        <f t="shared" si="7"/>
        <v>0</v>
      </c>
      <c r="I32" s="257">
        <f t="shared" si="7"/>
        <v>175984000</v>
      </c>
      <c r="J32" s="104">
        <f t="shared" si="7"/>
        <v>1553000</v>
      </c>
      <c r="K32" s="104">
        <f t="shared" si="7"/>
        <v>0</v>
      </c>
      <c r="L32" s="104">
        <f t="shared" si="7"/>
        <v>6552000</v>
      </c>
      <c r="M32" s="258">
        <f t="shared" si="7"/>
        <v>0</v>
      </c>
      <c r="N32" s="111">
        <f t="shared" si="7"/>
        <v>18408900</v>
      </c>
      <c r="O32" s="104">
        <f t="shared" si="7"/>
        <v>184089000</v>
      </c>
      <c r="P32" s="104">
        <f t="shared" si="7"/>
        <v>1450800</v>
      </c>
      <c r="Q32" s="104">
        <f t="shared" si="7"/>
        <v>203948700</v>
      </c>
    </row>
    <row r="33" spans="1:17" x14ac:dyDescent="0.2">
      <c r="A33" s="954" t="str">
        <f>+'B) Reajuste Tarifas y Ocupación'!A14</f>
        <v>Jardín Infantil Los Delfines</v>
      </c>
      <c r="B33" s="922" t="str">
        <f>+'B) Reajuste Tarifas y Ocupación'!B14</f>
        <v>Media jornada</v>
      </c>
      <c r="C33" s="91" t="s">
        <v>150</v>
      </c>
      <c r="D33" s="489">
        <f t="shared" ref="D33:H34" si="8">+I33</f>
        <v>79200</v>
      </c>
      <c r="E33" s="490">
        <f t="shared" si="8"/>
        <v>95100</v>
      </c>
      <c r="F33" s="491">
        <f t="shared" si="8"/>
        <v>95100</v>
      </c>
      <c r="G33" s="490">
        <f t="shared" si="8"/>
        <v>106200</v>
      </c>
      <c r="H33" s="492">
        <f t="shared" si="8"/>
        <v>156200</v>
      </c>
      <c r="I33" s="259">
        <f>+'B) Reajuste Tarifas y Ocupación'!M14</f>
        <v>79200</v>
      </c>
      <c r="J33" s="78">
        <f>+'B) Reajuste Tarifas y Ocupación'!N14</f>
        <v>95100</v>
      </c>
      <c r="K33" s="78">
        <f>+'B) Reajuste Tarifas y Ocupación'!O14</f>
        <v>95100</v>
      </c>
      <c r="L33" s="78">
        <f>+'B) Reajuste Tarifas y Ocupación'!P14</f>
        <v>106200</v>
      </c>
      <c r="M33" s="260">
        <f>+'B) Reajuste Tarifas y Ocupación'!Q14</f>
        <v>156200</v>
      </c>
      <c r="N33" s="110"/>
      <c r="O33" s="88"/>
      <c r="P33" s="166">
        <f>+'B) Reajuste Tarifas y Ocupación'!C14</f>
        <v>74000</v>
      </c>
      <c r="Q33" s="931"/>
    </row>
    <row r="34" spans="1:17" x14ac:dyDescent="0.2">
      <c r="A34" s="955"/>
      <c r="B34" s="923"/>
      <c r="C34" s="28" t="s">
        <v>7</v>
      </c>
      <c r="D34" s="493">
        <f t="shared" si="8"/>
        <v>0</v>
      </c>
      <c r="E34" s="494">
        <f t="shared" si="8"/>
        <v>0</v>
      </c>
      <c r="F34" s="495">
        <f t="shared" si="8"/>
        <v>0</v>
      </c>
      <c r="G34" s="494">
        <f t="shared" si="8"/>
        <v>0</v>
      </c>
      <c r="H34" s="496">
        <f t="shared" si="8"/>
        <v>0</v>
      </c>
      <c r="I34" s="261">
        <f>+'B) Reajuste Tarifas y Ocupación'!C38</f>
        <v>0</v>
      </c>
      <c r="J34" s="247">
        <f>+'B) Reajuste Tarifas y Ocupación'!D38</f>
        <v>0</v>
      </c>
      <c r="K34" s="247">
        <f>+'B) Reajuste Tarifas y Ocupación'!E38</f>
        <v>0</v>
      </c>
      <c r="L34" s="247">
        <f>+'B) Reajuste Tarifas y Ocupación'!F38</f>
        <v>0</v>
      </c>
      <c r="M34" s="262">
        <f>+'B) Reajuste Tarifas y Ocupación'!G38</f>
        <v>0</v>
      </c>
      <c r="N34" s="235"/>
      <c r="O34" s="89"/>
      <c r="P34" s="167">
        <v>0</v>
      </c>
      <c r="Q34" s="932"/>
    </row>
    <row r="35" spans="1:17" x14ac:dyDescent="0.2">
      <c r="A35" s="955"/>
      <c r="B35" s="924"/>
      <c r="C35" s="130" t="s">
        <v>9</v>
      </c>
      <c r="D35" s="131">
        <f>D34*D33</f>
        <v>0</v>
      </c>
      <c r="E35" s="131">
        <f>E34*E33</f>
        <v>0</v>
      </c>
      <c r="F35" s="162">
        <f>F34*F33</f>
        <v>0</v>
      </c>
      <c r="G35" s="131">
        <f>G34*G33</f>
        <v>0</v>
      </c>
      <c r="H35" s="231">
        <f>H34*H33</f>
        <v>0</v>
      </c>
      <c r="I35" s="263">
        <f>I34*I33*10</f>
        <v>0</v>
      </c>
      <c r="J35" s="250">
        <f>J34*J33*10</f>
        <v>0</v>
      </c>
      <c r="K35" s="250">
        <f>K34*K33*10</f>
        <v>0</v>
      </c>
      <c r="L35" s="250">
        <f>L34*L33*10</f>
        <v>0</v>
      </c>
      <c r="M35" s="264">
        <f>M34*M33*10</f>
        <v>0</v>
      </c>
      <c r="N35" s="236">
        <f>SUM(D35:H35)</f>
        <v>0</v>
      </c>
      <c r="O35" s="134">
        <f>SUM(I35:M35)</f>
        <v>0</v>
      </c>
      <c r="P35" s="168">
        <f>P34*P33</f>
        <v>0</v>
      </c>
      <c r="Q35" s="135">
        <f>N35+O35+P35</f>
        <v>0</v>
      </c>
    </row>
    <row r="36" spans="1:17" x14ac:dyDescent="0.2">
      <c r="A36" s="955"/>
      <c r="B36" s="922" t="str">
        <f>+'B) Reajuste Tarifas y Ocupación'!B13</f>
        <v>Jornada completa</v>
      </c>
      <c r="C36" s="91" t="s">
        <v>150</v>
      </c>
      <c r="D36" s="489">
        <f t="shared" ref="D36:H37" si="9">+I36</f>
        <v>129400</v>
      </c>
      <c r="E36" s="490">
        <f t="shared" si="9"/>
        <v>155300</v>
      </c>
      <c r="F36" s="491">
        <f t="shared" si="9"/>
        <v>155300</v>
      </c>
      <c r="G36" s="490">
        <f t="shared" si="9"/>
        <v>218400</v>
      </c>
      <c r="H36" s="492">
        <f t="shared" si="9"/>
        <v>325800</v>
      </c>
      <c r="I36" s="259">
        <f>+'B) Reajuste Tarifas y Ocupación'!M15</f>
        <v>129400</v>
      </c>
      <c r="J36" s="78">
        <f>+'B) Reajuste Tarifas y Ocupación'!N15</f>
        <v>155300</v>
      </c>
      <c r="K36" s="78">
        <f>+'B) Reajuste Tarifas y Ocupación'!O15</f>
        <v>155300</v>
      </c>
      <c r="L36" s="78">
        <f>+'B) Reajuste Tarifas y Ocupación'!P15</f>
        <v>218400</v>
      </c>
      <c r="M36" s="260">
        <f>+'B) Reajuste Tarifas y Ocupación'!Q15</f>
        <v>325800</v>
      </c>
      <c r="N36" s="110"/>
      <c r="O36" s="88"/>
      <c r="P36" s="166">
        <f>+'B) Reajuste Tarifas y Ocupación'!C15</f>
        <v>120900</v>
      </c>
      <c r="Q36" s="931"/>
    </row>
    <row r="37" spans="1:17" x14ac:dyDescent="0.2">
      <c r="A37" s="955"/>
      <c r="B37" s="923"/>
      <c r="C37" s="28" t="s">
        <v>7</v>
      </c>
      <c r="D37" s="493">
        <f t="shared" si="9"/>
        <v>139</v>
      </c>
      <c r="E37" s="494">
        <f t="shared" si="9"/>
        <v>1</v>
      </c>
      <c r="F37" s="495">
        <f t="shared" si="9"/>
        <v>0</v>
      </c>
      <c r="G37" s="494">
        <f t="shared" si="9"/>
        <v>0</v>
      </c>
      <c r="H37" s="496">
        <f t="shared" si="9"/>
        <v>0</v>
      </c>
      <c r="I37" s="265">
        <f>+'B) Reajuste Tarifas y Ocupación'!C39</f>
        <v>139</v>
      </c>
      <c r="J37" s="255">
        <f>+'B) Reajuste Tarifas y Ocupación'!D39</f>
        <v>1</v>
      </c>
      <c r="K37" s="255">
        <f>+'B) Reajuste Tarifas y Ocupación'!E39</f>
        <v>0</v>
      </c>
      <c r="L37" s="255">
        <f>+'B) Reajuste Tarifas y Ocupación'!F39</f>
        <v>0</v>
      </c>
      <c r="M37" s="266">
        <f>+'B) Reajuste Tarifas y Ocupación'!G39</f>
        <v>0</v>
      </c>
      <c r="N37" s="234"/>
      <c r="O37" s="87"/>
      <c r="P37" s="167">
        <v>12</v>
      </c>
      <c r="Q37" s="933"/>
    </row>
    <row r="38" spans="1:17" x14ac:dyDescent="0.2">
      <c r="A38" s="955"/>
      <c r="B38" s="924"/>
      <c r="C38" s="130" t="s">
        <v>9</v>
      </c>
      <c r="D38" s="131">
        <f>D37*D36</f>
        <v>17986600</v>
      </c>
      <c r="E38" s="131">
        <f>E37*E36</f>
        <v>155300</v>
      </c>
      <c r="F38" s="162">
        <f>F37*F36</f>
        <v>0</v>
      </c>
      <c r="G38" s="131">
        <f>G37*G36</f>
        <v>0</v>
      </c>
      <c r="H38" s="231">
        <f>H37*H36</f>
        <v>0</v>
      </c>
      <c r="I38" s="263">
        <f>I37*I36*10</f>
        <v>179866000</v>
      </c>
      <c r="J38" s="250">
        <f>J37*J36*10</f>
        <v>1553000</v>
      </c>
      <c r="K38" s="250">
        <f>K37*K36*10</f>
        <v>0</v>
      </c>
      <c r="L38" s="250">
        <f>L37*L36*10</f>
        <v>0</v>
      </c>
      <c r="M38" s="264">
        <f>M37*M36*10</f>
        <v>0</v>
      </c>
      <c r="N38" s="236">
        <f>SUM(D38:H38)</f>
        <v>18141900</v>
      </c>
      <c r="O38" s="134">
        <f>SUM(I38:M38)</f>
        <v>181419000</v>
      </c>
      <c r="P38" s="168">
        <f>P37*P36</f>
        <v>1450800</v>
      </c>
      <c r="Q38" s="135">
        <f>N38+O38+P38</f>
        <v>201011700</v>
      </c>
    </row>
    <row r="39" spans="1:17" ht="15" x14ac:dyDescent="0.2">
      <c r="A39" s="956"/>
      <c r="B39" s="915" t="s">
        <v>10</v>
      </c>
      <c r="C39" s="916"/>
      <c r="D39" s="104">
        <f t="shared" ref="D39:Q39" si="10">+D35+D38</f>
        <v>17986600</v>
      </c>
      <c r="E39" s="104">
        <f t="shared" si="10"/>
        <v>155300</v>
      </c>
      <c r="F39" s="104">
        <f t="shared" si="10"/>
        <v>0</v>
      </c>
      <c r="G39" s="104">
        <f t="shared" si="10"/>
        <v>0</v>
      </c>
      <c r="H39" s="105">
        <f t="shared" si="10"/>
        <v>0</v>
      </c>
      <c r="I39" s="257">
        <f t="shared" si="10"/>
        <v>179866000</v>
      </c>
      <c r="J39" s="104">
        <f t="shared" si="10"/>
        <v>1553000</v>
      </c>
      <c r="K39" s="104">
        <f t="shared" si="10"/>
        <v>0</v>
      </c>
      <c r="L39" s="104">
        <f t="shared" si="10"/>
        <v>0</v>
      </c>
      <c r="M39" s="258">
        <f t="shared" si="10"/>
        <v>0</v>
      </c>
      <c r="N39" s="111">
        <f t="shared" si="10"/>
        <v>18141900</v>
      </c>
      <c r="O39" s="104">
        <f t="shared" si="10"/>
        <v>181419000</v>
      </c>
      <c r="P39" s="104">
        <f t="shared" si="10"/>
        <v>1450800</v>
      </c>
      <c r="Q39" s="104">
        <f t="shared" si="10"/>
        <v>201011700</v>
      </c>
    </row>
    <row r="40" spans="1:17" x14ac:dyDescent="0.2">
      <c r="A40" s="925" t="str">
        <f>+'B) Reajuste Tarifas y Ocupación'!A16</f>
        <v>Jardín Infantil Pecesitos de Colores</v>
      </c>
      <c r="B40" s="922" t="str">
        <f>+'B) Reajuste Tarifas y Ocupación'!B16</f>
        <v>Media jornada</v>
      </c>
      <c r="C40" s="91" t="s">
        <v>150</v>
      </c>
      <c r="D40" s="489">
        <f t="shared" ref="D40:H41" si="11">+I40</f>
        <v>31800</v>
      </c>
      <c r="E40" s="490">
        <f t="shared" si="11"/>
        <v>38200</v>
      </c>
      <c r="F40" s="491">
        <f t="shared" si="11"/>
        <v>38200</v>
      </c>
      <c r="G40" s="490">
        <f t="shared" si="11"/>
        <v>40000</v>
      </c>
      <c r="H40" s="492">
        <f t="shared" si="11"/>
        <v>47800</v>
      </c>
      <c r="I40" s="265">
        <f>+'B) Reajuste Tarifas y Ocupación'!M16</f>
        <v>31800</v>
      </c>
      <c r="J40" s="255">
        <f>+'B) Reajuste Tarifas y Ocupación'!N16</f>
        <v>38200</v>
      </c>
      <c r="K40" s="255">
        <f>+'B) Reajuste Tarifas y Ocupación'!O16</f>
        <v>38200</v>
      </c>
      <c r="L40" s="255">
        <f>+'B) Reajuste Tarifas y Ocupación'!P16</f>
        <v>40000</v>
      </c>
      <c r="M40" s="266">
        <f>+'B) Reajuste Tarifas y Ocupación'!Q16</f>
        <v>47800</v>
      </c>
      <c r="N40" s="110"/>
      <c r="O40" s="88"/>
      <c r="P40" s="166">
        <v>29700</v>
      </c>
      <c r="Q40" s="623"/>
    </row>
    <row r="41" spans="1:17" x14ac:dyDescent="0.2">
      <c r="A41" s="926"/>
      <c r="B41" s="923"/>
      <c r="C41" s="28" t="s">
        <v>7</v>
      </c>
      <c r="D41" s="493">
        <f t="shared" si="11"/>
        <v>21</v>
      </c>
      <c r="E41" s="494">
        <f t="shared" si="11"/>
        <v>0</v>
      </c>
      <c r="F41" s="495">
        <f t="shared" si="11"/>
        <v>0</v>
      </c>
      <c r="G41" s="494">
        <f t="shared" si="11"/>
        <v>1</v>
      </c>
      <c r="H41" s="496">
        <f t="shared" si="11"/>
        <v>0</v>
      </c>
      <c r="I41" s="265">
        <f>+'B) Reajuste Tarifas y Ocupación'!C40</f>
        <v>21</v>
      </c>
      <c r="J41" s="255">
        <f>+'B) Reajuste Tarifas y Ocupación'!D40</f>
        <v>0</v>
      </c>
      <c r="K41" s="255">
        <f>+'B) Reajuste Tarifas y Ocupación'!E40</f>
        <v>0</v>
      </c>
      <c r="L41" s="255">
        <f>+'B) Reajuste Tarifas y Ocupación'!F40</f>
        <v>1</v>
      </c>
      <c r="M41" s="266">
        <f>+'B) Reajuste Tarifas y Ocupación'!G40</f>
        <v>0</v>
      </c>
      <c r="N41" s="235"/>
      <c r="O41" s="89"/>
      <c r="P41" s="167">
        <v>0</v>
      </c>
      <c r="Q41" s="624"/>
    </row>
    <row r="42" spans="1:17" x14ac:dyDescent="0.2">
      <c r="A42" s="926"/>
      <c r="B42" s="924"/>
      <c r="C42" s="130" t="s">
        <v>9</v>
      </c>
      <c r="D42" s="131">
        <f>D41*D40</f>
        <v>667800</v>
      </c>
      <c r="E42" s="131">
        <f>E41*E40</f>
        <v>0</v>
      </c>
      <c r="F42" s="162">
        <f>F41*F40</f>
        <v>0</v>
      </c>
      <c r="G42" s="131">
        <f>G41*G40</f>
        <v>40000</v>
      </c>
      <c r="H42" s="231">
        <f>H41*H40</f>
        <v>0</v>
      </c>
      <c r="I42" s="263">
        <f>I41*I40*10</f>
        <v>6678000</v>
      </c>
      <c r="J42" s="250">
        <f>J41*J40*10</f>
        <v>0</v>
      </c>
      <c r="K42" s="250">
        <f>K41*K40*10</f>
        <v>0</v>
      </c>
      <c r="L42" s="250">
        <f>L41*L40*10</f>
        <v>400000</v>
      </c>
      <c r="M42" s="264">
        <f>M41*M40*10</f>
        <v>0</v>
      </c>
      <c r="N42" s="236">
        <f>SUM(D42:H42)</f>
        <v>707800</v>
      </c>
      <c r="O42" s="134">
        <f>SUM(I42:M42)</f>
        <v>7078000</v>
      </c>
      <c r="P42" s="168">
        <f>P41*P40</f>
        <v>0</v>
      </c>
      <c r="Q42" s="135">
        <f>N42+O42+P42</f>
        <v>7785800</v>
      </c>
    </row>
    <row r="43" spans="1:17" ht="15.75" customHeight="1" x14ac:dyDescent="0.2">
      <c r="A43" s="957"/>
      <c r="B43" s="915" t="s">
        <v>10</v>
      </c>
      <c r="C43" s="916"/>
      <c r="D43" s="104">
        <f>+D42</f>
        <v>667800</v>
      </c>
      <c r="E43" s="104">
        <f t="shared" ref="E43:Q43" si="12">+E42</f>
        <v>0</v>
      </c>
      <c r="F43" s="104">
        <f t="shared" si="12"/>
        <v>0</v>
      </c>
      <c r="G43" s="104">
        <f t="shared" si="12"/>
        <v>40000</v>
      </c>
      <c r="H43" s="105">
        <f t="shared" si="12"/>
        <v>0</v>
      </c>
      <c r="I43" s="257">
        <f t="shared" si="12"/>
        <v>6678000</v>
      </c>
      <c r="J43" s="104">
        <f t="shared" si="12"/>
        <v>0</v>
      </c>
      <c r="K43" s="104">
        <f t="shared" si="12"/>
        <v>0</v>
      </c>
      <c r="L43" s="104">
        <f t="shared" si="12"/>
        <v>400000</v>
      </c>
      <c r="M43" s="258">
        <f t="shared" si="12"/>
        <v>0</v>
      </c>
      <c r="N43" s="111">
        <f t="shared" si="12"/>
        <v>707800</v>
      </c>
      <c r="O43" s="104">
        <f t="shared" si="12"/>
        <v>7078000</v>
      </c>
      <c r="P43" s="104">
        <f t="shared" si="12"/>
        <v>0</v>
      </c>
      <c r="Q43" s="104">
        <f t="shared" si="12"/>
        <v>7785800</v>
      </c>
    </row>
    <row r="44" spans="1:17" x14ac:dyDescent="0.2">
      <c r="A44" s="925" t="str">
        <f>+'B) Reajuste Tarifas y Ocupación'!A17</f>
        <v>Jardín Infantil Caracolito de Mar</v>
      </c>
      <c r="B44" s="922" t="str">
        <f>+'B) Reajuste Tarifas y Ocupación'!B17</f>
        <v>Media jornada</v>
      </c>
      <c r="C44" s="91" t="s">
        <v>150</v>
      </c>
      <c r="D44" s="489">
        <f t="shared" ref="D44:H45" si="13">+I44</f>
        <v>79200</v>
      </c>
      <c r="E44" s="490">
        <f t="shared" si="13"/>
        <v>95100</v>
      </c>
      <c r="F44" s="491">
        <f t="shared" si="13"/>
        <v>95100</v>
      </c>
      <c r="G44" s="490">
        <f t="shared" si="13"/>
        <v>106200</v>
      </c>
      <c r="H44" s="492">
        <f t="shared" si="13"/>
        <v>156200</v>
      </c>
      <c r="I44" s="259">
        <f>+'B) Reajuste Tarifas y Ocupación'!M17</f>
        <v>79200</v>
      </c>
      <c r="J44" s="78">
        <f>+'B) Reajuste Tarifas y Ocupación'!N17</f>
        <v>95100</v>
      </c>
      <c r="K44" s="78">
        <f>+'B) Reajuste Tarifas y Ocupación'!O17</f>
        <v>95100</v>
      </c>
      <c r="L44" s="78">
        <f>+'B) Reajuste Tarifas y Ocupación'!P17</f>
        <v>106200</v>
      </c>
      <c r="M44" s="260">
        <f>+'B) Reajuste Tarifas y Ocupación'!Q17</f>
        <v>156200</v>
      </c>
      <c r="N44" s="110"/>
      <c r="O44" s="88"/>
      <c r="P44" s="166">
        <v>74000</v>
      </c>
      <c r="Q44" s="931"/>
    </row>
    <row r="45" spans="1:17" x14ac:dyDescent="0.2">
      <c r="A45" s="926"/>
      <c r="B45" s="923"/>
      <c r="C45" s="28" t="s">
        <v>7</v>
      </c>
      <c r="D45" s="493">
        <f t="shared" si="13"/>
        <v>0</v>
      </c>
      <c r="E45" s="494">
        <f t="shared" si="13"/>
        <v>0</v>
      </c>
      <c r="F45" s="495">
        <f t="shared" si="13"/>
        <v>0</v>
      </c>
      <c r="G45" s="494">
        <f t="shared" si="13"/>
        <v>0</v>
      </c>
      <c r="H45" s="496">
        <f t="shared" si="13"/>
        <v>0</v>
      </c>
      <c r="I45" s="261">
        <f>+'B) Reajuste Tarifas y Ocupación'!C41</f>
        <v>0</v>
      </c>
      <c r="J45" s="247">
        <f>+'B) Reajuste Tarifas y Ocupación'!D41</f>
        <v>0</v>
      </c>
      <c r="K45" s="247">
        <f>+'B) Reajuste Tarifas y Ocupación'!E41</f>
        <v>0</v>
      </c>
      <c r="L45" s="247">
        <f>+'B) Reajuste Tarifas y Ocupación'!F41</f>
        <v>0</v>
      </c>
      <c r="M45" s="262">
        <f>+'B) Reajuste Tarifas y Ocupación'!G41</f>
        <v>0</v>
      </c>
      <c r="N45" s="235"/>
      <c r="O45" s="89"/>
      <c r="P45" s="167">
        <v>0</v>
      </c>
      <c r="Q45" s="932"/>
    </row>
    <row r="46" spans="1:17" x14ac:dyDescent="0.2">
      <c r="A46" s="926"/>
      <c r="B46" s="924"/>
      <c r="C46" s="130" t="s">
        <v>9</v>
      </c>
      <c r="D46" s="131">
        <f>D45*D44</f>
        <v>0</v>
      </c>
      <c r="E46" s="131">
        <f>E45*E44</f>
        <v>0</v>
      </c>
      <c r="F46" s="162">
        <f>F45*F44</f>
        <v>0</v>
      </c>
      <c r="G46" s="131">
        <f>G45*G44</f>
        <v>0</v>
      </c>
      <c r="H46" s="231">
        <f>H45*H44</f>
        <v>0</v>
      </c>
      <c r="I46" s="263">
        <f>I45*I44*10</f>
        <v>0</v>
      </c>
      <c r="J46" s="250">
        <f>J45*J44*10</f>
        <v>0</v>
      </c>
      <c r="K46" s="250">
        <f>K45*K44*10</f>
        <v>0</v>
      </c>
      <c r="L46" s="250">
        <f>L45*L44*10</f>
        <v>0</v>
      </c>
      <c r="M46" s="264">
        <f>M45*M44*10</f>
        <v>0</v>
      </c>
      <c r="N46" s="236">
        <f>SUM(D46:H46)</f>
        <v>0</v>
      </c>
      <c r="O46" s="134">
        <f>SUM(I46:M46)</f>
        <v>0</v>
      </c>
      <c r="P46" s="168">
        <f>P45*P44</f>
        <v>0</v>
      </c>
      <c r="Q46" s="135">
        <f>N46+O46+P46</f>
        <v>0</v>
      </c>
    </row>
    <row r="47" spans="1:17" x14ac:dyDescent="0.2">
      <c r="A47" s="926"/>
      <c r="B47" s="922" t="str">
        <f>+'B) Reajuste Tarifas y Ocupación'!B18</f>
        <v>Jornada completa</v>
      </c>
      <c r="C47" s="91" t="s">
        <v>150</v>
      </c>
      <c r="D47" s="489">
        <f t="shared" ref="D47:H48" si="14">+I47</f>
        <v>129400</v>
      </c>
      <c r="E47" s="490">
        <f t="shared" si="14"/>
        <v>155300</v>
      </c>
      <c r="F47" s="491">
        <f t="shared" si="14"/>
        <v>155300</v>
      </c>
      <c r="G47" s="490">
        <f t="shared" si="14"/>
        <v>218400</v>
      </c>
      <c r="H47" s="492">
        <f t="shared" si="14"/>
        <v>325800</v>
      </c>
      <c r="I47" s="259">
        <f>+'B) Reajuste Tarifas y Ocupación'!M18</f>
        <v>129400</v>
      </c>
      <c r="J47" s="78">
        <f>+'B) Reajuste Tarifas y Ocupación'!N18</f>
        <v>155300</v>
      </c>
      <c r="K47" s="78">
        <f>+'B) Reajuste Tarifas y Ocupación'!O18</f>
        <v>155300</v>
      </c>
      <c r="L47" s="78">
        <f>+'B) Reajuste Tarifas y Ocupación'!P18</f>
        <v>218400</v>
      </c>
      <c r="M47" s="260">
        <f>+'B) Reajuste Tarifas y Ocupación'!Q18</f>
        <v>325800</v>
      </c>
      <c r="N47" s="110"/>
      <c r="O47" s="88"/>
      <c r="P47" s="166">
        <v>120900</v>
      </c>
      <c r="Q47" s="931"/>
    </row>
    <row r="48" spans="1:17" x14ac:dyDescent="0.2">
      <c r="A48" s="926"/>
      <c r="B48" s="923"/>
      <c r="C48" s="28" t="s">
        <v>7</v>
      </c>
      <c r="D48" s="493">
        <f t="shared" si="14"/>
        <v>34</v>
      </c>
      <c r="E48" s="494">
        <f t="shared" si="14"/>
        <v>0</v>
      </c>
      <c r="F48" s="495">
        <f t="shared" si="14"/>
        <v>0</v>
      </c>
      <c r="G48" s="494">
        <f t="shared" si="14"/>
        <v>0</v>
      </c>
      <c r="H48" s="496">
        <f t="shared" si="14"/>
        <v>0</v>
      </c>
      <c r="I48" s="265">
        <f>+'B) Reajuste Tarifas y Ocupación'!C42</f>
        <v>34</v>
      </c>
      <c r="J48" s="255">
        <f>+'B) Reajuste Tarifas y Ocupación'!D42</f>
        <v>0</v>
      </c>
      <c r="K48" s="255">
        <f>+'B) Reajuste Tarifas y Ocupación'!E42</f>
        <v>0</v>
      </c>
      <c r="L48" s="255">
        <f>+'B) Reajuste Tarifas y Ocupación'!F42</f>
        <v>0</v>
      </c>
      <c r="M48" s="266">
        <f>+'B) Reajuste Tarifas y Ocupación'!G42</f>
        <v>0</v>
      </c>
      <c r="N48" s="234"/>
      <c r="O48" s="87"/>
      <c r="P48" s="167">
        <v>4</v>
      </c>
      <c r="Q48" s="933"/>
    </row>
    <row r="49" spans="1:17" x14ac:dyDescent="0.2">
      <c r="A49" s="926"/>
      <c r="B49" s="924"/>
      <c r="C49" s="130" t="s">
        <v>9</v>
      </c>
      <c r="D49" s="131">
        <f>D48*D47</f>
        <v>4399600</v>
      </c>
      <c r="E49" s="131">
        <f>E48*E47</f>
        <v>0</v>
      </c>
      <c r="F49" s="162">
        <f>F48*F47</f>
        <v>0</v>
      </c>
      <c r="G49" s="131">
        <f>G48*G47</f>
        <v>0</v>
      </c>
      <c r="H49" s="231">
        <f>H48*H47</f>
        <v>0</v>
      </c>
      <c r="I49" s="263">
        <f>I48*I47*10</f>
        <v>43996000</v>
      </c>
      <c r="J49" s="250">
        <f>J48*J47*10</f>
        <v>0</v>
      </c>
      <c r="K49" s="250">
        <f>K48*K47*10</f>
        <v>0</v>
      </c>
      <c r="L49" s="250">
        <f>L48*L47*10</f>
        <v>0</v>
      </c>
      <c r="M49" s="264">
        <f>M48*M47*10</f>
        <v>0</v>
      </c>
      <c r="N49" s="236">
        <f>SUM(D49:H49)</f>
        <v>4399600</v>
      </c>
      <c r="O49" s="134">
        <f>SUM(I49:M49)</f>
        <v>43996000</v>
      </c>
      <c r="P49" s="168">
        <f>P48*P47</f>
        <v>483600</v>
      </c>
      <c r="Q49" s="135">
        <f>N49+O49+P49</f>
        <v>48879200</v>
      </c>
    </row>
    <row r="50" spans="1:17" ht="15" x14ac:dyDescent="0.2">
      <c r="A50" s="927"/>
      <c r="B50" s="917" t="s">
        <v>10</v>
      </c>
      <c r="C50" s="918"/>
      <c r="D50" s="215">
        <f t="shared" ref="D50:Q50" si="15">+D46+D49</f>
        <v>4399600</v>
      </c>
      <c r="E50" s="216">
        <f t="shared" si="15"/>
        <v>0</v>
      </c>
      <c r="F50" s="216">
        <f t="shared" si="15"/>
        <v>0</v>
      </c>
      <c r="G50" s="216">
        <f t="shared" si="15"/>
        <v>0</v>
      </c>
      <c r="H50" s="217">
        <f t="shared" si="15"/>
        <v>0</v>
      </c>
      <c r="I50" s="267">
        <f t="shared" si="15"/>
        <v>43996000</v>
      </c>
      <c r="J50" s="216">
        <f t="shared" si="15"/>
        <v>0</v>
      </c>
      <c r="K50" s="216">
        <f t="shared" si="15"/>
        <v>0</v>
      </c>
      <c r="L50" s="216">
        <f t="shared" si="15"/>
        <v>0</v>
      </c>
      <c r="M50" s="268">
        <f t="shared" si="15"/>
        <v>0</v>
      </c>
      <c r="N50" s="218">
        <f t="shared" si="15"/>
        <v>4399600</v>
      </c>
      <c r="O50" s="216">
        <f t="shared" si="15"/>
        <v>43996000</v>
      </c>
      <c r="P50" s="216">
        <f t="shared" si="15"/>
        <v>483600</v>
      </c>
      <c r="Q50" s="219">
        <f t="shared" si="15"/>
        <v>48879200</v>
      </c>
    </row>
    <row r="51" spans="1:17" x14ac:dyDescent="0.2">
      <c r="A51" s="921" t="str">
        <f>+'B) Reajuste Tarifas y Ocupación'!A22</f>
        <v>Sala Cuna Caracolito de Mar</v>
      </c>
      <c r="B51" s="920" t="str">
        <f>+'B) Reajuste Tarifas y Ocupación'!B22</f>
        <v>Diurna</v>
      </c>
      <c r="C51" s="220" t="s">
        <v>150</v>
      </c>
      <c r="D51" s="497"/>
      <c r="E51" s="497"/>
      <c r="F51" s="497"/>
      <c r="G51" s="229">
        <f>+L51</f>
        <v>381600</v>
      </c>
      <c r="H51" s="498">
        <f>+M51</f>
        <v>445200</v>
      </c>
      <c r="I51" s="269">
        <f>+'B) Reajuste Tarifas y Ocupación'!M22</f>
        <v>323800</v>
      </c>
      <c r="J51" s="221">
        <f>+'B) Reajuste Tarifas y Ocupación'!N22</f>
        <v>388500</v>
      </c>
      <c r="K51" s="221">
        <f>+'B) Reajuste Tarifas y Ocupación'!O22</f>
        <v>388500</v>
      </c>
      <c r="L51" s="221">
        <f>+'B) Reajuste Tarifas y Ocupación'!P22</f>
        <v>381600</v>
      </c>
      <c r="M51" s="270">
        <f>+'B) Reajuste Tarifas y Ocupación'!Q22</f>
        <v>445200</v>
      </c>
      <c r="N51" s="237"/>
      <c r="O51" s="222"/>
      <c r="P51" s="223"/>
      <c r="Q51" s="951"/>
    </row>
    <row r="52" spans="1:17" x14ac:dyDescent="0.2">
      <c r="A52" s="921"/>
      <c r="B52" s="920"/>
      <c r="C52" s="220" t="s">
        <v>7</v>
      </c>
      <c r="D52" s="499">
        <v>0</v>
      </c>
      <c r="E52" s="499">
        <v>0</v>
      </c>
      <c r="F52" s="499"/>
      <c r="G52" s="224">
        <f>+L52</f>
        <v>0</v>
      </c>
      <c r="H52" s="500">
        <f>+M52</f>
        <v>0</v>
      </c>
      <c r="I52" s="271">
        <f>+'B) Reajuste Tarifas y Ocupación'!C46</f>
        <v>32</v>
      </c>
      <c r="J52" s="224">
        <f>+'B) Reajuste Tarifas y Ocupación'!D46</f>
        <v>0</v>
      </c>
      <c r="K52" s="224">
        <f>+'B) Reajuste Tarifas y Ocupación'!E46</f>
        <v>0</v>
      </c>
      <c r="L52" s="224">
        <f>+'B) Reajuste Tarifas y Ocupación'!F46</f>
        <v>0</v>
      </c>
      <c r="M52" s="272">
        <f>+'B) Reajuste Tarifas y Ocupación'!G46</f>
        <v>0</v>
      </c>
      <c r="N52" s="237"/>
      <c r="O52" s="222"/>
      <c r="P52" s="501">
        <v>0</v>
      </c>
      <c r="Q52" s="951"/>
    </row>
    <row r="53" spans="1:17" x14ac:dyDescent="0.2">
      <c r="A53" s="921"/>
      <c r="B53" s="920"/>
      <c r="C53" s="225" t="s">
        <v>9</v>
      </c>
      <c r="D53" s="282">
        <f>D52*D51</f>
        <v>0</v>
      </c>
      <c r="E53" s="282">
        <f>E52*E51</f>
        <v>0</v>
      </c>
      <c r="F53" s="282">
        <f>F52*F51</f>
        <v>0</v>
      </c>
      <c r="G53" s="226">
        <f>G52*G51</f>
        <v>0</v>
      </c>
      <c r="H53" s="232">
        <f>H52*H51</f>
        <v>0</v>
      </c>
      <c r="I53" s="273">
        <f>I52*I51*12</f>
        <v>124339200</v>
      </c>
      <c r="J53" s="226">
        <f>J52*J51*12</f>
        <v>0</v>
      </c>
      <c r="K53" s="226">
        <f>K52*K51*12</f>
        <v>0</v>
      </c>
      <c r="L53" s="226">
        <f>L52*L51*12</f>
        <v>0</v>
      </c>
      <c r="M53" s="274">
        <f>M52*M51*12</f>
        <v>0</v>
      </c>
      <c r="N53" s="238">
        <f>SUM(D53:H53)</f>
        <v>0</v>
      </c>
      <c r="O53" s="227">
        <f>SUM(I53:M53)</f>
        <v>124339200</v>
      </c>
      <c r="P53" s="226">
        <f>P52*P51</f>
        <v>0</v>
      </c>
      <c r="Q53" s="227">
        <f>N53+O53+P53</f>
        <v>124339200</v>
      </c>
    </row>
    <row r="54" spans="1:17" x14ac:dyDescent="0.2">
      <c r="A54" s="921"/>
      <c r="B54" s="920" t="str">
        <f>+'B) Reajuste Tarifas y Ocupación'!B23</f>
        <v>Nocturna</v>
      </c>
      <c r="C54" s="220" t="s">
        <v>150</v>
      </c>
      <c r="D54" s="497"/>
      <c r="E54" s="497"/>
      <c r="F54" s="497"/>
      <c r="G54" s="497"/>
      <c r="H54" s="502"/>
      <c r="I54" s="269">
        <f>+'B) Reajuste Tarifas y Ocupación'!M23</f>
        <v>263900</v>
      </c>
      <c r="J54" s="221">
        <f>+'B) Reajuste Tarifas y Ocupación'!N23</f>
        <v>0</v>
      </c>
      <c r="K54" s="221">
        <f>+'B) Reajuste Tarifas y Ocupación'!O23</f>
        <v>0</v>
      </c>
      <c r="L54" s="221">
        <f>+'B) Reajuste Tarifas y Ocupación'!P23</f>
        <v>0</v>
      </c>
      <c r="M54" s="270">
        <f>+'B) Reajuste Tarifas y Ocupación'!Q23</f>
        <v>0</v>
      </c>
      <c r="N54" s="237"/>
      <c r="O54" s="222"/>
      <c r="P54" s="223"/>
      <c r="Q54" s="951"/>
    </row>
    <row r="55" spans="1:17" x14ac:dyDescent="0.2">
      <c r="A55" s="921"/>
      <c r="B55" s="920"/>
      <c r="C55" s="220" t="s">
        <v>7</v>
      </c>
      <c r="D55" s="499"/>
      <c r="E55" s="499"/>
      <c r="F55" s="499"/>
      <c r="G55" s="499"/>
      <c r="H55" s="503"/>
      <c r="I55" s="271">
        <f>+'B) Reajuste Tarifas y Ocupación'!C47</f>
        <v>2</v>
      </c>
      <c r="J55" s="224">
        <f>+'B) Reajuste Tarifas y Ocupación'!D47</f>
        <v>0</v>
      </c>
      <c r="K55" s="224">
        <f>+'B) Reajuste Tarifas y Ocupación'!E47</f>
        <v>0</v>
      </c>
      <c r="L55" s="224">
        <f>+'B) Reajuste Tarifas y Ocupación'!F47</f>
        <v>0</v>
      </c>
      <c r="M55" s="272">
        <f>+'B) Reajuste Tarifas y Ocupación'!G47</f>
        <v>0</v>
      </c>
      <c r="N55" s="237"/>
      <c r="O55" s="222"/>
      <c r="P55" s="501">
        <v>0</v>
      </c>
      <c r="Q55" s="951"/>
    </row>
    <row r="56" spans="1:17" x14ac:dyDescent="0.2">
      <c r="A56" s="921"/>
      <c r="B56" s="920"/>
      <c r="C56" s="225" t="s">
        <v>9</v>
      </c>
      <c r="D56" s="282">
        <f>D55*D54</f>
        <v>0</v>
      </c>
      <c r="E56" s="282">
        <f>E55*E54</f>
        <v>0</v>
      </c>
      <c r="F56" s="282">
        <f>F55*F54</f>
        <v>0</v>
      </c>
      <c r="G56" s="282">
        <f>G55*G54</f>
        <v>0</v>
      </c>
      <c r="H56" s="283">
        <f>H55*H54</f>
        <v>0</v>
      </c>
      <c r="I56" s="273">
        <f>I55*I54*12</f>
        <v>6333600</v>
      </c>
      <c r="J56" s="226">
        <f>J55*J54*12</f>
        <v>0</v>
      </c>
      <c r="K56" s="226">
        <f>K55*K54*12</f>
        <v>0</v>
      </c>
      <c r="L56" s="226">
        <f>L55*L54*12</f>
        <v>0</v>
      </c>
      <c r="M56" s="274">
        <f>M55*M54*12</f>
        <v>0</v>
      </c>
      <c r="N56" s="238">
        <f>SUM(D56:H56)</f>
        <v>0</v>
      </c>
      <c r="O56" s="227">
        <f>SUM(I56:M56)</f>
        <v>6333600</v>
      </c>
      <c r="P56" s="226">
        <f>P55*P54</f>
        <v>0</v>
      </c>
      <c r="Q56" s="227">
        <f>N56+O56+P56</f>
        <v>6333600</v>
      </c>
    </row>
    <row r="57" spans="1:17" x14ac:dyDescent="0.2">
      <c r="A57" s="921"/>
      <c r="B57" s="920" t="str">
        <f>+'B) Reajuste Tarifas y Ocupación'!B24</f>
        <v>Media Jornada</v>
      </c>
      <c r="C57" s="220" t="s">
        <v>150</v>
      </c>
      <c r="D57" s="497"/>
      <c r="E57" s="497"/>
      <c r="F57" s="497"/>
      <c r="G57" s="497">
        <f>+L57</f>
        <v>0</v>
      </c>
      <c r="H57" s="502">
        <f>+M57</f>
        <v>0</v>
      </c>
      <c r="I57" s="269">
        <f>+'B) Reajuste Tarifas y Ocupación'!M24</f>
        <v>179900</v>
      </c>
      <c r="J57" s="221">
        <f>+'B) Reajuste Tarifas y Ocupación'!N24</f>
        <v>0</v>
      </c>
      <c r="K57" s="221">
        <f>+'B) Reajuste Tarifas y Ocupación'!O24</f>
        <v>0</v>
      </c>
      <c r="L57" s="221">
        <f>+'B) Reajuste Tarifas y Ocupación'!P24</f>
        <v>0</v>
      </c>
      <c r="M57" s="270">
        <f>+'B) Reajuste Tarifas y Ocupación'!Q24</f>
        <v>0</v>
      </c>
      <c r="N57" s="237"/>
      <c r="O57" s="222"/>
      <c r="P57" s="223"/>
      <c r="Q57" s="951"/>
    </row>
    <row r="58" spans="1:17" x14ac:dyDescent="0.2">
      <c r="A58" s="921"/>
      <c r="B58" s="920"/>
      <c r="C58" s="220" t="s">
        <v>7</v>
      </c>
      <c r="D58" s="499"/>
      <c r="E58" s="499"/>
      <c r="F58" s="499"/>
      <c r="G58" s="499"/>
      <c r="H58" s="503"/>
      <c r="I58" s="271">
        <f>+'B) Reajuste Tarifas y Ocupación'!C48</f>
        <v>0</v>
      </c>
      <c r="J58" s="224"/>
      <c r="K58" s="224"/>
      <c r="L58" s="224">
        <f>+'B) Reajuste Tarifas y Ocupación'!F48</f>
        <v>0</v>
      </c>
      <c r="M58" s="272">
        <f>+'B) Reajuste Tarifas y Ocupación'!G48</f>
        <v>0</v>
      </c>
      <c r="N58" s="237"/>
      <c r="O58" s="222"/>
      <c r="P58" s="501">
        <v>0</v>
      </c>
      <c r="Q58" s="951"/>
    </row>
    <row r="59" spans="1:17" x14ac:dyDescent="0.2">
      <c r="A59" s="921"/>
      <c r="B59" s="920"/>
      <c r="C59" s="225" t="s">
        <v>9</v>
      </c>
      <c r="D59" s="282">
        <f>D58*D57</f>
        <v>0</v>
      </c>
      <c r="E59" s="282">
        <f>E58*E57</f>
        <v>0</v>
      </c>
      <c r="F59" s="282"/>
      <c r="G59" s="282">
        <f>G58*G57</f>
        <v>0</v>
      </c>
      <c r="H59" s="283">
        <f>H58*H57</f>
        <v>0</v>
      </c>
      <c r="I59" s="273">
        <f>I58*I57*12</f>
        <v>0</v>
      </c>
      <c r="J59" s="226">
        <f>J58*J57*12</f>
        <v>0</v>
      </c>
      <c r="K59" s="226">
        <f>K58*K57*12</f>
        <v>0</v>
      </c>
      <c r="L59" s="226">
        <f>L58*L57*12</f>
        <v>0</v>
      </c>
      <c r="M59" s="274">
        <f>M58*M57*12</f>
        <v>0</v>
      </c>
      <c r="N59" s="238">
        <f>SUM(D59:H59)</f>
        <v>0</v>
      </c>
      <c r="O59" s="227">
        <f>SUM(I59:M59)</f>
        <v>0</v>
      </c>
      <c r="P59" s="226">
        <f>P58*P57</f>
        <v>0</v>
      </c>
      <c r="Q59" s="227">
        <f>N59+O59+P59</f>
        <v>0</v>
      </c>
    </row>
    <row r="60" spans="1:17" ht="15" x14ac:dyDescent="0.2">
      <c r="A60" s="921"/>
      <c r="B60" s="919" t="s">
        <v>10</v>
      </c>
      <c r="C60" s="919"/>
      <c r="D60" s="228">
        <f>SUM(D53,D56,D59)</f>
        <v>0</v>
      </c>
      <c r="E60" s="228">
        <f t="shared" ref="E60:Q60" si="16">SUM(E53,E56,E59)</f>
        <v>0</v>
      </c>
      <c r="F60" s="228">
        <f t="shared" si="16"/>
        <v>0</v>
      </c>
      <c r="G60" s="228">
        <f t="shared" si="16"/>
        <v>0</v>
      </c>
      <c r="H60" s="233">
        <f t="shared" si="16"/>
        <v>0</v>
      </c>
      <c r="I60" s="275">
        <f t="shared" si="16"/>
        <v>130672800</v>
      </c>
      <c r="J60" s="228">
        <f t="shared" si="16"/>
        <v>0</v>
      </c>
      <c r="K60" s="228">
        <f t="shared" si="16"/>
        <v>0</v>
      </c>
      <c r="L60" s="228">
        <f t="shared" si="16"/>
        <v>0</v>
      </c>
      <c r="M60" s="276">
        <f t="shared" si="16"/>
        <v>0</v>
      </c>
      <c r="N60" s="239">
        <f t="shared" si="16"/>
        <v>0</v>
      </c>
      <c r="O60" s="228">
        <f t="shared" si="16"/>
        <v>130672800</v>
      </c>
      <c r="P60" s="228">
        <f t="shared" si="16"/>
        <v>0</v>
      </c>
      <c r="Q60" s="228">
        <f t="shared" si="16"/>
        <v>130672800</v>
      </c>
    </row>
    <row r="61" spans="1:17" ht="12.75" customHeight="1" x14ac:dyDescent="0.2">
      <c r="A61" s="921" t="str">
        <f>+'B) Reajuste Tarifas y Ocupación'!A25</f>
        <v>Sala Cuna Mar Azúl</v>
      </c>
      <c r="B61" s="920" t="str">
        <f>+'B) Reajuste Tarifas y Ocupación'!B25</f>
        <v>Diurna</v>
      </c>
      <c r="C61" s="220" t="s">
        <v>150</v>
      </c>
      <c r="D61" s="497"/>
      <c r="E61" s="497"/>
      <c r="F61" s="497"/>
      <c r="G61" s="229">
        <f>+L61</f>
        <v>372200</v>
      </c>
      <c r="H61" s="498">
        <f>+M61</f>
        <v>434100</v>
      </c>
      <c r="I61" s="277">
        <f>+'B) Reajuste Tarifas y Ocupación'!M25</f>
        <v>309500</v>
      </c>
      <c r="J61" s="229">
        <f>+'B) Reajuste Tarifas y Ocupación'!N25</f>
        <v>371400</v>
      </c>
      <c r="K61" s="229">
        <f>+'B) Reajuste Tarifas y Ocupación'!O25</f>
        <v>371400</v>
      </c>
      <c r="L61" s="229">
        <f>+'B) Reajuste Tarifas y Ocupación'!P25</f>
        <v>372200</v>
      </c>
      <c r="M61" s="278">
        <f>+'B) Reajuste Tarifas y Ocupación'!Q25</f>
        <v>434100</v>
      </c>
      <c r="N61" s="237"/>
      <c r="O61" s="222"/>
      <c r="P61" s="223">
        <v>0</v>
      </c>
      <c r="Q61" s="951"/>
    </row>
    <row r="62" spans="1:17" x14ac:dyDescent="0.2">
      <c r="A62" s="921"/>
      <c r="B62" s="920"/>
      <c r="C62" s="220" t="s">
        <v>7</v>
      </c>
      <c r="D62" s="499"/>
      <c r="E62" s="499"/>
      <c r="F62" s="499"/>
      <c r="G62" s="224">
        <f>+L62</f>
        <v>0</v>
      </c>
      <c r="H62" s="500">
        <f>+M62</f>
        <v>0</v>
      </c>
      <c r="I62" s="271">
        <f>+'B) Reajuste Tarifas y Ocupación'!C49</f>
        <v>72</v>
      </c>
      <c r="J62" s="224">
        <f>+'B) Reajuste Tarifas y Ocupación'!D49</f>
        <v>0</v>
      </c>
      <c r="K62" s="224"/>
      <c r="L62" s="224">
        <f>+'B) Reajuste Tarifas y Ocupación'!F49</f>
        <v>0</v>
      </c>
      <c r="M62" s="272">
        <f>+'B) Reajuste Tarifas y Ocupación'!G49</f>
        <v>0</v>
      </c>
      <c r="N62" s="237"/>
      <c r="O62" s="222"/>
      <c r="P62" s="501">
        <v>0</v>
      </c>
      <c r="Q62" s="951"/>
    </row>
    <row r="63" spans="1:17" x14ac:dyDescent="0.2">
      <c r="A63" s="921"/>
      <c r="B63" s="920"/>
      <c r="C63" s="225" t="s">
        <v>9</v>
      </c>
      <c r="D63" s="282">
        <f>D62*D61</f>
        <v>0</v>
      </c>
      <c r="E63" s="282">
        <f>E62*E61</f>
        <v>0</v>
      </c>
      <c r="F63" s="282"/>
      <c r="G63" s="226">
        <f>G62*G61</f>
        <v>0</v>
      </c>
      <c r="H63" s="232">
        <f>H62*H61</f>
        <v>0</v>
      </c>
      <c r="I63" s="273">
        <f>I62*I61*12</f>
        <v>267408000</v>
      </c>
      <c r="J63" s="226">
        <f>J62*J61*12</f>
        <v>0</v>
      </c>
      <c r="K63" s="226">
        <f>K62*K61*12</f>
        <v>0</v>
      </c>
      <c r="L63" s="226">
        <f>L62*L61*12</f>
        <v>0</v>
      </c>
      <c r="M63" s="274">
        <f>M62*M61*12</f>
        <v>0</v>
      </c>
      <c r="N63" s="238">
        <f>SUM(D63:H63)</f>
        <v>0</v>
      </c>
      <c r="O63" s="227">
        <f>SUM(I63:M63)</f>
        <v>267408000</v>
      </c>
      <c r="P63" s="226">
        <f>P62*P61</f>
        <v>0</v>
      </c>
      <c r="Q63" s="227">
        <f>N63+O63+P63</f>
        <v>267408000</v>
      </c>
    </row>
    <row r="64" spans="1:17" x14ac:dyDescent="0.2">
      <c r="A64" s="921"/>
      <c r="B64" s="920" t="str">
        <f>+'B) Reajuste Tarifas y Ocupación'!B26</f>
        <v>Nocturna</v>
      </c>
      <c r="C64" s="220" t="s">
        <v>150</v>
      </c>
      <c r="D64" s="497"/>
      <c r="E64" s="497">
        <f>+J64</f>
        <v>0</v>
      </c>
      <c r="F64" s="497"/>
      <c r="G64" s="497">
        <f>+L64</f>
        <v>0</v>
      </c>
      <c r="H64" s="502">
        <f>+M64</f>
        <v>0</v>
      </c>
      <c r="I64" s="269">
        <f>+'B) Reajuste Tarifas y Ocupación'!M26</f>
        <v>252200</v>
      </c>
      <c r="J64" s="221">
        <f>+'B) Reajuste Tarifas y Ocupación'!N26</f>
        <v>0</v>
      </c>
      <c r="K64" s="221"/>
      <c r="L64" s="221">
        <f>+'B) Reajuste Tarifas y Ocupación'!P26</f>
        <v>0</v>
      </c>
      <c r="M64" s="270">
        <f>+'B) Reajuste Tarifas y Ocupación'!Q26</f>
        <v>0</v>
      </c>
      <c r="N64" s="237"/>
      <c r="O64" s="222"/>
      <c r="P64" s="223">
        <v>0</v>
      </c>
      <c r="Q64" s="951"/>
    </row>
    <row r="65" spans="1:17" x14ac:dyDescent="0.2">
      <c r="A65" s="921"/>
      <c r="B65" s="920"/>
      <c r="C65" s="220" t="s">
        <v>7</v>
      </c>
      <c r="D65" s="499"/>
      <c r="E65" s="499"/>
      <c r="F65" s="499"/>
      <c r="G65" s="499"/>
      <c r="H65" s="503"/>
      <c r="I65" s="271">
        <f>+'B) Reajuste Tarifas y Ocupación'!C50</f>
        <v>18</v>
      </c>
      <c r="J65" s="224">
        <f>+'B) Reajuste Tarifas y Ocupación'!D50</f>
        <v>0</v>
      </c>
      <c r="K65" s="224"/>
      <c r="L65" s="224">
        <f>+'B) Reajuste Tarifas y Ocupación'!F50</f>
        <v>0</v>
      </c>
      <c r="M65" s="272">
        <f>+'B) Reajuste Tarifas y Ocupación'!G50</f>
        <v>0</v>
      </c>
      <c r="N65" s="237"/>
      <c r="O65" s="222"/>
      <c r="P65" s="501">
        <v>0</v>
      </c>
      <c r="Q65" s="951"/>
    </row>
    <row r="66" spans="1:17" x14ac:dyDescent="0.2">
      <c r="A66" s="921"/>
      <c r="B66" s="920"/>
      <c r="C66" s="225" t="s">
        <v>9</v>
      </c>
      <c r="D66" s="282">
        <f>D65*D64</f>
        <v>0</v>
      </c>
      <c r="E66" s="282">
        <f>E65*E64</f>
        <v>0</v>
      </c>
      <c r="F66" s="282"/>
      <c r="G66" s="282">
        <f>G65*G64</f>
        <v>0</v>
      </c>
      <c r="H66" s="283">
        <f>H65*H64</f>
        <v>0</v>
      </c>
      <c r="I66" s="273">
        <f>I65*I64*12</f>
        <v>54475200</v>
      </c>
      <c r="J66" s="226">
        <f>J65*J64*12</f>
        <v>0</v>
      </c>
      <c r="K66" s="226">
        <f>K65*K64*12</f>
        <v>0</v>
      </c>
      <c r="L66" s="226">
        <f>L65*L64*12</f>
        <v>0</v>
      </c>
      <c r="M66" s="274">
        <f>M65*M64*12</f>
        <v>0</v>
      </c>
      <c r="N66" s="238">
        <f>SUM(D66:H66)</f>
        <v>0</v>
      </c>
      <c r="O66" s="227">
        <f>SUM(I66:M66)</f>
        <v>54475200</v>
      </c>
      <c r="P66" s="226">
        <f>P65*P64</f>
        <v>0</v>
      </c>
      <c r="Q66" s="227">
        <f>N66+O66+P66</f>
        <v>54475200</v>
      </c>
    </row>
    <row r="67" spans="1:17" x14ac:dyDescent="0.2">
      <c r="A67" s="921"/>
      <c r="B67" s="920" t="str">
        <f>+'B) Reajuste Tarifas y Ocupación'!B27</f>
        <v>Media Jornada</v>
      </c>
      <c r="C67" s="220" t="s">
        <v>150</v>
      </c>
      <c r="D67" s="497"/>
      <c r="E67" s="497">
        <f>+J67</f>
        <v>0</v>
      </c>
      <c r="F67" s="497"/>
      <c r="G67" s="497">
        <f>+L67</f>
        <v>0</v>
      </c>
      <c r="H67" s="502">
        <f>+M67</f>
        <v>0</v>
      </c>
      <c r="I67" s="269">
        <f>+'B) Reajuste Tarifas y Ocupación'!M27</f>
        <v>172000</v>
      </c>
      <c r="J67" s="221">
        <f>+'B) Reajuste Tarifas y Ocupación'!N27</f>
        <v>0</v>
      </c>
      <c r="K67" s="221"/>
      <c r="L67" s="221">
        <f>+'B) Reajuste Tarifas y Ocupación'!P27</f>
        <v>0</v>
      </c>
      <c r="M67" s="270">
        <f>+'B) Reajuste Tarifas y Ocupación'!Q27</f>
        <v>0</v>
      </c>
      <c r="N67" s="237"/>
      <c r="O67" s="222"/>
      <c r="P67" s="223">
        <v>0</v>
      </c>
      <c r="Q67" s="951"/>
    </row>
    <row r="68" spans="1:17" x14ac:dyDescent="0.2">
      <c r="A68" s="921"/>
      <c r="B68" s="920"/>
      <c r="C68" s="220" t="s">
        <v>7</v>
      </c>
      <c r="D68" s="499"/>
      <c r="E68" s="499"/>
      <c r="F68" s="499"/>
      <c r="G68" s="499"/>
      <c r="H68" s="503"/>
      <c r="I68" s="271">
        <f>+'B) Reajuste Tarifas y Ocupación'!C51</f>
        <v>0</v>
      </c>
      <c r="J68" s="224">
        <f>+'B) Reajuste Tarifas y Ocupación'!D51</f>
        <v>0</v>
      </c>
      <c r="K68" s="224"/>
      <c r="L68" s="224">
        <f>+'B) Reajuste Tarifas y Ocupación'!F51</f>
        <v>0</v>
      </c>
      <c r="M68" s="272">
        <f>+'B) Reajuste Tarifas y Ocupación'!G51</f>
        <v>0</v>
      </c>
      <c r="N68" s="237"/>
      <c r="O68" s="222"/>
      <c r="P68" s="501">
        <v>0</v>
      </c>
      <c r="Q68" s="951"/>
    </row>
    <row r="69" spans="1:17" x14ac:dyDescent="0.2">
      <c r="A69" s="921"/>
      <c r="B69" s="920"/>
      <c r="C69" s="225" t="s">
        <v>9</v>
      </c>
      <c r="D69" s="282">
        <f>D68*D67</f>
        <v>0</v>
      </c>
      <c r="E69" s="282">
        <f>E68*E67</f>
        <v>0</v>
      </c>
      <c r="F69" s="282"/>
      <c r="G69" s="282">
        <f>G68*G67</f>
        <v>0</v>
      </c>
      <c r="H69" s="283">
        <f>H68*H67</f>
        <v>0</v>
      </c>
      <c r="I69" s="273">
        <f>I68*I67*12</f>
        <v>0</v>
      </c>
      <c r="J69" s="226">
        <f>J68*J67*12</f>
        <v>0</v>
      </c>
      <c r="K69" s="226">
        <f>K68*K67*12</f>
        <v>0</v>
      </c>
      <c r="L69" s="226">
        <f>L68*L67*12</f>
        <v>0</v>
      </c>
      <c r="M69" s="274">
        <f>M68*M67*12</f>
        <v>0</v>
      </c>
      <c r="N69" s="238">
        <f>SUM(D69:H69)</f>
        <v>0</v>
      </c>
      <c r="O69" s="227">
        <f>SUM(I69:M69)</f>
        <v>0</v>
      </c>
      <c r="P69" s="226">
        <f>P68*P67</f>
        <v>0</v>
      </c>
      <c r="Q69" s="227">
        <f>N69+O69+P69</f>
        <v>0</v>
      </c>
    </row>
    <row r="70" spans="1:17" s="10" customFormat="1" ht="15" x14ac:dyDescent="0.2">
      <c r="A70" s="921"/>
      <c r="B70" s="919" t="s">
        <v>10</v>
      </c>
      <c r="C70" s="919"/>
      <c r="D70" s="228">
        <f t="shared" ref="D70:Q70" si="17">SUM(D63,D66,D69)</f>
        <v>0</v>
      </c>
      <c r="E70" s="228">
        <f t="shared" si="17"/>
        <v>0</v>
      </c>
      <c r="F70" s="228">
        <f t="shared" si="17"/>
        <v>0</v>
      </c>
      <c r="G70" s="228">
        <f t="shared" si="17"/>
        <v>0</v>
      </c>
      <c r="H70" s="233">
        <f t="shared" si="17"/>
        <v>0</v>
      </c>
      <c r="I70" s="275">
        <f t="shared" si="17"/>
        <v>321883200</v>
      </c>
      <c r="J70" s="228">
        <f t="shared" si="17"/>
        <v>0</v>
      </c>
      <c r="K70" s="228">
        <f t="shared" si="17"/>
        <v>0</v>
      </c>
      <c r="L70" s="228">
        <f t="shared" si="17"/>
        <v>0</v>
      </c>
      <c r="M70" s="276">
        <f t="shared" si="17"/>
        <v>0</v>
      </c>
      <c r="N70" s="239">
        <f t="shared" si="17"/>
        <v>0</v>
      </c>
      <c r="O70" s="228">
        <f t="shared" si="17"/>
        <v>321883200</v>
      </c>
      <c r="P70" s="228">
        <f t="shared" si="17"/>
        <v>0</v>
      </c>
      <c r="Q70" s="228">
        <f t="shared" si="17"/>
        <v>321883200</v>
      </c>
    </row>
    <row r="71" spans="1:17" ht="15" customHeight="1" thickBot="1" x14ac:dyDescent="0.25">
      <c r="A71" s="174"/>
      <c r="B71" s="913" t="s">
        <v>8</v>
      </c>
      <c r="C71" s="914" t="s">
        <v>10</v>
      </c>
      <c r="D71" s="104">
        <f>+D32+D39+D43+D50+D60+D70</f>
        <v>40652400</v>
      </c>
      <c r="E71" s="104">
        <f t="shared" ref="E71:Q71" si="18">+E32+E39+E43+E50+E60+E70</f>
        <v>310600</v>
      </c>
      <c r="F71" s="104">
        <f t="shared" si="18"/>
        <v>0</v>
      </c>
      <c r="G71" s="104">
        <f t="shared" si="18"/>
        <v>695200</v>
      </c>
      <c r="H71" s="105">
        <f t="shared" si="18"/>
        <v>0</v>
      </c>
      <c r="I71" s="279">
        <f t="shared" si="18"/>
        <v>859080000</v>
      </c>
      <c r="J71" s="280">
        <f t="shared" si="18"/>
        <v>3106000</v>
      </c>
      <c r="K71" s="280">
        <f t="shared" si="18"/>
        <v>0</v>
      </c>
      <c r="L71" s="280">
        <f t="shared" si="18"/>
        <v>6952000</v>
      </c>
      <c r="M71" s="281">
        <f t="shared" si="18"/>
        <v>0</v>
      </c>
      <c r="N71" s="111">
        <f t="shared" si="18"/>
        <v>41658200</v>
      </c>
      <c r="O71" s="104">
        <f t="shared" si="18"/>
        <v>869138000</v>
      </c>
      <c r="P71" s="104">
        <f t="shared" si="18"/>
        <v>3385200</v>
      </c>
      <c r="Q71" s="104">
        <f t="shared" si="18"/>
        <v>914181400</v>
      </c>
    </row>
  </sheetData>
  <sheetProtection password="9C6E" sheet="1" objects="1" scenarios="1"/>
  <mergeCells count="51">
    <mergeCell ref="Q64:Q65"/>
    <mergeCell ref="Q67:Q68"/>
    <mergeCell ref="Q47:Q48"/>
    <mergeCell ref="P24:P25"/>
    <mergeCell ref="A33:A39"/>
    <mergeCell ref="A40:A43"/>
    <mergeCell ref="Q57:Q58"/>
    <mergeCell ref="Q61:Q62"/>
    <mergeCell ref="Q44:Q45"/>
    <mergeCell ref="Q51:Q52"/>
    <mergeCell ref="Q54:Q55"/>
    <mergeCell ref="N24:N25"/>
    <mergeCell ref="O24:O25"/>
    <mergeCell ref="Q24:Q25"/>
    <mergeCell ref="Q26:Q27"/>
    <mergeCell ref="Q29:Q30"/>
    <mergeCell ref="C4:D4"/>
    <mergeCell ref="E4:G4"/>
    <mergeCell ref="C24:C25"/>
    <mergeCell ref="D24:H24"/>
    <mergeCell ref="B29:B31"/>
    <mergeCell ref="A6:D6"/>
    <mergeCell ref="A22:D22"/>
    <mergeCell ref="A24:A25"/>
    <mergeCell ref="B24:B25"/>
    <mergeCell ref="I24:M24"/>
    <mergeCell ref="Q33:Q34"/>
    <mergeCell ref="Q36:Q37"/>
    <mergeCell ref="B32:C32"/>
    <mergeCell ref="A26:A32"/>
    <mergeCell ref="B26:B28"/>
    <mergeCell ref="A51:A60"/>
    <mergeCell ref="A61:A70"/>
    <mergeCell ref="B33:B35"/>
    <mergeCell ref="B36:B38"/>
    <mergeCell ref="B40:B42"/>
    <mergeCell ref="B44:B46"/>
    <mergeCell ref="B47:B49"/>
    <mergeCell ref="B67:B69"/>
    <mergeCell ref="A44:A50"/>
    <mergeCell ref="B71:C71"/>
    <mergeCell ref="B39:C39"/>
    <mergeCell ref="B43:C43"/>
    <mergeCell ref="B50:C50"/>
    <mergeCell ref="B60:C60"/>
    <mergeCell ref="B70:C70"/>
    <mergeCell ref="B54:B56"/>
    <mergeCell ref="B57:B59"/>
    <mergeCell ref="B61:B63"/>
    <mergeCell ref="B64:B66"/>
    <mergeCell ref="B51:B53"/>
  </mergeCells>
  <conditionalFormatting sqref="D19:N21 C18:N18 E22:N22 B9:I9 B17:I17 E15:E16 B14:E14 F14:F16 B10:F13 G10:I16">
    <cfRule type="cellIs" dxfId="4" priority="7" stopIfTrue="1" operator="lessThan">
      <formula>0</formula>
    </cfRule>
  </conditionalFormatting>
  <conditionalFormatting sqref="B15:D16">
    <cfRule type="cellIs" dxfId="3" priority="1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7:H27 D26:H26 J26 D29:Q29 I28:Q28 J27:O27 D43:F43 I35:J35 I52:J52 P53:Q53 F57:J57 I55:J55 D60:J60 F58 L58:Q58 G51:J51 G62:Q62 F61:J61 F65 E64:Q64 F68 E67:Q67 L26:Q26 D34:E34 D33:E33 L33:Q33 D36:E36 L36:Q36 L35:Q35 L34:O34 L38:Q39 L54:Q54 L52:Q52 L57:Q57 N56:Q56 L55:Q55 L60:Q60 L51:Q51 D59:H59 N59:Q59 D63:H63 N63:Q63 D66:H66 N66:Q66 D70:Q70 D69:H69 N69:Q69 D37:E39 G37:J39 G34:J34 G33:J33 G36:J36 D40:E42 G40:J42 D44:E49 G44:J50 G43:J43 F33:F34 F44:F48 I54:J54 F36:F42 Q27 D31:Q32 D30:O30 Q30 E71:Q71 E50 L37:O37 Q37 Q34 I65:Q65 I68:Q68 I58 L42:Q43 L41:O41 Q41 L40:O40 Q40 L46:Q46 L44:O44 Q44 L49:Q50 L47:O47 Q47 L45:O45 Q45 L48:O48 Q48 L61:Q61" unlockedFormula="1"/>
    <ignoredError sqref="F28:H28 D35:E35 G35:H35 F53" formula="1" unlockedFormula="1"/>
    <ignoredError sqref="D28:E28 F3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V51"/>
  <sheetViews>
    <sheetView showGridLines="0" topLeftCell="A16" zoomScale="80" zoomScaleNormal="80" workbookViewId="0">
      <selection activeCell="N34" sqref="N34"/>
    </sheetView>
  </sheetViews>
  <sheetFormatPr baseColWidth="10" defaultColWidth="11.42578125" defaultRowHeight="12.75" x14ac:dyDescent="0.2"/>
  <cols>
    <col min="1" max="1" width="56.5703125" style="59" customWidth="1"/>
    <col min="2" max="2" width="33.85546875" style="34" customWidth="1"/>
    <col min="3" max="3" width="12.28515625" style="59" customWidth="1"/>
    <col min="4" max="4" width="13.7109375" style="59" bestFit="1" customWidth="1"/>
    <col min="5" max="5" width="15.5703125" style="59" bestFit="1" customWidth="1"/>
    <col min="6" max="6" width="14.5703125" style="59" customWidth="1"/>
    <col min="7" max="7" width="14.85546875" style="59" customWidth="1"/>
    <col min="8" max="8" width="11.85546875" style="59" bestFit="1" customWidth="1"/>
    <col min="9" max="9" width="14.5703125" style="59" bestFit="1" customWidth="1"/>
    <col min="10" max="10" width="14.5703125" style="59" customWidth="1"/>
    <col min="11" max="12" width="11.85546875" style="59" customWidth="1"/>
    <col min="13" max="13" width="14" style="59" customWidth="1"/>
    <col min="14" max="15" width="14.5703125" style="59" customWidth="1"/>
    <col min="16" max="17" width="11.85546875" style="59" customWidth="1"/>
    <col min="18" max="18" width="11.85546875" style="34" customWidth="1"/>
    <col min="19" max="19" width="32.7109375" style="59" customWidth="1"/>
    <col min="20" max="20" width="33" style="34" bestFit="1" customWidth="1"/>
    <col min="21" max="21" width="13.85546875" style="59" customWidth="1"/>
    <col min="22" max="22" width="14.5703125" style="59" bestFit="1" customWidth="1"/>
    <col min="23" max="23" width="14.5703125" style="59" customWidth="1"/>
    <col min="24" max="24" width="12.85546875" style="59" bestFit="1" customWidth="1"/>
    <col min="25" max="16384" width="11.42578125" style="59"/>
  </cols>
  <sheetData>
    <row r="1" spans="1:256" s="6" customFormat="1" x14ac:dyDescent="0.2">
      <c r="A1" s="5"/>
      <c r="C1" s="7"/>
      <c r="D1" s="7"/>
      <c r="E1" s="7"/>
      <c r="F1" s="58" t="s">
        <v>240</v>
      </c>
      <c r="G1" s="7"/>
      <c r="R1" s="17"/>
      <c r="S1" s="5"/>
      <c r="IU1" s="4"/>
      <c r="IV1" s="4"/>
    </row>
    <row r="2" spans="1:256" s="6" customFormat="1" x14ac:dyDescent="0.2">
      <c r="A2" s="8"/>
      <c r="C2" s="7"/>
      <c r="D2" s="7"/>
      <c r="E2" s="7"/>
      <c r="F2" s="58" t="s">
        <v>233</v>
      </c>
      <c r="G2" s="7"/>
      <c r="R2" s="17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7"/>
      <c r="S3" s="4"/>
      <c r="IU3" s="4"/>
      <c r="IV3" s="4"/>
    </row>
    <row r="4" spans="1:256" s="6" customFormat="1" ht="13.5" thickBot="1" x14ac:dyDescent="0.25">
      <c r="A4" s="26"/>
      <c r="B4" s="2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9"/>
      <c r="S4" s="26"/>
      <c r="T4" s="27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6"/>
      <c r="B5" s="27"/>
      <c r="C5" s="937" t="s">
        <v>0</v>
      </c>
      <c r="D5" s="975"/>
      <c r="E5" s="293"/>
      <c r="F5" s="993" t="s">
        <v>128</v>
      </c>
      <c r="G5" s="994"/>
      <c r="R5" s="17"/>
      <c r="S5" s="26"/>
      <c r="T5" s="27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6"/>
      <c r="B6" s="27"/>
      <c r="C6" s="293"/>
      <c r="D6" s="293"/>
      <c r="E6" s="293"/>
      <c r="F6" s="296"/>
      <c r="G6" s="296"/>
      <c r="R6" s="17"/>
      <c r="S6" s="26"/>
      <c r="T6" s="27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6"/>
      <c r="B7" s="27"/>
      <c r="C7" s="293"/>
      <c r="D7" s="293"/>
      <c r="E7" s="293"/>
      <c r="F7" s="296"/>
      <c r="G7" s="296"/>
      <c r="R7" s="17"/>
      <c r="S7" s="26"/>
      <c r="T7" s="27"/>
      <c r="V7" s="90"/>
      <c r="W7" s="90"/>
      <c r="IL7" s="4"/>
      <c r="IM7" s="4"/>
      <c r="IN7" s="4"/>
      <c r="IO7" s="4"/>
      <c r="IP7" s="4"/>
      <c r="IQ7" s="4"/>
    </row>
    <row r="8" spans="1:256" s="17" customFormat="1" ht="15.75" x14ac:dyDescent="0.2">
      <c r="A8" s="986" t="s">
        <v>176</v>
      </c>
      <c r="B8" s="986"/>
      <c r="C8" s="986"/>
      <c r="D8" s="986"/>
      <c r="E8" s="294"/>
      <c r="F8" s="296"/>
      <c r="G8" s="296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987" t="s">
        <v>141</v>
      </c>
      <c r="B10" s="979" t="s">
        <v>5</v>
      </c>
      <c r="C10" s="981" t="s">
        <v>88</v>
      </c>
      <c r="D10" s="982"/>
      <c r="E10" s="982"/>
      <c r="F10" s="982"/>
      <c r="G10" s="983"/>
      <c r="H10" s="999" t="s">
        <v>111</v>
      </c>
      <c r="I10" s="1000"/>
      <c r="J10" s="1000"/>
      <c r="K10" s="1000"/>
      <c r="L10" s="1001"/>
      <c r="M10" s="996" t="s">
        <v>145</v>
      </c>
      <c r="N10" s="997"/>
      <c r="O10" s="997"/>
      <c r="P10" s="997"/>
      <c r="Q10" s="998"/>
      <c r="R10" s="20"/>
    </row>
    <row r="11" spans="1:256" ht="64.5" thickBot="1" x14ac:dyDescent="0.25">
      <c r="A11" s="988"/>
      <c r="B11" s="980"/>
      <c r="C11" s="172" t="s">
        <v>89</v>
      </c>
      <c r="D11" s="173" t="s">
        <v>143</v>
      </c>
      <c r="E11" s="173" t="s">
        <v>144</v>
      </c>
      <c r="F11" s="173" t="s">
        <v>90</v>
      </c>
      <c r="G11" s="184" t="s">
        <v>91</v>
      </c>
      <c r="H11" s="185" t="s">
        <v>89</v>
      </c>
      <c r="I11" s="186" t="s">
        <v>143</v>
      </c>
      <c r="J11" s="186" t="s">
        <v>144</v>
      </c>
      <c r="K11" s="187" t="s">
        <v>90</v>
      </c>
      <c r="L11" s="188" t="s">
        <v>91</v>
      </c>
      <c r="M11" s="180" t="s">
        <v>89</v>
      </c>
      <c r="N11" s="181" t="s">
        <v>143</v>
      </c>
      <c r="O11" s="181" t="s">
        <v>144</v>
      </c>
      <c r="P11" s="181" t="s">
        <v>90</v>
      </c>
      <c r="Q11" s="182" t="s">
        <v>91</v>
      </c>
      <c r="R11" s="20"/>
    </row>
    <row r="12" spans="1:256" ht="13.5" customHeight="1" thickBot="1" x14ac:dyDescent="0.25">
      <c r="A12" s="984" t="s">
        <v>152</v>
      </c>
      <c r="B12" s="464" t="s">
        <v>132</v>
      </c>
      <c r="C12" s="465">
        <v>74000</v>
      </c>
      <c r="D12" s="465">
        <v>88800</v>
      </c>
      <c r="E12" s="465">
        <v>88800</v>
      </c>
      <c r="F12" s="465">
        <v>99200</v>
      </c>
      <c r="G12" s="466">
        <v>145900</v>
      </c>
      <c r="H12" s="209">
        <v>7.0000000000000007E-2</v>
      </c>
      <c r="I12" s="178">
        <f>+H12</f>
        <v>7.0000000000000007E-2</v>
      </c>
      <c r="J12" s="178">
        <f>+H12</f>
        <v>7.0000000000000007E-2</v>
      </c>
      <c r="K12" s="178">
        <f>+H12</f>
        <v>7.0000000000000007E-2</v>
      </c>
      <c r="L12" s="473">
        <f>+H12</f>
        <v>7.0000000000000007E-2</v>
      </c>
      <c r="M12" s="183">
        <f>CEILING(C12*(1+H12),100)</f>
        <v>79200</v>
      </c>
      <c r="N12" s="702">
        <f t="shared" ref="N12:N18" si="0">+CEILING(C12*(1.2)*(1+I12),100)</f>
        <v>95100</v>
      </c>
      <c r="O12" s="702">
        <f>+CEILING(C12*(1.2)*(1+J12),100)</f>
        <v>95100</v>
      </c>
      <c r="P12" s="702">
        <f>+CEILING(F12*(1+K12),100)</f>
        <v>106200</v>
      </c>
      <c r="Q12" s="703">
        <f>+CEILING(G12*(1+L12),100)</f>
        <v>156200</v>
      </c>
      <c r="R12" s="145"/>
    </row>
    <row r="13" spans="1:256" ht="13.5" customHeight="1" thickBot="1" x14ac:dyDescent="0.25">
      <c r="A13" s="985"/>
      <c r="B13" s="467" t="s">
        <v>133</v>
      </c>
      <c r="C13" s="468">
        <v>120900</v>
      </c>
      <c r="D13" s="468">
        <v>145100</v>
      </c>
      <c r="E13" s="468">
        <v>145100</v>
      </c>
      <c r="F13" s="468">
        <v>204100</v>
      </c>
      <c r="G13" s="469">
        <v>304400</v>
      </c>
      <c r="H13" s="209">
        <v>7.0000000000000007E-2</v>
      </c>
      <c r="I13" s="189">
        <f t="shared" ref="I13:I18" si="1">+H13</f>
        <v>7.0000000000000007E-2</v>
      </c>
      <c r="J13" s="189">
        <f t="shared" ref="J13:J18" si="2">+H13</f>
        <v>7.0000000000000007E-2</v>
      </c>
      <c r="K13" s="189">
        <f t="shared" ref="K13:K18" si="3">+H13</f>
        <v>7.0000000000000007E-2</v>
      </c>
      <c r="L13" s="474">
        <f t="shared" ref="L13:L18" si="4">+H13</f>
        <v>7.0000000000000007E-2</v>
      </c>
      <c r="M13" s="707">
        <f t="shared" ref="M13:M18" si="5">CEILING(C13*(1+H13),100)</f>
        <v>129400</v>
      </c>
      <c r="N13" s="708">
        <f t="shared" si="0"/>
        <v>155300</v>
      </c>
      <c r="O13" s="708">
        <f t="shared" ref="O13:O18" si="6">+CEILING(C13*(1.2)*(1+J13),100)</f>
        <v>155300</v>
      </c>
      <c r="P13" s="708">
        <f t="shared" ref="P13:P18" si="7">+CEILING(F13*(1+K13),100)</f>
        <v>218400</v>
      </c>
      <c r="Q13" s="709">
        <f t="shared" ref="Q13:Q18" si="8">+CEILING(G13*(1+L13),100)</f>
        <v>325800</v>
      </c>
    </row>
    <row r="14" spans="1:256" ht="12.75" customHeight="1" thickBot="1" x14ac:dyDescent="0.25">
      <c r="A14" s="984" t="s">
        <v>153</v>
      </c>
      <c r="B14" s="464" t="s">
        <v>132</v>
      </c>
      <c r="C14" s="465">
        <v>74000</v>
      </c>
      <c r="D14" s="465">
        <v>88800</v>
      </c>
      <c r="E14" s="465">
        <v>88800</v>
      </c>
      <c r="F14" s="465">
        <v>99200</v>
      </c>
      <c r="G14" s="466">
        <v>145900</v>
      </c>
      <c r="H14" s="209">
        <v>7.0000000000000007E-2</v>
      </c>
      <c r="I14" s="178">
        <f t="shared" si="1"/>
        <v>7.0000000000000007E-2</v>
      </c>
      <c r="J14" s="178">
        <f t="shared" si="2"/>
        <v>7.0000000000000007E-2</v>
      </c>
      <c r="K14" s="178">
        <f t="shared" si="3"/>
        <v>7.0000000000000007E-2</v>
      </c>
      <c r="L14" s="473">
        <f t="shared" si="4"/>
        <v>7.0000000000000007E-2</v>
      </c>
      <c r="M14" s="183">
        <f t="shared" si="5"/>
        <v>79200</v>
      </c>
      <c r="N14" s="702">
        <f t="shared" si="0"/>
        <v>95100</v>
      </c>
      <c r="O14" s="702">
        <f t="shared" si="6"/>
        <v>95100</v>
      </c>
      <c r="P14" s="702">
        <f t="shared" si="7"/>
        <v>106200</v>
      </c>
      <c r="Q14" s="703">
        <f t="shared" si="8"/>
        <v>156200</v>
      </c>
      <c r="R14" s="146"/>
    </row>
    <row r="15" spans="1:256" ht="12.75" customHeight="1" thickBot="1" x14ac:dyDescent="0.25">
      <c r="A15" s="985"/>
      <c r="B15" s="467" t="s">
        <v>133</v>
      </c>
      <c r="C15" s="468">
        <v>120900</v>
      </c>
      <c r="D15" s="468">
        <v>145100</v>
      </c>
      <c r="E15" s="468">
        <v>145100</v>
      </c>
      <c r="F15" s="468">
        <v>204100</v>
      </c>
      <c r="G15" s="469">
        <v>304400</v>
      </c>
      <c r="H15" s="209">
        <v>7.0000000000000007E-2</v>
      </c>
      <c r="I15" s="189">
        <f t="shared" si="1"/>
        <v>7.0000000000000007E-2</v>
      </c>
      <c r="J15" s="189">
        <f t="shared" si="2"/>
        <v>7.0000000000000007E-2</v>
      </c>
      <c r="K15" s="189">
        <f t="shared" si="3"/>
        <v>7.0000000000000007E-2</v>
      </c>
      <c r="L15" s="474">
        <f t="shared" si="4"/>
        <v>7.0000000000000007E-2</v>
      </c>
      <c r="M15" s="704">
        <f t="shared" si="5"/>
        <v>129400</v>
      </c>
      <c r="N15" s="705">
        <f t="shared" si="0"/>
        <v>155300</v>
      </c>
      <c r="O15" s="705">
        <f t="shared" si="6"/>
        <v>155300</v>
      </c>
      <c r="P15" s="705">
        <f t="shared" si="7"/>
        <v>218400</v>
      </c>
      <c r="Q15" s="706">
        <f t="shared" si="8"/>
        <v>325800</v>
      </c>
      <c r="R15" s="146"/>
    </row>
    <row r="16" spans="1:256" ht="27" customHeight="1" thickBot="1" x14ac:dyDescent="0.25">
      <c r="A16" s="470" t="s">
        <v>154</v>
      </c>
      <c r="B16" s="471" t="s">
        <v>132</v>
      </c>
      <c r="C16" s="472">
        <v>29700</v>
      </c>
      <c r="D16" s="472">
        <v>35700</v>
      </c>
      <c r="E16" s="472">
        <v>35700</v>
      </c>
      <c r="F16" s="472">
        <v>37300</v>
      </c>
      <c r="G16" s="472">
        <v>44600</v>
      </c>
      <c r="H16" s="209">
        <v>7.0000000000000007E-2</v>
      </c>
      <c r="I16" s="179">
        <f t="shared" si="1"/>
        <v>7.0000000000000007E-2</v>
      </c>
      <c r="J16" s="179">
        <f t="shared" si="2"/>
        <v>7.0000000000000007E-2</v>
      </c>
      <c r="K16" s="179">
        <f t="shared" si="3"/>
        <v>7.0000000000000007E-2</v>
      </c>
      <c r="L16" s="475">
        <f t="shared" si="4"/>
        <v>7.0000000000000007E-2</v>
      </c>
      <c r="M16" s="710">
        <f t="shared" si="5"/>
        <v>31800</v>
      </c>
      <c r="N16" s="711">
        <f t="shared" si="0"/>
        <v>38200</v>
      </c>
      <c r="O16" s="711">
        <f t="shared" si="6"/>
        <v>38200</v>
      </c>
      <c r="P16" s="711">
        <f t="shared" si="7"/>
        <v>40000</v>
      </c>
      <c r="Q16" s="712">
        <f t="shared" si="8"/>
        <v>47800</v>
      </c>
    </row>
    <row r="17" spans="1:18" ht="12.75" customHeight="1" thickBot="1" x14ac:dyDescent="0.25">
      <c r="A17" s="984" t="s">
        <v>155</v>
      </c>
      <c r="B17" s="464" t="s">
        <v>132</v>
      </c>
      <c r="C17" s="465">
        <v>74000</v>
      </c>
      <c r="D17" s="465">
        <v>88800</v>
      </c>
      <c r="E17" s="465">
        <v>88800</v>
      </c>
      <c r="F17" s="465">
        <v>99200</v>
      </c>
      <c r="G17" s="466">
        <v>145900</v>
      </c>
      <c r="H17" s="209">
        <v>7.0000000000000007E-2</v>
      </c>
      <c r="I17" s="178">
        <f t="shared" si="1"/>
        <v>7.0000000000000007E-2</v>
      </c>
      <c r="J17" s="178">
        <f t="shared" si="2"/>
        <v>7.0000000000000007E-2</v>
      </c>
      <c r="K17" s="178">
        <f t="shared" si="3"/>
        <v>7.0000000000000007E-2</v>
      </c>
      <c r="L17" s="473">
        <f t="shared" si="4"/>
        <v>7.0000000000000007E-2</v>
      </c>
      <c r="M17" s="183">
        <f t="shared" si="5"/>
        <v>79200</v>
      </c>
      <c r="N17" s="702">
        <f t="shared" si="0"/>
        <v>95100</v>
      </c>
      <c r="O17" s="702">
        <f t="shared" si="6"/>
        <v>95100</v>
      </c>
      <c r="P17" s="702">
        <f t="shared" si="7"/>
        <v>106200</v>
      </c>
      <c r="Q17" s="703">
        <f t="shared" si="8"/>
        <v>156200</v>
      </c>
    </row>
    <row r="18" spans="1:18" ht="12.75" customHeight="1" thickBot="1" x14ac:dyDescent="0.25">
      <c r="A18" s="985"/>
      <c r="B18" s="467" t="s">
        <v>133</v>
      </c>
      <c r="C18" s="468">
        <v>120900</v>
      </c>
      <c r="D18" s="468">
        <v>145100</v>
      </c>
      <c r="E18" s="468">
        <v>145100</v>
      </c>
      <c r="F18" s="468">
        <v>204100</v>
      </c>
      <c r="G18" s="469">
        <v>304400</v>
      </c>
      <c r="H18" s="209">
        <v>7.0000000000000007E-2</v>
      </c>
      <c r="I18" s="189">
        <f t="shared" si="1"/>
        <v>7.0000000000000007E-2</v>
      </c>
      <c r="J18" s="189">
        <f t="shared" si="2"/>
        <v>7.0000000000000007E-2</v>
      </c>
      <c r="K18" s="189">
        <f t="shared" si="3"/>
        <v>7.0000000000000007E-2</v>
      </c>
      <c r="L18" s="474">
        <f t="shared" si="4"/>
        <v>7.0000000000000007E-2</v>
      </c>
      <c r="M18" s="704">
        <f t="shared" si="5"/>
        <v>129400</v>
      </c>
      <c r="N18" s="705">
        <f t="shared" si="0"/>
        <v>155300</v>
      </c>
      <c r="O18" s="705">
        <f t="shared" si="6"/>
        <v>155300</v>
      </c>
      <c r="P18" s="705">
        <f t="shared" si="7"/>
        <v>218400</v>
      </c>
      <c r="Q18" s="706">
        <f t="shared" si="8"/>
        <v>325800</v>
      </c>
    </row>
    <row r="19" spans="1:18" ht="12.75" customHeight="1" thickBot="1" x14ac:dyDescent="0.25">
      <c r="B19" s="59"/>
      <c r="R19" s="59"/>
    </row>
    <row r="20" spans="1:18" ht="15.75" customHeight="1" x14ac:dyDescent="0.2">
      <c r="A20" s="987" t="s">
        <v>142</v>
      </c>
      <c r="B20" s="1006" t="s">
        <v>5</v>
      </c>
      <c r="C20" s="981" t="s">
        <v>88</v>
      </c>
      <c r="D20" s="982"/>
      <c r="E20" s="982"/>
      <c r="F20" s="982"/>
      <c r="G20" s="983"/>
      <c r="H20" s="1008" t="s">
        <v>111</v>
      </c>
      <c r="I20" s="1009"/>
      <c r="J20" s="1009"/>
      <c r="K20" s="1009"/>
      <c r="L20" s="1009"/>
      <c r="M20" s="1010" t="s">
        <v>145</v>
      </c>
      <c r="N20" s="1011"/>
      <c r="O20" s="1011"/>
      <c r="P20" s="1011"/>
      <c r="Q20" s="1012"/>
      <c r="R20" s="20"/>
    </row>
    <row r="21" spans="1:18" ht="64.5" thickBot="1" x14ac:dyDescent="0.25">
      <c r="A21" s="988"/>
      <c r="B21" s="1007"/>
      <c r="C21" s="172" t="s">
        <v>89</v>
      </c>
      <c r="D21" s="173" t="s">
        <v>143</v>
      </c>
      <c r="E21" s="173" t="s">
        <v>144</v>
      </c>
      <c r="F21" s="173" t="s">
        <v>90</v>
      </c>
      <c r="G21" s="184" t="s">
        <v>91</v>
      </c>
      <c r="H21" s="196" t="s">
        <v>89</v>
      </c>
      <c r="I21" s="198" t="s">
        <v>143</v>
      </c>
      <c r="J21" s="198" t="s">
        <v>144</v>
      </c>
      <c r="K21" s="197" t="s">
        <v>90</v>
      </c>
      <c r="L21" s="199" t="s">
        <v>91</v>
      </c>
      <c r="M21" s="200" t="s">
        <v>89</v>
      </c>
      <c r="N21" s="181" t="s">
        <v>143</v>
      </c>
      <c r="O21" s="181" t="s">
        <v>144</v>
      </c>
      <c r="P21" s="201" t="s">
        <v>90</v>
      </c>
      <c r="Q21" s="202" t="s">
        <v>91</v>
      </c>
      <c r="R21" s="20"/>
    </row>
    <row r="22" spans="1:18" ht="13.5" thickBot="1" x14ac:dyDescent="0.25">
      <c r="A22" s="984" t="s">
        <v>156</v>
      </c>
      <c r="B22" s="476" t="s">
        <v>139</v>
      </c>
      <c r="C22" s="481">
        <v>308300</v>
      </c>
      <c r="D22" s="465">
        <v>370000</v>
      </c>
      <c r="E22" s="465">
        <v>370000</v>
      </c>
      <c r="F22" s="465">
        <v>363400</v>
      </c>
      <c r="G22" s="482">
        <v>424000</v>
      </c>
      <c r="H22" s="209">
        <v>0.05</v>
      </c>
      <c r="I22" s="178">
        <f t="shared" ref="I22:I27" si="9">+H22</f>
        <v>0.05</v>
      </c>
      <c r="J22" s="178">
        <f t="shared" ref="J22:J27" si="10">+H22</f>
        <v>0.05</v>
      </c>
      <c r="K22" s="178">
        <f t="shared" ref="K22:K27" si="11">+H22</f>
        <v>0.05</v>
      </c>
      <c r="L22" s="473">
        <f t="shared" ref="L22:L27" si="12">+H22</f>
        <v>0.05</v>
      </c>
      <c r="M22" s="183">
        <f t="shared" ref="M22:M27" si="13">CEILING(C22*(1+H22),100)</f>
        <v>323800</v>
      </c>
      <c r="N22" s="176">
        <f>+CEILING(C22*(1.2),100)*(1+I22)</f>
        <v>388500</v>
      </c>
      <c r="O22" s="176">
        <f>+CEILING(C22*(1.2)*(1+J22),100)</f>
        <v>388500</v>
      </c>
      <c r="P22" s="176">
        <f>+CEILING(F22*(1+K22),100)</f>
        <v>381600</v>
      </c>
      <c r="Q22" s="177">
        <f>+CEILING(G22*(1+L22),100)</f>
        <v>445200</v>
      </c>
      <c r="R22" s="146"/>
    </row>
    <row r="23" spans="1:18" ht="13.5" thickBot="1" x14ac:dyDescent="0.25">
      <c r="A23" s="995"/>
      <c r="B23" s="477" t="s">
        <v>157</v>
      </c>
      <c r="C23" s="483">
        <v>251300</v>
      </c>
      <c r="D23" s="484">
        <v>0</v>
      </c>
      <c r="E23" s="484">
        <v>0</v>
      </c>
      <c r="F23" s="484">
        <v>0</v>
      </c>
      <c r="G23" s="485">
        <v>0</v>
      </c>
      <c r="H23" s="209">
        <v>0.05</v>
      </c>
      <c r="I23" s="552">
        <f t="shared" si="9"/>
        <v>0.05</v>
      </c>
      <c r="J23" s="552">
        <f t="shared" si="10"/>
        <v>0.05</v>
      </c>
      <c r="K23" s="552">
        <f t="shared" si="11"/>
        <v>0.05</v>
      </c>
      <c r="L23" s="553">
        <f t="shared" si="12"/>
        <v>0.05</v>
      </c>
      <c r="M23" s="204">
        <f t="shared" si="13"/>
        <v>263900</v>
      </c>
      <c r="N23" s="205"/>
      <c r="O23" s="205"/>
      <c r="P23" s="205"/>
      <c r="Q23" s="206"/>
      <c r="R23" s="146"/>
    </row>
    <row r="24" spans="1:18" ht="13.5" thickBot="1" x14ac:dyDescent="0.25">
      <c r="A24" s="985"/>
      <c r="B24" s="478" t="s">
        <v>140</v>
      </c>
      <c r="C24" s="486">
        <v>171300</v>
      </c>
      <c r="D24" s="487">
        <v>0</v>
      </c>
      <c r="E24" s="487">
        <v>0</v>
      </c>
      <c r="F24" s="487">
        <v>0</v>
      </c>
      <c r="G24" s="488">
        <v>0</v>
      </c>
      <c r="H24" s="209">
        <v>0.05</v>
      </c>
      <c r="I24" s="554">
        <f t="shared" si="9"/>
        <v>0.05</v>
      </c>
      <c r="J24" s="554">
        <f t="shared" si="10"/>
        <v>0.05</v>
      </c>
      <c r="K24" s="554">
        <f t="shared" si="11"/>
        <v>0.05</v>
      </c>
      <c r="L24" s="474">
        <f t="shared" si="12"/>
        <v>0.05</v>
      </c>
      <c r="M24" s="193">
        <f t="shared" si="13"/>
        <v>179900</v>
      </c>
      <c r="N24" s="207"/>
      <c r="O24" s="207"/>
      <c r="P24" s="207"/>
      <c r="Q24" s="208"/>
      <c r="R24" s="146"/>
    </row>
    <row r="25" spans="1:18" ht="13.5" thickBot="1" x14ac:dyDescent="0.25">
      <c r="A25" s="970" t="s">
        <v>158</v>
      </c>
      <c r="B25" s="479" t="s">
        <v>139</v>
      </c>
      <c r="C25" s="481">
        <v>294700</v>
      </c>
      <c r="D25" s="465">
        <v>360700</v>
      </c>
      <c r="E25" s="465">
        <v>360700</v>
      </c>
      <c r="F25" s="465">
        <v>354400</v>
      </c>
      <c r="G25" s="482">
        <v>413400</v>
      </c>
      <c r="H25" s="209">
        <v>0.05</v>
      </c>
      <c r="I25" s="555">
        <f t="shared" si="9"/>
        <v>0.05</v>
      </c>
      <c r="J25" s="555">
        <f t="shared" si="10"/>
        <v>0.05</v>
      </c>
      <c r="K25" s="555">
        <f t="shared" si="11"/>
        <v>0.05</v>
      </c>
      <c r="L25" s="556">
        <f t="shared" si="12"/>
        <v>0.05</v>
      </c>
      <c r="M25" s="203">
        <f t="shared" si="13"/>
        <v>309500</v>
      </c>
      <c r="N25" s="147">
        <f>+CEILING((C25*(1.2))*(1+I25),100)</f>
        <v>371400</v>
      </c>
      <c r="O25" s="147">
        <f>+CEILING(C25*(1.2)*(1+J25),100)</f>
        <v>371400</v>
      </c>
      <c r="P25" s="147">
        <f>+CEILING(F25*(1+K25),100)</f>
        <v>372200</v>
      </c>
      <c r="Q25" s="148">
        <f>+CEILING(G25*(1+L25),100)</f>
        <v>434100</v>
      </c>
    </row>
    <row r="26" spans="1:18" ht="13.5" thickBot="1" x14ac:dyDescent="0.25">
      <c r="A26" s="971"/>
      <c r="B26" s="480" t="s">
        <v>157</v>
      </c>
      <c r="C26" s="483">
        <v>240100</v>
      </c>
      <c r="D26" s="484">
        <v>0</v>
      </c>
      <c r="E26" s="484">
        <v>0</v>
      </c>
      <c r="F26" s="484">
        <v>0</v>
      </c>
      <c r="G26" s="485">
        <v>0</v>
      </c>
      <c r="H26" s="209">
        <v>0.05</v>
      </c>
      <c r="I26" s="557">
        <f t="shared" si="9"/>
        <v>0.05</v>
      </c>
      <c r="J26" s="557">
        <f t="shared" si="10"/>
        <v>0.05</v>
      </c>
      <c r="K26" s="557">
        <f t="shared" si="11"/>
        <v>0.05</v>
      </c>
      <c r="L26" s="558">
        <f t="shared" si="12"/>
        <v>0.05</v>
      </c>
      <c r="M26" s="191">
        <f t="shared" si="13"/>
        <v>252200</v>
      </c>
      <c r="N26" s="190"/>
      <c r="O26" s="190"/>
      <c r="P26" s="190"/>
      <c r="Q26" s="192"/>
    </row>
    <row r="27" spans="1:18" ht="13.5" thickBot="1" x14ac:dyDescent="0.25">
      <c r="A27" s="971"/>
      <c r="B27" s="480" t="s">
        <v>140</v>
      </c>
      <c r="C27" s="486">
        <v>163800</v>
      </c>
      <c r="D27" s="487">
        <v>0</v>
      </c>
      <c r="E27" s="487">
        <v>0</v>
      </c>
      <c r="F27" s="487">
        <v>0</v>
      </c>
      <c r="G27" s="488">
        <v>0</v>
      </c>
      <c r="H27" s="209">
        <v>0.05</v>
      </c>
      <c r="I27" s="189">
        <f t="shared" si="9"/>
        <v>0.05</v>
      </c>
      <c r="J27" s="189">
        <f t="shared" si="10"/>
        <v>0.05</v>
      </c>
      <c r="K27" s="189">
        <f t="shared" si="11"/>
        <v>0.05</v>
      </c>
      <c r="L27" s="559">
        <f t="shared" si="12"/>
        <v>0.05</v>
      </c>
      <c r="M27" s="193">
        <f t="shared" si="13"/>
        <v>172000</v>
      </c>
      <c r="N27" s="194"/>
      <c r="O27" s="194"/>
      <c r="P27" s="194"/>
      <c r="Q27" s="195"/>
    </row>
    <row r="31" spans="1:18" x14ac:dyDescent="0.2">
      <c r="D31" s="507"/>
    </row>
    <row r="32" spans="1:18" ht="15.75" x14ac:dyDescent="0.2">
      <c r="A32" s="986" t="s">
        <v>177</v>
      </c>
      <c r="B32" s="986"/>
      <c r="C32" s="986"/>
      <c r="D32" s="986"/>
      <c r="E32" s="986"/>
      <c r="F32" s="986"/>
      <c r="G32" s="17"/>
      <c r="H32" s="17"/>
    </row>
    <row r="33" spans="1:12" ht="13.5" thickBot="1" x14ac:dyDescent="0.25"/>
    <row r="34" spans="1:12" ht="16.5" thickBot="1" x14ac:dyDescent="0.25">
      <c r="A34" s="991" t="s">
        <v>141</v>
      </c>
      <c r="B34" s="989" t="s">
        <v>5</v>
      </c>
      <c r="C34" s="976" t="s">
        <v>146</v>
      </c>
      <c r="D34" s="977"/>
      <c r="E34" s="977"/>
      <c r="F34" s="977"/>
      <c r="G34" s="977"/>
      <c r="H34" s="978"/>
    </row>
    <row r="35" spans="1:12" ht="64.5" thickBot="1" x14ac:dyDescent="0.25">
      <c r="A35" s="992"/>
      <c r="B35" s="990"/>
      <c r="C35" s="211" t="s">
        <v>89</v>
      </c>
      <c r="D35" s="212" t="s">
        <v>143</v>
      </c>
      <c r="E35" s="212" t="s">
        <v>144</v>
      </c>
      <c r="F35" s="212" t="s">
        <v>90</v>
      </c>
      <c r="G35" s="213" t="s">
        <v>91</v>
      </c>
      <c r="H35" s="214" t="s">
        <v>138</v>
      </c>
    </row>
    <row r="36" spans="1:12" ht="20.100000000000001" customHeight="1" x14ac:dyDescent="0.2">
      <c r="A36" s="972" t="str">
        <f>+A12</f>
        <v>Jardín Infantil Lobito Marino</v>
      </c>
      <c r="B36" s="563" t="str">
        <f>+B12</f>
        <v>Media jornada</v>
      </c>
      <c r="C36" s="453">
        <v>0</v>
      </c>
      <c r="D36" s="453">
        <v>0</v>
      </c>
      <c r="E36" s="453">
        <v>0</v>
      </c>
      <c r="F36" s="453">
        <v>0</v>
      </c>
      <c r="G36" s="453">
        <v>0</v>
      </c>
      <c r="H36" s="458">
        <f>SUM(C36:G36)</f>
        <v>0</v>
      </c>
    </row>
    <row r="37" spans="1:12" ht="20.100000000000001" customHeight="1" thickBot="1" x14ac:dyDescent="0.25">
      <c r="A37" s="974"/>
      <c r="B37" s="562" t="str">
        <f t="shared" ref="B37:B42" si="14">+B13</f>
        <v>Jornada completa</v>
      </c>
      <c r="C37" s="455">
        <v>136</v>
      </c>
      <c r="D37" s="455">
        <v>1</v>
      </c>
      <c r="E37" s="455">
        <v>0</v>
      </c>
      <c r="F37" s="455">
        <v>3</v>
      </c>
      <c r="G37" s="455">
        <v>0</v>
      </c>
      <c r="H37" s="459">
        <f t="shared" ref="H37:H47" si="15">SUM(C37:G37)</f>
        <v>140</v>
      </c>
    </row>
    <row r="38" spans="1:12" ht="20.100000000000001" customHeight="1" x14ac:dyDescent="0.2">
      <c r="A38" s="972" t="str">
        <f>+A14</f>
        <v>Jardín Infantil Los Delfines</v>
      </c>
      <c r="B38" s="563" t="str">
        <f t="shared" si="14"/>
        <v>Media jornada</v>
      </c>
      <c r="C38" s="453">
        <v>0</v>
      </c>
      <c r="D38" s="453">
        <v>0</v>
      </c>
      <c r="E38" s="453">
        <v>0</v>
      </c>
      <c r="F38" s="453">
        <v>0</v>
      </c>
      <c r="G38" s="453">
        <v>0</v>
      </c>
      <c r="H38" s="458">
        <f t="shared" si="15"/>
        <v>0</v>
      </c>
      <c r="L38" s="508"/>
    </row>
    <row r="39" spans="1:12" ht="20.100000000000001" customHeight="1" thickBot="1" x14ac:dyDescent="0.25">
      <c r="A39" s="974"/>
      <c r="B39" s="562" t="str">
        <f t="shared" si="14"/>
        <v>Jornada completa</v>
      </c>
      <c r="C39" s="455">
        <v>139</v>
      </c>
      <c r="D39" s="455">
        <v>1</v>
      </c>
      <c r="E39" s="455">
        <v>0</v>
      </c>
      <c r="F39" s="455">
        <v>0</v>
      </c>
      <c r="G39" s="455">
        <v>0</v>
      </c>
      <c r="H39" s="459">
        <f t="shared" si="15"/>
        <v>140</v>
      </c>
      <c r="J39" s="210"/>
      <c r="L39" s="508"/>
    </row>
    <row r="40" spans="1:12" ht="20.100000000000001" customHeight="1" thickBot="1" x14ac:dyDescent="0.25">
      <c r="A40" s="565" t="str">
        <f>+A16</f>
        <v>Jardín Infantil Pecesitos de Colores</v>
      </c>
      <c r="B40" s="564" t="str">
        <f t="shared" si="14"/>
        <v>Media jornada</v>
      </c>
      <c r="C40" s="457">
        <v>21</v>
      </c>
      <c r="D40" s="457">
        <v>0</v>
      </c>
      <c r="E40" s="457">
        <v>0</v>
      </c>
      <c r="F40" s="457">
        <v>1</v>
      </c>
      <c r="G40" s="457">
        <v>0</v>
      </c>
      <c r="H40" s="460">
        <f t="shared" si="15"/>
        <v>22</v>
      </c>
      <c r="J40" s="210"/>
    </row>
    <row r="41" spans="1:12" ht="20.100000000000001" customHeight="1" x14ac:dyDescent="0.2">
      <c r="A41" s="972" t="str">
        <f>+A17</f>
        <v>Jardín Infantil Caracolito de Mar</v>
      </c>
      <c r="B41" s="563" t="str">
        <f t="shared" si="14"/>
        <v>Media jornada</v>
      </c>
      <c r="C41" s="453">
        <v>0</v>
      </c>
      <c r="D41" s="453">
        <v>0</v>
      </c>
      <c r="E41" s="453">
        <v>0</v>
      </c>
      <c r="F41" s="453">
        <v>0</v>
      </c>
      <c r="G41" s="453">
        <v>0</v>
      </c>
      <c r="H41" s="458">
        <f t="shared" si="15"/>
        <v>0</v>
      </c>
    </row>
    <row r="42" spans="1:12" ht="20.100000000000001" customHeight="1" thickBot="1" x14ac:dyDescent="0.25">
      <c r="A42" s="974"/>
      <c r="B42" s="562" t="str">
        <f t="shared" si="14"/>
        <v>Jornada completa</v>
      </c>
      <c r="C42" s="455">
        <v>34</v>
      </c>
      <c r="D42" s="455">
        <v>0</v>
      </c>
      <c r="E42" s="455">
        <v>0</v>
      </c>
      <c r="F42" s="455">
        <v>0</v>
      </c>
      <c r="G42" s="455">
        <v>0</v>
      </c>
      <c r="H42" s="459">
        <f t="shared" si="15"/>
        <v>34</v>
      </c>
    </row>
    <row r="43" spans="1:12" ht="13.5" thickBot="1" x14ac:dyDescent="0.25">
      <c r="B43" s="59"/>
    </row>
    <row r="44" spans="1:12" ht="16.5" thickBot="1" x14ac:dyDescent="0.25">
      <c r="A44" s="1013" t="s">
        <v>142</v>
      </c>
      <c r="B44" s="1002" t="s">
        <v>5</v>
      </c>
      <c r="C44" s="1003" t="s">
        <v>146</v>
      </c>
      <c r="D44" s="1004"/>
      <c r="E44" s="1004"/>
      <c r="F44" s="1004"/>
      <c r="G44" s="1004"/>
      <c r="H44" s="1005"/>
    </row>
    <row r="45" spans="1:12" ht="64.5" thickBot="1" x14ac:dyDescent="0.25">
      <c r="A45" s="1014"/>
      <c r="B45" s="980"/>
      <c r="C45" s="211" t="s">
        <v>89</v>
      </c>
      <c r="D45" s="212" t="s">
        <v>143</v>
      </c>
      <c r="E45" s="212" t="s">
        <v>144</v>
      </c>
      <c r="F45" s="212" t="s">
        <v>90</v>
      </c>
      <c r="G45" s="213" t="s">
        <v>91</v>
      </c>
      <c r="H45" s="461" t="s">
        <v>138</v>
      </c>
    </row>
    <row r="46" spans="1:12" ht="20.100000000000001" customHeight="1" x14ac:dyDescent="0.2">
      <c r="A46" s="967" t="str">
        <f>+A22</f>
        <v>Sala Cuna Caracolito de Mar</v>
      </c>
      <c r="B46" s="504" t="str">
        <f>+B22</f>
        <v>Diurna</v>
      </c>
      <c r="C46" s="453">
        <v>32</v>
      </c>
      <c r="D46" s="453"/>
      <c r="E46" s="453"/>
      <c r="F46" s="453"/>
      <c r="G46" s="453"/>
      <c r="H46" s="454">
        <f t="shared" si="15"/>
        <v>32</v>
      </c>
    </row>
    <row r="47" spans="1:12" ht="20.100000000000001" customHeight="1" x14ac:dyDescent="0.2">
      <c r="A47" s="968"/>
      <c r="B47" s="505" t="str">
        <f>+B23</f>
        <v>Nocturna</v>
      </c>
      <c r="C47" s="451">
        <v>2</v>
      </c>
      <c r="D47" s="451"/>
      <c r="E47" s="451"/>
      <c r="F47" s="451"/>
      <c r="G47" s="451"/>
      <c r="H47" s="462">
        <f t="shared" si="15"/>
        <v>2</v>
      </c>
    </row>
    <row r="48" spans="1:12" ht="20.100000000000001" customHeight="1" thickBot="1" x14ac:dyDescent="0.25">
      <c r="A48" s="969"/>
      <c r="B48" s="506" t="str">
        <f>+B24</f>
        <v>Media Jornada</v>
      </c>
      <c r="C48" s="455"/>
      <c r="D48" s="455"/>
      <c r="E48" s="455"/>
      <c r="F48" s="455"/>
      <c r="G48" s="455"/>
      <c r="H48" s="456">
        <f>SUM(C48:G48)</f>
        <v>0</v>
      </c>
    </row>
    <row r="49" spans="1:8" ht="20.100000000000001" customHeight="1" x14ac:dyDescent="0.2">
      <c r="A49" s="972" t="str">
        <f>+A25</f>
        <v>Sala Cuna Mar Azúl</v>
      </c>
      <c r="B49" s="560" t="str">
        <f>+B25</f>
        <v>Diurna</v>
      </c>
      <c r="C49" s="452">
        <v>72</v>
      </c>
      <c r="D49" s="452"/>
      <c r="E49" s="452"/>
      <c r="F49" s="452"/>
      <c r="G49" s="452"/>
      <c r="H49" s="463">
        <f>SUM(C49:G49)</f>
        <v>72</v>
      </c>
    </row>
    <row r="50" spans="1:8" ht="20.100000000000001" customHeight="1" x14ac:dyDescent="0.2">
      <c r="A50" s="973"/>
      <c r="B50" s="561" t="str">
        <f>+B26</f>
        <v>Nocturna</v>
      </c>
      <c r="C50" s="451">
        <v>18</v>
      </c>
      <c r="D50" s="451"/>
      <c r="E50" s="451"/>
      <c r="F50" s="451"/>
      <c r="G50" s="451"/>
      <c r="H50" s="462">
        <f>SUM(C50:G50)</f>
        <v>18</v>
      </c>
    </row>
    <row r="51" spans="1:8" ht="20.100000000000001" customHeight="1" thickBot="1" x14ac:dyDescent="0.25">
      <c r="A51" s="974"/>
      <c r="B51" s="562" t="str">
        <f>+B27</f>
        <v>Media Jornada</v>
      </c>
      <c r="C51" s="455"/>
      <c r="D51" s="455"/>
      <c r="E51" s="455"/>
      <c r="F51" s="455"/>
      <c r="G51" s="455"/>
      <c r="H51" s="456">
        <f>SUM(C51:G51)</f>
        <v>0</v>
      </c>
    </row>
  </sheetData>
  <sheetProtection password="9C6E" sheet="1" objects="1" scenarios="1"/>
  <mergeCells count="30">
    <mergeCell ref="M10:Q10"/>
    <mergeCell ref="A32:F32"/>
    <mergeCell ref="H10:L10"/>
    <mergeCell ref="B44:B45"/>
    <mergeCell ref="C44:H44"/>
    <mergeCell ref="A20:A21"/>
    <mergeCell ref="B20:B21"/>
    <mergeCell ref="C20:G20"/>
    <mergeCell ref="H20:L20"/>
    <mergeCell ref="M20:Q20"/>
    <mergeCell ref="A12:A13"/>
    <mergeCell ref="A38:A39"/>
    <mergeCell ref="A41:A42"/>
    <mergeCell ref="A44:A45"/>
    <mergeCell ref="A46:A48"/>
    <mergeCell ref="A25:A27"/>
    <mergeCell ref="A49:A51"/>
    <mergeCell ref="C5:D5"/>
    <mergeCell ref="C34:H34"/>
    <mergeCell ref="B10:B11"/>
    <mergeCell ref="C10:G10"/>
    <mergeCell ref="A17:A18"/>
    <mergeCell ref="A14:A15"/>
    <mergeCell ref="A8:D8"/>
    <mergeCell ref="A10:A11"/>
    <mergeCell ref="B34:B35"/>
    <mergeCell ref="A34:A35"/>
    <mergeCell ref="A36:A37"/>
    <mergeCell ref="F5:G5"/>
    <mergeCell ref="A22:A24"/>
  </mergeCells>
  <pageMargins left="0.7" right="0.7" top="0.75" bottom="0.75" header="0.3" footer="0.3"/>
  <pageSetup paperSize="9" orientation="portrait" r:id="rId1"/>
  <ignoredErrors>
    <ignoredError sqref="K12:L18 I22:L22 I23:L27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555"/>
  <sheetViews>
    <sheetView showGridLines="0" topLeftCell="A30" zoomScale="90" zoomScaleNormal="90" workbookViewId="0">
      <selection activeCell="F20" sqref="F20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9" customWidth="1"/>
    <col min="7" max="7" width="14.28515625" style="6" customWidth="1"/>
    <col min="8" max="8" width="23" style="6" customWidth="1"/>
    <col min="9" max="9" width="0" style="4" hidden="1" customWidth="1"/>
    <col min="10" max="10" width="31.5703125" style="4" hidden="1" customWidth="1"/>
    <col min="11" max="11" width="59.42578125" style="4" hidden="1" customWidth="1"/>
    <col min="12" max="12" width="14.42578125" style="4" hidden="1" customWidth="1"/>
    <col min="13" max="13" width="11.42578125" style="4"/>
    <col min="14" max="14" width="95.85546875" style="4" bestFit="1" customWidth="1"/>
    <col min="15" max="15" width="14.42578125" style="4" customWidth="1"/>
    <col min="16" max="16" width="13.5703125" style="4" customWidth="1"/>
    <col min="17" max="17" width="13.7109375" style="4" customWidth="1"/>
    <col min="18" max="18" width="12.85546875" style="4" bestFit="1" customWidth="1"/>
    <col min="19" max="16384" width="11.42578125" style="4"/>
  </cols>
  <sheetData>
    <row r="1" spans="1:12" x14ac:dyDescent="0.2">
      <c r="C1" s="58"/>
      <c r="D1" s="58" t="s">
        <v>241</v>
      </c>
      <c r="E1" s="58"/>
      <c r="F1" s="58"/>
      <c r="G1" s="58"/>
      <c r="H1" s="58"/>
    </row>
    <row r="2" spans="1:12" x14ac:dyDescent="0.2">
      <c r="C2" s="58"/>
      <c r="D2" s="58" t="s">
        <v>246</v>
      </c>
      <c r="E2" s="58"/>
      <c r="F2" s="58"/>
      <c r="G2" s="58"/>
      <c r="H2" s="58"/>
      <c r="K2" s="58"/>
    </row>
    <row r="3" spans="1:12" x14ac:dyDescent="0.2">
      <c r="C3" s="58"/>
      <c r="E3" s="58"/>
      <c r="F3" s="58"/>
      <c r="G3" s="58"/>
      <c r="H3" s="58"/>
      <c r="K3" s="58"/>
    </row>
    <row r="4" spans="1:12" ht="19.5" customHeight="1" x14ac:dyDescent="0.2">
      <c r="C4" s="625" t="s">
        <v>0</v>
      </c>
      <c r="D4" s="1057" t="s">
        <v>178</v>
      </c>
      <c r="E4" s="1058"/>
      <c r="F4" s="58"/>
      <c r="G4" s="58"/>
      <c r="H4" s="58"/>
      <c r="K4" s="58"/>
    </row>
    <row r="5" spans="1:12" x14ac:dyDescent="0.2">
      <c r="B5" s="58"/>
      <c r="C5" s="626"/>
      <c r="D5" s="58"/>
      <c r="E5" s="58"/>
      <c r="F5" s="58"/>
      <c r="G5" s="58"/>
      <c r="H5" s="58"/>
      <c r="K5" s="58"/>
    </row>
    <row r="6" spans="1:12" x14ac:dyDescent="0.2">
      <c r="B6" s="58"/>
      <c r="C6" s="626"/>
      <c r="D6" s="58"/>
      <c r="E6" s="58"/>
      <c r="F6" s="58"/>
      <c r="G6" s="58"/>
      <c r="H6" s="58"/>
      <c r="K6" s="58"/>
    </row>
    <row r="7" spans="1:12" x14ac:dyDescent="0.2">
      <c r="C7" s="6"/>
      <c r="K7" s="58"/>
    </row>
    <row r="8" spans="1:12" ht="15.75" x14ac:dyDescent="0.2">
      <c r="A8" s="986" t="s">
        <v>179</v>
      </c>
      <c r="B8" s="986"/>
      <c r="C8" s="986"/>
      <c r="D8" s="626"/>
      <c r="G8" s="4"/>
      <c r="K8" s="1"/>
    </row>
    <row r="9" spans="1:12" x14ac:dyDescent="0.2">
      <c r="K9" s="58"/>
    </row>
    <row r="10" spans="1:12" ht="12.75" customHeight="1" x14ac:dyDescent="0.2">
      <c r="A10" s="1024" t="s">
        <v>117</v>
      </c>
      <c r="B10" s="1026" t="s">
        <v>77</v>
      </c>
      <c r="C10" s="1028" t="s">
        <v>78</v>
      </c>
      <c r="D10" s="1030" t="s">
        <v>79</v>
      </c>
      <c r="E10" s="1039" t="s">
        <v>80</v>
      </c>
      <c r="F10" s="1039"/>
      <c r="G10" s="1039"/>
      <c r="H10" s="1031" t="s">
        <v>149</v>
      </c>
      <c r="I10" s="1033" t="s">
        <v>76</v>
      </c>
      <c r="J10" s="1034"/>
      <c r="K10" s="1034"/>
      <c r="L10" s="1035"/>
    </row>
    <row r="11" spans="1:12" ht="25.5" x14ac:dyDescent="0.2">
      <c r="A11" s="1025"/>
      <c r="B11" s="1027"/>
      <c r="C11" s="1029"/>
      <c r="D11" s="1030"/>
      <c r="E11" s="664" t="s">
        <v>67</v>
      </c>
      <c r="F11" s="665" t="s">
        <v>68</v>
      </c>
      <c r="G11" s="666" t="s">
        <v>6</v>
      </c>
      <c r="H11" s="1032"/>
      <c r="I11" s="1036"/>
      <c r="J11" s="1037"/>
      <c r="K11" s="1037"/>
      <c r="L11" s="1038"/>
    </row>
    <row r="12" spans="1:12" ht="15.75" customHeight="1" x14ac:dyDescent="0.2">
      <c r="A12" s="1018" t="str">
        <f>+'B) Reajuste Tarifas y Ocupación'!A12</f>
        <v>Jardín Infantil Lobito Marino</v>
      </c>
      <c r="B12" s="79"/>
      <c r="C12" s="648" t="s">
        <v>11</v>
      </c>
      <c r="D12" s="659">
        <f>SUM(D13,D18)</f>
        <v>136882381.74000001</v>
      </c>
      <c r="E12" s="660"/>
      <c r="F12" s="660"/>
      <c r="G12" s="667">
        <f>SUM(G13,G18)</f>
        <v>25029020</v>
      </c>
      <c r="H12" s="655">
        <f>SUM(H13,H18)</f>
        <v>161911401.74000001</v>
      </c>
      <c r="I12" s="1021"/>
      <c r="J12" s="1022"/>
      <c r="K12" s="1022"/>
      <c r="L12" s="1023"/>
    </row>
    <row r="13" spans="1:12" x14ac:dyDescent="0.2">
      <c r="A13" s="1019"/>
      <c r="B13" s="80"/>
      <c r="C13" s="644" t="s">
        <v>12</v>
      </c>
      <c r="D13" s="646">
        <f>SUM(D14:D17)</f>
        <v>128411793.74000002</v>
      </c>
      <c r="E13" s="647"/>
      <c r="F13" s="647"/>
      <c r="G13" s="668">
        <f>SUM(G14:G17)</f>
        <v>0</v>
      </c>
      <c r="H13" s="651">
        <f>SUM(H14:H17)</f>
        <v>128411793.74000002</v>
      </c>
      <c r="I13" s="1021"/>
      <c r="J13" s="1022"/>
      <c r="K13" s="1022"/>
      <c r="L13" s="1023"/>
    </row>
    <row r="14" spans="1:12" x14ac:dyDescent="0.2">
      <c r="A14" s="1019"/>
      <c r="B14" s="81">
        <v>53103040100000</v>
      </c>
      <c r="C14" s="634" t="s">
        <v>98</v>
      </c>
      <c r="D14" s="696">
        <f>+'F) Remuneraciones'!L11</f>
        <v>128273793.74000002</v>
      </c>
      <c r="E14" s="669">
        <v>0</v>
      </c>
      <c r="F14" s="670">
        <v>0</v>
      </c>
      <c r="G14" s="658">
        <f>E14*F14</f>
        <v>0</v>
      </c>
      <c r="H14" s="650">
        <f>D14+G14</f>
        <v>128273793.74000002</v>
      </c>
      <c r="I14" s="1021"/>
      <c r="J14" s="1022"/>
      <c r="K14" s="1022"/>
      <c r="L14" s="1023"/>
    </row>
    <row r="15" spans="1:12" x14ac:dyDescent="0.2">
      <c r="A15" s="1019"/>
      <c r="B15" s="81">
        <v>53103050000000</v>
      </c>
      <c r="C15" s="634" t="s">
        <v>198</v>
      </c>
      <c r="D15" s="638">
        <v>0</v>
      </c>
      <c r="E15" s="641">
        <v>0</v>
      </c>
      <c r="F15" s="639">
        <v>0</v>
      </c>
      <c r="G15" s="658">
        <f>E15*F15</f>
        <v>0</v>
      </c>
      <c r="H15" s="650">
        <f>D15+G15</f>
        <v>0</v>
      </c>
      <c r="I15" s="1021"/>
      <c r="J15" s="1022"/>
      <c r="K15" s="1022"/>
      <c r="L15" s="1023"/>
    </row>
    <row r="16" spans="1:12" x14ac:dyDescent="0.2">
      <c r="A16" s="1019"/>
      <c r="B16" s="690">
        <v>53103040400000</v>
      </c>
      <c r="C16" s="691" t="s">
        <v>199</v>
      </c>
      <c r="D16" s="638">
        <v>138000</v>
      </c>
      <c r="E16" s="641">
        <v>0</v>
      </c>
      <c r="F16" s="639">
        <v>0</v>
      </c>
      <c r="G16" s="658">
        <f>E16*F16</f>
        <v>0</v>
      </c>
      <c r="H16" s="650">
        <f>D16+G16</f>
        <v>138000</v>
      </c>
      <c r="I16" s="1021"/>
      <c r="J16" s="1022"/>
      <c r="K16" s="1022"/>
      <c r="L16" s="1023"/>
    </row>
    <row r="17" spans="1:12" x14ac:dyDescent="0.2">
      <c r="A17" s="1019"/>
      <c r="B17" s="81">
        <v>53103080010000</v>
      </c>
      <c r="C17" s="634" t="s">
        <v>200</v>
      </c>
      <c r="D17" s="638">
        <v>0</v>
      </c>
      <c r="E17" s="641">
        <v>0</v>
      </c>
      <c r="F17" s="639">
        <v>0</v>
      </c>
      <c r="G17" s="658">
        <f>E17*F17</f>
        <v>0</v>
      </c>
      <c r="H17" s="650">
        <f>D17+G17</f>
        <v>0</v>
      </c>
      <c r="I17" s="1021"/>
      <c r="J17" s="1022"/>
      <c r="K17" s="1022"/>
      <c r="L17" s="1023"/>
    </row>
    <row r="18" spans="1:12" x14ac:dyDescent="0.2">
      <c r="A18" s="1019"/>
      <c r="B18" s="80"/>
      <c r="C18" s="644" t="s">
        <v>16</v>
      </c>
      <c r="D18" s="646">
        <f>SUM(D19:D38)</f>
        <v>8470588</v>
      </c>
      <c r="E18" s="647"/>
      <c r="F18" s="647"/>
      <c r="G18" s="646">
        <f>SUM(G19:G38)</f>
        <v>25029020</v>
      </c>
      <c r="H18" s="651">
        <f>SUM(H19:H38)</f>
        <v>33499608</v>
      </c>
      <c r="I18" s="1021"/>
      <c r="J18" s="1022"/>
      <c r="K18" s="1022"/>
      <c r="L18" s="1023"/>
    </row>
    <row r="19" spans="1:12" x14ac:dyDescent="0.2">
      <c r="A19" s="1019"/>
      <c r="B19" s="81">
        <v>53201010100000</v>
      </c>
      <c r="C19" s="633" t="s">
        <v>201</v>
      </c>
      <c r="D19" s="638">
        <v>0</v>
      </c>
      <c r="E19" s="641">
        <v>1785</v>
      </c>
      <c r="F19" s="639">
        <f>17*20*11</f>
        <v>3740</v>
      </c>
      <c r="G19" s="658">
        <f t="shared" ref="G19:G38" si="0">E19*F19</f>
        <v>6675900</v>
      </c>
      <c r="H19" s="650">
        <f t="shared" ref="H19:H38" si="1">D19+G19</f>
        <v>6675900</v>
      </c>
      <c r="I19" s="1021"/>
      <c r="J19" s="1022"/>
      <c r="K19" s="1022"/>
      <c r="L19" s="1023"/>
    </row>
    <row r="20" spans="1:12" x14ac:dyDescent="0.2">
      <c r="A20" s="1019"/>
      <c r="B20" s="81">
        <v>53201010100000</v>
      </c>
      <c r="C20" s="633" t="s">
        <v>202</v>
      </c>
      <c r="D20" s="638">
        <v>0</v>
      </c>
      <c r="E20" s="641">
        <v>900</v>
      </c>
      <c r="F20" s="639">
        <f>85*20*10</f>
        <v>17000</v>
      </c>
      <c r="G20" s="658">
        <f>E20*F20</f>
        <v>15300000</v>
      </c>
      <c r="H20" s="650">
        <f>D20+G20</f>
        <v>15300000</v>
      </c>
      <c r="I20" s="629"/>
      <c r="J20" s="630"/>
      <c r="K20" s="630"/>
      <c r="L20" s="631"/>
    </row>
    <row r="21" spans="1:12" x14ac:dyDescent="0.2">
      <c r="A21" s="1019"/>
      <c r="B21" s="81">
        <v>53201010100000</v>
      </c>
      <c r="C21" s="633" t="s">
        <v>203</v>
      </c>
      <c r="D21" s="638">
        <v>0</v>
      </c>
      <c r="E21" s="641">
        <v>0</v>
      </c>
      <c r="F21" s="641">
        <v>0</v>
      </c>
      <c r="G21" s="658">
        <f>E21*F21</f>
        <v>0</v>
      </c>
      <c r="H21" s="650">
        <f>D21+G21</f>
        <v>0</v>
      </c>
      <c r="I21" s="629"/>
      <c r="J21" s="630"/>
      <c r="K21" s="630"/>
      <c r="L21" s="631"/>
    </row>
    <row r="22" spans="1:12" x14ac:dyDescent="0.2">
      <c r="A22" s="1019"/>
      <c r="B22" s="81">
        <v>53202010100000</v>
      </c>
      <c r="C22" s="633" t="s">
        <v>204</v>
      </c>
      <c r="D22" s="638">
        <v>0</v>
      </c>
      <c r="E22" s="641">
        <v>0</v>
      </c>
      <c r="F22" s="639">
        <v>0</v>
      </c>
      <c r="G22" s="658">
        <f t="shared" si="0"/>
        <v>0</v>
      </c>
      <c r="H22" s="650">
        <f t="shared" si="1"/>
        <v>0</v>
      </c>
      <c r="I22" s="1021"/>
      <c r="J22" s="1022"/>
      <c r="K22" s="1022"/>
      <c r="L22" s="1023"/>
    </row>
    <row r="23" spans="1:12" x14ac:dyDescent="0.2">
      <c r="A23" s="1019"/>
      <c r="B23" s="81">
        <v>53203010100000</v>
      </c>
      <c r="C23" s="633" t="s">
        <v>19</v>
      </c>
      <c r="D23" s="638">
        <v>0</v>
      </c>
      <c r="E23" s="641">
        <v>0</v>
      </c>
      <c r="F23" s="639">
        <v>0</v>
      </c>
      <c r="G23" s="658">
        <f t="shared" si="0"/>
        <v>0</v>
      </c>
      <c r="H23" s="650">
        <f t="shared" si="1"/>
        <v>0</v>
      </c>
      <c r="I23" s="1021"/>
      <c r="J23" s="1022"/>
      <c r="K23" s="1022"/>
      <c r="L23" s="1023"/>
    </row>
    <row r="24" spans="1:12" x14ac:dyDescent="0.2">
      <c r="A24" s="1019"/>
      <c r="B24" s="81">
        <v>53203030000000</v>
      </c>
      <c r="C24" s="633" t="s">
        <v>205</v>
      </c>
      <c r="D24" s="638">
        <v>0</v>
      </c>
      <c r="E24" s="641">
        <v>0</v>
      </c>
      <c r="F24" s="639">
        <v>0</v>
      </c>
      <c r="G24" s="658">
        <f t="shared" si="0"/>
        <v>0</v>
      </c>
      <c r="H24" s="650">
        <f t="shared" si="1"/>
        <v>0</v>
      </c>
      <c r="I24" s="1021"/>
      <c r="J24" s="1022"/>
      <c r="K24" s="1022"/>
      <c r="L24" s="1023"/>
    </row>
    <row r="25" spans="1:12" x14ac:dyDescent="0.2">
      <c r="A25" s="1019"/>
      <c r="B25" s="81">
        <v>53204030000000</v>
      </c>
      <c r="C25" s="634" t="s">
        <v>206</v>
      </c>
      <c r="D25" s="638">
        <v>0</v>
      </c>
      <c r="E25" s="641">
        <v>18990</v>
      </c>
      <c r="F25" s="639">
        <v>8</v>
      </c>
      <c r="G25" s="658">
        <f t="shared" si="0"/>
        <v>151920</v>
      </c>
      <c r="H25" s="650">
        <f>D25+G25</f>
        <v>151920</v>
      </c>
      <c r="I25" s="1021"/>
      <c r="J25" s="1022"/>
      <c r="K25" s="1022"/>
      <c r="L25" s="1023"/>
    </row>
    <row r="26" spans="1:12" x14ac:dyDescent="0.2">
      <c r="A26" s="1019"/>
      <c r="B26" s="81">
        <v>53204100100001</v>
      </c>
      <c r="C26" s="634" t="s">
        <v>22</v>
      </c>
      <c r="D26" s="638">
        <v>1000000</v>
      </c>
      <c r="E26" s="641">
        <v>0</v>
      </c>
      <c r="F26" s="639">
        <v>0</v>
      </c>
      <c r="G26" s="658">
        <f t="shared" si="0"/>
        <v>0</v>
      </c>
      <c r="H26" s="650">
        <f t="shared" si="1"/>
        <v>1000000</v>
      </c>
      <c r="I26" s="1021"/>
      <c r="J26" s="1022"/>
      <c r="K26" s="1022"/>
      <c r="L26" s="1023"/>
    </row>
    <row r="27" spans="1:12" x14ac:dyDescent="0.2">
      <c r="A27" s="1019"/>
      <c r="B27" s="81">
        <v>53204130100000</v>
      </c>
      <c r="C27" s="634" t="s">
        <v>208</v>
      </c>
      <c r="D27" s="638">
        <v>0</v>
      </c>
      <c r="E27" s="641">
        <v>0</v>
      </c>
      <c r="F27" s="639">
        <v>0</v>
      </c>
      <c r="G27" s="658">
        <f t="shared" si="0"/>
        <v>0</v>
      </c>
      <c r="H27" s="650">
        <f t="shared" si="1"/>
        <v>0</v>
      </c>
      <c r="I27" s="1021"/>
      <c r="J27" s="1022"/>
      <c r="K27" s="1022"/>
      <c r="L27" s="1023"/>
    </row>
    <row r="28" spans="1:12" x14ac:dyDescent="0.2">
      <c r="A28" s="1019"/>
      <c r="B28" s="81">
        <v>53205010100000</v>
      </c>
      <c r="C28" s="634" t="s">
        <v>24</v>
      </c>
      <c r="D28" s="638">
        <v>1820685</v>
      </c>
      <c r="E28" s="641">
        <v>0</v>
      </c>
      <c r="F28" s="639">
        <v>0</v>
      </c>
      <c r="G28" s="658">
        <f t="shared" si="0"/>
        <v>0</v>
      </c>
      <c r="H28" s="650">
        <f t="shared" si="1"/>
        <v>1820685</v>
      </c>
      <c r="I28" s="1021"/>
      <c r="J28" s="1022"/>
      <c r="K28" s="1022"/>
      <c r="L28" s="1023"/>
    </row>
    <row r="29" spans="1:12" x14ac:dyDescent="0.2">
      <c r="A29" s="1019"/>
      <c r="B29" s="81">
        <v>53205020100000</v>
      </c>
      <c r="C29" s="634" t="s">
        <v>25</v>
      </c>
      <c r="D29" s="638">
        <v>1823315</v>
      </c>
      <c r="E29" s="641">
        <v>0</v>
      </c>
      <c r="F29" s="639">
        <v>0</v>
      </c>
      <c r="G29" s="658">
        <f t="shared" si="0"/>
        <v>0</v>
      </c>
      <c r="H29" s="650">
        <f t="shared" si="1"/>
        <v>1823315</v>
      </c>
      <c r="I29" s="1021"/>
      <c r="J29" s="1022"/>
      <c r="K29" s="1022"/>
      <c r="L29" s="1023"/>
    </row>
    <row r="30" spans="1:12" x14ac:dyDescent="0.2">
      <c r="A30" s="1019"/>
      <c r="B30" s="81">
        <v>53205030100000</v>
      </c>
      <c r="C30" s="634" t="s">
        <v>26</v>
      </c>
      <c r="D30" s="638">
        <v>1976800</v>
      </c>
      <c r="E30" s="641">
        <v>0</v>
      </c>
      <c r="F30" s="639">
        <v>0</v>
      </c>
      <c r="G30" s="658">
        <f t="shared" si="0"/>
        <v>0</v>
      </c>
      <c r="H30" s="650">
        <f t="shared" si="1"/>
        <v>1976800</v>
      </c>
      <c r="I30" s="1021"/>
      <c r="J30" s="1022"/>
      <c r="K30" s="1022"/>
      <c r="L30" s="1023"/>
    </row>
    <row r="31" spans="1:12" x14ac:dyDescent="0.2">
      <c r="A31" s="1019"/>
      <c r="B31" s="81">
        <v>53205050100000</v>
      </c>
      <c r="C31" s="634" t="s">
        <v>27</v>
      </c>
      <c r="D31" s="764">
        <v>391968</v>
      </c>
      <c r="E31" s="641">
        <v>0</v>
      </c>
      <c r="F31" s="639">
        <v>0</v>
      </c>
      <c r="G31" s="658">
        <f t="shared" si="0"/>
        <v>0</v>
      </c>
      <c r="H31" s="650">
        <f t="shared" si="1"/>
        <v>391968</v>
      </c>
      <c r="I31" s="1021"/>
      <c r="J31" s="1022"/>
      <c r="K31" s="1022"/>
      <c r="L31" s="1023"/>
    </row>
    <row r="32" spans="1:12" x14ac:dyDescent="0.2">
      <c r="A32" s="1019"/>
      <c r="B32" s="81">
        <v>53205070100000</v>
      </c>
      <c r="C32" s="634" t="s">
        <v>29</v>
      </c>
      <c r="D32" s="764">
        <v>258788</v>
      </c>
      <c r="E32" s="641">
        <v>0</v>
      </c>
      <c r="F32" s="639">
        <v>0</v>
      </c>
      <c r="G32" s="658">
        <f t="shared" si="0"/>
        <v>0</v>
      </c>
      <c r="H32" s="650">
        <f t="shared" si="1"/>
        <v>258788</v>
      </c>
      <c r="I32" s="1021"/>
      <c r="J32" s="1022"/>
      <c r="K32" s="1022"/>
      <c r="L32" s="1023"/>
    </row>
    <row r="33" spans="1:12" x14ac:dyDescent="0.2">
      <c r="A33" s="1019"/>
      <c r="B33" s="81">
        <v>53208010100000</v>
      </c>
      <c r="C33" s="634" t="s">
        <v>30</v>
      </c>
      <c r="D33" s="638">
        <v>1199032</v>
      </c>
      <c r="E33" s="641">
        <v>0</v>
      </c>
      <c r="F33" s="639">
        <v>0</v>
      </c>
      <c r="G33" s="658">
        <f t="shared" si="0"/>
        <v>0</v>
      </c>
      <c r="H33" s="650">
        <f t="shared" si="1"/>
        <v>1199032</v>
      </c>
      <c r="I33" s="1021"/>
      <c r="J33" s="1022"/>
      <c r="K33" s="1022"/>
      <c r="L33" s="1023"/>
    </row>
    <row r="34" spans="1:12" x14ac:dyDescent="0.2">
      <c r="A34" s="1019"/>
      <c r="B34" s="81">
        <v>53208070100001</v>
      </c>
      <c r="C34" s="634" t="s">
        <v>31</v>
      </c>
      <c r="D34" s="638">
        <v>0</v>
      </c>
      <c r="E34" s="641">
        <v>0</v>
      </c>
      <c r="F34" s="639">
        <v>0</v>
      </c>
      <c r="G34" s="658">
        <f t="shared" si="0"/>
        <v>0</v>
      </c>
      <c r="H34" s="650">
        <f t="shared" si="1"/>
        <v>0</v>
      </c>
      <c r="I34" s="1021"/>
      <c r="J34" s="1022"/>
      <c r="K34" s="1022"/>
      <c r="L34" s="1023"/>
    </row>
    <row r="35" spans="1:12" x14ac:dyDescent="0.2">
      <c r="A35" s="1019"/>
      <c r="B35" s="81">
        <v>53208100100001</v>
      </c>
      <c r="C35" s="634" t="s">
        <v>209</v>
      </c>
      <c r="D35" s="638">
        <v>0</v>
      </c>
      <c r="E35" s="641">
        <v>0</v>
      </c>
      <c r="F35" s="639">
        <v>0</v>
      </c>
      <c r="G35" s="658">
        <f t="shared" si="0"/>
        <v>0</v>
      </c>
      <c r="H35" s="650">
        <f t="shared" si="1"/>
        <v>0</v>
      </c>
      <c r="I35" s="1021"/>
      <c r="J35" s="1022"/>
      <c r="K35" s="1022"/>
      <c r="L35" s="1023"/>
    </row>
    <row r="36" spans="1:12" x14ac:dyDescent="0.2">
      <c r="A36" s="1019"/>
      <c r="B36" s="81">
        <v>53211030000000</v>
      </c>
      <c r="C36" s="634" t="s">
        <v>32</v>
      </c>
      <c r="D36" s="638">
        <v>0</v>
      </c>
      <c r="E36" s="641">
        <v>0</v>
      </c>
      <c r="F36" s="639">
        <v>0</v>
      </c>
      <c r="G36" s="658">
        <f t="shared" si="0"/>
        <v>0</v>
      </c>
      <c r="H36" s="650">
        <f t="shared" si="1"/>
        <v>0</v>
      </c>
      <c r="I36" s="1021"/>
      <c r="J36" s="1022"/>
      <c r="K36" s="1022"/>
      <c r="L36" s="1023"/>
    </row>
    <row r="37" spans="1:12" x14ac:dyDescent="0.2">
      <c r="A37" s="1019"/>
      <c r="B37" s="81">
        <v>53212020100000</v>
      </c>
      <c r="C37" s="634" t="s">
        <v>210</v>
      </c>
      <c r="D37" s="638">
        <v>0</v>
      </c>
      <c r="E37" s="641">
        <v>290120</v>
      </c>
      <c r="F37" s="639">
        <v>10</v>
      </c>
      <c r="G37" s="658">
        <f t="shared" si="0"/>
        <v>2901200</v>
      </c>
      <c r="H37" s="650">
        <f t="shared" si="1"/>
        <v>2901200</v>
      </c>
      <c r="I37" s="1021"/>
      <c r="J37" s="1022"/>
      <c r="K37" s="1022"/>
      <c r="L37" s="1023"/>
    </row>
    <row r="38" spans="1:12" x14ac:dyDescent="0.2">
      <c r="A38" s="1019"/>
      <c r="B38" s="81">
        <v>53214020000000</v>
      </c>
      <c r="C38" s="634" t="s">
        <v>211</v>
      </c>
      <c r="D38" s="638">
        <v>0</v>
      </c>
      <c r="E38" s="641">
        <v>0</v>
      </c>
      <c r="F38" s="639">
        <v>0</v>
      </c>
      <c r="G38" s="658">
        <f t="shared" si="0"/>
        <v>0</v>
      </c>
      <c r="H38" s="650">
        <f t="shared" si="1"/>
        <v>0</v>
      </c>
      <c r="I38" s="1021"/>
      <c r="J38" s="1022"/>
      <c r="K38" s="1022"/>
      <c r="L38" s="1023"/>
    </row>
    <row r="39" spans="1:12" ht="15.75" customHeight="1" x14ac:dyDescent="0.2">
      <c r="A39" s="1019"/>
      <c r="B39" s="79"/>
      <c r="C39" s="648" t="s">
        <v>34</v>
      </c>
      <c r="D39" s="659">
        <v>0</v>
      </c>
      <c r="E39" s="660"/>
      <c r="F39" s="660"/>
      <c r="G39" s="659">
        <f>SUM(G40,G45,G47,G56,G65,G73)</f>
        <v>6081754</v>
      </c>
      <c r="H39" s="652">
        <f>SUM(H40,H45,H47,H56,H65,H73)</f>
        <v>12885213</v>
      </c>
      <c r="I39" s="1021"/>
      <c r="J39" s="1022"/>
      <c r="K39" s="1022"/>
      <c r="L39" s="1023"/>
    </row>
    <row r="40" spans="1:12" x14ac:dyDescent="0.2">
      <c r="A40" s="1019"/>
      <c r="B40" s="80"/>
      <c r="C40" s="644" t="s">
        <v>35</v>
      </c>
      <c r="D40" s="646">
        <f>SUM(D41:D44)</f>
        <v>130000</v>
      </c>
      <c r="E40" s="647"/>
      <c r="F40" s="647"/>
      <c r="G40" s="661">
        <f>SUM(G41:G44)</f>
        <v>840954</v>
      </c>
      <c r="H40" s="653">
        <f>SUM(H41:H44)</f>
        <v>970954</v>
      </c>
      <c r="I40" s="1021"/>
      <c r="J40" s="1022"/>
      <c r="K40" s="1022"/>
      <c r="L40" s="1023"/>
    </row>
    <row r="41" spans="1:12" x14ac:dyDescent="0.2">
      <c r="A41" s="1019"/>
      <c r="B41" s="81">
        <v>53202020100000</v>
      </c>
      <c r="C41" s="634" t="s">
        <v>212</v>
      </c>
      <c r="D41" s="638">
        <v>130000</v>
      </c>
      <c r="E41" s="641">
        <v>25990</v>
      </c>
      <c r="F41" s="639">
        <v>17</v>
      </c>
      <c r="G41" s="658">
        <f>E41*F41</f>
        <v>441830</v>
      </c>
      <c r="H41" s="650">
        <f t="shared" ref="H41:H74" si="2">D41+G41</f>
        <v>571830</v>
      </c>
      <c r="I41" s="1021"/>
      <c r="J41" s="1022"/>
      <c r="K41" s="1022"/>
      <c r="L41" s="1023"/>
    </row>
    <row r="42" spans="1:12" x14ac:dyDescent="0.2">
      <c r="A42" s="1019"/>
      <c r="B42" s="81">
        <v>53202030000000</v>
      </c>
      <c r="C42" s="634" t="s">
        <v>213</v>
      </c>
      <c r="D42" s="638">
        <v>0</v>
      </c>
      <c r="E42" s="641">
        <v>29990</v>
      </c>
      <c r="F42" s="639">
        <v>5</v>
      </c>
      <c r="G42" s="658">
        <f t="shared" ref="G42:G74" si="3">E42*F42</f>
        <v>149950</v>
      </c>
      <c r="H42" s="650">
        <f t="shared" si="2"/>
        <v>149950</v>
      </c>
      <c r="I42" s="1021"/>
      <c r="J42" s="1022"/>
      <c r="K42" s="1022"/>
      <c r="L42" s="1023"/>
    </row>
    <row r="43" spans="1:12" x14ac:dyDescent="0.2">
      <c r="A43" s="1019"/>
      <c r="B43" s="81">
        <v>53211020000000</v>
      </c>
      <c r="C43" s="634" t="s">
        <v>41</v>
      </c>
      <c r="D43" s="638">
        <v>0</v>
      </c>
      <c r="E43" s="641">
        <v>60000</v>
      </c>
      <c r="F43" s="639">
        <v>3</v>
      </c>
      <c r="G43" s="658">
        <f t="shared" si="3"/>
        <v>180000</v>
      </c>
      <c r="H43" s="650">
        <f t="shared" si="2"/>
        <v>180000</v>
      </c>
      <c r="I43" s="1021"/>
      <c r="J43" s="1022"/>
      <c r="K43" s="1022"/>
      <c r="L43" s="1023"/>
    </row>
    <row r="44" spans="1:12" x14ac:dyDescent="0.2">
      <c r="A44" s="1019"/>
      <c r="B44" s="81">
        <v>53101040600000</v>
      </c>
      <c r="C44" s="635" t="s">
        <v>214</v>
      </c>
      <c r="D44" s="638">
        <v>0</v>
      </c>
      <c r="E44" s="641">
        <v>23058</v>
      </c>
      <c r="F44" s="639">
        <v>3</v>
      </c>
      <c r="G44" s="658">
        <f t="shared" si="3"/>
        <v>69174</v>
      </c>
      <c r="H44" s="650">
        <f t="shared" si="2"/>
        <v>69174</v>
      </c>
      <c r="I44" s="1021"/>
      <c r="J44" s="1022"/>
      <c r="K44" s="1022"/>
      <c r="L44" s="1023"/>
    </row>
    <row r="45" spans="1:12" x14ac:dyDescent="0.2">
      <c r="A45" s="1019"/>
      <c r="B45" s="80"/>
      <c r="C45" s="644" t="s">
        <v>42</v>
      </c>
      <c r="D45" s="646">
        <f>SUM(D46:D46)</f>
        <v>0</v>
      </c>
      <c r="E45" s="647"/>
      <c r="F45" s="647"/>
      <c r="G45" s="661">
        <f>SUM(G46:G46)</f>
        <v>398400</v>
      </c>
      <c r="H45" s="653">
        <f>SUM(H46:H46)</f>
        <v>398400</v>
      </c>
      <c r="I45" s="1021"/>
      <c r="J45" s="1022"/>
      <c r="K45" s="1022"/>
      <c r="L45" s="1023"/>
    </row>
    <row r="46" spans="1:12" x14ac:dyDescent="0.2">
      <c r="A46" s="1019"/>
      <c r="B46" s="632">
        <v>53205990000000</v>
      </c>
      <c r="C46" s="636" t="s">
        <v>44</v>
      </c>
      <c r="D46" s="638">
        <v>0</v>
      </c>
      <c r="E46" s="641">
        <v>33200</v>
      </c>
      <c r="F46" s="639">
        <v>12</v>
      </c>
      <c r="G46" s="658">
        <f t="shared" si="3"/>
        <v>398400</v>
      </c>
      <c r="H46" s="650">
        <f t="shared" si="2"/>
        <v>398400</v>
      </c>
      <c r="I46" s="1021"/>
      <c r="J46" s="1022"/>
      <c r="K46" s="1022"/>
      <c r="L46" s="1023"/>
    </row>
    <row r="47" spans="1:12" x14ac:dyDescent="0.2">
      <c r="A47" s="1019"/>
      <c r="B47" s="80"/>
      <c r="C47" s="644" t="s">
        <v>45</v>
      </c>
      <c r="D47" s="646">
        <f>SUM(D48:D55)</f>
        <v>5499407</v>
      </c>
      <c r="E47" s="647"/>
      <c r="F47" s="647"/>
      <c r="G47" s="646">
        <f>SUM(G48:G55)</f>
        <v>172000</v>
      </c>
      <c r="H47" s="651">
        <f>SUM(H48:H55)</f>
        <v>5671407</v>
      </c>
      <c r="I47" s="1021"/>
      <c r="J47" s="1022"/>
      <c r="K47" s="1022"/>
      <c r="L47" s="1023"/>
    </row>
    <row r="48" spans="1:12" x14ac:dyDescent="0.2">
      <c r="A48" s="1019"/>
      <c r="B48" s="81">
        <v>53204010000000</v>
      </c>
      <c r="C48" s="634" t="s">
        <v>47</v>
      </c>
      <c r="D48" s="638">
        <v>850000</v>
      </c>
      <c r="E48" s="638">
        <v>0</v>
      </c>
      <c r="F48" s="639">
        <v>0</v>
      </c>
      <c r="G48" s="658">
        <f t="shared" si="3"/>
        <v>0</v>
      </c>
      <c r="H48" s="650">
        <f t="shared" si="2"/>
        <v>850000</v>
      </c>
      <c r="I48" s="1021"/>
      <c r="J48" s="1022"/>
      <c r="K48" s="1022"/>
      <c r="L48" s="1023"/>
    </row>
    <row r="49" spans="1:12" x14ac:dyDescent="0.2">
      <c r="A49" s="1019"/>
      <c r="B49" s="632">
        <v>53204040200000</v>
      </c>
      <c r="C49" s="636" t="s">
        <v>223</v>
      </c>
      <c r="D49" s="638">
        <v>0</v>
      </c>
      <c r="E49" s="638">
        <v>21500</v>
      </c>
      <c r="F49" s="639">
        <v>8</v>
      </c>
      <c r="G49" s="658">
        <f t="shared" si="3"/>
        <v>172000</v>
      </c>
      <c r="H49" s="650">
        <f t="shared" si="2"/>
        <v>172000</v>
      </c>
      <c r="I49" s="1021"/>
      <c r="J49" s="1022"/>
      <c r="K49" s="1022"/>
      <c r="L49" s="1023"/>
    </row>
    <row r="50" spans="1:12" x14ac:dyDescent="0.2">
      <c r="A50" s="1019"/>
      <c r="B50" s="81">
        <v>53204060000000</v>
      </c>
      <c r="C50" s="634" t="s">
        <v>49</v>
      </c>
      <c r="D50" s="638">
        <v>0</v>
      </c>
      <c r="E50" s="638">
        <v>0</v>
      </c>
      <c r="F50" s="639">
        <v>0</v>
      </c>
      <c r="G50" s="658">
        <f t="shared" si="3"/>
        <v>0</v>
      </c>
      <c r="H50" s="650">
        <f t="shared" si="2"/>
        <v>0</v>
      </c>
      <c r="I50" s="1021"/>
      <c r="J50" s="1022"/>
      <c r="K50" s="1022"/>
      <c r="L50" s="1023"/>
    </row>
    <row r="51" spans="1:12" x14ac:dyDescent="0.2">
      <c r="A51" s="1019"/>
      <c r="B51" s="81">
        <v>53204070000000</v>
      </c>
      <c r="C51" s="634" t="s">
        <v>50</v>
      </c>
      <c r="D51" s="638">
        <v>2500000</v>
      </c>
      <c r="E51" s="638">
        <v>0</v>
      </c>
      <c r="F51" s="639">
        <v>0</v>
      </c>
      <c r="G51" s="658">
        <f t="shared" si="3"/>
        <v>0</v>
      </c>
      <c r="H51" s="650">
        <f t="shared" si="2"/>
        <v>2500000</v>
      </c>
      <c r="I51" s="1021"/>
      <c r="J51" s="1022"/>
      <c r="K51" s="1022"/>
      <c r="L51" s="1023"/>
    </row>
    <row r="52" spans="1:12" x14ac:dyDescent="0.2">
      <c r="A52" s="1019"/>
      <c r="B52" s="81">
        <v>53204080000000</v>
      </c>
      <c r="C52" s="633" t="s">
        <v>51</v>
      </c>
      <c r="D52" s="638">
        <v>0</v>
      </c>
      <c r="E52" s="638">
        <v>0</v>
      </c>
      <c r="F52" s="639">
        <v>0</v>
      </c>
      <c r="G52" s="658">
        <f t="shared" si="3"/>
        <v>0</v>
      </c>
      <c r="H52" s="650">
        <f t="shared" si="2"/>
        <v>0</v>
      </c>
      <c r="I52" s="1021"/>
      <c r="J52" s="1022"/>
      <c r="K52" s="1022"/>
      <c r="L52" s="1023"/>
    </row>
    <row r="53" spans="1:12" x14ac:dyDescent="0.2">
      <c r="A53" s="1019"/>
      <c r="B53" s="81">
        <v>53214010000000</v>
      </c>
      <c r="C53" s="634" t="s">
        <v>52</v>
      </c>
      <c r="D53" s="638">
        <v>0</v>
      </c>
      <c r="E53" s="638">
        <v>0</v>
      </c>
      <c r="F53" s="639">
        <v>0</v>
      </c>
      <c r="G53" s="658">
        <f t="shared" si="3"/>
        <v>0</v>
      </c>
      <c r="H53" s="650">
        <f t="shared" si="2"/>
        <v>0</v>
      </c>
      <c r="I53" s="1021"/>
      <c r="J53" s="1022"/>
      <c r="K53" s="1022"/>
      <c r="L53" s="1023"/>
    </row>
    <row r="54" spans="1:12" x14ac:dyDescent="0.2">
      <c r="A54" s="1019"/>
      <c r="B54" s="81">
        <v>53214040000000</v>
      </c>
      <c r="C54" s="634" t="s">
        <v>215</v>
      </c>
      <c r="D54" s="638">
        <v>2049407</v>
      </c>
      <c r="E54" s="638">
        <v>0</v>
      </c>
      <c r="F54" s="639">
        <v>0</v>
      </c>
      <c r="G54" s="658">
        <f t="shared" si="3"/>
        <v>0</v>
      </c>
      <c r="H54" s="650">
        <f t="shared" si="2"/>
        <v>2049407</v>
      </c>
      <c r="I54" s="1021"/>
      <c r="J54" s="1022"/>
      <c r="K54" s="1022"/>
      <c r="L54" s="1023"/>
    </row>
    <row r="55" spans="1:12" x14ac:dyDescent="0.2">
      <c r="A55" s="1019"/>
      <c r="B55" s="690">
        <v>53204020100000</v>
      </c>
      <c r="C55" s="691" t="s">
        <v>207</v>
      </c>
      <c r="D55" s="638">
        <v>100000</v>
      </c>
      <c r="E55" s="638">
        <v>0</v>
      </c>
      <c r="F55" s="639">
        <v>0</v>
      </c>
      <c r="G55" s="658">
        <f t="shared" si="3"/>
        <v>0</v>
      </c>
      <c r="H55" s="650">
        <f t="shared" si="2"/>
        <v>100000</v>
      </c>
      <c r="I55" s="1021"/>
      <c r="J55" s="1022"/>
      <c r="K55" s="1022"/>
      <c r="L55" s="1023"/>
    </row>
    <row r="56" spans="1:12" x14ac:dyDescent="0.2">
      <c r="A56" s="1019"/>
      <c r="B56" s="80"/>
      <c r="C56" s="644" t="s">
        <v>55</v>
      </c>
      <c r="D56" s="646">
        <f>SUM(D57:D64)</f>
        <v>924052</v>
      </c>
      <c r="E56" s="647"/>
      <c r="F56" s="647"/>
      <c r="G56" s="646">
        <f>SUM(G57:G64)</f>
        <v>2138400</v>
      </c>
      <c r="H56" s="651">
        <f>SUM(H57:H64)</f>
        <v>3062452</v>
      </c>
      <c r="I56" s="1021"/>
      <c r="J56" s="1022"/>
      <c r="K56" s="1022"/>
      <c r="L56" s="1023"/>
    </row>
    <row r="57" spans="1:12" x14ac:dyDescent="0.2">
      <c r="A57" s="1019"/>
      <c r="B57" s="81">
        <v>53207010000000</v>
      </c>
      <c r="C57" s="634" t="s">
        <v>56</v>
      </c>
      <c r="D57" s="638">
        <v>0</v>
      </c>
      <c r="E57" s="638">
        <v>0</v>
      </c>
      <c r="F57" s="639">
        <v>0</v>
      </c>
      <c r="G57" s="658">
        <f t="shared" si="3"/>
        <v>0</v>
      </c>
      <c r="H57" s="650">
        <f t="shared" si="2"/>
        <v>0</v>
      </c>
      <c r="I57" s="1021"/>
      <c r="J57" s="1022"/>
      <c r="K57" s="1022"/>
      <c r="L57" s="1023"/>
    </row>
    <row r="58" spans="1:12" x14ac:dyDescent="0.2">
      <c r="A58" s="1019"/>
      <c r="B58" s="81">
        <v>53207020000000</v>
      </c>
      <c r="C58" s="634" t="s">
        <v>57</v>
      </c>
      <c r="D58" s="638">
        <v>0</v>
      </c>
      <c r="E58" s="638">
        <v>0</v>
      </c>
      <c r="F58" s="639">
        <v>0</v>
      </c>
      <c r="G58" s="658">
        <f t="shared" si="3"/>
        <v>0</v>
      </c>
      <c r="H58" s="650">
        <f t="shared" si="2"/>
        <v>0</v>
      </c>
      <c r="I58" s="1021"/>
      <c r="J58" s="1022"/>
      <c r="K58" s="1022"/>
      <c r="L58" s="1023"/>
    </row>
    <row r="59" spans="1:12" x14ac:dyDescent="0.2">
      <c r="A59" s="1019"/>
      <c r="B59" s="81">
        <v>53208020000000</v>
      </c>
      <c r="C59" s="633" t="s">
        <v>197</v>
      </c>
      <c r="D59" s="638">
        <v>0</v>
      </c>
      <c r="E59" s="638">
        <v>0</v>
      </c>
      <c r="F59" s="639">
        <v>0</v>
      </c>
      <c r="G59" s="658">
        <f t="shared" si="3"/>
        <v>0</v>
      </c>
      <c r="H59" s="650">
        <f t="shared" si="2"/>
        <v>0</v>
      </c>
      <c r="I59" s="1021"/>
      <c r="J59" s="1022"/>
      <c r="K59" s="1022"/>
      <c r="L59" s="1023"/>
    </row>
    <row r="60" spans="1:12" x14ac:dyDescent="0.2">
      <c r="A60" s="1019"/>
      <c r="B60" s="81">
        <v>53208990000000</v>
      </c>
      <c r="C60" s="633" t="s">
        <v>216</v>
      </c>
      <c r="D60" s="638">
        <v>0</v>
      </c>
      <c r="E60" s="638">
        <v>270000</v>
      </c>
      <c r="F60" s="639">
        <v>4</v>
      </c>
      <c r="G60" s="658">
        <f t="shared" si="3"/>
        <v>1080000</v>
      </c>
      <c r="H60" s="650">
        <f t="shared" si="2"/>
        <v>1080000</v>
      </c>
      <c r="I60" s="1021"/>
      <c r="J60" s="1022"/>
      <c r="K60" s="1022"/>
      <c r="L60" s="1023"/>
    </row>
    <row r="61" spans="1:12" x14ac:dyDescent="0.2">
      <c r="A61" s="1019"/>
      <c r="B61" s="690">
        <v>53210020300000</v>
      </c>
      <c r="C61" s="692" t="s">
        <v>219</v>
      </c>
      <c r="D61" s="638">
        <v>0</v>
      </c>
      <c r="E61" s="638">
        <v>7560</v>
      </c>
      <c r="F61" s="639">
        <v>140</v>
      </c>
      <c r="G61" s="658">
        <f t="shared" si="3"/>
        <v>1058400</v>
      </c>
      <c r="H61" s="650">
        <f t="shared" si="2"/>
        <v>1058400</v>
      </c>
      <c r="I61" s="1021"/>
      <c r="J61" s="1022"/>
      <c r="K61" s="1022"/>
      <c r="L61" s="1023"/>
    </row>
    <row r="62" spans="1:12" x14ac:dyDescent="0.2">
      <c r="A62" s="1019"/>
      <c r="B62" s="81">
        <v>53208990000000</v>
      </c>
      <c r="C62" s="633" t="s">
        <v>220</v>
      </c>
      <c r="D62" s="638">
        <v>0</v>
      </c>
      <c r="E62" s="638">
        <v>0</v>
      </c>
      <c r="F62" s="639">
        <v>0</v>
      </c>
      <c r="G62" s="658">
        <f t="shared" si="3"/>
        <v>0</v>
      </c>
      <c r="H62" s="650">
        <f t="shared" si="2"/>
        <v>0</v>
      </c>
      <c r="I62" s="1021"/>
      <c r="J62" s="1022"/>
      <c r="K62" s="1022"/>
      <c r="L62" s="1023"/>
    </row>
    <row r="63" spans="1:12" x14ac:dyDescent="0.2">
      <c r="A63" s="1019"/>
      <c r="B63" s="81">
        <v>53209990000000</v>
      </c>
      <c r="C63" s="633" t="s">
        <v>218</v>
      </c>
      <c r="D63" s="638"/>
      <c r="E63" s="638">
        <v>0</v>
      </c>
      <c r="F63" s="639">
        <v>0</v>
      </c>
      <c r="G63" s="658">
        <f t="shared" si="3"/>
        <v>0</v>
      </c>
      <c r="H63" s="650">
        <f t="shared" si="2"/>
        <v>0</v>
      </c>
      <c r="I63" s="1021"/>
      <c r="J63" s="1022"/>
      <c r="K63" s="1022"/>
      <c r="L63" s="1023"/>
    </row>
    <row r="64" spans="1:12" x14ac:dyDescent="0.2">
      <c r="A64" s="1019"/>
      <c r="B64" s="81">
        <v>53210020100000</v>
      </c>
      <c r="C64" s="634" t="s">
        <v>64</v>
      </c>
      <c r="D64" s="638">
        <f>196721+727331</f>
        <v>924052</v>
      </c>
      <c r="E64" s="638">
        <v>0</v>
      </c>
      <c r="F64" s="639">
        <v>0</v>
      </c>
      <c r="G64" s="658">
        <f t="shared" si="3"/>
        <v>0</v>
      </c>
      <c r="H64" s="650">
        <f t="shared" si="2"/>
        <v>924052</v>
      </c>
      <c r="I64" s="1021"/>
      <c r="J64" s="1022"/>
      <c r="K64" s="1022"/>
      <c r="L64" s="1023"/>
    </row>
    <row r="65" spans="1:12" x14ac:dyDescent="0.2">
      <c r="A65" s="1019"/>
      <c r="B65" s="80"/>
      <c r="C65" s="644" t="s">
        <v>65</v>
      </c>
      <c r="D65" s="646">
        <f>SUM(D66:D72)</f>
        <v>250000</v>
      </c>
      <c r="E65" s="647"/>
      <c r="F65" s="647"/>
      <c r="G65" s="646">
        <f>SUM(G66:G72)</f>
        <v>852000</v>
      </c>
      <c r="H65" s="651">
        <f>SUM(H66:H72)</f>
        <v>1102000</v>
      </c>
      <c r="I65" s="1021"/>
      <c r="J65" s="1022"/>
      <c r="K65" s="1022"/>
      <c r="L65" s="1023"/>
    </row>
    <row r="66" spans="1:12" x14ac:dyDescent="0.2">
      <c r="A66" s="1019"/>
      <c r="B66" s="81">
        <v>53206030000000</v>
      </c>
      <c r="C66" s="634" t="s">
        <v>102</v>
      </c>
      <c r="D66" s="638">
        <v>0</v>
      </c>
      <c r="E66" s="638">
        <v>0</v>
      </c>
      <c r="F66" s="639">
        <v>0</v>
      </c>
      <c r="G66" s="658">
        <f t="shared" si="3"/>
        <v>0</v>
      </c>
      <c r="H66" s="650">
        <f t="shared" si="2"/>
        <v>0</v>
      </c>
      <c r="I66" s="1021"/>
      <c r="J66" s="1022"/>
      <c r="K66" s="1022"/>
      <c r="L66" s="1023"/>
    </row>
    <row r="67" spans="1:12" x14ac:dyDescent="0.2">
      <c r="A67" s="1019"/>
      <c r="B67" s="81">
        <v>53206040000000</v>
      </c>
      <c r="C67" s="634" t="s">
        <v>103</v>
      </c>
      <c r="D67" s="638">
        <v>0</v>
      </c>
      <c r="E67" s="638">
        <v>0</v>
      </c>
      <c r="F67" s="639">
        <v>0</v>
      </c>
      <c r="G67" s="658">
        <f t="shared" si="3"/>
        <v>0</v>
      </c>
      <c r="H67" s="650">
        <f t="shared" si="2"/>
        <v>0</v>
      </c>
      <c r="I67" s="1021"/>
      <c r="J67" s="1022"/>
      <c r="K67" s="1022"/>
      <c r="L67" s="1023"/>
    </row>
    <row r="68" spans="1:12" x14ac:dyDescent="0.2">
      <c r="A68" s="1019"/>
      <c r="B68" s="81">
        <v>53206060000000</v>
      </c>
      <c r="C68" s="634" t="s">
        <v>221</v>
      </c>
      <c r="D68" s="638">
        <v>150000</v>
      </c>
      <c r="E68" s="638">
        <v>0</v>
      </c>
      <c r="F68" s="639">
        <v>0</v>
      </c>
      <c r="G68" s="658">
        <f t="shared" si="3"/>
        <v>0</v>
      </c>
      <c r="H68" s="650">
        <f t="shared" si="2"/>
        <v>150000</v>
      </c>
      <c r="I68" s="1021"/>
      <c r="J68" s="1022"/>
      <c r="K68" s="1022"/>
      <c r="L68" s="1023"/>
    </row>
    <row r="69" spans="1:12" x14ac:dyDescent="0.2">
      <c r="A69" s="1019"/>
      <c r="B69" s="81">
        <v>53206070000000</v>
      </c>
      <c r="C69" s="634" t="s">
        <v>105</v>
      </c>
      <c r="D69" s="638">
        <v>0</v>
      </c>
      <c r="E69" s="638">
        <v>0</v>
      </c>
      <c r="F69" s="639">
        <v>0</v>
      </c>
      <c r="G69" s="658">
        <f t="shared" si="3"/>
        <v>0</v>
      </c>
      <c r="H69" s="650">
        <f t="shared" si="2"/>
        <v>0</v>
      </c>
      <c r="I69" s="1021"/>
      <c r="J69" s="1022"/>
      <c r="K69" s="1022"/>
      <c r="L69" s="1023"/>
    </row>
    <row r="70" spans="1:12" x14ac:dyDescent="0.2">
      <c r="A70" s="1019"/>
      <c r="B70" s="81">
        <v>53206990000000</v>
      </c>
      <c r="C70" s="634" t="s">
        <v>222</v>
      </c>
      <c r="D70" s="638">
        <v>0</v>
      </c>
      <c r="E70" s="638">
        <v>0</v>
      </c>
      <c r="F70" s="639">
        <v>0</v>
      </c>
      <c r="G70" s="658">
        <f t="shared" si="3"/>
        <v>0</v>
      </c>
      <c r="H70" s="650">
        <f t="shared" si="2"/>
        <v>0</v>
      </c>
      <c r="I70" s="1021"/>
      <c r="J70" s="1022"/>
      <c r="K70" s="1022"/>
      <c r="L70" s="1023"/>
    </row>
    <row r="71" spans="1:12" x14ac:dyDescent="0.2">
      <c r="A71" s="1019"/>
      <c r="B71" s="81">
        <v>53208030000000</v>
      </c>
      <c r="C71" s="634" t="s">
        <v>107</v>
      </c>
      <c r="D71" s="638">
        <v>0</v>
      </c>
      <c r="E71" s="638">
        <v>71000</v>
      </c>
      <c r="F71" s="639">
        <v>12</v>
      </c>
      <c r="G71" s="658">
        <f t="shared" si="3"/>
        <v>852000</v>
      </c>
      <c r="H71" s="650">
        <f t="shared" si="2"/>
        <v>852000</v>
      </c>
      <c r="I71" s="1021"/>
      <c r="J71" s="1022"/>
      <c r="K71" s="1022"/>
      <c r="L71" s="1023"/>
    </row>
    <row r="72" spans="1:12" x14ac:dyDescent="0.2">
      <c r="A72" s="1019"/>
      <c r="B72" s="81">
        <v>53212060000000</v>
      </c>
      <c r="C72" s="634" t="s">
        <v>100</v>
      </c>
      <c r="D72" s="638">
        <v>100000</v>
      </c>
      <c r="E72" s="638">
        <v>0</v>
      </c>
      <c r="F72" s="639">
        <v>0</v>
      </c>
      <c r="G72" s="658">
        <f t="shared" si="3"/>
        <v>0</v>
      </c>
      <c r="H72" s="650">
        <f t="shared" si="2"/>
        <v>100000</v>
      </c>
      <c r="I72" s="1021"/>
      <c r="J72" s="1022"/>
      <c r="K72" s="1022"/>
      <c r="L72" s="1023"/>
    </row>
    <row r="73" spans="1:12" x14ac:dyDescent="0.2">
      <c r="A73" s="1019"/>
      <c r="B73" s="80"/>
      <c r="C73" s="644" t="s">
        <v>66</v>
      </c>
      <c r="D73" s="646">
        <f>SUM(D74:D74)</f>
        <v>0</v>
      </c>
      <c r="E73" s="647"/>
      <c r="F73" s="647"/>
      <c r="G73" s="646">
        <f>SUM(G74:G74)</f>
        <v>1680000</v>
      </c>
      <c r="H73" s="651">
        <f>SUM(H74:H74)</f>
        <v>1680000</v>
      </c>
      <c r="I73" s="1021"/>
      <c r="J73" s="1022"/>
      <c r="K73" s="1022"/>
      <c r="L73" s="1023"/>
    </row>
    <row r="74" spans="1:12" x14ac:dyDescent="0.2">
      <c r="A74" s="1019"/>
      <c r="B74" s="95">
        <v>53204999000000</v>
      </c>
      <c r="C74" s="645" t="s">
        <v>217</v>
      </c>
      <c r="D74" s="638">
        <v>0</v>
      </c>
      <c r="E74" s="638">
        <v>12000</v>
      </c>
      <c r="F74" s="639">
        <v>140</v>
      </c>
      <c r="G74" s="658">
        <f t="shared" si="3"/>
        <v>1680000</v>
      </c>
      <c r="H74" s="654">
        <f t="shared" si="2"/>
        <v>1680000</v>
      </c>
      <c r="I74" s="1051"/>
      <c r="J74" s="1052"/>
      <c r="K74" s="1052"/>
      <c r="L74" s="1053"/>
    </row>
    <row r="75" spans="1:12" collapsed="1" x14ac:dyDescent="0.2">
      <c r="A75" s="1020"/>
      <c r="B75" s="98"/>
      <c r="C75" s="649" t="s">
        <v>108</v>
      </c>
      <c r="D75" s="662">
        <f>SUM(D12,D39)</f>
        <v>136882381.74000001</v>
      </c>
      <c r="E75" s="663"/>
      <c r="F75" s="663"/>
      <c r="G75" s="662">
        <f>SUM(G12,G39)</f>
        <v>31110774</v>
      </c>
      <c r="H75" s="99">
        <f>SUM(H12,H39)</f>
        <v>174796614.74000001</v>
      </c>
      <c r="I75" s="1054"/>
      <c r="J75" s="1055"/>
      <c r="K75" s="1055"/>
      <c r="L75" s="1056"/>
    </row>
    <row r="76" spans="1:12" ht="12.75" customHeight="1" x14ac:dyDescent="0.2">
      <c r="A76" s="1024" t="s">
        <v>83</v>
      </c>
      <c r="B76" s="1026" t="s">
        <v>77</v>
      </c>
      <c r="C76" s="1028" t="s">
        <v>78</v>
      </c>
      <c r="D76" s="1030" t="s">
        <v>79</v>
      </c>
      <c r="E76" s="1039" t="s">
        <v>80</v>
      </c>
      <c r="F76" s="1039"/>
      <c r="G76" s="1039"/>
      <c r="H76" s="1031" t="s">
        <v>149</v>
      </c>
      <c r="I76" s="1033" t="s">
        <v>76</v>
      </c>
      <c r="J76" s="1034"/>
      <c r="K76" s="1034"/>
      <c r="L76" s="1035"/>
    </row>
    <row r="77" spans="1:12" ht="25.5" x14ac:dyDescent="0.2">
      <c r="A77" s="1025"/>
      <c r="B77" s="1027"/>
      <c r="C77" s="1029"/>
      <c r="D77" s="1030"/>
      <c r="E77" s="664" t="s">
        <v>67</v>
      </c>
      <c r="F77" s="665" t="s">
        <v>68</v>
      </c>
      <c r="G77" s="666" t="s">
        <v>6</v>
      </c>
      <c r="H77" s="1032"/>
      <c r="I77" s="1036"/>
      <c r="J77" s="1037"/>
      <c r="K77" s="1037"/>
      <c r="L77" s="1038"/>
    </row>
    <row r="78" spans="1:12" ht="15.75" customHeight="1" x14ac:dyDescent="0.2">
      <c r="A78" s="1018" t="str">
        <f>+'B) Reajuste Tarifas y Ocupación'!A14</f>
        <v>Jardín Infantil Los Delfines</v>
      </c>
      <c r="B78" s="79"/>
      <c r="C78" s="648" t="s">
        <v>11</v>
      </c>
      <c r="D78" s="659">
        <f>SUM(D79,D84)</f>
        <v>139404497.89200002</v>
      </c>
      <c r="E78" s="660"/>
      <c r="F78" s="660"/>
      <c r="G78" s="667">
        <f>SUM(G79,G84)</f>
        <v>35302730</v>
      </c>
      <c r="H78" s="655">
        <f>SUM(H79,H84)</f>
        <v>174707227.89200002</v>
      </c>
      <c r="I78" s="1021"/>
      <c r="J78" s="1022"/>
      <c r="K78" s="1022"/>
      <c r="L78" s="1023"/>
    </row>
    <row r="79" spans="1:12" x14ac:dyDescent="0.2">
      <c r="A79" s="1019"/>
      <c r="B79" s="80"/>
      <c r="C79" s="644" t="s">
        <v>12</v>
      </c>
      <c r="D79" s="646">
        <f>SUM(D80:D83)</f>
        <v>123482785.892</v>
      </c>
      <c r="E79" s="647"/>
      <c r="F79" s="647"/>
      <c r="G79" s="668">
        <f>SUM(G80:G83)</f>
        <v>0</v>
      </c>
      <c r="H79" s="651">
        <f>SUM(H80:H83)</f>
        <v>123482785.892</v>
      </c>
      <c r="I79" s="1021"/>
      <c r="J79" s="1022"/>
      <c r="K79" s="1022"/>
      <c r="L79" s="1023"/>
    </row>
    <row r="80" spans="1:12" x14ac:dyDescent="0.2">
      <c r="A80" s="1019"/>
      <c r="B80" s="81">
        <v>53103040100000</v>
      </c>
      <c r="C80" s="634" t="s">
        <v>98</v>
      </c>
      <c r="D80" s="696">
        <f>+'F) Remuneraciones'!L32</f>
        <v>123282785.892</v>
      </c>
      <c r="E80" s="669">
        <v>0</v>
      </c>
      <c r="F80" s="670">
        <v>0</v>
      </c>
      <c r="G80" s="658">
        <f>E80*F80</f>
        <v>0</v>
      </c>
      <c r="H80" s="650">
        <f>D80+G80</f>
        <v>123282785.892</v>
      </c>
      <c r="I80" s="1021"/>
      <c r="J80" s="1022"/>
      <c r="K80" s="1022"/>
      <c r="L80" s="1023"/>
    </row>
    <row r="81" spans="1:12" x14ac:dyDescent="0.2">
      <c r="A81" s="1019"/>
      <c r="B81" s="81">
        <v>53103050000000</v>
      </c>
      <c r="C81" s="634" t="s">
        <v>198</v>
      </c>
      <c r="D81" s="638">
        <v>0</v>
      </c>
      <c r="E81" s="641">
        <v>0</v>
      </c>
      <c r="F81" s="639">
        <v>0</v>
      </c>
      <c r="G81" s="658">
        <f>E81*F81</f>
        <v>0</v>
      </c>
      <c r="H81" s="650">
        <f>D81+G81</f>
        <v>0</v>
      </c>
      <c r="I81" s="1021"/>
      <c r="J81" s="1022"/>
      <c r="K81" s="1022"/>
      <c r="L81" s="1023"/>
    </row>
    <row r="82" spans="1:12" x14ac:dyDescent="0.2">
      <c r="A82" s="1019"/>
      <c r="B82" s="690">
        <v>53103040400000</v>
      </c>
      <c r="C82" s="691" t="s">
        <v>199</v>
      </c>
      <c r="D82" s="638">
        <v>200000</v>
      </c>
      <c r="E82" s="641">
        <v>0</v>
      </c>
      <c r="F82" s="639">
        <v>0</v>
      </c>
      <c r="G82" s="658">
        <f>E82*F82</f>
        <v>0</v>
      </c>
      <c r="H82" s="650">
        <f>D82+G82</f>
        <v>200000</v>
      </c>
      <c r="I82" s="1021"/>
      <c r="J82" s="1022"/>
      <c r="K82" s="1022"/>
      <c r="L82" s="1023"/>
    </row>
    <row r="83" spans="1:12" x14ac:dyDescent="0.2">
      <c r="A83" s="1019"/>
      <c r="B83" s="81">
        <v>53103080010000</v>
      </c>
      <c r="C83" s="634" t="s">
        <v>200</v>
      </c>
      <c r="D83" s="638">
        <v>0</v>
      </c>
      <c r="E83" s="641">
        <v>0</v>
      </c>
      <c r="F83" s="639">
        <v>0</v>
      </c>
      <c r="G83" s="658">
        <f>E83*F83</f>
        <v>0</v>
      </c>
      <c r="H83" s="650">
        <f>D83+G83</f>
        <v>0</v>
      </c>
      <c r="I83" s="1021"/>
      <c r="J83" s="1022"/>
      <c r="K83" s="1022"/>
      <c r="L83" s="1023"/>
    </row>
    <row r="84" spans="1:12" x14ac:dyDescent="0.2">
      <c r="A84" s="1019"/>
      <c r="B84" s="80"/>
      <c r="C84" s="644" t="s">
        <v>16</v>
      </c>
      <c r="D84" s="646">
        <f>SUM(D85:D104)</f>
        <v>15921712</v>
      </c>
      <c r="E84" s="647"/>
      <c r="F84" s="647"/>
      <c r="G84" s="646">
        <f>SUM(G85:G104)</f>
        <v>35302730</v>
      </c>
      <c r="H84" s="651">
        <f>SUM(H85:H104)</f>
        <v>51224442</v>
      </c>
      <c r="I84" s="1021"/>
      <c r="J84" s="1022"/>
      <c r="K84" s="1022"/>
      <c r="L84" s="1023"/>
    </row>
    <row r="85" spans="1:12" x14ac:dyDescent="0.2">
      <c r="A85" s="1019"/>
      <c r="B85" s="81">
        <v>53201010100000</v>
      </c>
      <c r="C85" s="633" t="s">
        <v>201</v>
      </c>
      <c r="D85" s="638">
        <v>0</v>
      </c>
      <c r="E85" s="641">
        <v>1785</v>
      </c>
      <c r="F85" s="639">
        <f>18*20*11</f>
        <v>3960</v>
      </c>
      <c r="G85" s="658">
        <f t="shared" ref="G85:G104" si="4">E85*F85</f>
        <v>7068600</v>
      </c>
      <c r="H85" s="650">
        <f t="shared" ref="H85:H90" si="5">D85+G85</f>
        <v>7068600</v>
      </c>
      <c r="I85" s="1021"/>
      <c r="J85" s="1022"/>
      <c r="K85" s="1022"/>
      <c r="L85" s="1023"/>
    </row>
    <row r="86" spans="1:12" x14ac:dyDescent="0.2">
      <c r="A86" s="1019"/>
      <c r="B86" s="81">
        <v>53201010100000</v>
      </c>
      <c r="C86" s="633" t="s">
        <v>202</v>
      </c>
      <c r="D86" s="638">
        <v>0</v>
      </c>
      <c r="E86" s="641">
        <v>900</v>
      </c>
      <c r="F86" s="639">
        <f>140*20*10</f>
        <v>28000</v>
      </c>
      <c r="G86" s="658">
        <f t="shared" si="4"/>
        <v>25200000</v>
      </c>
      <c r="H86" s="650">
        <f t="shared" si="5"/>
        <v>25200000</v>
      </c>
      <c r="I86" s="1021"/>
      <c r="J86" s="1022"/>
      <c r="K86" s="1022"/>
      <c r="L86" s="1023"/>
    </row>
    <row r="87" spans="1:12" x14ac:dyDescent="0.2">
      <c r="A87" s="1019"/>
      <c r="B87" s="81">
        <v>53201010100000</v>
      </c>
      <c r="C87" s="633" t="s">
        <v>203</v>
      </c>
      <c r="D87" s="638">
        <v>0</v>
      </c>
      <c r="E87" s="641">
        <v>0</v>
      </c>
      <c r="F87" s="639">
        <v>0</v>
      </c>
      <c r="G87" s="658">
        <f t="shared" si="4"/>
        <v>0</v>
      </c>
      <c r="H87" s="650">
        <f t="shared" si="5"/>
        <v>0</v>
      </c>
      <c r="I87" s="1021"/>
      <c r="J87" s="1022"/>
      <c r="K87" s="1022"/>
      <c r="L87" s="1023"/>
    </row>
    <row r="88" spans="1:12" x14ac:dyDescent="0.2">
      <c r="A88" s="1019"/>
      <c r="B88" s="81">
        <v>53202010100000</v>
      </c>
      <c r="C88" s="633" t="s">
        <v>204</v>
      </c>
      <c r="D88" s="638">
        <v>600000</v>
      </c>
      <c r="E88" s="641">
        <v>0</v>
      </c>
      <c r="F88" s="639">
        <v>0</v>
      </c>
      <c r="G88" s="658">
        <f t="shared" si="4"/>
        <v>0</v>
      </c>
      <c r="H88" s="650">
        <f t="shared" si="5"/>
        <v>600000</v>
      </c>
      <c r="I88" s="1021"/>
      <c r="J88" s="1022"/>
      <c r="K88" s="1022"/>
      <c r="L88" s="1023"/>
    </row>
    <row r="89" spans="1:12" x14ac:dyDescent="0.2">
      <c r="A89" s="1019"/>
      <c r="B89" s="81">
        <v>53203010100000</v>
      </c>
      <c r="C89" s="633" t="s">
        <v>19</v>
      </c>
      <c r="D89" s="638">
        <v>0</v>
      </c>
      <c r="E89" s="641">
        <v>0</v>
      </c>
      <c r="F89" s="639">
        <v>0</v>
      </c>
      <c r="G89" s="658">
        <f t="shared" si="4"/>
        <v>0</v>
      </c>
      <c r="H89" s="650">
        <f t="shared" si="5"/>
        <v>0</v>
      </c>
      <c r="I89" s="1021"/>
      <c r="J89" s="1022"/>
      <c r="K89" s="1022"/>
      <c r="L89" s="1023"/>
    </row>
    <row r="90" spans="1:12" x14ac:dyDescent="0.2">
      <c r="A90" s="1019"/>
      <c r="B90" s="81">
        <v>53203030000000</v>
      </c>
      <c r="C90" s="633" t="s">
        <v>205</v>
      </c>
      <c r="D90" s="638">
        <v>0</v>
      </c>
      <c r="E90" s="641">
        <v>0</v>
      </c>
      <c r="F90" s="639">
        <v>0</v>
      </c>
      <c r="G90" s="658">
        <f t="shared" si="4"/>
        <v>0</v>
      </c>
      <c r="H90" s="650">
        <f t="shared" si="5"/>
        <v>0</v>
      </c>
      <c r="I90" s="1021"/>
      <c r="J90" s="1022"/>
      <c r="K90" s="1022"/>
      <c r="L90" s="1023"/>
    </row>
    <row r="91" spans="1:12" x14ac:dyDescent="0.2">
      <c r="A91" s="1019"/>
      <c r="B91" s="81">
        <v>53204030000000</v>
      </c>
      <c r="C91" s="634" t="s">
        <v>206</v>
      </c>
      <c r="D91" s="638">
        <v>0</v>
      </c>
      <c r="E91" s="641">
        <v>18990</v>
      </c>
      <c r="F91" s="639">
        <v>7</v>
      </c>
      <c r="G91" s="658">
        <f t="shared" si="4"/>
        <v>132930</v>
      </c>
      <c r="H91" s="650">
        <f>D91+G91</f>
        <v>132930</v>
      </c>
      <c r="I91" s="1021"/>
      <c r="J91" s="1022"/>
      <c r="K91" s="1022"/>
      <c r="L91" s="1023"/>
    </row>
    <row r="92" spans="1:12" x14ac:dyDescent="0.2">
      <c r="A92" s="1019"/>
      <c r="B92" s="81">
        <v>53204100100001</v>
      </c>
      <c r="C92" s="634" t="s">
        <v>22</v>
      </c>
      <c r="D92" s="638">
        <v>1500000</v>
      </c>
      <c r="E92" s="641">
        <v>0</v>
      </c>
      <c r="F92" s="639">
        <v>0</v>
      </c>
      <c r="G92" s="658">
        <f t="shared" si="4"/>
        <v>0</v>
      </c>
      <c r="H92" s="650">
        <f t="shared" ref="H92:H104" si="6">D92+G92</f>
        <v>1500000</v>
      </c>
      <c r="I92" s="1021"/>
      <c r="J92" s="1022"/>
      <c r="K92" s="1022"/>
      <c r="L92" s="1023"/>
    </row>
    <row r="93" spans="1:12" x14ac:dyDescent="0.2">
      <c r="A93" s="1019"/>
      <c r="B93" s="81">
        <v>53204130100000</v>
      </c>
      <c r="C93" s="634" t="s">
        <v>208</v>
      </c>
      <c r="D93" s="638">
        <v>750000</v>
      </c>
      <c r="E93" s="641">
        <v>0</v>
      </c>
      <c r="F93" s="639">
        <v>0</v>
      </c>
      <c r="G93" s="658">
        <f t="shared" si="4"/>
        <v>0</v>
      </c>
      <c r="H93" s="650">
        <f t="shared" si="6"/>
        <v>750000</v>
      </c>
      <c r="I93" s="1021"/>
      <c r="J93" s="1022"/>
      <c r="K93" s="1022"/>
      <c r="L93" s="1023"/>
    </row>
    <row r="94" spans="1:12" x14ac:dyDescent="0.2">
      <c r="A94" s="1019"/>
      <c r="B94" s="81">
        <v>53205010100000</v>
      </c>
      <c r="C94" s="634" t="s">
        <v>24</v>
      </c>
      <c r="D94" s="638">
        <v>2797840</v>
      </c>
      <c r="E94" s="641">
        <v>0</v>
      </c>
      <c r="F94" s="639">
        <v>0</v>
      </c>
      <c r="G94" s="658">
        <f t="shared" si="4"/>
        <v>0</v>
      </c>
      <c r="H94" s="650">
        <f t="shared" si="6"/>
        <v>2797840</v>
      </c>
      <c r="I94" s="1021"/>
      <c r="J94" s="1022"/>
      <c r="K94" s="1022"/>
      <c r="L94" s="1023"/>
    </row>
    <row r="95" spans="1:12" x14ac:dyDescent="0.2">
      <c r="A95" s="1019"/>
      <c r="B95" s="81">
        <v>53205020100000</v>
      </c>
      <c r="C95" s="634" t="s">
        <v>25</v>
      </c>
      <c r="D95" s="638">
        <v>2600000</v>
      </c>
      <c r="E95" s="641">
        <v>0</v>
      </c>
      <c r="F95" s="639">
        <v>0</v>
      </c>
      <c r="G95" s="658">
        <f t="shared" si="4"/>
        <v>0</v>
      </c>
      <c r="H95" s="650">
        <f t="shared" si="6"/>
        <v>2600000</v>
      </c>
      <c r="I95" s="1021"/>
      <c r="J95" s="1022"/>
      <c r="K95" s="1022"/>
      <c r="L95" s="1023"/>
    </row>
    <row r="96" spans="1:12" x14ac:dyDescent="0.2">
      <c r="A96" s="1019"/>
      <c r="B96" s="81">
        <v>53205030100000</v>
      </c>
      <c r="C96" s="634" t="s">
        <v>26</v>
      </c>
      <c r="D96" s="638">
        <v>4850000</v>
      </c>
      <c r="E96" s="641">
        <v>0</v>
      </c>
      <c r="F96" s="639">
        <v>0</v>
      </c>
      <c r="G96" s="658">
        <f t="shared" si="4"/>
        <v>0</v>
      </c>
      <c r="H96" s="650">
        <f t="shared" si="6"/>
        <v>4850000</v>
      </c>
      <c r="I96" s="1021"/>
      <c r="J96" s="1022"/>
      <c r="K96" s="1022"/>
      <c r="L96" s="1023"/>
    </row>
    <row r="97" spans="1:12" x14ac:dyDescent="0.2">
      <c r="A97" s="1019"/>
      <c r="B97" s="81">
        <v>53205050100000</v>
      </c>
      <c r="C97" s="634" t="s">
        <v>27</v>
      </c>
      <c r="D97" s="638">
        <v>528000</v>
      </c>
      <c r="E97" s="641">
        <v>0</v>
      </c>
      <c r="F97" s="639">
        <v>0</v>
      </c>
      <c r="G97" s="658">
        <f t="shared" si="4"/>
        <v>0</v>
      </c>
      <c r="H97" s="650">
        <f t="shared" si="6"/>
        <v>528000</v>
      </c>
      <c r="I97" s="1021"/>
      <c r="J97" s="1022"/>
      <c r="K97" s="1022"/>
      <c r="L97" s="1023"/>
    </row>
    <row r="98" spans="1:12" x14ac:dyDescent="0.2">
      <c r="A98" s="1019"/>
      <c r="B98" s="81">
        <v>53205070100000</v>
      </c>
      <c r="C98" s="634" t="s">
        <v>29</v>
      </c>
      <c r="D98" s="638">
        <v>0</v>
      </c>
      <c r="E98" s="641">
        <v>0</v>
      </c>
      <c r="F98" s="639">
        <v>0</v>
      </c>
      <c r="G98" s="658">
        <f t="shared" si="4"/>
        <v>0</v>
      </c>
      <c r="H98" s="650">
        <f t="shared" si="6"/>
        <v>0</v>
      </c>
      <c r="I98" s="1021"/>
      <c r="J98" s="1022"/>
      <c r="K98" s="1022"/>
      <c r="L98" s="1023"/>
    </row>
    <row r="99" spans="1:12" x14ac:dyDescent="0.2">
      <c r="A99" s="1019"/>
      <c r="B99" s="81">
        <v>53208010100000</v>
      </c>
      <c r="C99" s="645" t="s">
        <v>30</v>
      </c>
      <c r="D99" s="638">
        <v>2295872</v>
      </c>
      <c r="E99" s="641">
        <v>0</v>
      </c>
      <c r="F99" s="639">
        <v>0</v>
      </c>
      <c r="G99" s="658">
        <f t="shared" si="4"/>
        <v>0</v>
      </c>
      <c r="H99" s="650">
        <f t="shared" si="6"/>
        <v>2295872</v>
      </c>
      <c r="I99" s="1021"/>
      <c r="J99" s="1022"/>
      <c r="K99" s="1022"/>
      <c r="L99" s="1023"/>
    </row>
    <row r="100" spans="1:12" x14ac:dyDescent="0.2">
      <c r="A100" s="1019"/>
      <c r="B100" s="671">
        <v>53208070100001</v>
      </c>
      <c r="C100" s="683" t="s">
        <v>31</v>
      </c>
      <c r="D100" s="638">
        <v>0</v>
      </c>
      <c r="E100" s="641">
        <v>0</v>
      </c>
      <c r="F100" s="639">
        <v>0</v>
      </c>
      <c r="G100" s="658">
        <f t="shared" si="4"/>
        <v>0</v>
      </c>
      <c r="H100" s="650">
        <f t="shared" si="6"/>
        <v>0</v>
      </c>
      <c r="I100" s="1021"/>
      <c r="J100" s="1022"/>
      <c r="K100" s="1022"/>
      <c r="L100" s="1023"/>
    </row>
    <row r="101" spans="1:12" x14ac:dyDescent="0.2">
      <c r="A101" s="1019"/>
      <c r="B101" s="671">
        <v>53208100100001</v>
      </c>
      <c r="C101" s="683" t="s">
        <v>209</v>
      </c>
      <c r="D101" s="638">
        <v>0</v>
      </c>
      <c r="E101" s="641">
        <v>0</v>
      </c>
      <c r="F101" s="639">
        <v>0</v>
      </c>
      <c r="G101" s="658">
        <f t="shared" si="4"/>
        <v>0</v>
      </c>
      <c r="H101" s="650">
        <f t="shared" si="6"/>
        <v>0</v>
      </c>
      <c r="I101" s="1021"/>
      <c r="J101" s="1022"/>
      <c r="K101" s="1022"/>
      <c r="L101" s="1023"/>
    </row>
    <row r="102" spans="1:12" x14ac:dyDescent="0.2">
      <c r="A102" s="1019"/>
      <c r="B102" s="671">
        <v>53211030000000</v>
      </c>
      <c r="C102" s="683" t="s">
        <v>32</v>
      </c>
      <c r="D102" s="638">
        <v>0</v>
      </c>
      <c r="E102" s="641">
        <v>0</v>
      </c>
      <c r="F102" s="639">
        <v>0</v>
      </c>
      <c r="G102" s="658">
        <f t="shared" si="4"/>
        <v>0</v>
      </c>
      <c r="H102" s="650">
        <f t="shared" si="6"/>
        <v>0</v>
      </c>
      <c r="I102" s="1021"/>
      <c r="J102" s="1022"/>
      <c r="K102" s="1022"/>
      <c r="L102" s="1023"/>
    </row>
    <row r="103" spans="1:12" x14ac:dyDescent="0.2">
      <c r="A103" s="1019"/>
      <c r="B103" s="671">
        <v>53212020100000</v>
      </c>
      <c r="C103" s="683" t="s">
        <v>210</v>
      </c>
      <c r="D103" s="638">
        <v>0</v>
      </c>
      <c r="E103" s="641">
        <v>290120</v>
      </c>
      <c r="F103" s="639">
        <v>10</v>
      </c>
      <c r="G103" s="658">
        <f t="shared" si="4"/>
        <v>2901200</v>
      </c>
      <c r="H103" s="650">
        <f t="shared" si="6"/>
        <v>2901200</v>
      </c>
      <c r="I103" s="1021"/>
      <c r="J103" s="1022"/>
      <c r="K103" s="1022"/>
      <c r="L103" s="1023"/>
    </row>
    <row r="104" spans="1:12" ht="15.75" customHeight="1" x14ac:dyDescent="0.2">
      <c r="A104" s="1019"/>
      <c r="B104" s="671">
        <v>53214020000000</v>
      </c>
      <c r="C104" s="683" t="s">
        <v>211</v>
      </c>
      <c r="D104" s="638">
        <v>0</v>
      </c>
      <c r="E104" s="641">
        <v>0</v>
      </c>
      <c r="F104" s="639">
        <v>0</v>
      </c>
      <c r="G104" s="658">
        <f t="shared" si="4"/>
        <v>0</v>
      </c>
      <c r="H104" s="650">
        <f t="shared" si="6"/>
        <v>0</v>
      </c>
      <c r="I104" s="1021"/>
      <c r="J104" s="1022"/>
      <c r="K104" s="1022"/>
      <c r="L104" s="1023"/>
    </row>
    <row r="105" spans="1:12" x14ac:dyDescent="0.2">
      <c r="A105" s="1019"/>
      <c r="B105" s="672"/>
      <c r="C105" s="684" t="s">
        <v>34</v>
      </c>
      <c r="D105" s="659">
        <f>SUM(D106,D111,D113,D122,D131,D139)</f>
        <v>7136093</v>
      </c>
      <c r="E105" s="660"/>
      <c r="F105" s="660"/>
      <c r="G105" s="659">
        <f>SUM(G106,G111,G113,G122,G131,G139)</f>
        <v>6379754</v>
      </c>
      <c r="H105" s="652">
        <f>SUM(H106,H111,H113,H122,H131,H139)</f>
        <v>13515847</v>
      </c>
      <c r="I105" s="1021"/>
      <c r="J105" s="1022"/>
      <c r="K105" s="1022"/>
      <c r="L105" s="1023"/>
    </row>
    <row r="106" spans="1:12" x14ac:dyDescent="0.2">
      <c r="A106" s="1019"/>
      <c r="B106" s="673"/>
      <c r="C106" s="685" t="s">
        <v>35</v>
      </c>
      <c r="D106" s="646">
        <f>SUM(D107:D110)</f>
        <v>130000</v>
      </c>
      <c r="E106" s="647"/>
      <c r="F106" s="647"/>
      <c r="G106" s="661">
        <f>SUM(G107:G110)</f>
        <v>840954</v>
      </c>
      <c r="H106" s="653">
        <f>SUM(H107:H110)</f>
        <v>970954</v>
      </c>
      <c r="I106" s="1021"/>
      <c r="J106" s="1022"/>
      <c r="K106" s="1022"/>
      <c r="L106" s="1023"/>
    </row>
    <row r="107" spans="1:12" x14ac:dyDescent="0.2">
      <c r="A107" s="1019"/>
      <c r="B107" s="671">
        <v>53202020100000</v>
      </c>
      <c r="C107" s="678" t="s">
        <v>212</v>
      </c>
      <c r="D107" s="638">
        <v>130000</v>
      </c>
      <c r="E107" s="641">
        <v>25990</v>
      </c>
      <c r="F107" s="639">
        <v>17</v>
      </c>
      <c r="G107" s="658">
        <f>E107*F107</f>
        <v>441830</v>
      </c>
      <c r="H107" s="650">
        <f>D107+G107</f>
        <v>571830</v>
      </c>
      <c r="I107" s="1021"/>
      <c r="J107" s="1022"/>
      <c r="K107" s="1022"/>
      <c r="L107" s="1023"/>
    </row>
    <row r="108" spans="1:12" x14ac:dyDescent="0.2">
      <c r="A108" s="1019"/>
      <c r="B108" s="671">
        <v>53202030000000</v>
      </c>
      <c r="C108" s="678" t="s">
        <v>213</v>
      </c>
      <c r="D108" s="638">
        <v>0</v>
      </c>
      <c r="E108" s="641">
        <v>29990</v>
      </c>
      <c r="F108" s="639">
        <v>5</v>
      </c>
      <c r="G108" s="658">
        <f>E108*F108</f>
        <v>149950</v>
      </c>
      <c r="H108" s="650">
        <f>D108+G108</f>
        <v>149950</v>
      </c>
      <c r="I108" s="1021"/>
      <c r="J108" s="1022"/>
      <c r="K108" s="1022"/>
      <c r="L108" s="1023"/>
    </row>
    <row r="109" spans="1:12" x14ac:dyDescent="0.2">
      <c r="A109" s="1019"/>
      <c r="B109" s="671">
        <v>53211020000000</v>
      </c>
      <c r="C109" s="678" t="s">
        <v>41</v>
      </c>
      <c r="D109" s="638">
        <v>0</v>
      </c>
      <c r="E109" s="641">
        <v>60000</v>
      </c>
      <c r="F109" s="639">
        <v>3</v>
      </c>
      <c r="G109" s="658">
        <f>E109*F109</f>
        <v>180000</v>
      </c>
      <c r="H109" s="650">
        <f>D109+G109</f>
        <v>180000</v>
      </c>
      <c r="I109" s="1021"/>
      <c r="J109" s="1022"/>
      <c r="K109" s="1022"/>
      <c r="L109" s="1023"/>
    </row>
    <row r="110" spans="1:12" x14ac:dyDescent="0.2">
      <c r="A110" s="1019"/>
      <c r="B110" s="671">
        <v>53101040600000</v>
      </c>
      <c r="C110" s="680" t="s">
        <v>214</v>
      </c>
      <c r="D110" s="638">
        <v>0</v>
      </c>
      <c r="E110" s="641">
        <v>23058</v>
      </c>
      <c r="F110" s="639">
        <v>3</v>
      </c>
      <c r="G110" s="658">
        <f>E110*F110</f>
        <v>69174</v>
      </c>
      <c r="H110" s="650">
        <f>D110+G110</f>
        <v>69174</v>
      </c>
      <c r="I110" s="1021"/>
      <c r="J110" s="1022"/>
      <c r="K110" s="1022"/>
      <c r="L110" s="1023"/>
    </row>
    <row r="111" spans="1:12" x14ac:dyDescent="0.2">
      <c r="A111" s="1019"/>
      <c r="B111" s="673"/>
      <c r="C111" s="679" t="s">
        <v>42</v>
      </c>
      <c r="D111" s="646">
        <f>SUM(D112:D112)</f>
        <v>0</v>
      </c>
      <c r="E111" s="647"/>
      <c r="F111" s="647"/>
      <c r="G111" s="661">
        <f>SUM(G112:G112)</f>
        <v>0</v>
      </c>
      <c r="H111" s="653">
        <f>SUM(H112:H112)</f>
        <v>0</v>
      </c>
      <c r="I111" s="1021"/>
      <c r="J111" s="1022"/>
      <c r="K111" s="1022"/>
      <c r="L111" s="1023"/>
    </row>
    <row r="112" spans="1:12" x14ac:dyDescent="0.2">
      <c r="A112" s="1019"/>
      <c r="B112" s="674">
        <v>53205990000000</v>
      </c>
      <c r="C112" s="681" t="s">
        <v>44</v>
      </c>
      <c r="D112" s="638">
        <v>0</v>
      </c>
      <c r="E112" s="641">
        <v>0</v>
      </c>
      <c r="F112" s="639">
        <v>0</v>
      </c>
      <c r="G112" s="658">
        <f>E112*F112</f>
        <v>0</v>
      </c>
      <c r="H112" s="650">
        <f>D112+G112</f>
        <v>0</v>
      </c>
      <c r="I112" s="1021"/>
      <c r="J112" s="1022"/>
      <c r="K112" s="1022"/>
      <c r="L112" s="1023"/>
    </row>
    <row r="113" spans="1:12" x14ac:dyDescent="0.2">
      <c r="A113" s="1019"/>
      <c r="B113" s="673"/>
      <c r="C113" s="679" t="s">
        <v>45</v>
      </c>
      <c r="D113" s="646">
        <f>SUM(D114:D121)</f>
        <v>5043609</v>
      </c>
      <c r="E113" s="647"/>
      <c r="F113" s="647"/>
      <c r="G113" s="646">
        <f>SUM(G114:G121)</f>
        <v>650400</v>
      </c>
      <c r="H113" s="651">
        <f>SUM(H114:H121)</f>
        <v>5694009</v>
      </c>
      <c r="I113" s="1021"/>
      <c r="J113" s="1022"/>
      <c r="K113" s="1022"/>
      <c r="L113" s="1023"/>
    </row>
    <row r="114" spans="1:12" x14ac:dyDescent="0.2">
      <c r="A114" s="1019"/>
      <c r="B114" s="671">
        <v>53204010000000</v>
      </c>
      <c r="C114" s="678" t="s">
        <v>47</v>
      </c>
      <c r="D114" s="638">
        <v>593810</v>
      </c>
      <c r="E114" s="638">
        <v>0</v>
      </c>
      <c r="F114" s="639">
        <v>0</v>
      </c>
      <c r="G114" s="658">
        <f t="shared" ref="G114:G121" si="7">E114*F114</f>
        <v>0</v>
      </c>
      <c r="H114" s="650">
        <f t="shared" ref="H114:H121" si="8">D114+G114</f>
        <v>593810</v>
      </c>
      <c r="I114" s="1021"/>
      <c r="J114" s="1022"/>
      <c r="K114" s="1022"/>
      <c r="L114" s="1023"/>
    </row>
    <row r="115" spans="1:12" x14ac:dyDescent="0.2">
      <c r="A115" s="1019"/>
      <c r="B115" s="674">
        <v>53204040200000</v>
      </c>
      <c r="C115" s="681" t="s">
        <v>223</v>
      </c>
      <c r="D115" s="638">
        <v>0</v>
      </c>
      <c r="E115" s="638">
        <v>21500</v>
      </c>
      <c r="F115" s="639">
        <v>7</v>
      </c>
      <c r="G115" s="658">
        <f t="shared" si="7"/>
        <v>150500</v>
      </c>
      <c r="H115" s="650">
        <f t="shared" si="8"/>
        <v>150500</v>
      </c>
      <c r="I115" s="1021"/>
      <c r="J115" s="1022"/>
      <c r="K115" s="1022"/>
      <c r="L115" s="1023"/>
    </row>
    <row r="116" spans="1:12" x14ac:dyDescent="0.2">
      <c r="A116" s="1019"/>
      <c r="B116" s="671">
        <v>53204060000000</v>
      </c>
      <c r="C116" s="678" t="s">
        <v>49</v>
      </c>
      <c r="D116" s="638">
        <v>0</v>
      </c>
      <c r="E116" s="638">
        <v>0</v>
      </c>
      <c r="F116" s="639">
        <v>0</v>
      </c>
      <c r="G116" s="658">
        <f t="shared" si="7"/>
        <v>0</v>
      </c>
      <c r="H116" s="650">
        <f t="shared" si="8"/>
        <v>0</v>
      </c>
      <c r="I116" s="1021"/>
      <c r="J116" s="1022"/>
      <c r="K116" s="1022"/>
      <c r="L116" s="1023"/>
    </row>
    <row r="117" spans="1:12" x14ac:dyDescent="0.2">
      <c r="A117" s="1019"/>
      <c r="B117" s="671">
        <v>53204070000000</v>
      </c>
      <c r="C117" s="678" t="s">
        <v>50</v>
      </c>
      <c r="D117" s="638">
        <v>1850000</v>
      </c>
      <c r="E117" s="638">
        <v>0</v>
      </c>
      <c r="F117" s="639">
        <v>0</v>
      </c>
      <c r="G117" s="658">
        <f t="shared" si="7"/>
        <v>0</v>
      </c>
      <c r="H117" s="650">
        <f t="shared" si="8"/>
        <v>1850000</v>
      </c>
      <c r="I117" s="1021"/>
      <c r="J117" s="1022"/>
      <c r="K117" s="1022"/>
      <c r="L117" s="1023"/>
    </row>
    <row r="118" spans="1:12" x14ac:dyDescent="0.2">
      <c r="A118" s="1019"/>
      <c r="B118" s="671">
        <v>53204080000000</v>
      </c>
      <c r="C118" s="682" t="s">
        <v>51</v>
      </c>
      <c r="D118" s="638">
        <v>445820</v>
      </c>
      <c r="E118" s="638">
        <v>0</v>
      </c>
      <c r="F118" s="639">
        <v>0</v>
      </c>
      <c r="G118" s="658">
        <f t="shared" si="7"/>
        <v>0</v>
      </c>
      <c r="H118" s="650">
        <f t="shared" si="8"/>
        <v>445820</v>
      </c>
      <c r="I118" s="1021"/>
      <c r="J118" s="1022"/>
      <c r="K118" s="1022"/>
      <c r="L118" s="1023"/>
    </row>
    <row r="119" spans="1:12" x14ac:dyDescent="0.2">
      <c r="A119" s="1019"/>
      <c r="B119" s="671">
        <v>53214010000000</v>
      </c>
      <c r="C119" s="678" t="s">
        <v>52</v>
      </c>
      <c r="D119" s="638">
        <v>0</v>
      </c>
      <c r="E119" s="638">
        <v>49990</v>
      </c>
      <c r="F119" s="639">
        <v>10</v>
      </c>
      <c r="G119" s="658">
        <f t="shared" si="7"/>
        <v>499900</v>
      </c>
      <c r="H119" s="650">
        <f t="shared" si="8"/>
        <v>499900</v>
      </c>
      <c r="I119" s="1021"/>
      <c r="J119" s="1022"/>
      <c r="K119" s="1022"/>
      <c r="L119" s="1023"/>
    </row>
    <row r="120" spans="1:12" x14ac:dyDescent="0.2">
      <c r="A120" s="1019"/>
      <c r="B120" s="671">
        <v>53214040000000</v>
      </c>
      <c r="C120" s="678" t="s">
        <v>215</v>
      </c>
      <c r="D120" s="638">
        <v>2153979</v>
      </c>
      <c r="E120" s="638">
        <v>0</v>
      </c>
      <c r="F120" s="639">
        <v>0</v>
      </c>
      <c r="G120" s="658">
        <f t="shared" si="7"/>
        <v>0</v>
      </c>
      <c r="H120" s="650">
        <f t="shared" si="8"/>
        <v>2153979</v>
      </c>
      <c r="I120" s="1021"/>
      <c r="J120" s="1022"/>
      <c r="K120" s="1022"/>
      <c r="L120" s="1023"/>
    </row>
    <row r="121" spans="1:12" x14ac:dyDescent="0.2">
      <c r="A121" s="1019"/>
      <c r="B121" s="693">
        <v>53204020100000</v>
      </c>
      <c r="C121" s="694" t="s">
        <v>207</v>
      </c>
      <c r="D121" s="638">
        <v>0</v>
      </c>
      <c r="E121" s="638">
        <v>0</v>
      </c>
      <c r="F121" s="639">
        <v>0</v>
      </c>
      <c r="G121" s="658">
        <f t="shared" si="7"/>
        <v>0</v>
      </c>
      <c r="H121" s="650">
        <f t="shared" si="8"/>
        <v>0</v>
      </c>
      <c r="I121" s="1021"/>
      <c r="J121" s="1022"/>
      <c r="K121" s="1022"/>
      <c r="L121" s="1023"/>
    </row>
    <row r="122" spans="1:12" x14ac:dyDescent="0.2">
      <c r="A122" s="1019"/>
      <c r="B122" s="673"/>
      <c r="C122" s="679" t="s">
        <v>55</v>
      </c>
      <c r="D122" s="646">
        <f>SUM(D123:D130)</f>
        <v>1238594</v>
      </c>
      <c r="E122" s="647"/>
      <c r="F122" s="647"/>
      <c r="G122" s="646">
        <f>SUM(G123:G130)</f>
        <v>2338400</v>
      </c>
      <c r="H122" s="651">
        <f>SUM(H123:H130)</f>
        <v>3576994</v>
      </c>
      <c r="I122" s="1021"/>
      <c r="J122" s="1022"/>
      <c r="K122" s="1022"/>
      <c r="L122" s="1023"/>
    </row>
    <row r="123" spans="1:12" x14ac:dyDescent="0.2">
      <c r="A123" s="1019"/>
      <c r="B123" s="671">
        <v>53207010000000</v>
      </c>
      <c r="C123" s="678" t="s">
        <v>56</v>
      </c>
      <c r="D123" s="638">
        <v>0</v>
      </c>
      <c r="E123" s="638">
        <v>0</v>
      </c>
      <c r="F123" s="639">
        <v>0</v>
      </c>
      <c r="G123" s="658">
        <f t="shared" ref="G123:G130" si="9">E123*F123</f>
        <v>0</v>
      </c>
      <c r="H123" s="650">
        <f t="shared" ref="H123:H130" si="10">D123+G123</f>
        <v>0</v>
      </c>
      <c r="I123" s="1021"/>
      <c r="J123" s="1022"/>
      <c r="K123" s="1022"/>
      <c r="L123" s="1023"/>
    </row>
    <row r="124" spans="1:12" x14ac:dyDescent="0.2">
      <c r="A124" s="1019"/>
      <c r="B124" s="671">
        <v>53207020000000</v>
      </c>
      <c r="C124" s="678" t="s">
        <v>57</v>
      </c>
      <c r="D124" s="638"/>
      <c r="E124" s="638"/>
      <c r="F124" s="639"/>
      <c r="G124" s="658">
        <f t="shared" si="9"/>
        <v>0</v>
      </c>
      <c r="H124" s="650">
        <f t="shared" si="10"/>
        <v>0</v>
      </c>
      <c r="I124" s="1021"/>
      <c r="J124" s="1022"/>
      <c r="K124" s="1022"/>
      <c r="L124" s="1023"/>
    </row>
    <row r="125" spans="1:12" x14ac:dyDescent="0.2">
      <c r="A125" s="1019"/>
      <c r="B125" s="671">
        <v>53208020000000</v>
      </c>
      <c r="C125" s="682" t="s">
        <v>197</v>
      </c>
      <c r="D125" s="638">
        <v>0</v>
      </c>
      <c r="E125" s="638">
        <v>0</v>
      </c>
      <c r="F125" s="639">
        <v>0</v>
      </c>
      <c r="G125" s="658">
        <f t="shared" si="9"/>
        <v>0</v>
      </c>
      <c r="H125" s="650">
        <f t="shared" si="10"/>
        <v>0</v>
      </c>
      <c r="I125" s="1021"/>
      <c r="J125" s="1022"/>
      <c r="K125" s="1022"/>
      <c r="L125" s="1023"/>
    </row>
    <row r="126" spans="1:12" x14ac:dyDescent="0.2">
      <c r="A126" s="1019"/>
      <c r="B126" s="671">
        <v>53208990000000</v>
      </c>
      <c r="C126" s="682" t="s">
        <v>216</v>
      </c>
      <c r="D126" s="638">
        <v>0</v>
      </c>
      <c r="E126" s="638">
        <v>320000</v>
      </c>
      <c r="F126" s="639">
        <v>4</v>
      </c>
      <c r="G126" s="658">
        <f t="shared" si="9"/>
        <v>1280000</v>
      </c>
      <c r="H126" s="650">
        <f t="shared" si="10"/>
        <v>1280000</v>
      </c>
      <c r="I126" s="1021"/>
      <c r="J126" s="1022"/>
      <c r="K126" s="1022"/>
      <c r="L126" s="1023"/>
    </row>
    <row r="127" spans="1:12" x14ac:dyDescent="0.2">
      <c r="A127" s="1019"/>
      <c r="B127" s="693">
        <v>53210020300000</v>
      </c>
      <c r="C127" s="695" t="s">
        <v>219</v>
      </c>
      <c r="D127" s="638">
        <v>0</v>
      </c>
      <c r="E127" s="638">
        <v>7560</v>
      </c>
      <c r="F127" s="639">
        <v>140</v>
      </c>
      <c r="G127" s="658">
        <f t="shared" si="9"/>
        <v>1058400</v>
      </c>
      <c r="H127" s="650">
        <f t="shared" si="10"/>
        <v>1058400</v>
      </c>
      <c r="I127" s="1021"/>
      <c r="J127" s="1022"/>
      <c r="K127" s="1022"/>
      <c r="L127" s="1023"/>
    </row>
    <row r="128" spans="1:12" x14ac:dyDescent="0.2">
      <c r="A128" s="1019"/>
      <c r="B128" s="671">
        <v>53208990000000</v>
      </c>
      <c r="C128" s="682" t="s">
        <v>220</v>
      </c>
      <c r="D128" s="638">
        <v>0</v>
      </c>
      <c r="E128" s="638">
        <v>0</v>
      </c>
      <c r="F128" s="639">
        <v>0</v>
      </c>
      <c r="G128" s="658">
        <f t="shared" si="9"/>
        <v>0</v>
      </c>
      <c r="H128" s="650">
        <f t="shared" si="10"/>
        <v>0</v>
      </c>
      <c r="I128" s="1021"/>
      <c r="J128" s="1022"/>
      <c r="K128" s="1022"/>
      <c r="L128" s="1023"/>
    </row>
    <row r="129" spans="1:12" x14ac:dyDescent="0.2">
      <c r="A129" s="1019"/>
      <c r="B129" s="671">
        <v>53209990000000</v>
      </c>
      <c r="C129" s="682" t="s">
        <v>218</v>
      </c>
      <c r="D129" s="638">
        <v>0</v>
      </c>
      <c r="E129" s="638"/>
      <c r="F129" s="639"/>
      <c r="G129" s="658">
        <f t="shared" si="9"/>
        <v>0</v>
      </c>
      <c r="H129" s="650">
        <f t="shared" si="10"/>
        <v>0</v>
      </c>
      <c r="I129" s="1021"/>
      <c r="J129" s="1022"/>
      <c r="K129" s="1022"/>
      <c r="L129" s="1023"/>
    </row>
    <row r="130" spans="1:12" ht="13.5" thickBot="1" x14ac:dyDescent="0.25">
      <c r="A130" s="1019"/>
      <c r="B130" s="671">
        <v>53210020100000</v>
      </c>
      <c r="C130" s="678" t="s">
        <v>64</v>
      </c>
      <c r="D130" s="763">
        <f>200594+1038000</f>
        <v>1238594</v>
      </c>
      <c r="E130" s="638">
        <v>0</v>
      </c>
      <c r="F130" s="639">
        <v>0</v>
      </c>
      <c r="G130" s="658">
        <f t="shared" si="9"/>
        <v>0</v>
      </c>
      <c r="H130" s="650">
        <f t="shared" si="10"/>
        <v>1238594</v>
      </c>
      <c r="I130" s="1021"/>
      <c r="J130" s="1022"/>
      <c r="K130" s="1022"/>
      <c r="L130" s="1023"/>
    </row>
    <row r="131" spans="1:12" x14ac:dyDescent="0.2">
      <c r="A131" s="1019"/>
      <c r="B131" s="673"/>
      <c r="C131" s="679" t="s">
        <v>65</v>
      </c>
      <c r="D131" s="646">
        <f>SUM(D132:D138)</f>
        <v>723890</v>
      </c>
      <c r="E131" s="647"/>
      <c r="F131" s="647"/>
      <c r="G131" s="646">
        <f>SUM(G132:G138)</f>
        <v>870000</v>
      </c>
      <c r="H131" s="651">
        <f>SUM(H132:H138)</f>
        <v>1593890</v>
      </c>
      <c r="I131" s="1021"/>
      <c r="J131" s="1022"/>
      <c r="K131" s="1022"/>
      <c r="L131" s="1023"/>
    </row>
    <row r="132" spans="1:12" x14ac:dyDescent="0.2">
      <c r="A132" s="1019"/>
      <c r="B132" s="671">
        <v>53206030000000</v>
      </c>
      <c r="C132" s="678" t="s">
        <v>102</v>
      </c>
      <c r="D132" s="638">
        <v>0</v>
      </c>
      <c r="E132" s="638">
        <v>0</v>
      </c>
      <c r="F132" s="639">
        <v>0</v>
      </c>
      <c r="G132" s="658">
        <f t="shared" ref="G132:G138" si="11">E132*F132</f>
        <v>0</v>
      </c>
      <c r="H132" s="650">
        <f t="shared" ref="H132:H138" si="12">D132+G132</f>
        <v>0</v>
      </c>
      <c r="I132" s="1021"/>
      <c r="J132" s="1022"/>
      <c r="K132" s="1022"/>
      <c r="L132" s="1023"/>
    </row>
    <row r="133" spans="1:12" x14ac:dyDescent="0.2">
      <c r="A133" s="1019"/>
      <c r="B133" s="671">
        <v>53206040000000</v>
      </c>
      <c r="C133" s="678" t="s">
        <v>103</v>
      </c>
      <c r="D133" s="638">
        <v>0</v>
      </c>
      <c r="E133" s="638">
        <v>0</v>
      </c>
      <c r="F133" s="639">
        <v>0</v>
      </c>
      <c r="G133" s="658">
        <f t="shared" si="11"/>
        <v>0</v>
      </c>
      <c r="H133" s="650">
        <f t="shared" si="12"/>
        <v>0</v>
      </c>
      <c r="I133" s="1021"/>
      <c r="J133" s="1022"/>
      <c r="K133" s="1022"/>
      <c r="L133" s="1023"/>
    </row>
    <row r="134" spans="1:12" x14ac:dyDescent="0.2">
      <c r="A134" s="1019"/>
      <c r="B134" s="671">
        <v>53206060000000</v>
      </c>
      <c r="C134" s="678" t="s">
        <v>221</v>
      </c>
      <c r="D134" s="638">
        <v>723890</v>
      </c>
      <c r="E134" s="638">
        <v>0</v>
      </c>
      <c r="F134" s="639">
        <v>0</v>
      </c>
      <c r="G134" s="658">
        <f t="shared" si="11"/>
        <v>0</v>
      </c>
      <c r="H134" s="650">
        <f t="shared" si="12"/>
        <v>723890</v>
      </c>
      <c r="I134" s="1021"/>
      <c r="J134" s="1022"/>
      <c r="K134" s="1022"/>
      <c r="L134" s="1023"/>
    </row>
    <row r="135" spans="1:12" x14ac:dyDescent="0.2">
      <c r="A135" s="1019"/>
      <c r="B135" s="671">
        <v>53206070000000</v>
      </c>
      <c r="C135" s="678" t="s">
        <v>105</v>
      </c>
      <c r="D135" s="638">
        <v>0</v>
      </c>
      <c r="E135" s="638">
        <v>0</v>
      </c>
      <c r="F135" s="639">
        <v>0</v>
      </c>
      <c r="G135" s="658">
        <f t="shared" si="11"/>
        <v>0</v>
      </c>
      <c r="H135" s="650">
        <f t="shared" si="12"/>
        <v>0</v>
      </c>
      <c r="I135" s="1021"/>
      <c r="J135" s="1022"/>
      <c r="K135" s="1022"/>
      <c r="L135" s="1023"/>
    </row>
    <row r="136" spans="1:12" x14ac:dyDescent="0.2">
      <c r="A136" s="1019"/>
      <c r="B136" s="671">
        <v>53206990000000</v>
      </c>
      <c r="C136" s="678" t="s">
        <v>222</v>
      </c>
      <c r="D136" s="638">
        <v>0</v>
      </c>
      <c r="E136" s="638">
        <v>0</v>
      </c>
      <c r="F136" s="639">
        <v>0</v>
      </c>
      <c r="G136" s="658">
        <f t="shared" si="11"/>
        <v>0</v>
      </c>
      <c r="H136" s="650">
        <f t="shared" si="12"/>
        <v>0</v>
      </c>
      <c r="I136" s="1021"/>
      <c r="J136" s="1022"/>
      <c r="K136" s="1022"/>
      <c r="L136" s="1023"/>
    </row>
    <row r="137" spans="1:12" x14ac:dyDescent="0.2">
      <c r="A137" s="1019"/>
      <c r="B137" s="671">
        <v>53208030000000</v>
      </c>
      <c r="C137" s="678" t="s">
        <v>107</v>
      </c>
      <c r="D137" s="638">
        <v>0</v>
      </c>
      <c r="E137" s="638">
        <v>72500</v>
      </c>
      <c r="F137" s="639">
        <v>12</v>
      </c>
      <c r="G137" s="658">
        <f t="shared" si="11"/>
        <v>870000</v>
      </c>
      <c r="H137" s="650">
        <f t="shared" si="12"/>
        <v>870000</v>
      </c>
      <c r="I137" s="1021"/>
      <c r="J137" s="1022"/>
      <c r="K137" s="1022"/>
      <c r="L137" s="1023"/>
    </row>
    <row r="138" spans="1:12" x14ac:dyDescent="0.2">
      <c r="A138" s="1019"/>
      <c r="B138" s="671">
        <v>53212060000000</v>
      </c>
      <c r="C138" s="678" t="s">
        <v>100</v>
      </c>
      <c r="D138" s="638">
        <v>0</v>
      </c>
      <c r="E138" s="638">
        <v>0</v>
      </c>
      <c r="F138" s="639">
        <v>0</v>
      </c>
      <c r="G138" s="658">
        <f t="shared" si="11"/>
        <v>0</v>
      </c>
      <c r="H138" s="650">
        <f t="shared" si="12"/>
        <v>0</v>
      </c>
      <c r="I138" s="1021"/>
      <c r="J138" s="1022"/>
      <c r="K138" s="1022"/>
      <c r="L138" s="1023"/>
    </row>
    <row r="139" spans="1:12" x14ac:dyDescent="0.2">
      <c r="A139" s="1019"/>
      <c r="B139" s="673"/>
      <c r="C139" s="679" t="s">
        <v>66</v>
      </c>
      <c r="D139" s="646">
        <f>SUM(D140:D140)</f>
        <v>0</v>
      </c>
      <c r="E139" s="647"/>
      <c r="F139" s="647"/>
      <c r="G139" s="646">
        <f>SUM(G140:G140)</f>
        <v>1680000</v>
      </c>
      <c r="H139" s="651">
        <f>SUM(H140:H140)</f>
        <v>1680000</v>
      </c>
      <c r="I139" s="1021"/>
      <c r="J139" s="1022"/>
      <c r="K139" s="1022"/>
      <c r="L139" s="1023"/>
    </row>
    <row r="140" spans="1:12" x14ac:dyDescent="0.2">
      <c r="A140" s="1019"/>
      <c r="B140" s="675">
        <v>53204999000000</v>
      </c>
      <c r="C140" s="678" t="s">
        <v>217</v>
      </c>
      <c r="D140" s="638">
        <v>0</v>
      </c>
      <c r="E140" s="638">
        <v>12000</v>
      </c>
      <c r="F140" s="639">
        <v>140</v>
      </c>
      <c r="G140" s="658">
        <f>E140*F140</f>
        <v>1680000</v>
      </c>
      <c r="H140" s="654">
        <f>D140+G140</f>
        <v>1680000</v>
      </c>
      <c r="I140" s="1021"/>
      <c r="J140" s="1022"/>
      <c r="K140" s="1022"/>
      <c r="L140" s="1023"/>
    </row>
    <row r="141" spans="1:12" x14ac:dyDescent="0.2">
      <c r="A141" s="1019"/>
      <c r="B141" s="98"/>
      <c r="C141" s="676" t="s">
        <v>108</v>
      </c>
      <c r="D141" s="141">
        <f>SUM(D78,D105)</f>
        <v>146540590.89200002</v>
      </c>
      <c r="E141" s="677"/>
      <c r="F141" s="677"/>
      <c r="G141" s="141">
        <f>SUM(G78,G105)</f>
        <v>41682484</v>
      </c>
      <c r="H141" s="99">
        <f>SUM(H78,H105)</f>
        <v>188223074.89200002</v>
      </c>
      <c r="I141" s="1021"/>
      <c r="J141" s="1022"/>
      <c r="K141" s="1022"/>
      <c r="L141" s="1023"/>
    </row>
    <row r="142" spans="1:12" ht="12.75" customHeight="1" x14ac:dyDescent="0.2">
      <c r="A142" s="1024" t="s">
        <v>83</v>
      </c>
      <c r="B142" s="1026" t="s">
        <v>77</v>
      </c>
      <c r="C142" s="1040" t="s">
        <v>78</v>
      </c>
      <c r="D142" s="1042" t="s">
        <v>79</v>
      </c>
      <c r="E142" s="1044" t="s">
        <v>80</v>
      </c>
      <c r="F142" s="1045"/>
      <c r="G142" s="1046"/>
      <c r="H142" s="1047" t="s">
        <v>149</v>
      </c>
      <c r="I142" s="1033" t="s">
        <v>76</v>
      </c>
      <c r="J142" s="1034"/>
      <c r="K142" s="1034"/>
      <c r="L142" s="1035"/>
    </row>
    <row r="143" spans="1:12" ht="25.5" x14ac:dyDescent="0.2">
      <c r="A143" s="1025"/>
      <c r="B143" s="1027"/>
      <c r="C143" s="1041"/>
      <c r="D143" s="1043"/>
      <c r="E143" s="49" t="s">
        <v>67</v>
      </c>
      <c r="F143" s="50" t="s">
        <v>68</v>
      </c>
      <c r="G143" s="51" t="s">
        <v>6</v>
      </c>
      <c r="H143" s="1048"/>
      <c r="I143" s="1036"/>
      <c r="J143" s="1037"/>
      <c r="K143" s="1037"/>
      <c r="L143" s="1038"/>
    </row>
    <row r="144" spans="1:12" ht="15.75" customHeight="1" x14ac:dyDescent="0.2">
      <c r="A144" s="1018" t="str">
        <f>+'B) Reajuste Tarifas y Ocupación'!A16</f>
        <v>Jardín Infantil Pecesitos de Colores</v>
      </c>
      <c r="B144" s="79"/>
      <c r="C144" s="52" t="s">
        <v>11</v>
      </c>
      <c r="D144" s="53">
        <f>SUM(D145,D150)</f>
        <v>8114722.148</v>
      </c>
      <c r="E144" s="54"/>
      <c r="F144" s="54"/>
      <c r="G144" s="137">
        <f>SUM(G145,G150)</f>
        <v>1901670</v>
      </c>
      <c r="H144" s="55">
        <f>SUM(H145,H150)</f>
        <v>10016392.148</v>
      </c>
      <c r="I144" s="1021"/>
      <c r="J144" s="1022"/>
      <c r="K144" s="1022"/>
      <c r="L144" s="1023"/>
    </row>
    <row r="145" spans="1:12" x14ac:dyDescent="0.2">
      <c r="A145" s="1019"/>
      <c r="B145" s="80"/>
      <c r="C145" s="56" t="s">
        <v>12</v>
      </c>
      <c r="D145" s="83">
        <f>SUM(D146:D149)</f>
        <v>5364722.148</v>
      </c>
      <c r="E145" s="84"/>
      <c r="F145" s="84"/>
      <c r="G145" s="138">
        <f>SUM(G146:G149)</f>
        <v>0</v>
      </c>
      <c r="H145" s="57">
        <f>SUM(H146:H149)</f>
        <v>5364722.148</v>
      </c>
      <c r="I145" s="1021"/>
      <c r="J145" s="1022"/>
      <c r="K145" s="1022"/>
      <c r="L145" s="1023"/>
    </row>
    <row r="146" spans="1:12" x14ac:dyDescent="0.2">
      <c r="A146" s="1019"/>
      <c r="B146" s="81">
        <v>53103040100000</v>
      </c>
      <c r="C146" s="82" t="s">
        <v>98</v>
      </c>
      <c r="D146" s="728">
        <f>+'F) Remuneraciones'!L51</f>
        <v>5239244.148</v>
      </c>
      <c r="E146" s="642">
        <v>0</v>
      </c>
      <c r="F146" s="643">
        <v>0</v>
      </c>
      <c r="G146" s="656">
        <f>E146*F146</f>
        <v>0</v>
      </c>
      <c r="H146" s="94">
        <f>D146+G146</f>
        <v>5239244.148</v>
      </c>
      <c r="I146" s="1021"/>
      <c r="J146" s="1022"/>
      <c r="K146" s="1022"/>
      <c r="L146" s="1023"/>
    </row>
    <row r="147" spans="1:12" x14ac:dyDescent="0.2">
      <c r="A147" s="1019"/>
      <c r="B147" s="81">
        <v>53103050000000</v>
      </c>
      <c r="C147" s="634" t="s">
        <v>198</v>
      </c>
      <c r="D147" s="638">
        <v>0</v>
      </c>
      <c r="E147" s="641">
        <v>0</v>
      </c>
      <c r="F147" s="639">
        <v>0</v>
      </c>
      <c r="G147" s="658">
        <f>E147*F147</f>
        <v>0</v>
      </c>
      <c r="H147" s="650">
        <f>D147+G147</f>
        <v>0</v>
      </c>
      <c r="I147" s="1021"/>
      <c r="J147" s="1022"/>
      <c r="K147" s="1022"/>
      <c r="L147" s="1023"/>
    </row>
    <row r="148" spans="1:12" x14ac:dyDescent="0.2">
      <c r="A148" s="1019"/>
      <c r="B148" s="690">
        <v>53103040400000</v>
      </c>
      <c r="C148" s="691" t="s">
        <v>199</v>
      </c>
      <c r="D148" s="638">
        <v>125478</v>
      </c>
      <c r="E148" s="641">
        <v>0</v>
      </c>
      <c r="F148" s="639">
        <v>0</v>
      </c>
      <c r="G148" s="658">
        <f>E148*F148</f>
        <v>0</v>
      </c>
      <c r="H148" s="650">
        <f>D148+G148</f>
        <v>125478</v>
      </c>
      <c r="I148" s="1021"/>
      <c r="J148" s="1022"/>
      <c r="K148" s="1022"/>
      <c r="L148" s="1023"/>
    </row>
    <row r="149" spans="1:12" x14ac:dyDescent="0.2">
      <c r="A149" s="1019"/>
      <c r="B149" s="81">
        <v>53103080010000</v>
      </c>
      <c r="C149" s="634" t="s">
        <v>200</v>
      </c>
      <c r="D149" s="638">
        <v>0</v>
      </c>
      <c r="E149" s="641">
        <v>0</v>
      </c>
      <c r="F149" s="639">
        <v>0</v>
      </c>
      <c r="G149" s="658">
        <f>E149*F149</f>
        <v>0</v>
      </c>
      <c r="H149" s="650">
        <f>D149+G149</f>
        <v>0</v>
      </c>
      <c r="I149" s="1021"/>
      <c r="J149" s="1022"/>
      <c r="K149" s="1022"/>
      <c r="L149" s="1023"/>
    </row>
    <row r="150" spans="1:12" x14ac:dyDescent="0.2">
      <c r="A150" s="1019"/>
      <c r="B150" s="80"/>
      <c r="C150" s="644" t="s">
        <v>16</v>
      </c>
      <c r="D150" s="646">
        <f>SUM(D151:D170)</f>
        <v>2750000</v>
      </c>
      <c r="E150" s="647"/>
      <c r="F150" s="647"/>
      <c r="G150" s="646">
        <f>SUM(G151:G170)</f>
        <v>1901670</v>
      </c>
      <c r="H150" s="651">
        <f>SUM(H151:H170)</f>
        <v>4651670</v>
      </c>
      <c r="I150" s="1021"/>
      <c r="J150" s="1022"/>
      <c r="K150" s="1022"/>
      <c r="L150" s="1023"/>
    </row>
    <row r="151" spans="1:12" x14ac:dyDescent="0.2">
      <c r="A151" s="1019"/>
      <c r="B151" s="81">
        <v>53201010100000</v>
      </c>
      <c r="C151" s="633" t="s">
        <v>201</v>
      </c>
      <c r="D151" s="638">
        <v>0</v>
      </c>
      <c r="E151" s="641">
        <v>1785</v>
      </c>
      <c r="F151" s="639">
        <f>1*20*11</f>
        <v>220</v>
      </c>
      <c r="G151" s="658">
        <f t="shared" ref="G151:G170" si="13">E151*F151</f>
        <v>392700</v>
      </c>
      <c r="H151" s="650">
        <f t="shared" ref="H151:H156" si="14">D151+G151</f>
        <v>392700</v>
      </c>
      <c r="I151" s="1021"/>
      <c r="J151" s="1022"/>
      <c r="K151" s="1022"/>
      <c r="L151" s="1023"/>
    </row>
    <row r="152" spans="1:12" x14ac:dyDescent="0.2">
      <c r="A152" s="1019"/>
      <c r="B152" s="81">
        <v>53201010100000</v>
      </c>
      <c r="C152" s="633" t="s">
        <v>202</v>
      </c>
      <c r="D152" s="638">
        <v>0</v>
      </c>
      <c r="E152" s="641">
        <v>0</v>
      </c>
      <c r="F152" s="639">
        <v>0</v>
      </c>
      <c r="G152" s="658">
        <f t="shared" si="13"/>
        <v>0</v>
      </c>
      <c r="H152" s="650">
        <f t="shared" si="14"/>
        <v>0</v>
      </c>
      <c r="I152" s="1021"/>
      <c r="J152" s="1022"/>
      <c r="K152" s="1022"/>
      <c r="L152" s="1023"/>
    </row>
    <row r="153" spans="1:12" x14ac:dyDescent="0.2">
      <c r="A153" s="1019"/>
      <c r="B153" s="81">
        <v>53201010100000</v>
      </c>
      <c r="C153" s="633" t="s">
        <v>203</v>
      </c>
      <c r="D153" s="638">
        <v>0</v>
      </c>
      <c r="E153" s="641">
        <v>0</v>
      </c>
      <c r="F153" s="639">
        <v>0</v>
      </c>
      <c r="G153" s="658">
        <f t="shared" si="13"/>
        <v>0</v>
      </c>
      <c r="H153" s="650">
        <f t="shared" si="14"/>
        <v>0</v>
      </c>
      <c r="I153" s="1021"/>
      <c r="J153" s="1022"/>
      <c r="K153" s="1022"/>
      <c r="L153" s="1023"/>
    </row>
    <row r="154" spans="1:12" x14ac:dyDescent="0.2">
      <c r="A154" s="1019"/>
      <c r="B154" s="81">
        <v>53202010100000</v>
      </c>
      <c r="C154" s="633" t="s">
        <v>204</v>
      </c>
      <c r="D154" s="638">
        <v>0</v>
      </c>
      <c r="E154" s="641">
        <v>0</v>
      </c>
      <c r="F154" s="639">
        <v>0</v>
      </c>
      <c r="G154" s="658">
        <f t="shared" si="13"/>
        <v>0</v>
      </c>
      <c r="H154" s="650">
        <f t="shared" si="14"/>
        <v>0</v>
      </c>
      <c r="I154" s="1021"/>
      <c r="J154" s="1022"/>
      <c r="K154" s="1022"/>
      <c r="L154" s="1023"/>
    </row>
    <row r="155" spans="1:12" x14ac:dyDescent="0.2">
      <c r="A155" s="1019"/>
      <c r="B155" s="81">
        <v>53203010100000</v>
      </c>
      <c r="C155" s="633" t="s">
        <v>19</v>
      </c>
      <c r="D155" s="638">
        <v>0</v>
      </c>
      <c r="E155" s="641">
        <v>0</v>
      </c>
      <c r="F155" s="639">
        <v>0</v>
      </c>
      <c r="G155" s="658">
        <f t="shared" si="13"/>
        <v>0</v>
      </c>
      <c r="H155" s="650">
        <f t="shared" si="14"/>
        <v>0</v>
      </c>
      <c r="I155" s="1021"/>
      <c r="J155" s="1022"/>
      <c r="K155" s="1022"/>
      <c r="L155" s="1023"/>
    </row>
    <row r="156" spans="1:12" x14ac:dyDescent="0.2">
      <c r="A156" s="1019"/>
      <c r="B156" s="81">
        <v>53203030000000</v>
      </c>
      <c r="C156" s="633" t="s">
        <v>205</v>
      </c>
      <c r="D156" s="638">
        <v>0</v>
      </c>
      <c r="E156" s="641">
        <v>0</v>
      </c>
      <c r="F156" s="639">
        <v>0</v>
      </c>
      <c r="G156" s="658">
        <f t="shared" si="13"/>
        <v>0</v>
      </c>
      <c r="H156" s="650">
        <f t="shared" si="14"/>
        <v>0</v>
      </c>
      <c r="I156" s="1021"/>
      <c r="J156" s="1022"/>
      <c r="K156" s="1022"/>
      <c r="L156" s="1023"/>
    </row>
    <row r="157" spans="1:12" x14ac:dyDescent="0.2">
      <c r="A157" s="1019"/>
      <c r="B157" s="81">
        <v>53204030000000</v>
      </c>
      <c r="C157" s="634" t="s">
        <v>206</v>
      </c>
      <c r="D157" s="638">
        <v>0</v>
      </c>
      <c r="E157" s="641">
        <v>18990</v>
      </c>
      <c r="F157" s="639">
        <v>3</v>
      </c>
      <c r="G157" s="658">
        <f t="shared" si="13"/>
        <v>56970</v>
      </c>
      <c r="H157" s="650">
        <f>D157+G157</f>
        <v>56970</v>
      </c>
      <c r="I157" s="1021"/>
      <c r="J157" s="1022"/>
      <c r="K157" s="1022"/>
      <c r="L157" s="1023"/>
    </row>
    <row r="158" spans="1:12" x14ac:dyDescent="0.2">
      <c r="A158" s="1019"/>
      <c r="B158" s="81">
        <v>53204100100001</v>
      </c>
      <c r="C158" s="634" t="s">
        <v>22</v>
      </c>
      <c r="D158" s="638">
        <v>800000</v>
      </c>
      <c r="E158" s="641">
        <v>0</v>
      </c>
      <c r="F158" s="639">
        <v>0</v>
      </c>
      <c r="G158" s="658">
        <f t="shared" si="13"/>
        <v>0</v>
      </c>
      <c r="H158" s="650">
        <f t="shared" ref="H158:H170" si="15">D158+G158</f>
        <v>800000</v>
      </c>
      <c r="I158" s="1021"/>
      <c r="J158" s="1022"/>
      <c r="K158" s="1022"/>
      <c r="L158" s="1023"/>
    </row>
    <row r="159" spans="1:12" x14ac:dyDescent="0.2">
      <c r="A159" s="1019"/>
      <c r="B159" s="81">
        <v>53204130100000</v>
      </c>
      <c r="C159" s="634" t="s">
        <v>208</v>
      </c>
      <c r="D159" s="638">
        <v>0</v>
      </c>
      <c r="E159" s="641"/>
      <c r="F159" s="639">
        <v>0</v>
      </c>
      <c r="G159" s="658">
        <f t="shared" si="13"/>
        <v>0</v>
      </c>
      <c r="H159" s="650">
        <f t="shared" si="15"/>
        <v>0</v>
      </c>
      <c r="I159" s="1021"/>
      <c r="J159" s="1022"/>
      <c r="K159" s="1022"/>
      <c r="L159" s="1023"/>
    </row>
    <row r="160" spans="1:12" x14ac:dyDescent="0.2">
      <c r="A160" s="1019"/>
      <c r="B160" s="81">
        <v>53205010100000</v>
      </c>
      <c r="C160" s="634" t="s">
        <v>24</v>
      </c>
      <c r="D160" s="638">
        <v>420000</v>
      </c>
      <c r="E160" s="641">
        <v>0</v>
      </c>
      <c r="F160" s="639">
        <v>0</v>
      </c>
      <c r="G160" s="658">
        <f t="shared" si="13"/>
        <v>0</v>
      </c>
      <c r="H160" s="650">
        <f t="shared" si="15"/>
        <v>420000</v>
      </c>
      <c r="I160" s="1021"/>
      <c r="J160" s="1022"/>
      <c r="K160" s="1022"/>
      <c r="L160" s="1023"/>
    </row>
    <row r="161" spans="1:12" x14ac:dyDescent="0.2">
      <c r="A161" s="1019"/>
      <c r="B161" s="81">
        <v>53205020100000</v>
      </c>
      <c r="C161" s="634" t="s">
        <v>25</v>
      </c>
      <c r="D161" s="638">
        <v>120000</v>
      </c>
      <c r="E161" s="641">
        <v>0</v>
      </c>
      <c r="F161" s="639">
        <v>0</v>
      </c>
      <c r="G161" s="658">
        <f t="shared" si="13"/>
        <v>0</v>
      </c>
      <c r="H161" s="650">
        <f t="shared" si="15"/>
        <v>120000</v>
      </c>
      <c r="I161" s="1021"/>
      <c r="J161" s="1022"/>
      <c r="K161" s="1022"/>
      <c r="L161" s="1023"/>
    </row>
    <row r="162" spans="1:12" x14ac:dyDescent="0.2">
      <c r="A162" s="1019"/>
      <c r="B162" s="81">
        <v>53205030100000</v>
      </c>
      <c r="C162" s="634" t="s">
        <v>26</v>
      </c>
      <c r="D162" s="638">
        <v>0</v>
      </c>
      <c r="E162" s="641">
        <v>0</v>
      </c>
      <c r="F162" s="639">
        <v>0</v>
      </c>
      <c r="G162" s="658">
        <f t="shared" si="13"/>
        <v>0</v>
      </c>
      <c r="H162" s="650">
        <f t="shared" si="15"/>
        <v>0</v>
      </c>
      <c r="I162" s="1021"/>
      <c r="J162" s="1022"/>
      <c r="K162" s="1022"/>
      <c r="L162" s="1023"/>
    </row>
    <row r="163" spans="1:12" x14ac:dyDescent="0.2">
      <c r="A163" s="1019"/>
      <c r="B163" s="81">
        <v>53205050100000</v>
      </c>
      <c r="C163" s="634" t="s">
        <v>27</v>
      </c>
      <c r="D163" s="638">
        <v>410000</v>
      </c>
      <c r="E163" s="641">
        <v>0</v>
      </c>
      <c r="F163" s="639">
        <v>0</v>
      </c>
      <c r="G163" s="658">
        <f t="shared" si="13"/>
        <v>0</v>
      </c>
      <c r="H163" s="650">
        <f t="shared" si="15"/>
        <v>410000</v>
      </c>
      <c r="I163" s="1021"/>
      <c r="J163" s="1022"/>
      <c r="K163" s="1022"/>
      <c r="L163" s="1023"/>
    </row>
    <row r="164" spans="1:12" x14ac:dyDescent="0.2">
      <c r="A164" s="1019"/>
      <c r="B164" s="81">
        <v>53205070100000</v>
      </c>
      <c r="C164" s="634" t="s">
        <v>29</v>
      </c>
      <c r="D164" s="638">
        <v>0</v>
      </c>
      <c r="E164" s="641">
        <v>0</v>
      </c>
      <c r="F164" s="639">
        <v>0</v>
      </c>
      <c r="G164" s="658">
        <f t="shared" si="13"/>
        <v>0</v>
      </c>
      <c r="H164" s="650">
        <f t="shared" si="15"/>
        <v>0</v>
      </c>
      <c r="I164" s="1021"/>
      <c r="J164" s="1022"/>
      <c r="K164" s="1022"/>
      <c r="L164" s="1023"/>
    </row>
    <row r="165" spans="1:12" x14ac:dyDescent="0.2">
      <c r="A165" s="1019"/>
      <c r="B165" s="81">
        <v>53208010100000</v>
      </c>
      <c r="C165" s="634" t="s">
        <v>30</v>
      </c>
      <c r="D165" s="638">
        <v>0</v>
      </c>
      <c r="E165" s="641">
        <v>0</v>
      </c>
      <c r="F165" s="639">
        <v>0</v>
      </c>
      <c r="G165" s="658">
        <f t="shared" si="13"/>
        <v>0</v>
      </c>
      <c r="H165" s="650">
        <f t="shared" si="15"/>
        <v>0</v>
      </c>
      <c r="I165" s="1021"/>
      <c r="J165" s="1022"/>
      <c r="K165" s="1022"/>
      <c r="L165" s="1023"/>
    </row>
    <row r="166" spans="1:12" x14ac:dyDescent="0.2">
      <c r="A166" s="1019"/>
      <c r="B166" s="81">
        <v>53208070100001</v>
      </c>
      <c r="C166" s="634" t="s">
        <v>31</v>
      </c>
      <c r="D166" s="638">
        <v>0</v>
      </c>
      <c r="E166" s="641">
        <v>0</v>
      </c>
      <c r="F166" s="639">
        <v>0</v>
      </c>
      <c r="G166" s="658">
        <f t="shared" si="13"/>
        <v>0</v>
      </c>
      <c r="H166" s="650">
        <f t="shared" si="15"/>
        <v>0</v>
      </c>
      <c r="I166" s="1021"/>
      <c r="J166" s="1022"/>
      <c r="K166" s="1022"/>
      <c r="L166" s="1023"/>
    </row>
    <row r="167" spans="1:12" x14ac:dyDescent="0.2">
      <c r="A167" s="1019"/>
      <c r="B167" s="81">
        <v>53208100100001</v>
      </c>
      <c r="C167" s="634" t="s">
        <v>209</v>
      </c>
      <c r="D167" s="638">
        <v>400000</v>
      </c>
      <c r="E167" s="641">
        <v>0</v>
      </c>
      <c r="F167" s="639">
        <v>0</v>
      </c>
      <c r="G167" s="658">
        <f t="shared" si="13"/>
        <v>0</v>
      </c>
      <c r="H167" s="650">
        <f t="shared" si="15"/>
        <v>400000</v>
      </c>
      <c r="I167" s="1021"/>
      <c r="J167" s="1022"/>
      <c r="K167" s="1022"/>
      <c r="L167" s="1023"/>
    </row>
    <row r="168" spans="1:12" x14ac:dyDescent="0.2">
      <c r="A168" s="1019"/>
      <c r="B168" s="81">
        <v>53211030000000</v>
      </c>
      <c r="C168" s="634" t="s">
        <v>32</v>
      </c>
      <c r="D168" s="638">
        <v>0</v>
      </c>
      <c r="E168" s="641">
        <v>0</v>
      </c>
      <c r="F168" s="639">
        <v>0</v>
      </c>
      <c r="G168" s="658">
        <f t="shared" si="13"/>
        <v>0</v>
      </c>
      <c r="H168" s="650">
        <f t="shared" si="15"/>
        <v>0</v>
      </c>
      <c r="I168" s="1021"/>
      <c r="J168" s="1022"/>
      <c r="K168" s="1022"/>
      <c r="L168" s="1023"/>
    </row>
    <row r="169" spans="1:12" x14ac:dyDescent="0.2">
      <c r="A169" s="1019"/>
      <c r="B169" s="81">
        <v>53212020100000</v>
      </c>
      <c r="C169" s="634" t="s">
        <v>210</v>
      </c>
      <c r="D169" s="638">
        <v>0</v>
      </c>
      <c r="E169" s="641">
        <v>145200</v>
      </c>
      <c r="F169" s="639">
        <v>10</v>
      </c>
      <c r="G169" s="658">
        <f t="shared" si="13"/>
        <v>1452000</v>
      </c>
      <c r="H169" s="650">
        <f t="shared" si="15"/>
        <v>1452000</v>
      </c>
      <c r="I169" s="1021"/>
      <c r="J169" s="1022"/>
      <c r="K169" s="1022"/>
      <c r="L169" s="1023"/>
    </row>
    <row r="170" spans="1:12" ht="15.75" customHeight="1" x14ac:dyDescent="0.2">
      <c r="A170" s="1019"/>
      <c r="B170" s="81">
        <v>53214020000000</v>
      </c>
      <c r="C170" s="634" t="s">
        <v>211</v>
      </c>
      <c r="D170" s="638">
        <v>600000</v>
      </c>
      <c r="E170" s="641">
        <v>0</v>
      </c>
      <c r="F170" s="639">
        <v>0</v>
      </c>
      <c r="G170" s="658">
        <f t="shared" si="13"/>
        <v>0</v>
      </c>
      <c r="H170" s="650">
        <f t="shared" si="15"/>
        <v>600000</v>
      </c>
      <c r="I170" s="1021"/>
      <c r="J170" s="1022"/>
      <c r="K170" s="1022"/>
      <c r="L170" s="1023"/>
    </row>
    <row r="171" spans="1:12" x14ac:dyDescent="0.2">
      <c r="A171" s="1019"/>
      <c r="B171" s="79"/>
      <c r="C171" s="648" t="s">
        <v>34</v>
      </c>
      <c r="D171" s="659">
        <f>SUM(D172,D177,D179,D188,D197,D205)</f>
        <v>2297543</v>
      </c>
      <c r="E171" s="660"/>
      <c r="F171" s="660"/>
      <c r="G171" s="659">
        <f>SUM(G172,G177,G179,G188,G197,G205)</f>
        <v>2469840</v>
      </c>
      <c r="H171" s="652">
        <f>SUM(H172,H177,H179,H188,H197,H205)</f>
        <v>4767383</v>
      </c>
      <c r="I171" s="1021"/>
      <c r="J171" s="1022"/>
      <c r="K171" s="1022"/>
      <c r="L171" s="1023"/>
    </row>
    <row r="172" spans="1:12" x14ac:dyDescent="0.2">
      <c r="A172" s="1019"/>
      <c r="B172" s="80"/>
      <c r="C172" s="644" t="s">
        <v>35</v>
      </c>
      <c r="D172" s="646">
        <f>SUM(D173:D176)</f>
        <v>26000</v>
      </c>
      <c r="E172" s="647"/>
      <c r="F172" s="647"/>
      <c r="G172" s="661">
        <f>SUM(G173:G176)</f>
        <v>274076</v>
      </c>
      <c r="H172" s="653">
        <f>SUM(H173:H176)</f>
        <v>300076</v>
      </c>
      <c r="I172" s="1021"/>
      <c r="J172" s="1022"/>
      <c r="K172" s="1022"/>
      <c r="L172" s="1023"/>
    </row>
    <row r="173" spans="1:12" x14ac:dyDescent="0.2">
      <c r="A173" s="1019"/>
      <c r="B173" s="81">
        <v>53202020100000</v>
      </c>
      <c r="C173" s="634" t="s">
        <v>212</v>
      </c>
      <c r="D173" s="638">
        <v>26000</v>
      </c>
      <c r="E173" s="641">
        <v>25990</v>
      </c>
      <c r="F173" s="639">
        <v>3</v>
      </c>
      <c r="G173" s="658">
        <f>E173*F173</f>
        <v>77970</v>
      </c>
      <c r="H173" s="650">
        <f>D173+G173</f>
        <v>103970</v>
      </c>
      <c r="I173" s="1021"/>
      <c r="J173" s="1022"/>
      <c r="K173" s="1022"/>
      <c r="L173" s="1023"/>
    </row>
    <row r="174" spans="1:12" x14ac:dyDescent="0.2">
      <c r="A174" s="1019"/>
      <c r="B174" s="81">
        <v>53202030000000</v>
      </c>
      <c r="C174" s="634" t="s">
        <v>213</v>
      </c>
      <c r="D174" s="638">
        <v>0</v>
      </c>
      <c r="E174" s="641">
        <v>29990</v>
      </c>
      <c r="F174" s="639">
        <v>1</v>
      </c>
      <c r="G174" s="658">
        <f>E174*F174</f>
        <v>29990</v>
      </c>
      <c r="H174" s="650">
        <f>D174+G174</f>
        <v>29990</v>
      </c>
      <c r="I174" s="1021"/>
      <c r="J174" s="1022"/>
      <c r="K174" s="1022"/>
      <c r="L174" s="1023"/>
    </row>
    <row r="175" spans="1:12" x14ac:dyDescent="0.2">
      <c r="A175" s="1019"/>
      <c r="B175" s="81">
        <v>53211020000000</v>
      </c>
      <c r="C175" s="634" t="s">
        <v>41</v>
      </c>
      <c r="D175" s="638">
        <v>0</v>
      </c>
      <c r="E175" s="641">
        <v>60000</v>
      </c>
      <c r="F175" s="639">
        <v>2</v>
      </c>
      <c r="G175" s="658">
        <f>E175*F175</f>
        <v>120000</v>
      </c>
      <c r="H175" s="650">
        <f>D175+G175</f>
        <v>120000</v>
      </c>
      <c r="I175" s="1021"/>
      <c r="J175" s="1022"/>
      <c r="K175" s="1022"/>
      <c r="L175" s="1023"/>
    </row>
    <row r="176" spans="1:12" x14ac:dyDescent="0.2">
      <c r="A176" s="1019"/>
      <c r="B176" s="81">
        <v>53101040600000</v>
      </c>
      <c r="C176" s="635" t="s">
        <v>214</v>
      </c>
      <c r="D176" s="638">
        <v>0</v>
      </c>
      <c r="E176" s="641">
        <v>23058</v>
      </c>
      <c r="F176" s="639">
        <v>2</v>
      </c>
      <c r="G176" s="658">
        <f>E176*F176</f>
        <v>46116</v>
      </c>
      <c r="H176" s="650">
        <f>D176+G176</f>
        <v>46116</v>
      </c>
      <c r="I176" s="1021"/>
      <c r="J176" s="1022"/>
      <c r="K176" s="1022"/>
      <c r="L176" s="1023"/>
    </row>
    <row r="177" spans="1:12" x14ac:dyDescent="0.2">
      <c r="A177" s="1019"/>
      <c r="B177" s="80"/>
      <c r="C177" s="644" t="s">
        <v>42</v>
      </c>
      <c r="D177" s="646">
        <f>SUM(D178:D178)</f>
        <v>0</v>
      </c>
      <c r="E177" s="647"/>
      <c r="F177" s="647"/>
      <c r="G177" s="661">
        <f>SUM(G178:G178)</f>
        <v>0</v>
      </c>
      <c r="H177" s="653">
        <f>SUM(H178:H178)</f>
        <v>0</v>
      </c>
      <c r="I177" s="1021"/>
      <c r="J177" s="1022"/>
      <c r="K177" s="1022"/>
      <c r="L177" s="1023"/>
    </row>
    <row r="178" spans="1:12" x14ac:dyDescent="0.2">
      <c r="A178" s="1019"/>
      <c r="B178" s="632">
        <v>53205990000000</v>
      </c>
      <c r="C178" s="636" t="s">
        <v>44</v>
      </c>
      <c r="D178" s="638">
        <v>0</v>
      </c>
      <c r="E178" s="641">
        <v>0</v>
      </c>
      <c r="F178" s="639">
        <v>0</v>
      </c>
      <c r="G178" s="658">
        <f>E178*F178</f>
        <v>0</v>
      </c>
      <c r="H178" s="650">
        <f>D178+G178</f>
        <v>0</v>
      </c>
      <c r="I178" s="1021"/>
      <c r="J178" s="1022"/>
      <c r="K178" s="1022"/>
      <c r="L178" s="1023"/>
    </row>
    <row r="179" spans="1:12" x14ac:dyDescent="0.2">
      <c r="A179" s="1019"/>
      <c r="B179" s="80"/>
      <c r="C179" s="644" t="s">
        <v>45</v>
      </c>
      <c r="D179" s="646">
        <f>SUM(D180:D187)</f>
        <v>2117058</v>
      </c>
      <c r="E179" s="647"/>
      <c r="F179" s="647"/>
      <c r="G179" s="646">
        <f>SUM(G180:G187)</f>
        <v>43000</v>
      </c>
      <c r="H179" s="651">
        <f>SUM(H180:H187)</f>
        <v>2160058</v>
      </c>
      <c r="I179" s="1021"/>
      <c r="J179" s="1022"/>
      <c r="K179" s="1022"/>
      <c r="L179" s="1023"/>
    </row>
    <row r="180" spans="1:12" x14ac:dyDescent="0.2">
      <c r="A180" s="1019"/>
      <c r="B180" s="81">
        <v>53204010000000</v>
      </c>
      <c r="C180" s="634" t="s">
        <v>47</v>
      </c>
      <c r="D180" s="638">
        <v>0</v>
      </c>
      <c r="E180" s="638">
        <v>0</v>
      </c>
      <c r="F180" s="639">
        <v>0</v>
      </c>
      <c r="G180" s="658">
        <f t="shared" ref="G180:G187" si="16">E180*F180</f>
        <v>0</v>
      </c>
      <c r="H180" s="650">
        <f t="shared" ref="H180:H187" si="17">D180+G180</f>
        <v>0</v>
      </c>
      <c r="I180" s="1021"/>
      <c r="J180" s="1022"/>
      <c r="K180" s="1022"/>
      <c r="L180" s="1023"/>
    </row>
    <row r="181" spans="1:12" x14ac:dyDescent="0.2">
      <c r="A181" s="1019"/>
      <c r="B181" s="632">
        <v>53204040200000</v>
      </c>
      <c r="C181" s="636" t="s">
        <v>223</v>
      </c>
      <c r="D181" s="638">
        <v>0</v>
      </c>
      <c r="E181" s="638">
        <v>21500</v>
      </c>
      <c r="F181" s="639">
        <v>2</v>
      </c>
      <c r="G181" s="658">
        <f t="shared" si="16"/>
        <v>43000</v>
      </c>
      <c r="H181" s="650">
        <f t="shared" si="17"/>
        <v>43000</v>
      </c>
      <c r="I181" s="1021"/>
      <c r="J181" s="1022"/>
      <c r="K181" s="1022"/>
      <c r="L181" s="1023"/>
    </row>
    <row r="182" spans="1:12" x14ac:dyDescent="0.2">
      <c r="A182" s="1019"/>
      <c r="B182" s="81">
        <v>53204060000000</v>
      </c>
      <c r="C182" s="634" t="s">
        <v>49</v>
      </c>
      <c r="D182" s="638">
        <v>0</v>
      </c>
      <c r="E182" s="638"/>
      <c r="F182" s="639"/>
      <c r="G182" s="658">
        <f t="shared" si="16"/>
        <v>0</v>
      </c>
      <c r="H182" s="650">
        <f t="shared" si="17"/>
        <v>0</v>
      </c>
      <c r="I182" s="1021"/>
      <c r="J182" s="1022"/>
      <c r="K182" s="1022"/>
      <c r="L182" s="1023"/>
    </row>
    <row r="183" spans="1:12" x14ac:dyDescent="0.2">
      <c r="A183" s="1019"/>
      <c r="B183" s="81">
        <v>53204070000000</v>
      </c>
      <c r="C183" s="634" t="s">
        <v>50</v>
      </c>
      <c r="D183" s="638">
        <v>0</v>
      </c>
      <c r="E183" s="638">
        <v>0</v>
      </c>
      <c r="F183" s="639">
        <v>0</v>
      </c>
      <c r="G183" s="658">
        <f t="shared" si="16"/>
        <v>0</v>
      </c>
      <c r="H183" s="650">
        <f t="shared" si="17"/>
        <v>0</v>
      </c>
      <c r="I183" s="1021"/>
      <c r="J183" s="1022"/>
      <c r="K183" s="1022"/>
      <c r="L183" s="1023"/>
    </row>
    <row r="184" spans="1:12" x14ac:dyDescent="0.2">
      <c r="A184" s="1019"/>
      <c r="B184" s="81">
        <v>53204080000000</v>
      </c>
      <c r="C184" s="633" t="s">
        <v>51</v>
      </c>
      <c r="D184" s="638">
        <v>50000</v>
      </c>
      <c r="E184" s="638">
        <v>0</v>
      </c>
      <c r="F184" s="639">
        <v>0</v>
      </c>
      <c r="G184" s="658">
        <f t="shared" si="16"/>
        <v>0</v>
      </c>
      <c r="H184" s="650">
        <f t="shared" si="17"/>
        <v>50000</v>
      </c>
      <c r="I184" s="1021"/>
      <c r="J184" s="1022"/>
      <c r="K184" s="1022"/>
      <c r="L184" s="1023"/>
    </row>
    <row r="185" spans="1:12" x14ac:dyDescent="0.2">
      <c r="A185" s="1019"/>
      <c r="B185" s="81">
        <v>53214010000000</v>
      </c>
      <c r="C185" s="634" t="s">
        <v>52</v>
      </c>
      <c r="D185" s="638">
        <v>500000</v>
      </c>
      <c r="E185" s="638">
        <v>0</v>
      </c>
      <c r="F185" s="639">
        <v>0</v>
      </c>
      <c r="G185" s="658">
        <f t="shared" si="16"/>
        <v>0</v>
      </c>
      <c r="H185" s="650">
        <f t="shared" si="17"/>
        <v>500000</v>
      </c>
      <c r="I185" s="1021"/>
      <c r="J185" s="1022"/>
      <c r="K185" s="1022"/>
      <c r="L185" s="1023"/>
    </row>
    <row r="186" spans="1:12" x14ac:dyDescent="0.2">
      <c r="A186" s="1019"/>
      <c r="B186" s="81">
        <v>53214040000000</v>
      </c>
      <c r="C186" s="634" t="s">
        <v>215</v>
      </c>
      <c r="D186" s="638">
        <v>1567058</v>
      </c>
      <c r="E186" s="638">
        <v>0</v>
      </c>
      <c r="F186" s="639">
        <v>0</v>
      </c>
      <c r="G186" s="658">
        <f t="shared" si="16"/>
        <v>0</v>
      </c>
      <c r="H186" s="650">
        <f t="shared" si="17"/>
        <v>1567058</v>
      </c>
      <c r="I186" s="1021"/>
      <c r="J186" s="1022"/>
      <c r="K186" s="1022"/>
      <c r="L186" s="1023"/>
    </row>
    <row r="187" spans="1:12" x14ac:dyDescent="0.2">
      <c r="A187" s="1019"/>
      <c r="B187" s="690">
        <v>53204020100000</v>
      </c>
      <c r="C187" s="691" t="s">
        <v>207</v>
      </c>
      <c r="D187" s="638">
        <v>0</v>
      </c>
      <c r="E187" s="638">
        <v>0</v>
      </c>
      <c r="F187" s="639">
        <v>0</v>
      </c>
      <c r="G187" s="658">
        <f t="shared" si="16"/>
        <v>0</v>
      </c>
      <c r="H187" s="650">
        <f t="shared" si="17"/>
        <v>0</v>
      </c>
      <c r="I187" s="1021"/>
      <c r="J187" s="1022"/>
      <c r="K187" s="1022"/>
      <c r="L187" s="1023"/>
    </row>
    <row r="188" spans="1:12" x14ac:dyDescent="0.2">
      <c r="A188" s="1019"/>
      <c r="B188" s="80"/>
      <c r="C188" s="644" t="s">
        <v>55</v>
      </c>
      <c r="D188" s="646">
        <f>SUM(D189:D196)</f>
        <v>154485</v>
      </c>
      <c r="E188" s="647"/>
      <c r="F188" s="647"/>
      <c r="G188" s="646">
        <f>SUM(G189:G196)</f>
        <v>1888764</v>
      </c>
      <c r="H188" s="651">
        <f>SUM(H189:H196)</f>
        <v>2043249</v>
      </c>
      <c r="I188" s="1021"/>
      <c r="J188" s="1022"/>
      <c r="K188" s="1022"/>
      <c r="L188" s="1023"/>
    </row>
    <row r="189" spans="1:12" x14ac:dyDescent="0.2">
      <c r="A189" s="1019"/>
      <c r="B189" s="81">
        <v>53207010000000</v>
      </c>
      <c r="C189" s="634" t="s">
        <v>56</v>
      </c>
      <c r="D189" s="638">
        <v>0</v>
      </c>
      <c r="E189" s="638">
        <v>0</v>
      </c>
      <c r="F189" s="639">
        <v>0</v>
      </c>
      <c r="G189" s="658">
        <f t="shared" ref="G189:G196" si="18">E189*F189</f>
        <v>0</v>
      </c>
      <c r="H189" s="650">
        <f t="shared" ref="H189:H196" si="19">D189+G189</f>
        <v>0</v>
      </c>
      <c r="I189" s="1021"/>
      <c r="J189" s="1022"/>
      <c r="K189" s="1022"/>
      <c r="L189" s="1023"/>
    </row>
    <row r="190" spans="1:12" x14ac:dyDescent="0.2">
      <c r="A190" s="1019"/>
      <c r="B190" s="81">
        <v>53207020000000</v>
      </c>
      <c r="C190" s="634" t="s">
        <v>57</v>
      </c>
      <c r="D190" s="638">
        <v>0</v>
      </c>
      <c r="E190" s="638"/>
      <c r="F190" s="639"/>
      <c r="G190" s="658">
        <f t="shared" si="18"/>
        <v>0</v>
      </c>
      <c r="H190" s="650">
        <f t="shared" si="19"/>
        <v>0</v>
      </c>
      <c r="I190" s="1021"/>
      <c r="J190" s="1022"/>
      <c r="K190" s="1022"/>
      <c r="L190" s="1023"/>
    </row>
    <row r="191" spans="1:12" x14ac:dyDescent="0.2">
      <c r="A191" s="1019"/>
      <c r="B191" s="81">
        <v>53208020000000</v>
      </c>
      <c r="C191" s="633" t="s">
        <v>197</v>
      </c>
      <c r="D191" s="638">
        <v>0</v>
      </c>
      <c r="E191" s="638">
        <v>93537</v>
      </c>
      <c r="F191" s="639">
        <v>12</v>
      </c>
      <c r="G191" s="658">
        <f t="shared" si="18"/>
        <v>1122444</v>
      </c>
      <c r="H191" s="650">
        <f t="shared" si="19"/>
        <v>1122444</v>
      </c>
      <c r="I191" s="1021"/>
      <c r="J191" s="1022"/>
      <c r="K191" s="1022"/>
      <c r="L191" s="1023"/>
    </row>
    <row r="192" spans="1:12" x14ac:dyDescent="0.2">
      <c r="A192" s="1019"/>
      <c r="B192" s="81">
        <v>53208990000000</v>
      </c>
      <c r="C192" s="633" t="s">
        <v>216</v>
      </c>
      <c r="D192" s="638">
        <v>0</v>
      </c>
      <c r="E192" s="638">
        <v>150000</v>
      </c>
      <c r="F192" s="639">
        <v>4</v>
      </c>
      <c r="G192" s="658">
        <f t="shared" si="18"/>
        <v>600000</v>
      </c>
      <c r="H192" s="650">
        <f t="shared" si="19"/>
        <v>600000</v>
      </c>
      <c r="I192" s="1021"/>
      <c r="J192" s="1022"/>
      <c r="K192" s="1022"/>
      <c r="L192" s="1023"/>
    </row>
    <row r="193" spans="1:12" x14ac:dyDescent="0.2">
      <c r="A193" s="1019"/>
      <c r="B193" s="690">
        <v>53210020300000</v>
      </c>
      <c r="C193" s="692" t="s">
        <v>219</v>
      </c>
      <c r="D193" s="638">
        <v>0</v>
      </c>
      <c r="E193" s="638">
        <v>7560</v>
      </c>
      <c r="F193" s="639">
        <v>22</v>
      </c>
      <c r="G193" s="658">
        <f t="shared" si="18"/>
        <v>166320</v>
      </c>
      <c r="H193" s="650">
        <f t="shared" si="19"/>
        <v>166320</v>
      </c>
      <c r="I193" s="1021"/>
      <c r="J193" s="1022"/>
      <c r="K193" s="1022"/>
      <c r="L193" s="1023"/>
    </row>
    <row r="194" spans="1:12" x14ac:dyDescent="0.2">
      <c r="A194" s="1019"/>
      <c r="B194" s="81">
        <v>53208990000000</v>
      </c>
      <c r="C194" s="633" t="s">
        <v>220</v>
      </c>
      <c r="D194" s="638">
        <v>0</v>
      </c>
      <c r="E194" s="638">
        <v>0</v>
      </c>
      <c r="F194" s="639">
        <v>0</v>
      </c>
      <c r="G194" s="658">
        <f t="shared" si="18"/>
        <v>0</v>
      </c>
      <c r="H194" s="650">
        <f t="shared" si="19"/>
        <v>0</v>
      </c>
      <c r="I194" s="1021"/>
      <c r="J194" s="1022"/>
      <c r="K194" s="1022"/>
      <c r="L194" s="1023"/>
    </row>
    <row r="195" spans="1:12" x14ac:dyDescent="0.2">
      <c r="A195" s="1019"/>
      <c r="B195" s="81">
        <v>53209990000000</v>
      </c>
      <c r="C195" s="633" t="s">
        <v>218</v>
      </c>
      <c r="D195" s="638"/>
      <c r="E195" s="638">
        <v>0</v>
      </c>
      <c r="F195" s="639">
        <v>0</v>
      </c>
      <c r="G195" s="658">
        <f t="shared" si="18"/>
        <v>0</v>
      </c>
      <c r="H195" s="650">
        <f t="shared" si="19"/>
        <v>0</v>
      </c>
      <c r="I195" s="1021"/>
      <c r="J195" s="1022"/>
      <c r="K195" s="1022"/>
      <c r="L195" s="1023"/>
    </row>
    <row r="196" spans="1:12" x14ac:dyDescent="0.2">
      <c r="A196" s="1019"/>
      <c r="B196" s="81">
        <v>53210020100000</v>
      </c>
      <c r="C196" s="634" t="s">
        <v>64</v>
      </c>
      <c r="D196" s="638">
        <f>85531+68954</f>
        <v>154485</v>
      </c>
      <c r="E196" s="638">
        <v>0</v>
      </c>
      <c r="F196" s="639">
        <v>0</v>
      </c>
      <c r="G196" s="658">
        <f t="shared" si="18"/>
        <v>0</v>
      </c>
      <c r="H196" s="650">
        <f t="shared" si="19"/>
        <v>154485</v>
      </c>
      <c r="I196" s="1021"/>
      <c r="J196" s="1022"/>
      <c r="K196" s="1022"/>
      <c r="L196" s="1023"/>
    </row>
    <row r="197" spans="1:12" x14ac:dyDescent="0.2">
      <c r="A197" s="1019"/>
      <c r="B197" s="80"/>
      <c r="C197" s="644" t="s">
        <v>65</v>
      </c>
      <c r="D197" s="646">
        <f>SUM(D198:D204)</f>
        <v>0</v>
      </c>
      <c r="E197" s="647"/>
      <c r="F197" s="647"/>
      <c r="G197" s="646">
        <f>SUM(G198:G204)</f>
        <v>0</v>
      </c>
      <c r="H197" s="651">
        <f>SUM(H198:H204)</f>
        <v>0</v>
      </c>
      <c r="I197" s="1021"/>
      <c r="J197" s="1022"/>
      <c r="K197" s="1022"/>
      <c r="L197" s="1023"/>
    </row>
    <row r="198" spans="1:12" x14ac:dyDescent="0.2">
      <c r="A198" s="1019"/>
      <c r="B198" s="81">
        <v>53206030000000</v>
      </c>
      <c r="C198" s="634" t="s">
        <v>102</v>
      </c>
      <c r="D198" s="638">
        <v>0</v>
      </c>
      <c r="E198" s="638">
        <v>0</v>
      </c>
      <c r="F198" s="639">
        <v>0</v>
      </c>
      <c r="G198" s="658">
        <f t="shared" ref="G198:G204" si="20">E198*F198</f>
        <v>0</v>
      </c>
      <c r="H198" s="650">
        <f t="shared" ref="H198:H204" si="21">D198+G198</f>
        <v>0</v>
      </c>
      <c r="I198" s="1021"/>
      <c r="J198" s="1022"/>
      <c r="K198" s="1022"/>
      <c r="L198" s="1023"/>
    </row>
    <row r="199" spans="1:12" x14ac:dyDescent="0.2">
      <c r="A199" s="1019"/>
      <c r="B199" s="81">
        <v>53206040000000</v>
      </c>
      <c r="C199" s="634" t="s">
        <v>103</v>
      </c>
      <c r="D199" s="638">
        <v>0</v>
      </c>
      <c r="E199" s="638">
        <v>0</v>
      </c>
      <c r="F199" s="639">
        <v>0</v>
      </c>
      <c r="G199" s="658">
        <f t="shared" si="20"/>
        <v>0</v>
      </c>
      <c r="H199" s="650">
        <f t="shared" si="21"/>
        <v>0</v>
      </c>
      <c r="I199" s="1021"/>
      <c r="J199" s="1022"/>
      <c r="K199" s="1022"/>
      <c r="L199" s="1023"/>
    </row>
    <row r="200" spans="1:12" x14ac:dyDescent="0.2">
      <c r="A200" s="1019"/>
      <c r="B200" s="81">
        <v>53206060000000</v>
      </c>
      <c r="C200" s="634" t="s">
        <v>221</v>
      </c>
      <c r="D200" s="638">
        <v>0</v>
      </c>
      <c r="E200" s="638">
        <v>0</v>
      </c>
      <c r="F200" s="639">
        <v>0</v>
      </c>
      <c r="G200" s="658">
        <f t="shared" si="20"/>
        <v>0</v>
      </c>
      <c r="H200" s="650">
        <f t="shared" si="21"/>
        <v>0</v>
      </c>
      <c r="I200" s="1021"/>
      <c r="J200" s="1022"/>
      <c r="K200" s="1022"/>
      <c r="L200" s="1023"/>
    </row>
    <row r="201" spans="1:12" x14ac:dyDescent="0.2">
      <c r="A201" s="1019"/>
      <c r="B201" s="81">
        <v>53206070000000</v>
      </c>
      <c r="C201" s="634" t="s">
        <v>105</v>
      </c>
      <c r="D201" s="638">
        <v>0</v>
      </c>
      <c r="E201" s="638">
        <v>0</v>
      </c>
      <c r="F201" s="639">
        <v>0</v>
      </c>
      <c r="G201" s="658">
        <f t="shared" si="20"/>
        <v>0</v>
      </c>
      <c r="H201" s="650">
        <f t="shared" si="21"/>
        <v>0</v>
      </c>
      <c r="I201" s="1021"/>
      <c r="J201" s="1022"/>
      <c r="K201" s="1022"/>
      <c r="L201" s="1023"/>
    </row>
    <row r="202" spans="1:12" x14ac:dyDescent="0.2">
      <c r="A202" s="1019"/>
      <c r="B202" s="81">
        <v>53206990000000</v>
      </c>
      <c r="C202" s="634" t="s">
        <v>222</v>
      </c>
      <c r="D202" s="638">
        <v>0</v>
      </c>
      <c r="E202" s="638"/>
      <c r="F202" s="639">
        <v>0</v>
      </c>
      <c r="G202" s="658">
        <f t="shared" si="20"/>
        <v>0</v>
      </c>
      <c r="H202" s="650">
        <f t="shared" si="21"/>
        <v>0</v>
      </c>
      <c r="I202" s="1021"/>
      <c r="J202" s="1022"/>
      <c r="K202" s="1022"/>
      <c r="L202" s="1023"/>
    </row>
    <row r="203" spans="1:12" x14ac:dyDescent="0.2">
      <c r="A203" s="1019"/>
      <c r="B203" s="81">
        <v>53208030000000</v>
      </c>
      <c r="C203" s="634" t="s">
        <v>107</v>
      </c>
      <c r="D203" s="638">
        <v>0</v>
      </c>
      <c r="E203" s="638">
        <v>0</v>
      </c>
      <c r="F203" s="639">
        <v>0</v>
      </c>
      <c r="G203" s="658">
        <f t="shared" si="20"/>
        <v>0</v>
      </c>
      <c r="H203" s="650">
        <f t="shared" si="21"/>
        <v>0</v>
      </c>
      <c r="I203" s="1021"/>
      <c r="J203" s="1022"/>
      <c r="K203" s="1022"/>
      <c r="L203" s="1023"/>
    </row>
    <row r="204" spans="1:12" x14ac:dyDescent="0.2">
      <c r="A204" s="1019"/>
      <c r="B204" s="81">
        <v>53212060000000</v>
      </c>
      <c r="C204" s="634" t="s">
        <v>100</v>
      </c>
      <c r="D204" s="638">
        <v>0</v>
      </c>
      <c r="E204" s="638">
        <v>0</v>
      </c>
      <c r="F204" s="639">
        <v>0</v>
      </c>
      <c r="G204" s="658">
        <f t="shared" si="20"/>
        <v>0</v>
      </c>
      <c r="H204" s="650">
        <f t="shared" si="21"/>
        <v>0</v>
      </c>
      <c r="I204" s="1021"/>
      <c r="J204" s="1022"/>
      <c r="K204" s="1022"/>
      <c r="L204" s="1023"/>
    </row>
    <row r="205" spans="1:12" x14ac:dyDescent="0.2">
      <c r="A205" s="1019"/>
      <c r="B205" s="80"/>
      <c r="C205" s="644" t="s">
        <v>66</v>
      </c>
      <c r="D205" s="646">
        <f>SUM(D206:D206)</f>
        <v>0</v>
      </c>
      <c r="E205" s="647"/>
      <c r="F205" s="647"/>
      <c r="G205" s="646">
        <f>SUM(G206:G206)</f>
        <v>264000</v>
      </c>
      <c r="H205" s="651">
        <f>SUM(H206:H206)</f>
        <v>264000</v>
      </c>
      <c r="I205" s="1021"/>
      <c r="J205" s="1022"/>
      <c r="K205" s="1022"/>
      <c r="L205" s="1023"/>
    </row>
    <row r="206" spans="1:12" x14ac:dyDescent="0.2">
      <c r="A206" s="1019"/>
      <c r="B206" s="95">
        <v>53204999000000</v>
      </c>
      <c r="C206" s="645" t="s">
        <v>217</v>
      </c>
      <c r="D206" s="638">
        <v>0</v>
      </c>
      <c r="E206" s="638">
        <v>12000</v>
      </c>
      <c r="F206" s="639">
        <v>22</v>
      </c>
      <c r="G206" s="658">
        <f>E206*F206</f>
        <v>264000</v>
      </c>
      <c r="H206" s="654">
        <f>D206+G206</f>
        <v>264000</v>
      </c>
      <c r="I206" s="1021"/>
      <c r="J206" s="1022"/>
      <c r="K206" s="1022"/>
      <c r="L206" s="1023"/>
    </row>
    <row r="207" spans="1:12" x14ac:dyDescent="0.2">
      <c r="A207" s="1019"/>
      <c r="B207" s="98"/>
      <c r="C207" s="649" t="s">
        <v>108</v>
      </c>
      <c r="D207" s="662">
        <f>SUM(D144,D171)</f>
        <v>10412265.148</v>
      </c>
      <c r="E207" s="663"/>
      <c r="F207" s="663"/>
      <c r="G207" s="662">
        <f>SUM(G144,G171)</f>
        <v>4371510</v>
      </c>
      <c r="H207" s="99">
        <f>SUM(H144,H171)</f>
        <v>14783775.148</v>
      </c>
      <c r="I207" s="1021"/>
      <c r="J207" s="1022"/>
      <c r="K207" s="1022"/>
      <c r="L207" s="1023"/>
    </row>
    <row r="208" spans="1:12" ht="12.75" customHeight="1" x14ac:dyDescent="0.2">
      <c r="A208" s="1024" t="s">
        <v>83</v>
      </c>
      <c r="B208" s="1026" t="s">
        <v>77</v>
      </c>
      <c r="C208" s="1028" t="s">
        <v>78</v>
      </c>
      <c r="D208" s="1030" t="s">
        <v>79</v>
      </c>
      <c r="E208" s="1039" t="s">
        <v>80</v>
      </c>
      <c r="F208" s="1039"/>
      <c r="G208" s="1039"/>
      <c r="H208" s="1031" t="s">
        <v>149</v>
      </c>
      <c r="I208" s="1033" t="s">
        <v>76</v>
      </c>
      <c r="J208" s="1034"/>
      <c r="K208" s="1034"/>
      <c r="L208" s="1035"/>
    </row>
    <row r="209" spans="1:12" ht="25.5" x14ac:dyDescent="0.2">
      <c r="A209" s="1025"/>
      <c r="B209" s="1027"/>
      <c r="C209" s="1029"/>
      <c r="D209" s="1030"/>
      <c r="E209" s="664" t="s">
        <v>67</v>
      </c>
      <c r="F209" s="665" t="s">
        <v>68</v>
      </c>
      <c r="G209" s="666" t="s">
        <v>6</v>
      </c>
      <c r="H209" s="1032"/>
      <c r="I209" s="1036"/>
      <c r="J209" s="1037"/>
      <c r="K209" s="1037"/>
      <c r="L209" s="1038"/>
    </row>
    <row r="210" spans="1:12" ht="15.75" customHeight="1" x14ac:dyDescent="0.2">
      <c r="A210" s="1018" t="str">
        <f>+'B) Reajuste Tarifas y Ocupación'!A17</f>
        <v>Jardín Infantil Caracolito de Mar</v>
      </c>
      <c r="B210" s="79"/>
      <c r="C210" s="648" t="s">
        <v>11</v>
      </c>
      <c r="D210" s="659">
        <f>SUM(D211,D216)</f>
        <v>36395087.716000006</v>
      </c>
      <c r="E210" s="660"/>
      <c r="F210" s="660"/>
      <c r="G210" s="667">
        <f>SUM(G211,G216)</f>
        <v>8083500</v>
      </c>
      <c r="H210" s="655">
        <f>SUM(H211,H216)</f>
        <v>44478587.716000006</v>
      </c>
      <c r="I210" s="1021"/>
      <c r="J210" s="1022"/>
      <c r="K210" s="1022"/>
      <c r="L210" s="1023"/>
    </row>
    <row r="211" spans="1:12" x14ac:dyDescent="0.2">
      <c r="A211" s="1019"/>
      <c r="B211" s="80"/>
      <c r="C211" s="644" t="s">
        <v>12</v>
      </c>
      <c r="D211" s="646">
        <f>SUM(D212:D215)</f>
        <v>31566363.316000003</v>
      </c>
      <c r="E211" s="647"/>
      <c r="F211" s="647"/>
      <c r="G211" s="668">
        <f>SUM(G212:G215)</f>
        <v>0</v>
      </c>
      <c r="H211" s="651">
        <f>SUM(H212:H215)</f>
        <v>31566363.316000003</v>
      </c>
      <c r="I211" s="1021"/>
      <c r="J211" s="1022"/>
      <c r="K211" s="1022"/>
      <c r="L211" s="1023"/>
    </row>
    <row r="212" spans="1:12" x14ac:dyDescent="0.2">
      <c r="A212" s="1019"/>
      <c r="B212" s="81">
        <v>53103040100000</v>
      </c>
      <c r="C212" s="634" t="s">
        <v>98</v>
      </c>
      <c r="D212" s="696">
        <f>+'F) Remuneraciones'!L57</f>
        <v>31252019.316000003</v>
      </c>
      <c r="E212" s="669">
        <v>0</v>
      </c>
      <c r="F212" s="670">
        <v>0</v>
      </c>
      <c r="G212" s="658">
        <f>E212*F212</f>
        <v>0</v>
      </c>
      <c r="H212" s="650">
        <f>D212+G212</f>
        <v>31252019.316000003</v>
      </c>
      <c r="I212" s="1021"/>
      <c r="J212" s="1022"/>
      <c r="K212" s="1022"/>
      <c r="L212" s="1023"/>
    </row>
    <row r="213" spans="1:12" x14ac:dyDescent="0.2">
      <c r="A213" s="1019"/>
      <c r="B213" s="81">
        <v>53103050000000</v>
      </c>
      <c r="C213" s="634" t="s">
        <v>198</v>
      </c>
      <c r="D213" s="638">
        <v>0</v>
      </c>
      <c r="E213" s="641">
        <v>0</v>
      </c>
      <c r="F213" s="639">
        <v>0</v>
      </c>
      <c r="G213" s="658">
        <f>E213*F213</f>
        <v>0</v>
      </c>
      <c r="H213" s="650">
        <f>D213+G213</f>
        <v>0</v>
      </c>
      <c r="I213" s="1021"/>
      <c r="J213" s="1022"/>
      <c r="K213" s="1022"/>
      <c r="L213" s="1023"/>
    </row>
    <row r="214" spans="1:12" x14ac:dyDescent="0.2">
      <c r="A214" s="1019"/>
      <c r="B214" s="690">
        <v>53103040400000</v>
      </c>
      <c r="C214" s="691" t="s">
        <v>199</v>
      </c>
      <c r="D214" s="638">
        <v>314344</v>
      </c>
      <c r="E214" s="641">
        <v>0</v>
      </c>
      <c r="F214" s="639">
        <v>0</v>
      </c>
      <c r="G214" s="658">
        <f>E214*F214</f>
        <v>0</v>
      </c>
      <c r="H214" s="650">
        <f>D214+G214</f>
        <v>314344</v>
      </c>
      <c r="I214" s="1021"/>
      <c r="J214" s="1022"/>
      <c r="K214" s="1022"/>
      <c r="L214" s="1023"/>
    </row>
    <row r="215" spans="1:12" x14ac:dyDescent="0.2">
      <c r="A215" s="1019"/>
      <c r="B215" s="81">
        <v>53103080010000</v>
      </c>
      <c r="C215" s="634" t="s">
        <v>200</v>
      </c>
      <c r="D215" s="638">
        <v>0</v>
      </c>
      <c r="E215" s="641">
        <v>0</v>
      </c>
      <c r="F215" s="639">
        <v>0</v>
      </c>
      <c r="G215" s="658">
        <f>E215*F215</f>
        <v>0</v>
      </c>
      <c r="H215" s="650">
        <f>D215+G215</f>
        <v>0</v>
      </c>
      <c r="I215" s="1021"/>
      <c r="J215" s="1022"/>
      <c r="K215" s="1022"/>
      <c r="L215" s="1023"/>
    </row>
    <row r="216" spans="1:12" x14ac:dyDescent="0.2">
      <c r="A216" s="1019"/>
      <c r="B216" s="80"/>
      <c r="C216" s="644" t="s">
        <v>16</v>
      </c>
      <c r="D216" s="646">
        <f>SUM(D217:D236)</f>
        <v>4828724.4000000004</v>
      </c>
      <c r="E216" s="647"/>
      <c r="F216" s="647"/>
      <c r="G216" s="646">
        <f>SUM(G217:G236)</f>
        <v>8083500</v>
      </c>
      <c r="H216" s="651">
        <f>SUM(H217:H236)</f>
        <v>12912224.4</v>
      </c>
      <c r="I216" s="1021"/>
      <c r="J216" s="1022"/>
      <c r="K216" s="1022"/>
      <c r="L216" s="1023"/>
    </row>
    <row r="217" spans="1:12" x14ac:dyDescent="0.2">
      <c r="A217" s="1019"/>
      <c r="B217" s="81">
        <v>53201010100000</v>
      </c>
      <c r="C217" s="633" t="s">
        <v>201</v>
      </c>
      <c r="D217" s="638">
        <v>0</v>
      </c>
      <c r="E217" s="641">
        <v>1785</v>
      </c>
      <c r="F217" s="639">
        <f>5*20*11</f>
        <v>1100</v>
      </c>
      <c r="G217" s="658">
        <f t="shared" ref="G217:G236" si="22">E217*F217</f>
        <v>1963500</v>
      </c>
      <c r="H217" s="650">
        <f t="shared" ref="H217:H222" si="23">D217+G217</f>
        <v>1963500</v>
      </c>
      <c r="I217" s="1021"/>
      <c r="J217" s="1022"/>
      <c r="K217" s="1022"/>
      <c r="L217" s="1023"/>
    </row>
    <row r="218" spans="1:12" x14ac:dyDescent="0.2">
      <c r="A218" s="1019"/>
      <c r="B218" s="81">
        <v>53201010100000</v>
      </c>
      <c r="C218" s="633" t="s">
        <v>202</v>
      </c>
      <c r="D218" s="638">
        <v>0</v>
      </c>
      <c r="E218" s="641">
        <v>900</v>
      </c>
      <c r="F218" s="639">
        <f>34*20*10</f>
        <v>6800</v>
      </c>
      <c r="G218" s="658">
        <f t="shared" si="22"/>
        <v>6120000</v>
      </c>
      <c r="H218" s="650">
        <f t="shared" si="23"/>
        <v>6120000</v>
      </c>
      <c r="I218" s="1021"/>
      <c r="J218" s="1022"/>
      <c r="K218" s="1022"/>
      <c r="L218" s="1023"/>
    </row>
    <row r="219" spans="1:12" x14ac:dyDescent="0.2">
      <c r="A219" s="1019"/>
      <c r="B219" s="81">
        <v>53201010100000</v>
      </c>
      <c r="C219" s="633" t="s">
        <v>203</v>
      </c>
      <c r="D219" s="638">
        <v>0</v>
      </c>
      <c r="E219" s="641">
        <v>0</v>
      </c>
      <c r="F219" s="639">
        <v>0</v>
      </c>
      <c r="G219" s="658">
        <f t="shared" si="22"/>
        <v>0</v>
      </c>
      <c r="H219" s="650">
        <f t="shared" si="23"/>
        <v>0</v>
      </c>
      <c r="I219" s="1021"/>
      <c r="J219" s="1022"/>
      <c r="K219" s="1022"/>
      <c r="L219" s="1023"/>
    </row>
    <row r="220" spans="1:12" x14ac:dyDescent="0.2">
      <c r="A220" s="1019"/>
      <c r="B220" s="81">
        <v>53202010100000</v>
      </c>
      <c r="C220" s="633" t="s">
        <v>204</v>
      </c>
      <c r="D220" s="696">
        <f>+R276</f>
        <v>120000</v>
      </c>
      <c r="E220" s="697">
        <v>0</v>
      </c>
      <c r="F220" s="698">
        <v>0</v>
      </c>
      <c r="G220" s="658">
        <f t="shared" si="22"/>
        <v>0</v>
      </c>
      <c r="H220" s="650">
        <f t="shared" si="23"/>
        <v>120000</v>
      </c>
      <c r="I220" s="1021"/>
      <c r="J220" s="1022"/>
      <c r="K220" s="1022"/>
      <c r="L220" s="1023"/>
    </row>
    <row r="221" spans="1:12" x14ac:dyDescent="0.2">
      <c r="A221" s="1019"/>
      <c r="B221" s="81">
        <v>53203010100000</v>
      </c>
      <c r="C221" s="633" t="s">
        <v>19</v>
      </c>
      <c r="D221" s="696">
        <f t="shared" ref="D221:D235" si="24">+R277</f>
        <v>0</v>
      </c>
      <c r="E221" s="697">
        <v>0</v>
      </c>
      <c r="F221" s="698">
        <v>0</v>
      </c>
      <c r="G221" s="658">
        <f t="shared" si="22"/>
        <v>0</v>
      </c>
      <c r="H221" s="650">
        <f t="shared" si="23"/>
        <v>0</v>
      </c>
      <c r="I221" s="1021"/>
      <c r="J221" s="1022"/>
      <c r="K221" s="1022"/>
      <c r="L221" s="1023"/>
    </row>
    <row r="222" spans="1:12" x14ac:dyDescent="0.2">
      <c r="A222" s="1019"/>
      <c r="B222" s="81">
        <v>53203030000000</v>
      </c>
      <c r="C222" s="633" t="s">
        <v>205</v>
      </c>
      <c r="D222" s="696">
        <f t="shared" si="24"/>
        <v>0</v>
      </c>
      <c r="E222" s="697">
        <v>0</v>
      </c>
      <c r="F222" s="698">
        <v>0</v>
      </c>
      <c r="G222" s="658">
        <f t="shared" si="22"/>
        <v>0</v>
      </c>
      <c r="H222" s="650">
        <f t="shared" si="23"/>
        <v>0</v>
      </c>
      <c r="I222" s="1021"/>
      <c r="J222" s="1022"/>
      <c r="K222" s="1022"/>
      <c r="L222" s="1023"/>
    </row>
    <row r="223" spans="1:12" x14ac:dyDescent="0.2">
      <c r="A223" s="1019"/>
      <c r="B223" s="81">
        <v>53204030000000</v>
      </c>
      <c r="C223" s="634" t="s">
        <v>206</v>
      </c>
      <c r="D223" s="696">
        <f t="shared" si="24"/>
        <v>40000</v>
      </c>
      <c r="E223" s="697">
        <v>0</v>
      </c>
      <c r="F223" s="698">
        <v>0</v>
      </c>
      <c r="G223" s="658">
        <f t="shared" si="22"/>
        <v>0</v>
      </c>
      <c r="H223" s="650">
        <f>D223+G223</f>
        <v>40000</v>
      </c>
      <c r="I223" s="1021"/>
      <c r="J223" s="1022"/>
      <c r="K223" s="1022"/>
      <c r="L223" s="1023"/>
    </row>
    <row r="224" spans="1:12" x14ac:dyDescent="0.2">
      <c r="A224" s="1019"/>
      <c r="B224" s="81">
        <v>53204100100001</v>
      </c>
      <c r="C224" s="634" t="s">
        <v>22</v>
      </c>
      <c r="D224" s="696">
        <f t="shared" si="24"/>
        <v>600000</v>
      </c>
      <c r="E224" s="697">
        <v>0</v>
      </c>
      <c r="F224" s="698">
        <v>0</v>
      </c>
      <c r="G224" s="658">
        <f t="shared" si="22"/>
        <v>0</v>
      </c>
      <c r="H224" s="650">
        <f t="shared" ref="H224:H236" si="25">D224+G224</f>
        <v>600000</v>
      </c>
      <c r="I224" s="1021"/>
      <c r="J224" s="1022"/>
      <c r="K224" s="1022"/>
      <c r="L224" s="1023"/>
    </row>
    <row r="225" spans="1:12" x14ac:dyDescent="0.2">
      <c r="A225" s="1019"/>
      <c r="B225" s="81">
        <v>53204130100000</v>
      </c>
      <c r="C225" s="634" t="s">
        <v>208</v>
      </c>
      <c r="D225" s="696">
        <f t="shared" si="24"/>
        <v>140000</v>
      </c>
      <c r="E225" s="697">
        <v>0</v>
      </c>
      <c r="F225" s="698">
        <v>0</v>
      </c>
      <c r="G225" s="658">
        <f t="shared" si="22"/>
        <v>0</v>
      </c>
      <c r="H225" s="650">
        <f t="shared" si="25"/>
        <v>140000</v>
      </c>
      <c r="I225" s="1021"/>
      <c r="J225" s="1022"/>
      <c r="K225" s="1022"/>
      <c r="L225" s="1023"/>
    </row>
    <row r="226" spans="1:12" x14ac:dyDescent="0.2">
      <c r="A226" s="1019"/>
      <c r="B226" s="81">
        <v>53205010100000</v>
      </c>
      <c r="C226" s="634" t="s">
        <v>24</v>
      </c>
      <c r="D226" s="696">
        <f t="shared" si="24"/>
        <v>598286.4</v>
      </c>
      <c r="E226" s="697">
        <v>0</v>
      </c>
      <c r="F226" s="698">
        <v>0</v>
      </c>
      <c r="G226" s="658">
        <f t="shared" si="22"/>
        <v>0</v>
      </c>
      <c r="H226" s="650">
        <f t="shared" si="25"/>
        <v>598286.4</v>
      </c>
      <c r="I226" s="1021"/>
      <c r="J226" s="1022"/>
      <c r="K226" s="1022"/>
      <c r="L226" s="1023"/>
    </row>
    <row r="227" spans="1:12" x14ac:dyDescent="0.2">
      <c r="A227" s="1019"/>
      <c r="B227" s="81">
        <v>53205020100000</v>
      </c>
      <c r="C227" s="634" t="s">
        <v>25</v>
      </c>
      <c r="D227" s="696">
        <f t="shared" si="24"/>
        <v>419368</v>
      </c>
      <c r="E227" s="697">
        <v>0</v>
      </c>
      <c r="F227" s="698">
        <v>0</v>
      </c>
      <c r="G227" s="658">
        <f t="shared" si="22"/>
        <v>0</v>
      </c>
      <c r="H227" s="650">
        <f t="shared" si="25"/>
        <v>419368</v>
      </c>
      <c r="I227" s="1021"/>
      <c r="J227" s="1022"/>
      <c r="K227" s="1022"/>
      <c r="L227" s="1023"/>
    </row>
    <row r="228" spans="1:12" x14ac:dyDescent="0.2">
      <c r="A228" s="1019"/>
      <c r="B228" s="81">
        <v>53205030100000</v>
      </c>
      <c r="C228" s="634" t="s">
        <v>26</v>
      </c>
      <c r="D228" s="696">
        <f t="shared" si="24"/>
        <v>1340144</v>
      </c>
      <c r="E228" s="697">
        <v>0</v>
      </c>
      <c r="F228" s="698">
        <v>0</v>
      </c>
      <c r="G228" s="658">
        <f t="shared" si="22"/>
        <v>0</v>
      </c>
      <c r="H228" s="650">
        <f t="shared" si="25"/>
        <v>1340144</v>
      </c>
      <c r="I228" s="1021"/>
      <c r="J228" s="1022"/>
      <c r="K228" s="1022"/>
      <c r="L228" s="1023"/>
    </row>
    <row r="229" spans="1:12" x14ac:dyDescent="0.2">
      <c r="A229" s="1019"/>
      <c r="B229" s="81">
        <v>53205050100000</v>
      </c>
      <c r="C229" s="634" t="s">
        <v>27</v>
      </c>
      <c r="D229" s="696">
        <f t="shared" si="24"/>
        <v>205682.80000000002</v>
      </c>
      <c r="E229" s="697">
        <v>0</v>
      </c>
      <c r="F229" s="698">
        <v>0</v>
      </c>
      <c r="G229" s="658">
        <f t="shared" si="22"/>
        <v>0</v>
      </c>
      <c r="H229" s="650">
        <f t="shared" si="25"/>
        <v>205682.80000000002</v>
      </c>
      <c r="I229" s="1021"/>
      <c r="J229" s="1022"/>
      <c r="K229" s="1022"/>
      <c r="L229" s="1023"/>
    </row>
    <row r="230" spans="1:12" x14ac:dyDescent="0.2">
      <c r="A230" s="1019"/>
      <c r="B230" s="81">
        <v>53205070100000</v>
      </c>
      <c r="C230" s="634" t="s">
        <v>29</v>
      </c>
      <c r="D230" s="696">
        <f t="shared" si="24"/>
        <v>0</v>
      </c>
      <c r="E230" s="697">
        <v>0</v>
      </c>
      <c r="F230" s="698">
        <v>0</v>
      </c>
      <c r="G230" s="658">
        <f t="shared" si="22"/>
        <v>0</v>
      </c>
      <c r="H230" s="650">
        <f t="shared" si="25"/>
        <v>0</v>
      </c>
      <c r="I230" s="1021"/>
      <c r="J230" s="1022"/>
      <c r="K230" s="1022"/>
      <c r="L230" s="1023"/>
    </row>
    <row r="231" spans="1:12" x14ac:dyDescent="0.2">
      <c r="A231" s="1019"/>
      <c r="B231" s="81">
        <v>53208010100000</v>
      </c>
      <c r="C231" s="634" t="s">
        <v>30</v>
      </c>
      <c r="D231" s="696">
        <f t="shared" si="24"/>
        <v>204763.2</v>
      </c>
      <c r="E231" s="697">
        <v>0</v>
      </c>
      <c r="F231" s="698">
        <v>0</v>
      </c>
      <c r="G231" s="658">
        <f t="shared" si="22"/>
        <v>0</v>
      </c>
      <c r="H231" s="650">
        <f t="shared" si="25"/>
        <v>204763.2</v>
      </c>
      <c r="I231" s="1021"/>
      <c r="J231" s="1022"/>
      <c r="K231" s="1022"/>
      <c r="L231" s="1023"/>
    </row>
    <row r="232" spans="1:12" x14ac:dyDescent="0.2">
      <c r="A232" s="1019"/>
      <c r="B232" s="81">
        <v>53208070100001</v>
      </c>
      <c r="C232" s="634" t="s">
        <v>31</v>
      </c>
      <c r="D232" s="696">
        <f t="shared" si="24"/>
        <v>0</v>
      </c>
      <c r="E232" s="697">
        <v>0</v>
      </c>
      <c r="F232" s="698">
        <v>0</v>
      </c>
      <c r="G232" s="658">
        <f t="shared" si="22"/>
        <v>0</v>
      </c>
      <c r="H232" s="650">
        <f t="shared" si="25"/>
        <v>0</v>
      </c>
      <c r="I232" s="1021"/>
      <c r="J232" s="1022"/>
      <c r="K232" s="1022"/>
      <c r="L232" s="1023"/>
    </row>
    <row r="233" spans="1:12" x14ac:dyDescent="0.2">
      <c r="A233" s="1019"/>
      <c r="B233" s="81">
        <v>53208100100001</v>
      </c>
      <c r="C233" s="634" t="s">
        <v>209</v>
      </c>
      <c r="D233" s="696">
        <f t="shared" si="24"/>
        <v>0</v>
      </c>
      <c r="E233" s="697">
        <v>0</v>
      </c>
      <c r="F233" s="698">
        <v>0</v>
      </c>
      <c r="G233" s="658">
        <f t="shared" si="22"/>
        <v>0</v>
      </c>
      <c r="H233" s="650">
        <f t="shared" si="25"/>
        <v>0</v>
      </c>
      <c r="I233" s="1021"/>
      <c r="J233" s="1022"/>
      <c r="K233" s="1022"/>
      <c r="L233" s="1023"/>
    </row>
    <row r="234" spans="1:12" x14ac:dyDescent="0.2">
      <c r="A234" s="1019"/>
      <c r="B234" s="81">
        <v>53211030000000</v>
      </c>
      <c r="C234" s="634" t="s">
        <v>32</v>
      </c>
      <c r="D234" s="696">
        <f t="shared" si="24"/>
        <v>0</v>
      </c>
      <c r="E234" s="697">
        <v>0</v>
      </c>
      <c r="F234" s="698">
        <v>0</v>
      </c>
      <c r="G234" s="658">
        <f t="shared" si="22"/>
        <v>0</v>
      </c>
      <c r="H234" s="650">
        <f t="shared" si="25"/>
        <v>0</v>
      </c>
      <c r="I234" s="1021"/>
      <c r="J234" s="1022"/>
      <c r="K234" s="1022"/>
      <c r="L234" s="1023"/>
    </row>
    <row r="235" spans="1:12" x14ac:dyDescent="0.2">
      <c r="A235" s="1019"/>
      <c r="B235" s="81">
        <v>53212020100000</v>
      </c>
      <c r="C235" s="634" t="s">
        <v>210</v>
      </c>
      <c r="D235" s="696">
        <f t="shared" si="24"/>
        <v>1160480</v>
      </c>
      <c r="E235" s="697">
        <v>0</v>
      </c>
      <c r="F235" s="698">
        <v>0</v>
      </c>
      <c r="G235" s="658">
        <f t="shared" si="22"/>
        <v>0</v>
      </c>
      <c r="H235" s="650">
        <f t="shared" si="25"/>
        <v>1160480</v>
      </c>
      <c r="I235" s="1021"/>
      <c r="J235" s="1022"/>
      <c r="K235" s="1022"/>
      <c r="L235" s="1023"/>
    </row>
    <row r="236" spans="1:12" ht="15.75" customHeight="1" x14ac:dyDescent="0.2">
      <c r="A236" s="1019"/>
      <c r="B236" s="81">
        <v>53214020000000</v>
      </c>
      <c r="C236" s="634" t="s">
        <v>211</v>
      </c>
      <c r="D236" s="696">
        <f>+R292</f>
        <v>0</v>
      </c>
      <c r="E236" s="697">
        <v>0</v>
      </c>
      <c r="F236" s="698">
        <v>0</v>
      </c>
      <c r="G236" s="658">
        <f t="shared" si="22"/>
        <v>0</v>
      </c>
      <c r="H236" s="650">
        <f t="shared" si="25"/>
        <v>0</v>
      </c>
      <c r="I236" s="1021"/>
      <c r="J236" s="1022"/>
      <c r="K236" s="1022"/>
      <c r="L236" s="1023"/>
    </row>
    <row r="237" spans="1:12" x14ac:dyDescent="0.2">
      <c r="A237" s="1019"/>
      <c r="B237" s="79"/>
      <c r="C237" s="648" t="s">
        <v>34</v>
      </c>
      <c r="D237" s="659">
        <f>SUM(D238,D243,D245,D254,D263,D271)</f>
        <v>4604826.8000000007</v>
      </c>
      <c r="E237" s="660"/>
      <c r="F237" s="660"/>
      <c r="G237" s="659">
        <f>SUM(G238,G243,G245,G254,G263,G271)</f>
        <v>1044940</v>
      </c>
      <c r="H237" s="652">
        <f>SUM(H238,H243,H245,H254,H263,H271)</f>
        <v>5649766.8000000007</v>
      </c>
      <c r="I237" s="1021"/>
      <c r="J237" s="1022"/>
      <c r="K237" s="1022"/>
      <c r="L237" s="1023"/>
    </row>
    <row r="238" spans="1:12" x14ac:dyDescent="0.2">
      <c r="A238" s="1019"/>
      <c r="B238" s="80"/>
      <c r="C238" s="644" t="s">
        <v>35</v>
      </c>
      <c r="D238" s="646">
        <f>SUM(D239:D242)</f>
        <v>27669.600000000002</v>
      </c>
      <c r="E238" s="647"/>
      <c r="F238" s="647"/>
      <c r="G238" s="661">
        <f>SUM(G239:G242)</f>
        <v>447900</v>
      </c>
      <c r="H238" s="653">
        <f>SUM(H239:H242)</f>
        <v>475569.6</v>
      </c>
      <c r="I238" s="1021"/>
      <c r="J238" s="1022"/>
      <c r="K238" s="1022"/>
      <c r="L238" s="1023"/>
    </row>
    <row r="239" spans="1:12" x14ac:dyDescent="0.2">
      <c r="A239" s="1019"/>
      <c r="B239" s="81">
        <v>53202020100000</v>
      </c>
      <c r="C239" s="634" t="s">
        <v>212</v>
      </c>
      <c r="D239" s="638">
        <v>0</v>
      </c>
      <c r="E239" s="641">
        <v>25990</v>
      </c>
      <c r="F239" s="639">
        <v>8</v>
      </c>
      <c r="G239" s="658">
        <f>E239*F239</f>
        <v>207920</v>
      </c>
      <c r="H239" s="650">
        <f>D239+G239</f>
        <v>207920</v>
      </c>
      <c r="I239" s="1021"/>
      <c r="J239" s="1022"/>
      <c r="K239" s="1022"/>
      <c r="L239" s="1023"/>
    </row>
    <row r="240" spans="1:12" x14ac:dyDescent="0.2">
      <c r="A240" s="1019"/>
      <c r="B240" s="81">
        <v>53202030000000</v>
      </c>
      <c r="C240" s="634" t="s">
        <v>213</v>
      </c>
      <c r="D240" s="638">
        <v>0</v>
      </c>
      <c r="E240" s="641">
        <v>29990</v>
      </c>
      <c r="F240" s="639">
        <v>2</v>
      </c>
      <c r="G240" s="658">
        <f>E240*F240</f>
        <v>59980</v>
      </c>
      <c r="H240" s="650">
        <f>D240+G240</f>
        <v>59980</v>
      </c>
      <c r="I240" s="1021"/>
      <c r="J240" s="1022"/>
      <c r="K240" s="1022"/>
      <c r="L240" s="1023"/>
    </row>
    <row r="241" spans="1:12" x14ac:dyDescent="0.2">
      <c r="A241" s="1019"/>
      <c r="B241" s="81">
        <v>53211020000000</v>
      </c>
      <c r="C241" s="634" t="s">
        <v>41</v>
      </c>
      <c r="D241" s="638">
        <v>0</v>
      </c>
      <c r="E241" s="641">
        <v>60000</v>
      </c>
      <c r="F241" s="639">
        <v>3</v>
      </c>
      <c r="G241" s="658">
        <f>E241*F241</f>
        <v>180000</v>
      </c>
      <c r="H241" s="650">
        <f>D241+G241</f>
        <v>180000</v>
      </c>
      <c r="I241" s="1021"/>
      <c r="J241" s="1022"/>
      <c r="K241" s="1022"/>
      <c r="L241" s="1023"/>
    </row>
    <row r="242" spans="1:12" x14ac:dyDescent="0.2">
      <c r="A242" s="1019"/>
      <c r="B242" s="81">
        <v>53101040600000</v>
      </c>
      <c r="C242" s="635" t="s">
        <v>214</v>
      </c>
      <c r="D242" s="696">
        <f>+R293</f>
        <v>27669.600000000002</v>
      </c>
      <c r="E242" s="697">
        <v>0</v>
      </c>
      <c r="F242" s="698">
        <v>0</v>
      </c>
      <c r="G242" s="658">
        <f>E242*F242</f>
        <v>0</v>
      </c>
      <c r="H242" s="650">
        <f>D242+G242</f>
        <v>27669.600000000002</v>
      </c>
      <c r="I242" s="1021"/>
      <c r="J242" s="1022"/>
      <c r="K242" s="1022"/>
      <c r="L242" s="1023"/>
    </row>
    <row r="243" spans="1:12" x14ac:dyDescent="0.2">
      <c r="A243" s="1019"/>
      <c r="B243" s="80"/>
      <c r="C243" s="644" t="s">
        <v>42</v>
      </c>
      <c r="D243" s="646">
        <f>SUM(D244:D244)</f>
        <v>0</v>
      </c>
      <c r="E243" s="647"/>
      <c r="F243" s="647"/>
      <c r="G243" s="661">
        <f>SUM(G244:G244)</f>
        <v>0</v>
      </c>
      <c r="H243" s="653">
        <f>SUM(H244:H244)</f>
        <v>0</v>
      </c>
      <c r="I243" s="1021"/>
      <c r="J243" s="1022"/>
      <c r="K243" s="1022"/>
      <c r="L243" s="1023"/>
    </row>
    <row r="244" spans="1:12" x14ac:dyDescent="0.2">
      <c r="A244" s="1019"/>
      <c r="B244" s="632">
        <v>53205990000000</v>
      </c>
      <c r="C244" s="636" t="s">
        <v>44</v>
      </c>
      <c r="D244" s="638">
        <v>0</v>
      </c>
      <c r="E244" s="641">
        <v>0</v>
      </c>
      <c r="F244" s="639">
        <v>0</v>
      </c>
      <c r="G244" s="658">
        <f>E244*F244</f>
        <v>0</v>
      </c>
      <c r="H244" s="650">
        <f>D244+G244</f>
        <v>0</v>
      </c>
      <c r="I244" s="1021"/>
      <c r="J244" s="1022"/>
      <c r="K244" s="1022"/>
      <c r="L244" s="1023"/>
    </row>
    <row r="245" spans="1:12" x14ac:dyDescent="0.2">
      <c r="A245" s="1019"/>
      <c r="B245" s="80"/>
      <c r="C245" s="644" t="s">
        <v>45</v>
      </c>
      <c r="D245" s="646">
        <f>SUM(D246:D253)</f>
        <v>2628585.6</v>
      </c>
      <c r="E245" s="647"/>
      <c r="F245" s="647"/>
      <c r="G245" s="646">
        <f>SUM(G246:G253)</f>
        <v>0</v>
      </c>
      <c r="H245" s="651">
        <f>SUM(H246:H253)</f>
        <v>2628585.6</v>
      </c>
      <c r="I245" s="1021"/>
      <c r="J245" s="1022"/>
      <c r="K245" s="1022"/>
      <c r="L245" s="1023"/>
    </row>
    <row r="246" spans="1:12" x14ac:dyDescent="0.2">
      <c r="A246" s="1019"/>
      <c r="B246" s="81">
        <v>53204010000000</v>
      </c>
      <c r="C246" s="634" t="s">
        <v>47</v>
      </c>
      <c r="D246" s="696">
        <f>+R294</f>
        <v>340000</v>
      </c>
      <c r="E246" s="696">
        <v>0</v>
      </c>
      <c r="F246" s="698">
        <v>0</v>
      </c>
      <c r="G246" s="658">
        <f t="shared" ref="G246:G253" si="26">E246*F246</f>
        <v>0</v>
      </c>
      <c r="H246" s="650">
        <f t="shared" ref="H246:H253" si="27">D246+G246</f>
        <v>340000</v>
      </c>
      <c r="I246" s="1021"/>
      <c r="J246" s="1022"/>
      <c r="K246" s="1022"/>
      <c r="L246" s="1023"/>
    </row>
    <row r="247" spans="1:12" x14ac:dyDescent="0.2">
      <c r="A247" s="1019"/>
      <c r="B247" s="632">
        <v>53204040200000</v>
      </c>
      <c r="C247" s="636" t="s">
        <v>223</v>
      </c>
      <c r="D247" s="696">
        <f t="shared" ref="D247:D253" si="28">+R295</f>
        <v>79200</v>
      </c>
      <c r="E247" s="696">
        <v>0</v>
      </c>
      <c r="F247" s="698">
        <v>0</v>
      </c>
      <c r="G247" s="658">
        <f t="shared" si="26"/>
        <v>0</v>
      </c>
      <c r="H247" s="650">
        <f t="shared" si="27"/>
        <v>79200</v>
      </c>
      <c r="I247" s="1021"/>
      <c r="J247" s="1022"/>
      <c r="K247" s="1022"/>
      <c r="L247" s="1023"/>
    </row>
    <row r="248" spans="1:12" x14ac:dyDescent="0.2">
      <c r="A248" s="1019"/>
      <c r="B248" s="81">
        <v>53204060000000</v>
      </c>
      <c r="C248" s="634" t="s">
        <v>49</v>
      </c>
      <c r="D248" s="696">
        <f t="shared" si="28"/>
        <v>0</v>
      </c>
      <c r="E248" s="696">
        <v>0</v>
      </c>
      <c r="F248" s="698">
        <v>0</v>
      </c>
      <c r="G248" s="658">
        <f t="shared" si="26"/>
        <v>0</v>
      </c>
      <c r="H248" s="650">
        <f t="shared" si="27"/>
        <v>0</v>
      </c>
      <c r="I248" s="1021"/>
      <c r="J248" s="1022"/>
      <c r="K248" s="1022"/>
      <c r="L248" s="1023"/>
    </row>
    <row r="249" spans="1:12" x14ac:dyDescent="0.2">
      <c r="A249" s="1019"/>
      <c r="B249" s="81">
        <v>53204070000000</v>
      </c>
      <c r="C249" s="634" t="s">
        <v>50</v>
      </c>
      <c r="D249" s="696">
        <f t="shared" si="28"/>
        <v>720000</v>
      </c>
      <c r="E249" s="696">
        <v>0</v>
      </c>
      <c r="F249" s="698">
        <v>0</v>
      </c>
      <c r="G249" s="658">
        <f t="shared" si="26"/>
        <v>0</v>
      </c>
      <c r="H249" s="650">
        <f t="shared" si="27"/>
        <v>720000</v>
      </c>
      <c r="I249" s="1021"/>
      <c r="J249" s="1022"/>
      <c r="K249" s="1022"/>
      <c r="L249" s="1023"/>
    </row>
    <row r="250" spans="1:12" x14ac:dyDescent="0.2">
      <c r="A250" s="1019"/>
      <c r="B250" s="81">
        <v>53204080000000</v>
      </c>
      <c r="C250" s="633" t="s">
        <v>51</v>
      </c>
      <c r="D250" s="696">
        <f t="shared" si="28"/>
        <v>60000</v>
      </c>
      <c r="E250" s="696">
        <v>0</v>
      </c>
      <c r="F250" s="698">
        <v>0</v>
      </c>
      <c r="G250" s="658">
        <f t="shared" si="26"/>
        <v>0</v>
      </c>
      <c r="H250" s="650">
        <f t="shared" si="27"/>
        <v>60000</v>
      </c>
      <c r="I250" s="1021"/>
      <c r="J250" s="1022"/>
      <c r="K250" s="1022"/>
      <c r="L250" s="1023"/>
    </row>
    <row r="251" spans="1:12" x14ac:dyDescent="0.2">
      <c r="A251" s="1019"/>
      <c r="B251" s="81">
        <v>53214010000000</v>
      </c>
      <c r="C251" s="634" t="s">
        <v>52</v>
      </c>
      <c r="D251" s="696">
        <f t="shared" si="28"/>
        <v>0</v>
      </c>
      <c r="E251" s="696">
        <v>0</v>
      </c>
      <c r="F251" s="698">
        <v>0</v>
      </c>
      <c r="G251" s="658">
        <f t="shared" si="26"/>
        <v>0</v>
      </c>
      <c r="H251" s="650">
        <f t="shared" si="27"/>
        <v>0</v>
      </c>
      <c r="I251" s="1021"/>
      <c r="J251" s="1022"/>
      <c r="K251" s="1022"/>
      <c r="L251" s="1023"/>
    </row>
    <row r="252" spans="1:12" x14ac:dyDescent="0.2">
      <c r="A252" s="1019"/>
      <c r="B252" s="81">
        <v>53214040000000</v>
      </c>
      <c r="C252" s="634" t="s">
        <v>215</v>
      </c>
      <c r="D252" s="696">
        <f>+R300</f>
        <v>1429385.6</v>
      </c>
      <c r="E252" s="696">
        <v>0</v>
      </c>
      <c r="F252" s="698">
        <v>0</v>
      </c>
      <c r="G252" s="658">
        <f t="shared" si="26"/>
        <v>0</v>
      </c>
      <c r="H252" s="650">
        <f t="shared" si="27"/>
        <v>1429385.6</v>
      </c>
      <c r="I252" s="1021"/>
      <c r="J252" s="1022"/>
      <c r="K252" s="1022"/>
      <c r="L252" s="1023"/>
    </row>
    <row r="253" spans="1:12" x14ac:dyDescent="0.2">
      <c r="A253" s="1019"/>
      <c r="B253" s="690">
        <v>53204020100000</v>
      </c>
      <c r="C253" s="691" t="s">
        <v>207</v>
      </c>
      <c r="D253" s="696">
        <f t="shared" si="28"/>
        <v>0</v>
      </c>
      <c r="E253" s="696">
        <v>0</v>
      </c>
      <c r="F253" s="698">
        <v>0</v>
      </c>
      <c r="G253" s="658">
        <f t="shared" si="26"/>
        <v>0</v>
      </c>
      <c r="H253" s="650">
        <f t="shared" si="27"/>
        <v>0</v>
      </c>
      <c r="I253" s="1021"/>
      <c r="J253" s="1022"/>
      <c r="K253" s="1022"/>
      <c r="L253" s="1023"/>
    </row>
    <row r="254" spans="1:12" x14ac:dyDescent="0.2">
      <c r="A254" s="1019"/>
      <c r="B254" s="80"/>
      <c r="C254" s="644" t="s">
        <v>55</v>
      </c>
      <c r="D254" s="646">
        <f>SUM(D255:D262)</f>
        <v>1457371.6</v>
      </c>
      <c r="E254" s="647"/>
      <c r="F254" s="647"/>
      <c r="G254" s="646">
        <f>SUM(G255:G262)</f>
        <v>257040</v>
      </c>
      <c r="H254" s="651">
        <f>SUM(H255:H262)</f>
        <v>1714411.6</v>
      </c>
      <c r="I254" s="1021"/>
      <c r="J254" s="1022"/>
      <c r="K254" s="1022"/>
      <c r="L254" s="1023"/>
    </row>
    <row r="255" spans="1:12" x14ac:dyDescent="0.2">
      <c r="A255" s="1019"/>
      <c r="B255" s="81">
        <v>53207010000000</v>
      </c>
      <c r="C255" s="634" t="s">
        <v>56</v>
      </c>
      <c r="D255" s="696">
        <f>+R302</f>
        <v>0</v>
      </c>
      <c r="E255" s="696">
        <v>0</v>
      </c>
      <c r="F255" s="698">
        <v>0</v>
      </c>
      <c r="G255" s="658">
        <f t="shared" ref="G255:G262" si="29">E255*F255</f>
        <v>0</v>
      </c>
      <c r="H255" s="650">
        <f t="shared" ref="H255:H262" si="30">D255+G255</f>
        <v>0</v>
      </c>
      <c r="I255" s="1021"/>
      <c r="J255" s="1022"/>
      <c r="K255" s="1022"/>
      <c r="L255" s="1023"/>
    </row>
    <row r="256" spans="1:12" x14ac:dyDescent="0.2">
      <c r="A256" s="1019"/>
      <c r="B256" s="81">
        <v>53207020000000</v>
      </c>
      <c r="C256" s="634" t="s">
        <v>57</v>
      </c>
      <c r="D256" s="696">
        <f>+R303</f>
        <v>0</v>
      </c>
      <c r="E256" s="696">
        <v>0</v>
      </c>
      <c r="F256" s="698">
        <v>0</v>
      </c>
      <c r="G256" s="658">
        <f t="shared" si="29"/>
        <v>0</v>
      </c>
      <c r="H256" s="650">
        <f t="shared" si="30"/>
        <v>0</v>
      </c>
      <c r="I256" s="1021"/>
      <c r="J256" s="1022"/>
      <c r="K256" s="1022"/>
      <c r="L256" s="1023"/>
    </row>
    <row r="257" spans="1:12" x14ac:dyDescent="0.2">
      <c r="A257" s="1019"/>
      <c r="B257" s="81">
        <v>53208020000000</v>
      </c>
      <c r="C257" s="633" t="s">
        <v>197</v>
      </c>
      <c r="D257" s="696">
        <f>+R304</f>
        <v>288000</v>
      </c>
      <c r="E257" s="696">
        <v>0</v>
      </c>
      <c r="F257" s="698">
        <v>0</v>
      </c>
      <c r="G257" s="658">
        <f t="shared" si="29"/>
        <v>0</v>
      </c>
      <c r="H257" s="650">
        <f t="shared" si="30"/>
        <v>288000</v>
      </c>
      <c r="I257" s="1021"/>
      <c r="J257" s="1022"/>
      <c r="K257" s="1022"/>
      <c r="L257" s="1023"/>
    </row>
    <row r="258" spans="1:12" x14ac:dyDescent="0.2">
      <c r="A258" s="1019"/>
      <c r="B258" s="81">
        <v>53208990000000</v>
      </c>
      <c r="C258" s="633" t="s">
        <v>216</v>
      </c>
      <c r="D258" s="696">
        <f>+R305</f>
        <v>324000</v>
      </c>
      <c r="E258" s="696">
        <v>0</v>
      </c>
      <c r="F258" s="698">
        <v>0</v>
      </c>
      <c r="G258" s="658">
        <f t="shared" si="29"/>
        <v>0</v>
      </c>
      <c r="H258" s="650">
        <f t="shared" si="30"/>
        <v>324000</v>
      </c>
      <c r="I258" s="1021"/>
      <c r="J258" s="1022"/>
      <c r="K258" s="1022"/>
      <c r="L258" s="1023"/>
    </row>
    <row r="259" spans="1:12" x14ac:dyDescent="0.2">
      <c r="A259" s="1019"/>
      <c r="B259" s="690">
        <v>53210020300000</v>
      </c>
      <c r="C259" s="692" t="s">
        <v>219</v>
      </c>
      <c r="D259" s="638">
        <v>0</v>
      </c>
      <c r="E259" s="638">
        <v>7560</v>
      </c>
      <c r="F259" s="639">
        <v>34</v>
      </c>
      <c r="G259" s="658">
        <f t="shared" si="29"/>
        <v>257040</v>
      </c>
      <c r="H259" s="650">
        <f t="shared" si="30"/>
        <v>257040</v>
      </c>
      <c r="I259" s="1021"/>
      <c r="J259" s="1022"/>
      <c r="K259" s="1022"/>
      <c r="L259" s="1023"/>
    </row>
    <row r="260" spans="1:12" x14ac:dyDescent="0.2">
      <c r="A260" s="1019"/>
      <c r="B260" s="81">
        <v>53208990000000</v>
      </c>
      <c r="C260" s="633" t="s">
        <v>220</v>
      </c>
      <c r="D260" s="696">
        <f>+R306</f>
        <v>0</v>
      </c>
      <c r="E260" s="696">
        <v>0</v>
      </c>
      <c r="F260" s="698">
        <v>0</v>
      </c>
      <c r="G260" s="658">
        <f t="shared" si="29"/>
        <v>0</v>
      </c>
      <c r="H260" s="650">
        <f t="shared" si="30"/>
        <v>0</v>
      </c>
      <c r="I260" s="1021"/>
      <c r="J260" s="1022"/>
      <c r="K260" s="1022"/>
      <c r="L260" s="1023"/>
    </row>
    <row r="261" spans="1:12" x14ac:dyDescent="0.2">
      <c r="A261" s="1019"/>
      <c r="B261" s="81">
        <v>53209990000000</v>
      </c>
      <c r="C261" s="633" t="s">
        <v>218</v>
      </c>
      <c r="D261" s="696">
        <f>+R307</f>
        <v>0</v>
      </c>
      <c r="E261" s="696">
        <v>0</v>
      </c>
      <c r="F261" s="698">
        <v>0</v>
      </c>
      <c r="G261" s="658">
        <f t="shared" si="29"/>
        <v>0</v>
      </c>
      <c r="H261" s="650">
        <f t="shared" si="30"/>
        <v>0</v>
      </c>
      <c r="I261" s="1021"/>
      <c r="J261" s="1022"/>
      <c r="K261" s="1022"/>
      <c r="L261" s="1023"/>
    </row>
    <row r="262" spans="1:12" x14ac:dyDescent="0.2">
      <c r="A262" s="1019"/>
      <c r="B262" s="81">
        <v>53210020100000</v>
      </c>
      <c r="C262" s="634" t="s">
        <v>64</v>
      </c>
      <c r="D262" s="696">
        <f>+R308</f>
        <v>845371.60000000009</v>
      </c>
      <c r="E262" s="696">
        <v>0</v>
      </c>
      <c r="F262" s="698">
        <v>0</v>
      </c>
      <c r="G262" s="658">
        <f t="shared" si="29"/>
        <v>0</v>
      </c>
      <c r="H262" s="650">
        <f t="shared" si="30"/>
        <v>845371.60000000009</v>
      </c>
      <c r="I262" s="1021"/>
      <c r="J262" s="1022"/>
      <c r="K262" s="1022"/>
      <c r="L262" s="1023"/>
    </row>
    <row r="263" spans="1:12" x14ac:dyDescent="0.2">
      <c r="A263" s="1019"/>
      <c r="B263" s="80"/>
      <c r="C263" s="644" t="s">
        <v>65</v>
      </c>
      <c r="D263" s="646">
        <f>SUM(D264:D270)</f>
        <v>491200</v>
      </c>
      <c r="E263" s="647"/>
      <c r="F263" s="647"/>
      <c r="G263" s="646">
        <f>SUM(G264:G270)</f>
        <v>0</v>
      </c>
      <c r="H263" s="651">
        <f>SUM(H264:H270)</f>
        <v>491200</v>
      </c>
      <c r="I263" s="1021"/>
      <c r="J263" s="1022"/>
      <c r="K263" s="1022"/>
      <c r="L263" s="1023"/>
    </row>
    <row r="264" spans="1:12" x14ac:dyDescent="0.2">
      <c r="A264" s="1019"/>
      <c r="B264" s="81">
        <v>53206030000000</v>
      </c>
      <c r="C264" s="634" t="s">
        <v>102</v>
      </c>
      <c r="D264" s="696">
        <f>+R309</f>
        <v>0</v>
      </c>
      <c r="E264" s="696">
        <v>0</v>
      </c>
      <c r="F264" s="698">
        <v>0</v>
      </c>
      <c r="G264" s="658">
        <f t="shared" ref="G264:G270" si="31">E264*F264</f>
        <v>0</v>
      </c>
      <c r="H264" s="650">
        <f t="shared" ref="H264:H270" si="32">D264+G264</f>
        <v>0</v>
      </c>
      <c r="I264" s="1021"/>
      <c r="J264" s="1022"/>
      <c r="K264" s="1022"/>
      <c r="L264" s="1023"/>
    </row>
    <row r="265" spans="1:12" x14ac:dyDescent="0.2">
      <c r="A265" s="1019"/>
      <c r="B265" s="81">
        <v>53206040000000</v>
      </c>
      <c r="C265" s="634" t="s">
        <v>103</v>
      </c>
      <c r="D265" s="696">
        <f t="shared" ref="D265:D270" si="33">+R310</f>
        <v>0</v>
      </c>
      <c r="E265" s="696">
        <v>0</v>
      </c>
      <c r="F265" s="698">
        <v>0</v>
      </c>
      <c r="G265" s="658">
        <f t="shared" si="31"/>
        <v>0</v>
      </c>
      <c r="H265" s="650">
        <f t="shared" si="32"/>
        <v>0</v>
      </c>
      <c r="I265" s="1021"/>
      <c r="J265" s="1022"/>
      <c r="K265" s="1022"/>
      <c r="L265" s="1023"/>
    </row>
    <row r="266" spans="1:12" x14ac:dyDescent="0.2">
      <c r="A266" s="1019"/>
      <c r="B266" s="81">
        <v>53206060000000</v>
      </c>
      <c r="C266" s="634" t="s">
        <v>221</v>
      </c>
      <c r="D266" s="696">
        <f t="shared" si="33"/>
        <v>80000</v>
      </c>
      <c r="E266" s="696">
        <v>0</v>
      </c>
      <c r="F266" s="698">
        <v>0</v>
      </c>
      <c r="G266" s="658">
        <f t="shared" si="31"/>
        <v>0</v>
      </c>
      <c r="H266" s="650">
        <f t="shared" si="32"/>
        <v>80000</v>
      </c>
      <c r="I266" s="1021"/>
      <c r="J266" s="1022"/>
      <c r="K266" s="1022"/>
      <c r="L266" s="1023"/>
    </row>
    <row r="267" spans="1:12" x14ac:dyDescent="0.2">
      <c r="A267" s="1019"/>
      <c r="B267" s="81">
        <v>53206070000000</v>
      </c>
      <c r="C267" s="634" t="s">
        <v>105</v>
      </c>
      <c r="D267" s="696">
        <f t="shared" si="33"/>
        <v>0</v>
      </c>
      <c r="E267" s="696">
        <v>0</v>
      </c>
      <c r="F267" s="698">
        <v>0</v>
      </c>
      <c r="G267" s="658">
        <f t="shared" si="31"/>
        <v>0</v>
      </c>
      <c r="H267" s="650">
        <f t="shared" si="32"/>
        <v>0</v>
      </c>
      <c r="I267" s="1021"/>
      <c r="J267" s="1022"/>
      <c r="K267" s="1022"/>
      <c r="L267" s="1023"/>
    </row>
    <row r="268" spans="1:12" x14ac:dyDescent="0.2">
      <c r="A268" s="1019"/>
      <c r="B268" s="81">
        <v>53206990000000</v>
      </c>
      <c r="C268" s="634" t="s">
        <v>222</v>
      </c>
      <c r="D268" s="696">
        <f t="shared" si="33"/>
        <v>0</v>
      </c>
      <c r="E268" s="696">
        <v>0</v>
      </c>
      <c r="F268" s="698">
        <v>0</v>
      </c>
      <c r="G268" s="658">
        <f t="shared" si="31"/>
        <v>0</v>
      </c>
      <c r="H268" s="650">
        <f t="shared" si="32"/>
        <v>0</v>
      </c>
      <c r="I268" s="1021"/>
      <c r="J268" s="1022"/>
      <c r="K268" s="1022"/>
      <c r="L268" s="1023"/>
    </row>
    <row r="269" spans="1:12" x14ac:dyDescent="0.2">
      <c r="A269" s="1019"/>
      <c r="B269" s="81">
        <v>53208030000000</v>
      </c>
      <c r="C269" s="634" t="s">
        <v>107</v>
      </c>
      <c r="D269" s="696">
        <f t="shared" si="33"/>
        <v>211200</v>
      </c>
      <c r="E269" s="696">
        <v>0</v>
      </c>
      <c r="F269" s="698">
        <v>0</v>
      </c>
      <c r="G269" s="658">
        <f t="shared" si="31"/>
        <v>0</v>
      </c>
      <c r="H269" s="650">
        <f t="shared" si="32"/>
        <v>211200</v>
      </c>
      <c r="I269" s="1021"/>
      <c r="J269" s="1022"/>
      <c r="K269" s="1022"/>
      <c r="L269" s="1023"/>
    </row>
    <row r="270" spans="1:12" x14ac:dyDescent="0.2">
      <c r="A270" s="1019"/>
      <c r="B270" s="81">
        <v>53212060000000</v>
      </c>
      <c r="C270" s="634" t="s">
        <v>100</v>
      </c>
      <c r="D270" s="696">
        <f t="shared" si="33"/>
        <v>200000</v>
      </c>
      <c r="E270" s="696">
        <v>0</v>
      </c>
      <c r="F270" s="698">
        <v>0</v>
      </c>
      <c r="G270" s="658">
        <f t="shared" si="31"/>
        <v>0</v>
      </c>
      <c r="H270" s="650">
        <f t="shared" si="32"/>
        <v>200000</v>
      </c>
      <c r="I270" s="1021"/>
      <c r="J270" s="1022"/>
      <c r="K270" s="1022"/>
      <c r="L270" s="1023"/>
    </row>
    <row r="271" spans="1:12" x14ac:dyDescent="0.2">
      <c r="A271" s="1019"/>
      <c r="B271" s="80"/>
      <c r="C271" s="644" t="s">
        <v>66</v>
      </c>
      <c r="D271" s="646">
        <f>SUM(D272:D272)</f>
        <v>0</v>
      </c>
      <c r="E271" s="647"/>
      <c r="F271" s="647"/>
      <c r="G271" s="646">
        <f>SUM(G272:G272)</f>
        <v>340000</v>
      </c>
      <c r="H271" s="651">
        <f>SUM(H272:H272)</f>
        <v>340000</v>
      </c>
      <c r="I271" s="1021"/>
      <c r="J271" s="1022"/>
      <c r="K271" s="1022"/>
      <c r="L271" s="1023"/>
    </row>
    <row r="272" spans="1:12" x14ac:dyDescent="0.2">
      <c r="A272" s="1019"/>
      <c r="B272" s="95">
        <v>53204999000000</v>
      </c>
      <c r="C272" s="645" t="s">
        <v>217</v>
      </c>
      <c r="D272" s="638">
        <v>0</v>
      </c>
      <c r="E272" s="638">
        <v>10000</v>
      </c>
      <c r="F272" s="639">
        <v>34</v>
      </c>
      <c r="G272" s="658">
        <f>E272*F272</f>
        <v>340000</v>
      </c>
      <c r="H272" s="654">
        <f>D272+G272</f>
        <v>340000</v>
      </c>
      <c r="I272" s="1021"/>
      <c r="J272" s="1022"/>
      <c r="K272" s="1022"/>
      <c r="L272" s="1023"/>
    </row>
    <row r="273" spans="1:18" x14ac:dyDescent="0.2">
      <c r="A273" s="1019"/>
      <c r="B273" s="98"/>
      <c r="C273" s="649" t="s">
        <v>108</v>
      </c>
      <c r="D273" s="662">
        <f>SUM(D210,D237)</f>
        <v>40999914.516000003</v>
      </c>
      <c r="E273" s="663"/>
      <c r="F273" s="663"/>
      <c r="G273" s="662">
        <f>SUM(G210,G237)</f>
        <v>9128440</v>
      </c>
      <c r="H273" s="99">
        <f>SUM(H210,H237)</f>
        <v>50128354.516000003</v>
      </c>
      <c r="I273" s="1021"/>
      <c r="J273" s="1022"/>
      <c r="K273" s="1022"/>
      <c r="L273" s="1023"/>
    </row>
    <row r="274" spans="1:18" ht="12.75" customHeight="1" x14ac:dyDescent="0.2">
      <c r="A274" s="1024" t="s">
        <v>83</v>
      </c>
      <c r="B274" s="1026" t="s">
        <v>77</v>
      </c>
      <c r="C274" s="1028" t="s">
        <v>78</v>
      </c>
      <c r="D274" s="1030" t="s">
        <v>79</v>
      </c>
      <c r="E274" s="1039" t="s">
        <v>80</v>
      </c>
      <c r="F274" s="1039"/>
      <c r="G274" s="1039"/>
      <c r="H274" s="1031" t="s">
        <v>149</v>
      </c>
      <c r="I274" s="1033" t="s">
        <v>76</v>
      </c>
      <c r="J274" s="1034"/>
      <c r="K274" s="1034"/>
      <c r="L274" s="1035"/>
      <c r="N274" s="1015" t="s">
        <v>228</v>
      </c>
      <c r="O274" s="1017" t="s">
        <v>224</v>
      </c>
      <c r="P274" s="1017" t="s">
        <v>225</v>
      </c>
      <c r="Q274" s="1017" t="s">
        <v>226</v>
      </c>
      <c r="R274" s="1017" t="s">
        <v>227</v>
      </c>
    </row>
    <row r="275" spans="1:18" ht="25.5" x14ac:dyDescent="0.2">
      <c r="A275" s="1025"/>
      <c r="B275" s="1027"/>
      <c r="C275" s="1029"/>
      <c r="D275" s="1030"/>
      <c r="E275" s="664" t="s">
        <v>67</v>
      </c>
      <c r="F275" s="665" t="s">
        <v>68</v>
      </c>
      <c r="G275" s="666" t="s">
        <v>6</v>
      </c>
      <c r="H275" s="1032"/>
      <c r="I275" s="1036"/>
      <c r="J275" s="1037"/>
      <c r="K275" s="1037"/>
      <c r="L275" s="1038"/>
      <c r="N275" s="1016"/>
      <c r="O275" s="1017"/>
      <c r="P275" s="1017"/>
      <c r="Q275" s="1017"/>
      <c r="R275" s="1017"/>
    </row>
    <row r="276" spans="1:18" ht="15.75" customHeight="1" x14ac:dyDescent="0.2">
      <c r="A276" s="1018" t="s">
        <v>159</v>
      </c>
      <c r="B276" s="79"/>
      <c r="C276" s="648" t="s">
        <v>11</v>
      </c>
      <c r="D276" s="659">
        <f>SUM(D277,D282)</f>
        <v>105334706.75600001</v>
      </c>
      <c r="E276" s="660"/>
      <c r="F276" s="660"/>
      <c r="G276" s="667">
        <f>SUM(G277,G282)</f>
        <v>12145100</v>
      </c>
      <c r="H276" s="655">
        <f>SUM(H277,H282)</f>
        <v>117479806.75600001</v>
      </c>
      <c r="I276" s="1021"/>
      <c r="J276" s="1022"/>
      <c r="K276" s="1022"/>
      <c r="L276" s="1023"/>
      <c r="N276" s="633" t="s">
        <v>204</v>
      </c>
      <c r="O276" s="689">
        <v>300000</v>
      </c>
      <c r="P276" s="637">
        <f>+O276*0.5</f>
        <v>150000</v>
      </c>
      <c r="Q276" s="637">
        <f>+O276*0.1</f>
        <v>30000</v>
      </c>
      <c r="R276" s="699">
        <f>+O276*0.4</f>
        <v>120000</v>
      </c>
    </row>
    <row r="277" spans="1:18" x14ac:dyDescent="0.2">
      <c r="A277" s="1019"/>
      <c r="B277" s="80"/>
      <c r="C277" s="644" t="s">
        <v>12</v>
      </c>
      <c r="D277" s="646">
        <f>SUM(D278:D281)</f>
        <v>99298801.256000012</v>
      </c>
      <c r="E277" s="647"/>
      <c r="F277" s="647"/>
      <c r="G277" s="668">
        <f>SUM(G278:G281)</f>
        <v>0</v>
      </c>
      <c r="H277" s="651">
        <f>SUM(H278:H281)</f>
        <v>99298801.256000012</v>
      </c>
      <c r="I277" s="1021"/>
      <c r="J277" s="1022"/>
      <c r="K277" s="1022"/>
      <c r="L277" s="1023"/>
      <c r="N277" s="633" t="s">
        <v>19</v>
      </c>
      <c r="O277" s="689">
        <v>0</v>
      </c>
      <c r="P277" s="637">
        <f t="shared" ref="P277:P315" si="34">+O277*0.5</f>
        <v>0</v>
      </c>
      <c r="Q277" s="637">
        <f t="shared" ref="Q277:Q315" si="35">+O277*0.1</f>
        <v>0</v>
      </c>
      <c r="R277" s="699">
        <f t="shared" ref="R277:R315" si="36">+O277*0.4</f>
        <v>0</v>
      </c>
    </row>
    <row r="278" spans="1:18" x14ac:dyDescent="0.2">
      <c r="A278" s="1019"/>
      <c r="B278" s="81">
        <v>53103040100000</v>
      </c>
      <c r="C278" s="634" t="s">
        <v>98</v>
      </c>
      <c r="D278" s="696">
        <f>+'F) Remuneraciones'!L71</f>
        <v>98298801.256000012</v>
      </c>
      <c r="E278" s="669">
        <v>0</v>
      </c>
      <c r="F278" s="670">
        <v>0</v>
      </c>
      <c r="G278" s="658">
        <f>E278*F278</f>
        <v>0</v>
      </c>
      <c r="H278" s="650">
        <f>D278+G278</f>
        <v>98298801.256000012</v>
      </c>
      <c r="I278" s="1021"/>
      <c r="J278" s="1022"/>
      <c r="K278" s="1022"/>
      <c r="L278" s="1023"/>
      <c r="N278" s="633" t="s">
        <v>205</v>
      </c>
      <c r="O278" s="689">
        <v>0</v>
      </c>
      <c r="P278" s="637">
        <f t="shared" si="34"/>
        <v>0</v>
      </c>
      <c r="Q278" s="637">
        <f t="shared" si="35"/>
        <v>0</v>
      </c>
      <c r="R278" s="699">
        <f t="shared" si="36"/>
        <v>0</v>
      </c>
    </row>
    <row r="279" spans="1:18" x14ac:dyDescent="0.2">
      <c r="A279" s="1019"/>
      <c r="B279" s="81">
        <v>53103050000000</v>
      </c>
      <c r="C279" s="634" t="s">
        <v>198</v>
      </c>
      <c r="D279" s="638">
        <v>0</v>
      </c>
      <c r="E279" s="641">
        <v>0</v>
      </c>
      <c r="F279" s="639">
        <v>0</v>
      </c>
      <c r="G279" s="658">
        <f>E279*F279</f>
        <v>0</v>
      </c>
      <c r="H279" s="650">
        <f>D279+G279</f>
        <v>0</v>
      </c>
      <c r="I279" s="1021"/>
      <c r="J279" s="1022"/>
      <c r="K279" s="1022"/>
      <c r="L279" s="1023"/>
      <c r="N279" s="634" t="s">
        <v>206</v>
      </c>
      <c r="O279" s="689">
        <v>100000</v>
      </c>
      <c r="P279" s="637">
        <f t="shared" si="34"/>
        <v>50000</v>
      </c>
      <c r="Q279" s="637">
        <f t="shared" si="35"/>
        <v>10000</v>
      </c>
      <c r="R279" s="699">
        <f t="shared" si="36"/>
        <v>40000</v>
      </c>
    </row>
    <row r="280" spans="1:18" x14ac:dyDescent="0.2">
      <c r="A280" s="1019"/>
      <c r="B280" s="690">
        <v>53103040400000</v>
      </c>
      <c r="C280" s="691" t="s">
        <v>199</v>
      </c>
      <c r="D280" s="638">
        <v>1000000</v>
      </c>
      <c r="E280" s="641">
        <v>0</v>
      </c>
      <c r="F280" s="639">
        <v>0</v>
      </c>
      <c r="G280" s="658">
        <f>E280*F280</f>
        <v>0</v>
      </c>
      <c r="H280" s="650">
        <f>D280+G280</f>
        <v>1000000</v>
      </c>
      <c r="I280" s="1021"/>
      <c r="J280" s="1022"/>
      <c r="K280" s="1022"/>
      <c r="L280" s="1023"/>
      <c r="N280" s="634" t="s">
        <v>22</v>
      </c>
      <c r="O280" s="689">
        <v>1500000</v>
      </c>
      <c r="P280" s="637">
        <f t="shared" si="34"/>
        <v>750000</v>
      </c>
      <c r="Q280" s="637">
        <f t="shared" si="35"/>
        <v>150000</v>
      </c>
      <c r="R280" s="699">
        <f t="shared" si="36"/>
        <v>600000</v>
      </c>
    </row>
    <row r="281" spans="1:18" x14ac:dyDescent="0.2">
      <c r="A281" s="1019"/>
      <c r="B281" s="81">
        <v>53103080010000</v>
      </c>
      <c r="C281" s="634" t="s">
        <v>200</v>
      </c>
      <c r="D281" s="638">
        <v>0</v>
      </c>
      <c r="E281" s="641">
        <v>0</v>
      </c>
      <c r="F281" s="639">
        <v>0</v>
      </c>
      <c r="G281" s="658">
        <f>E281*F281</f>
        <v>0</v>
      </c>
      <c r="H281" s="650">
        <f>D281+G281</f>
        <v>0</v>
      </c>
      <c r="I281" s="1021"/>
      <c r="J281" s="1022"/>
      <c r="K281" s="1022"/>
      <c r="L281" s="1023"/>
      <c r="N281" s="634" t="s">
        <v>208</v>
      </c>
      <c r="O281" s="689">
        <v>350000</v>
      </c>
      <c r="P281" s="637">
        <f t="shared" si="34"/>
        <v>175000</v>
      </c>
      <c r="Q281" s="637">
        <f t="shared" si="35"/>
        <v>35000</v>
      </c>
      <c r="R281" s="699">
        <f t="shared" si="36"/>
        <v>140000</v>
      </c>
    </row>
    <row r="282" spans="1:18" x14ac:dyDescent="0.2">
      <c r="A282" s="1019"/>
      <c r="B282" s="80"/>
      <c r="C282" s="644" t="s">
        <v>16</v>
      </c>
      <c r="D282" s="646">
        <f>SUM(D283:D302)</f>
        <v>6035905.5</v>
      </c>
      <c r="E282" s="647"/>
      <c r="F282" s="647"/>
      <c r="G282" s="646">
        <f>SUM(G283:G302)</f>
        <v>12145100</v>
      </c>
      <c r="H282" s="651">
        <f>SUM(H283:H302)</f>
        <v>18181005.5</v>
      </c>
      <c r="I282" s="1021"/>
      <c r="J282" s="1022"/>
      <c r="K282" s="1022"/>
      <c r="L282" s="1023"/>
      <c r="N282" s="634" t="s">
        <v>24</v>
      </c>
      <c r="O282" s="689">
        <v>1495716</v>
      </c>
      <c r="P282" s="637">
        <f t="shared" si="34"/>
        <v>747858</v>
      </c>
      <c r="Q282" s="637">
        <f t="shared" si="35"/>
        <v>149571.6</v>
      </c>
      <c r="R282" s="699">
        <f t="shared" si="36"/>
        <v>598286.4</v>
      </c>
    </row>
    <row r="283" spans="1:18" x14ac:dyDescent="0.2">
      <c r="A283" s="1019"/>
      <c r="B283" s="81">
        <v>53201010100000</v>
      </c>
      <c r="C283" s="633" t="s">
        <v>201</v>
      </c>
      <c r="D283" s="638">
        <v>0</v>
      </c>
      <c r="E283" s="641">
        <v>1785</v>
      </c>
      <c r="F283" s="639">
        <f>13*20*11</f>
        <v>2860</v>
      </c>
      <c r="G283" s="658">
        <f t="shared" ref="G283:G302" si="37">E283*F283</f>
        <v>5105100</v>
      </c>
      <c r="H283" s="650">
        <f t="shared" ref="H283:H288" si="38">D283+G283</f>
        <v>5105100</v>
      </c>
      <c r="I283" s="1021"/>
      <c r="J283" s="1022"/>
      <c r="K283" s="1022"/>
      <c r="L283" s="1023"/>
      <c r="N283" s="634" t="s">
        <v>25</v>
      </c>
      <c r="O283" s="689">
        <v>1048420</v>
      </c>
      <c r="P283" s="637">
        <f t="shared" si="34"/>
        <v>524210</v>
      </c>
      <c r="Q283" s="637">
        <f t="shared" si="35"/>
        <v>104842</v>
      </c>
      <c r="R283" s="699">
        <f t="shared" si="36"/>
        <v>419368</v>
      </c>
    </row>
    <row r="284" spans="1:18" x14ac:dyDescent="0.2">
      <c r="A284" s="1019"/>
      <c r="B284" s="81">
        <v>53201010100000</v>
      </c>
      <c r="C284" s="633" t="s">
        <v>202</v>
      </c>
      <c r="D284" s="638">
        <v>0</v>
      </c>
      <c r="E284" s="641">
        <v>1000</v>
      </c>
      <c r="F284" s="639">
        <f>32*20*11</f>
        <v>7040</v>
      </c>
      <c r="G284" s="658">
        <f t="shared" si="37"/>
        <v>7040000</v>
      </c>
      <c r="H284" s="650">
        <f t="shared" si="38"/>
        <v>7040000</v>
      </c>
      <c r="I284" s="1021"/>
      <c r="J284" s="1022"/>
      <c r="K284" s="1022"/>
      <c r="L284" s="1023"/>
      <c r="N284" s="634" t="s">
        <v>26</v>
      </c>
      <c r="O284" s="689">
        <v>3350360</v>
      </c>
      <c r="P284" s="637">
        <f t="shared" si="34"/>
        <v>1675180</v>
      </c>
      <c r="Q284" s="637">
        <f t="shared" si="35"/>
        <v>335036</v>
      </c>
      <c r="R284" s="699">
        <f t="shared" si="36"/>
        <v>1340144</v>
      </c>
    </row>
    <row r="285" spans="1:18" x14ac:dyDescent="0.2">
      <c r="A285" s="1019"/>
      <c r="B285" s="81">
        <v>53201010100000</v>
      </c>
      <c r="C285" s="633" t="s">
        <v>203</v>
      </c>
      <c r="D285" s="638">
        <v>0</v>
      </c>
      <c r="E285" s="641">
        <v>0</v>
      </c>
      <c r="F285" s="639">
        <v>0</v>
      </c>
      <c r="G285" s="658">
        <f t="shared" si="37"/>
        <v>0</v>
      </c>
      <c r="H285" s="650">
        <f t="shared" si="38"/>
        <v>0</v>
      </c>
      <c r="I285" s="1021"/>
      <c r="J285" s="1022"/>
      <c r="K285" s="1022"/>
      <c r="L285" s="1023"/>
      <c r="N285" s="634" t="s">
        <v>27</v>
      </c>
      <c r="O285" s="689">
        <v>514207</v>
      </c>
      <c r="P285" s="637">
        <f t="shared" si="34"/>
        <v>257103.5</v>
      </c>
      <c r="Q285" s="637">
        <f t="shared" si="35"/>
        <v>51420.700000000004</v>
      </c>
      <c r="R285" s="699">
        <f t="shared" si="36"/>
        <v>205682.80000000002</v>
      </c>
    </row>
    <row r="286" spans="1:18" x14ac:dyDescent="0.2">
      <c r="A286" s="1019"/>
      <c r="B286" s="81">
        <v>53202010100000</v>
      </c>
      <c r="C286" s="633" t="s">
        <v>204</v>
      </c>
      <c r="D286" s="696">
        <f t="shared" ref="D286:D292" si="39">+P276</f>
        <v>150000</v>
      </c>
      <c r="E286" s="697">
        <v>0</v>
      </c>
      <c r="F286" s="698">
        <v>0</v>
      </c>
      <c r="G286" s="658">
        <f t="shared" si="37"/>
        <v>0</v>
      </c>
      <c r="H286" s="650">
        <f t="shared" si="38"/>
        <v>150000</v>
      </c>
      <c r="I286" s="1021"/>
      <c r="J286" s="1022"/>
      <c r="K286" s="1022"/>
      <c r="L286" s="1023"/>
      <c r="N286" s="634" t="s">
        <v>29</v>
      </c>
      <c r="O286" s="689">
        <v>0</v>
      </c>
      <c r="P286" s="637">
        <f t="shared" si="34"/>
        <v>0</v>
      </c>
      <c r="Q286" s="637">
        <f t="shared" si="35"/>
        <v>0</v>
      </c>
      <c r="R286" s="699">
        <f t="shared" si="36"/>
        <v>0</v>
      </c>
    </row>
    <row r="287" spans="1:18" x14ac:dyDescent="0.2">
      <c r="A287" s="1019"/>
      <c r="B287" s="81">
        <v>53203010100000</v>
      </c>
      <c r="C287" s="633" t="s">
        <v>19</v>
      </c>
      <c r="D287" s="696">
        <f t="shared" si="39"/>
        <v>0</v>
      </c>
      <c r="E287" s="697">
        <v>0</v>
      </c>
      <c r="F287" s="698">
        <v>0</v>
      </c>
      <c r="G287" s="658">
        <f t="shared" si="37"/>
        <v>0</v>
      </c>
      <c r="H287" s="650">
        <f t="shared" si="38"/>
        <v>0</v>
      </c>
      <c r="I287" s="1021"/>
      <c r="J287" s="1022"/>
      <c r="K287" s="1022"/>
      <c r="L287" s="1023"/>
      <c r="N287" s="634" t="s">
        <v>30</v>
      </c>
      <c r="O287" s="689">
        <v>511908</v>
      </c>
      <c r="P287" s="637">
        <f t="shared" si="34"/>
        <v>255954</v>
      </c>
      <c r="Q287" s="637">
        <f t="shared" si="35"/>
        <v>51190.8</v>
      </c>
      <c r="R287" s="699">
        <f t="shared" si="36"/>
        <v>204763.2</v>
      </c>
    </row>
    <row r="288" spans="1:18" x14ac:dyDescent="0.2">
      <c r="A288" s="1019"/>
      <c r="B288" s="81">
        <v>53203030000000</v>
      </c>
      <c r="C288" s="633" t="s">
        <v>205</v>
      </c>
      <c r="D288" s="696">
        <f t="shared" si="39"/>
        <v>0</v>
      </c>
      <c r="E288" s="697">
        <v>0</v>
      </c>
      <c r="F288" s="698">
        <v>0</v>
      </c>
      <c r="G288" s="658">
        <f t="shared" si="37"/>
        <v>0</v>
      </c>
      <c r="H288" s="650">
        <f t="shared" si="38"/>
        <v>0</v>
      </c>
      <c r="I288" s="1021"/>
      <c r="J288" s="1022"/>
      <c r="K288" s="1022"/>
      <c r="L288" s="1023"/>
      <c r="N288" s="634" t="s">
        <v>31</v>
      </c>
      <c r="O288" s="689">
        <v>0</v>
      </c>
      <c r="P288" s="637">
        <f t="shared" si="34"/>
        <v>0</v>
      </c>
      <c r="Q288" s="637">
        <f t="shared" si="35"/>
        <v>0</v>
      </c>
      <c r="R288" s="699">
        <f t="shared" si="36"/>
        <v>0</v>
      </c>
    </row>
    <row r="289" spans="1:18" x14ac:dyDescent="0.2">
      <c r="A289" s="1019"/>
      <c r="B289" s="81">
        <v>53204030000000</v>
      </c>
      <c r="C289" s="634" t="s">
        <v>206</v>
      </c>
      <c r="D289" s="696">
        <f t="shared" si="39"/>
        <v>50000</v>
      </c>
      <c r="E289" s="697">
        <v>0</v>
      </c>
      <c r="F289" s="698">
        <v>0</v>
      </c>
      <c r="G289" s="658">
        <f t="shared" si="37"/>
        <v>0</v>
      </c>
      <c r="H289" s="650">
        <f>D289+G289</f>
        <v>50000</v>
      </c>
      <c r="I289" s="1021"/>
      <c r="J289" s="1022"/>
      <c r="K289" s="1022"/>
      <c r="L289" s="1023"/>
      <c r="N289" s="634" t="s">
        <v>209</v>
      </c>
      <c r="O289" s="689">
        <v>0</v>
      </c>
      <c r="P289" s="637">
        <f t="shared" si="34"/>
        <v>0</v>
      </c>
      <c r="Q289" s="637">
        <f t="shared" si="35"/>
        <v>0</v>
      </c>
      <c r="R289" s="699">
        <f t="shared" si="36"/>
        <v>0</v>
      </c>
    </row>
    <row r="290" spans="1:18" x14ac:dyDescent="0.2">
      <c r="A290" s="1019"/>
      <c r="B290" s="81">
        <v>53204100100001</v>
      </c>
      <c r="C290" s="634" t="s">
        <v>22</v>
      </c>
      <c r="D290" s="696">
        <f t="shared" si="39"/>
        <v>750000</v>
      </c>
      <c r="E290" s="697">
        <v>0</v>
      </c>
      <c r="F290" s="698">
        <v>0</v>
      </c>
      <c r="G290" s="658">
        <f t="shared" si="37"/>
        <v>0</v>
      </c>
      <c r="H290" s="650">
        <f t="shared" ref="H290:H302" si="40">D290+G290</f>
        <v>750000</v>
      </c>
      <c r="I290" s="1021"/>
      <c r="J290" s="1022"/>
      <c r="K290" s="1022"/>
      <c r="L290" s="1023"/>
      <c r="N290" s="634" t="s">
        <v>32</v>
      </c>
      <c r="O290" s="689">
        <v>0</v>
      </c>
      <c r="P290" s="637">
        <f t="shared" si="34"/>
        <v>0</v>
      </c>
      <c r="Q290" s="637">
        <f t="shared" si="35"/>
        <v>0</v>
      </c>
      <c r="R290" s="699">
        <f t="shared" si="36"/>
        <v>0</v>
      </c>
    </row>
    <row r="291" spans="1:18" x14ac:dyDescent="0.2">
      <c r="A291" s="1019"/>
      <c r="B291" s="81">
        <v>53204130100000</v>
      </c>
      <c r="C291" s="634" t="s">
        <v>208</v>
      </c>
      <c r="D291" s="696">
        <f t="shared" si="39"/>
        <v>175000</v>
      </c>
      <c r="E291" s="697">
        <v>0</v>
      </c>
      <c r="F291" s="698">
        <v>0</v>
      </c>
      <c r="G291" s="658">
        <f t="shared" si="37"/>
        <v>0</v>
      </c>
      <c r="H291" s="650">
        <f t="shared" si="40"/>
        <v>175000</v>
      </c>
      <c r="I291" s="1021"/>
      <c r="J291" s="1022"/>
      <c r="K291" s="1022"/>
      <c r="L291" s="1023"/>
      <c r="N291" s="634" t="s">
        <v>210</v>
      </c>
      <c r="O291" s="689">
        <f>290120*10</f>
        <v>2901200</v>
      </c>
      <c r="P291" s="637">
        <f t="shared" si="34"/>
        <v>1450600</v>
      </c>
      <c r="Q291" s="637">
        <f t="shared" si="35"/>
        <v>290120</v>
      </c>
      <c r="R291" s="699">
        <f t="shared" si="36"/>
        <v>1160480</v>
      </c>
    </row>
    <row r="292" spans="1:18" x14ac:dyDescent="0.2">
      <c r="A292" s="1019"/>
      <c r="B292" s="81">
        <v>53205010100000</v>
      </c>
      <c r="C292" s="634" t="s">
        <v>24</v>
      </c>
      <c r="D292" s="696">
        <f t="shared" si="39"/>
        <v>747858</v>
      </c>
      <c r="E292" s="697">
        <v>0</v>
      </c>
      <c r="F292" s="698">
        <v>0</v>
      </c>
      <c r="G292" s="658">
        <f t="shared" si="37"/>
        <v>0</v>
      </c>
      <c r="H292" s="650">
        <f t="shared" si="40"/>
        <v>747858</v>
      </c>
      <c r="I292" s="1021"/>
      <c r="J292" s="1022"/>
      <c r="K292" s="1022"/>
      <c r="L292" s="1023"/>
      <c r="N292" s="634" t="s">
        <v>211</v>
      </c>
      <c r="O292" s="689">
        <v>0</v>
      </c>
      <c r="P292" s="637">
        <f t="shared" si="34"/>
        <v>0</v>
      </c>
      <c r="Q292" s="637">
        <f t="shared" si="35"/>
        <v>0</v>
      </c>
      <c r="R292" s="699">
        <f t="shared" si="36"/>
        <v>0</v>
      </c>
    </row>
    <row r="293" spans="1:18" x14ac:dyDescent="0.2">
      <c r="A293" s="1019"/>
      <c r="B293" s="81">
        <v>53205020100000</v>
      </c>
      <c r="C293" s="634" t="s">
        <v>25</v>
      </c>
      <c r="D293" s="696">
        <f t="shared" ref="D293:D302" si="41">+P283</f>
        <v>524210</v>
      </c>
      <c r="E293" s="697">
        <v>0</v>
      </c>
      <c r="F293" s="698">
        <v>0</v>
      </c>
      <c r="G293" s="658">
        <f t="shared" si="37"/>
        <v>0</v>
      </c>
      <c r="H293" s="650">
        <f t="shared" si="40"/>
        <v>524210</v>
      </c>
      <c r="I293" s="1021"/>
      <c r="J293" s="1022"/>
      <c r="K293" s="1022"/>
      <c r="L293" s="1023"/>
      <c r="N293" s="635" t="s">
        <v>214</v>
      </c>
      <c r="O293" s="689">
        <f>23058*3</f>
        <v>69174</v>
      </c>
      <c r="P293" s="637">
        <f t="shared" si="34"/>
        <v>34587</v>
      </c>
      <c r="Q293" s="637">
        <f t="shared" si="35"/>
        <v>6917.4000000000005</v>
      </c>
      <c r="R293" s="699">
        <f t="shared" si="36"/>
        <v>27669.600000000002</v>
      </c>
    </row>
    <row r="294" spans="1:18" x14ac:dyDescent="0.2">
      <c r="A294" s="1019"/>
      <c r="B294" s="81">
        <v>53205030100000</v>
      </c>
      <c r="C294" s="634" t="s">
        <v>26</v>
      </c>
      <c r="D294" s="696">
        <f t="shared" si="41"/>
        <v>1675180</v>
      </c>
      <c r="E294" s="697">
        <v>0</v>
      </c>
      <c r="F294" s="698">
        <v>0</v>
      </c>
      <c r="G294" s="658">
        <f t="shared" si="37"/>
        <v>0</v>
      </c>
      <c r="H294" s="650">
        <f t="shared" si="40"/>
        <v>1675180</v>
      </c>
      <c r="I294" s="1021"/>
      <c r="J294" s="1022"/>
      <c r="K294" s="1022"/>
      <c r="L294" s="1023"/>
      <c r="N294" s="634" t="s">
        <v>47</v>
      </c>
      <c r="O294" s="689">
        <v>850000</v>
      </c>
      <c r="P294" s="637">
        <f t="shared" si="34"/>
        <v>425000</v>
      </c>
      <c r="Q294" s="637">
        <f t="shared" si="35"/>
        <v>85000</v>
      </c>
      <c r="R294" s="699">
        <f t="shared" si="36"/>
        <v>340000</v>
      </c>
    </row>
    <row r="295" spans="1:18" x14ac:dyDescent="0.2">
      <c r="A295" s="1019"/>
      <c r="B295" s="81">
        <v>53205050100000</v>
      </c>
      <c r="C295" s="634" t="s">
        <v>27</v>
      </c>
      <c r="D295" s="696">
        <f t="shared" si="41"/>
        <v>257103.5</v>
      </c>
      <c r="E295" s="697">
        <v>0</v>
      </c>
      <c r="F295" s="698">
        <v>0</v>
      </c>
      <c r="G295" s="658">
        <f t="shared" si="37"/>
        <v>0</v>
      </c>
      <c r="H295" s="650">
        <f t="shared" si="40"/>
        <v>257103.5</v>
      </c>
      <c r="I295" s="1021"/>
      <c r="J295" s="1022"/>
      <c r="K295" s="1022"/>
      <c r="L295" s="1023"/>
      <c r="N295" s="636" t="s">
        <v>223</v>
      </c>
      <c r="O295" s="689">
        <v>198000</v>
      </c>
      <c r="P295" s="637">
        <f t="shared" si="34"/>
        <v>99000</v>
      </c>
      <c r="Q295" s="637">
        <f t="shared" si="35"/>
        <v>19800</v>
      </c>
      <c r="R295" s="699">
        <f t="shared" si="36"/>
        <v>79200</v>
      </c>
    </row>
    <row r="296" spans="1:18" x14ac:dyDescent="0.2">
      <c r="A296" s="1019"/>
      <c r="B296" s="81">
        <v>53205070100000</v>
      </c>
      <c r="C296" s="634" t="s">
        <v>29</v>
      </c>
      <c r="D296" s="696">
        <f t="shared" si="41"/>
        <v>0</v>
      </c>
      <c r="E296" s="697">
        <v>0</v>
      </c>
      <c r="F296" s="698">
        <v>0</v>
      </c>
      <c r="G296" s="658">
        <f t="shared" si="37"/>
        <v>0</v>
      </c>
      <c r="H296" s="650">
        <f t="shared" si="40"/>
        <v>0</v>
      </c>
      <c r="I296" s="1021"/>
      <c r="J296" s="1022"/>
      <c r="K296" s="1022"/>
      <c r="L296" s="1023"/>
      <c r="N296" s="634" t="s">
        <v>49</v>
      </c>
      <c r="O296" s="689">
        <v>0</v>
      </c>
      <c r="P296" s="637">
        <f t="shared" si="34"/>
        <v>0</v>
      </c>
      <c r="Q296" s="637">
        <f t="shared" si="35"/>
        <v>0</v>
      </c>
      <c r="R296" s="699">
        <f t="shared" si="36"/>
        <v>0</v>
      </c>
    </row>
    <row r="297" spans="1:18" x14ac:dyDescent="0.2">
      <c r="A297" s="1019"/>
      <c r="B297" s="81">
        <v>53208010100000</v>
      </c>
      <c r="C297" s="634" t="s">
        <v>30</v>
      </c>
      <c r="D297" s="696">
        <f t="shared" si="41"/>
        <v>255954</v>
      </c>
      <c r="E297" s="697">
        <v>0</v>
      </c>
      <c r="F297" s="698">
        <v>0</v>
      </c>
      <c r="G297" s="658">
        <f t="shared" si="37"/>
        <v>0</v>
      </c>
      <c r="H297" s="650">
        <f t="shared" si="40"/>
        <v>255954</v>
      </c>
      <c r="I297" s="1021"/>
      <c r="J297" s="1022"/>
      <c r="K297" s="1022"/>
      <c r="L297" s="1023"/>
      <c r="N297" s="634" t="s">
        <v>50</v>
      </c>
      <c r="O297" s="689">
        <v>1800000</v>
      </c>
      <c r="P297" s="637">
        <f t="shared" si="34"/>
        <v>900000</v>
      </c>
      <c r="Q297" s="637">
        <f t="shared" si="35"/>
        <v>180000</v>
      </c>
      <c r="R297" s="699">
        <f t="shared" si="36"/>
        <v>720000</v>
      </c>
    </row>
    <row r="298" spans="1:18" x14ac:dyDescent="0.2">
      <c r="A298" s="1019"/>
      <c r="B298" s="81">
        <v>53208070100001</v>
      </c>
      <c r="C298" s="634" t="s">
        <v>31</v>
      </c>
      <c r="D298" s="696">
        <f t="shared" si="41"/>
        <v>0</v>
      </c>
      <c r="E298" s="697">
        <v>0</v>
      </c>
      <c r="F298" s="698">
        <v>0</v>
      </c>
      <c r="G298" s="658">
        <f t="shared" si="37"/>
        <v>0</v>
      </c>
      <c r="H298" s="650">
        <f t="shared" si="40"/>
        <v>0</v>
      </c>
      <c r="I298" s="1021"/>
      <c r="J298" s="1022"/>
      <c r="K298" s="1022"/>
      <c r="L298" s="1023"/>
      <c r="N298" s="633" t="s">
        <v>51</v>
      </c>
      <c r="O298" s="689">
        <v>150000</v>
      </c>
      <c r="P298" s="637">
        <f t="shared" si="34"/>
        <v>75000</v>
      </c>
      <c r="Q298" s="637">
        <f t="shared" si="35"/>
        <v>15000</v>
      </c>
      <c r="R298" s="699">
        <f t="shared" si="36"/>
        <v>60000</v>
      </c>
    </row>
    <row r="299" spans="1:18" x14ac:dyDescent="0.2">
      <c r="A299" s="1019"/>
      <c r="B299" s="81">
        <v>53208100100001</v>
      </c>
      <c r="C299" s="634" t="s">
        <v>209</v>
      </c>
      <c r="D299" s="696">
        <f t="shared" si="41"/>
        <v>0</v>
      </c>
      <c r="E299" s="697">
        <v>0</v>
      </c>
      <c r="F299" s="698">
        <v>0</v>
      </c>
      <c r="G299" s="658">
        <f t="shared" si="37"/>
        <v>0</v>
      </c>
      <c r="H299" s="650">
        <f t="shared" si="40"/>
        <v>0</v>
      </c>
      <c r="I299" s="1021"/>
      <c r="J299" s="1022"/>
      <c r="K299" s="1022"/>
      <c r="L299" s="1023"/>
      <c r="N299" s="634" t="s">
        <v>52</v>
      </c>
      <c r="O299" s="689">
        <v>0</v>
      </c>
      <c r="P299" s="637">
        <f t="shared" si="34"/>
        <v>0</v>
      </c>
      <c r="Q299" s="637">
        <f t="shared" si="35"/>
        <v>0</v>
      </c>
      <c r="R299" s="699">
        <f t="shared" si="36"/>
        <v>0</v>
      </c>
    </row>
    <row r="300" spans="1:18" x14ac:dyDescent="0.2">
      <c r="A300" s="1019"/>
      <c r="B300" s="81">
        <v>53211030000000</v>
      </c>
      <c r="C300" s="634" t="s">
        <v>32</v>
      </c>
      <c r="D300" s="696">
        <f t="shared" si="41"/>
        <v>0</v>
      </c>
      <c r="E300" s="697">
        <v>0</v>
      </c>
      <c r="F300" s="698">
        <v>0</v>
      </c>
      <c r="G300" s="658">
        <f t="shared" si="37"/>
        <v>0</v>
      </c>
      <c r="H300" s="650">
        <f t="shared" si="40"/>
        <v>0</v>
      </c>
      <c r="I300" s="1021"/>
      <c r="J300" s="1022"/>
      <c r="K300" s="1022"/>
      <c r="L300" s="1023"/>
      <c r="N300" s="634" t="s">
        <v>215</v>
      </c>
      <c r="O300" s="689">
        <v>3573464</v>
      </c>
      <c r="P300" s="637">
        <f t="shared" si="34"/>
        <v>1786732</v>
      </c>
      <c r="Q300" s="637">
        <f t="shared" si="35"/>
        <v>357346.4</v>
      </c>
      <c r="R300" s="699">
        <f t="shared" si="36"/>
        <v>1429385.6</v>
      </c>
    </row>
    <row r="301" spans="1:18" x14ac:dyDescent="0.2">
      <c r="A301" s="1019"/>
      <c r="B301" s="81">
        <v>53212020100000</v>
      </c>
      <c r="C301" s="634" t="s">
        <v>210</v>
      </c>
      <c r="D301" s="696">
        <f t="shared" si="41"/>
        <v>1450600</v>
      </c>
      <c r="E301" s="697">
        <v>0</v>
      </c>
      <c r="F301" s="698">
        <v>0</v>
      </c>
      <c r="G301" s="658">
        <f t="shared" si="37"/>
        <v>0</v>
      </c>
      <c r="H301" s="650">
        <f t="shared" si="40"/>
        <v>1450600</v>
      </c>
      <c r="I301" s="1021"/>
      <c r="J301" s="1022"/>
      <c r="K301" s="1022"/>
      <c r="L301" s="1023"/>
      <c r="N301" s="691" t="s">
        <v>207</v>
      </c>
      <c r="O301" s="689">
        <v>0</v>
      </c>
      <c r="P301" s="637">
        <f t="shared" si="34"/>
        <v>0</v>
      </c>
      <c r="Q301" s="637">
        <f t="shared" si="35"/>
        <v>0</v>
      </c>
      <c r="R301" s="699">
        <f t="shared" si="36"/>
        <v>0</v>
      </c>
    </row>
    <row r="302" spans="1:18" ht="15.75" customHeight="1" x14ac:dyDescent="0.2">
      <c r="A302" s="1019"/>
      <c r="B302" s="81">
        <v>53214020000000</v>
      </c>
      <c r="C302" s="634" t="s">
        <v>211</v>
      </c>
      <c r="D302" s="696">
        <f t="shared" si="41"/>
        <v>0</v>
      </c>
      <c r="E302" s="697">
        <v>0</v>
      </c>
      <c r="F302" s="698">
        <v>0</v>
      </c>
      <c r="G302" s="658">
        <f t="shared" si="37"/>
        <v>0</v>
      </c>
      <c r="H302" s="650">
        <f t="shared" si="40"/>
        <v>0</v>
      </c>
      <c r="I302" s="1021"/>
      <c r="J302" s="1022"/>
      <c r="K302" s="1022"/>
      <c r="L302" s="1023"/>
      <c r="N302" s="634" t="s">
        <v>56</v>
      </c>
      <c r="O302" s="689">
        <v>0</v>
      </c>
      <c r="P302" s="637">
        <f t="shared" si="34"/>
        <v>0</v>
      </c>
      <c r="Q302" s="637">
        <f t="shared" si="35"/>
        <v>0</v>
      </c>
      <c r="R302" s="699">
        <f t="shared" si="36"/>
        <v>0</v>
      </c>
    </row>
    <row r="303" spans="1:18" x14ac:dyDescent="0.2">
      <c r="A303" s="1019"/>
      <c r="B303" s="79"/>
      <c r="C303" s="648" t="s">
        <v>34</v>
      </c>
      <c r="D303" s="659">
        <f>SUM(D304,D309,D311,D320,D329,D337)</f>
        <v>5756033.5</v>
      </c>
      <c r="E303" s="660"/>
      <c r="F303" s="660"/>
      <c r="G303" s="659">
        <f>SUM(G304,G309,G311,G320,G329,G337)</f>
        <v>1203770</v>
      </c>
      <c r="H303" s="652">
        <f>SUM(H304,H309,H311,H320,H329,H337)</f>
        <v>6959803.5</v>
      </c>
      <c r="I303" s="1021"/>
      <c r="J303" s="1022"/>
      <c r="K303" s="1022"/>
      <c r="L303" s="1023"/>
      <c r="N303" s="634" t="s">
        <v>57</v>
      </c>
      <c r="O303" s="689">
        <v>0</v>
      </c>
      <c r="P303" s="637">
        <f t="shared" si="34"/>
        <v>0</v>
      </c>
      <c r="Q303" s="637">
        <f t="shared" si="35"/>
        <v>0</v>
      </c>
      <c r="R303" s="699">
        <f t="shared" si="36"/>
        <v>0</v>
      </c>
    </row>
    <row r="304" spans="1:18" x14ac:dyDescent="0.2">
      <c r="A304" s="1019"/>
      <c r="B304" s="80"/>
      <c r="C304" s="644" t="s">
        <v>35</v>
      </c>
      <c r="D304" s="646">
        <f>SUM(D305:D308)</f>
        <v>34587</v>
      </c>
      <c r="E304" s="647"/>
      <c r="F304" s="647"/>
      <c r="G304" s="661">
        <f>SUM(G305:G308)</f>
        <v>577850</v>
      </c>
      <c r="H304" s="653">
        <f>SUM(H305:H308)</f>
        <v>612437</v>
      </c>
      <c r="I304" s="1021"/>
      <c r="J304" s="1022"/>
      <c r="K304" s="1022"/>
      <c r="L304" s="1023"/>
      <c r="N304" s="633" t="s">
        <v>197</v>
      </c>
      <c r="O304" s="689">
        <v>720000</v>
      </c>
      <c r="P304" s="637">
        <f t="shared" si="34"/>
        <v>360000</v>
      </c>
      <c r="Q304" s="637">
        <f t="shared" si="35"/>
        <v>72000</v>
      </c>
      <c r="R304" s="699">
        <f t="shared" si="36"/>
        <v>288000</v>
      </c>
    </row>
    <row r="305" spans="1:18" x14ac:dyDescent="0.2">
      <c r="A305" s="1019"/>
      <c r="B305" s="81">
        <v>53202020100000</v>
      </c>
      <c r="C305" s="634" t="s">
        <v>212</v>
      </c>
      <c r="D305" s="638">
        <v>0</v>
      </c>
      <c r="E305" s="641">
        <v>25990</v>
      </c>
      <c r="F305" s="639">
        <v>13</v>
      </c>
      <c r="G305" s="658">
        <f>E305*F305</f>
        <v>337870</v>
      </c>
      <c r="H305" s="650">
        <f>D305+G305</f>
        <v>337870</v>
      </c>
      <c r="I305" s="1021"/>
      <c r="J305" s="1022"/>
      <c r="K305" s="1022"/>
      <c r="L305" s="1023"/>
      <c r="N305" s="633" t="s">
        <v>216</v>
      </c>
      <c r="O305" s="689">
        <v>810000</v>
      </c>
      <c r="P305" s="637">
        <f t="shared" si="34"/>
        <v>405000</v>
      </c>
      <c r="Q305" s="637">
        <f t="shared" si="35"/>
        <v>81000</v>
      </c>
      <c r="R305" s="699">
        <f t="shared" si="36"/>
        <v>324000</v>
      </c>
    </row>
    <row r="306" spans="1:18" x14ac:dyDescent="0.2">
      <c r="A306" s="1019"/>
      <c r="B306" s="81">
        <v>53202030000000</v>
      </c>
      <c r="C306" s="634" t="s">
        <v>213</v>
      </c>
      <c r="D306" s="638">
        <v>0</v>
      </c>
      <c r="E306" s="641">
        <v>29990</v>
      </c>
      <c r="F306" s="639">
        <v>2</v>
      </c>
      <c r="G306" s="658">
        <f>E306*F306</f>
        <v>59980</v>
      </c>
      <c r="H306" s="650">
        <f>D306+G306</f>
        <v>59980</v>
      </c>
      <c r="I306" s="1021"/>
      <c r="J306" s="1022"/>
      <c r="K306" s="1022"/>
      <c r="L306" s="1023"/>
      <c r="N306" s="633" t="s">
        <v>220</v>
      </c>
      <c r="O306" s="689">
        <v>0</v>
      </c>
      <c r="P306" s="637">
        <f t="shared" si="34"/>
        <v>0</v>
      </c>
      <c r="Q306" s="637">
        <f t="shared" si="35"/>
        <v>0</v>
      </c>
      <c r="R306" s="699">
        <f t="shared" si="36"/>
        <v>0</v>
      </c>
    </row>
    <row r="307" spans="1:18" x14ac:dyDescent="0.2">
      <c r="A307" s="1019"/>
      <c r="B307" s="81">
        <v>53211020000000</v>
      </c>
      <c r="C307" s="634" t="s">
        <v>41</v>
      </c>
      <c r="D307" s="638">
        <v>0</v>
      </c>
      <c r="E307" s="641">
        <v>60000</v>
      </c>
      <c r="F307" s="639">
        <v>3</v>
      </c>
      <c r="G307" s="658">
        <f>E307*F307</f>
        <v>180000</v>
      </c>
      <c r="H307" s="650">
        <f>D307+G307</f>
        <v>180000</v>
      </c>
      <c r="I307" s="1021"/>
      <c r="J307" s="1022"/>
      <c r="K307" s="1022"/>
      <c r="L307" s="1023"/>
      <c r="N307" s="633" t="s">
        <v>218</v>
      </c>
      <c r="O307" s="689">
        <v>0</v>
      </c>
      <c r="P307" s="637">
        <f t="shared" si="34"/>
        <v>0</v>
      </c>
      <c r="Q307" s="637">
        <f t="shared" si="35"/>
        <v>0</v>
      </c>
      <c r="R307" s="699">
        <f t="shared" si="36"/>
        <v>0</v>
      </c>
    </row>
    <row r="308" spans="1:18" x14ac:dyDescent="0.2">
      <c r="A308" s="1019"/>
      <c r="B308" s="81">
        <v>53101040600000</v>
      </c>
      <c r="C308" s="635" t="s">
        <v>214</v>
      </c>
      <c r="D308" s="696">
        <f>+P293</f>
        <v>34587</v>
      </c>
      <c r="E308" s="697">
        <v>0</v>
      </c>
      <c r="F308" s="698">
        <v>0</v>
      </c>
      <c r="G308" s="658">
        <f>E308*F308</f>
        <v>0</v>
      </c>
      <c r="H308" s="650">
        <f>D308+G308</f>
        <v>34587</v>
      </c>
      <c r="I308" s="1021"/>
      <c r="J308" s="1022"/>
      <c r="K308" s="1022"/>
      <c r="L308" s="1023"/>
      <c r="N308" s="634" t="s">
        <v>64</v>
      </c>
      <c r="O308" s="689">
        <f>1800000+313429</f>
        <v>2113429</v>
      </c>
      <c r="P308" s="637">
        <f t="shared" si="34"/>
        <v>1056714.5</v>
      </c>
      <c r="Q308" s="637">
        <f t="shared" si="35"/>
        <v>211342.90000000002</v>
      </c>
      <c r="R308" s="699">
        <f t="shared" si="36"/>
        <v>845371.60000000009</v>
      </c>
    </row>
    <row r="309" spans="1:18" x14ac:dyDescent="0.2">
      <c r="A309" s="1019"/>
      <c r="B309" s="80"/>
      <c r="C309" s="644" t="s">
        <v>42</v>
      </c>
      <c r="D309" s="646">
        <f>SUM(D310:D310)</f>
        <v>0</v>
      </c>
      <c r="E309" s="647"/>
      <c r="F309" s="647"/>
      <c r="G309" s="661">
        <f>SUM(G310:G310)</f>
        <v>0</v>
      </c>
      <c r="H309" s="653">
        <f>SUM(H310:H310)</f>
        <v>0</v>
      </c>
      <c r="I309" s="1021"/>
      <c r="J309" s="1022"/>
      <c r="K309" s="1022"/>
      <c r="L309" s="1023"/>
      <c r="N309" s="634" t="s">
        <v>102</v>
      </c>
      <c r="O309" s="689">
        <v>0</v>
      </c>
      <c r="P309" s="637">
        <f t="shared" si="34"/>
        <v>0</v>
      </c>
      <c r="Q309" s="637">
        <f t="shared" si="35"/>
        <v>0</v>
      </c>
      <c r="R309" s="699">
        <f t="shared" si="36"/>
        <v>0</v>
      </c>
    </row>
    <row r="310" spans="1:18" x14ac:dyDescent="0.2">
      <c r="A310" s="1019"/>
      <c r="B310" s="632">
        <v>53205990000000</v>
      </c>
      <c r="C310" s="636" t="s">
        <v>44</v>
      </c>
      <c r="D310" s="638">
        <v>0</v>
      </c>
      <c r="E310" s="641">
        <v>0</v>
      </c>
      <c r="F310" s="639">
        <v>0</v>
      </c>
      <c r="G310" s="658">
        <f>E310*F310</f>
        <v>0</v>
      </c>
      <c r="H310" s="650">
        <f>D310+G310</f>
        <v>0</v>
      </c>
      <c r="I310" s="1021"/>
      <c r="J310" s="1022"/>
      <c r="K310" s="1022"/>
      <c r="L310" s="1023"/>
      <c r="N310" s="634" t="s">
        <v>103</v>
      </c>
      <c r="O310" s="689">
        <v>0</v>
      </c>
      <c r="P310" s="637">
        <f t="shared" si="34"/>
        <v>0</v>
      </c>
      <c r="Q310" s="637">
        <f t="shared" si="35"/>
        <v>0</v>
      </c>
      <c r="R310" s="699">
        <f t="shared" si="36"/>
        <v>0</v>
      </c>
    </row>
    <row r="311" spans="1:18" x14ac:dyDescent="0.2">
      <c r="A311" s="1019"/>
      <c r="B311" s="80"/>
      <c r="C311" s="644" t="s">
        <v>45</v>
      </c>
      <c r="D311" s="646">
        <f>SUM(D312:D319)</f>
        <v>3285732</v>
      </c>
      <c r="E311" s="647"/>
      <c r="F311" s="647"/>
      <c r="G311" s="646">
        <f>SUM(G312:G319)</f>
        <v>0</v>
      </c>
      <c r="H311" s="651">
        <f>SUM(H312:H319)</f>
        <v>3285732</v>
      </c>
      <c r="I311" s="1021"/>
      <c r="J311" s="1022"/>
      <c r="K311" s="1022"/>
      <c r="L311" s="1023"/>
      <c r="N311" s="634" t="s">
        <v>221</v>
      </c>
      <c r="O311" s="689">
        <v>200000</v>
      </c>
      <c r="P311" s="637">
        <f t="shared" si="34"/>
        <v>100000</v>
      </c>
      <c r="Q311" s="637">
        <f t="shared" si="35"/>
        <v>20000</v>
      </c>
      <c r="R311" s="699">
        <f t="shared" si="36"/>
        <v>80000</v>
      </c>
    </row>
    <row r="312" spans="1:18" x14ac:dyDescent="0.2">
      <c r="A312" s="1019"/>
      <c r="B312" s="81">
        <v>53204010000000</v>
      </c>
      <c r="C312" s="634" t="s">
        <v>47</v>
      </c>
      <c r="D312" s="696">
        <f>+P294</f>
        <v>425000</v>
      </c>
      <c r="E312" s="696">
        <v>0</v>
      </c>
      <c r="F312" s="698">
        <v>0</v>
      </c>
      <c r="G312" s="658">
        <f t="shared" ref="G312:G319" si="42">E312*F312</f>
        <v>0</v>
      </c>
      <c r="H312" s="650">
        <f t="shared" ref="H312:H319" si="43">D312+G312</f>
        <v>425000</v>
      </c>
      <c r="I312" s="1021"/>
      <c r="J312" s="1022"/>
      <c r="K312" s="1022"/>
      <c r="L312" s="1023"/>
      <c r="N312" s="634" t="s">
        <v>105</v>
      </c>
      <c r="O312" s="689">
        <v>0</v>
      </c>
      <c r="P312" s="637">
        <f t="shared" si="34"/>
        <v>0</v>
      </c>
      <c r="Q312" s="637">
        <f t="shared" si="35"/>
        <v>0</v>
      </c>
      <c r="R312" s="699">
        <f t="shared" si="36"/>
        <v>0</v>
      </c>
    </row>
    <row r="313" spans="1:18" x14ac:dyDescent="0.2">
      <c r="A313" s="1019"/>
      <c r="B313" s="632">
        <v>53204040200000</v>
      </c>
      <c r="C313" s="636" t="s">
        <v>223</v>
      </c>
      <c r="D313" s="696">
        <f t="shared" ref="D313:D319" si="44">+P295</f>
        <v>99000</v>
      </c>
      <c r="E313" s="696">
        <v>0</v>
      </c>
      <c r="F313" s="698">
        <v>0</v>
      </c>
      <c r="G313" s="658">
        <f t="shared" si="42"/>
        <v>0</v>
      </c>
      <c r="H313" s="650">
        <f t="shared" si="43"/>
        <v>99000</v>
      </c>
      <c r="I313" s="1021"/>
      <c r="J313" s="1022"/>
      <c r="K313" s="1022"/>
      <c r="L313" s="1023"/>
      <c r="N313" s="634" t="s">
        <v>222</v>
      </c>
      <c r="O313" s="689">
        <v>0</v>
      </c>
      <c r="P313" s="637">
        <f t="shared" si="34"/>
        <v>0</v>
      </c>
      <c r="Q313" s="637">
        <f t="shared" si="35"/>
        <v>0</v>
      </c>
      <c r="R313" s="699">
        <f t="shared" si="36"/>
        <v>0</v>
      </c>
    </row>
    <row r="314" spans="1:18" x14ac:dyDescent="0.2">
      <c r="A314" s="1019"/>
      <c r="B314" s="81">
        <v>53204060000000</v>
      </c>
      <c r="C314" s="634" t="s">
        <v>49</v>
      </c>
      <c r="D314" s="696">
        <f t="shared" si="44"/>
        <v>0</v>
      </c>
      <c r="E314" s="696">
        <v>0</v>
      </c>
      <c r="F314" s="698">
        <v>0</v>
      </c>
      <c r="G314" s="658">
        <f t="shared" si="42"/>
        <v>0</v>
      </c>
      <c r="H314" s="650">
        <f t="shared" si="43"/>
        <v>0</v>
      </c>
      <c r="I314" s="1021"/>
      <c r="J314" s="1022"/>
      <c r="K314" s="1022"/>
      <c r="L314" s="1023"/>
      <c r="N314" s="634" t="s">
        <v>107</v>
      </c>
      <c r="O314" s="689">
        <v>528000</v>
      </c>
      <c r="P314" s="637">
        <f t="shared" si="34"/>
        <v>264000</v>
      </c>
      <c r="Q314" s="637">
        <f t="shared" si="35"/>
        <v>52800</v>
      </c>
      <c r="R314" s="699">
        <f t="shared" si="36"/>
        <v>211200</v>
      </c>
    </row>
    <row r="315" spans="1:18" x14ac:dyDescent="0.2">
      <c r="A315" s="1019"/>
      <c r="B315" s="81">
        <v>53204070000000</v>
      </c>
      <c r="C315" s="634" t="s">
        <v>50</v>
      </c>
      <c r="D315" s="696">
        <f t="shared" si="44"/>
        <v>900000</v>
      </c>
      <c r="E315" s="696">
        <v>0</v>
      </c>
      <c r="F315" s="698">
        <v>0</v>
      </c>
      <c r="G315" s="658">
        <f t="shared" si="42"/>
        <v>0</v>
      </c>
      <c r="H315" s="650">
        <f t="shared" si="43"/>
        <v>900000</v>
      </c>
      <c r="I315" s="1021"/>
      <c r="J315" s="1022"/>
      <c r="K315" s="1022"/>
      <c r="L315" s="1023"/>
      <c r="N315" s="634" t="s">
        <v>100</v>
      </c>
      <c r="O315" s="689">
        <v>500000</v>
      </c>
      <c r="P315" s="637">
        <f t="shared" si="34"/>
        <v>250000</v>
      </c>
      <c r="Q315" s="637">
        <f t="shared" si="35"/>
        <v>50000</v>
      </c>
      <c r="R315" s="699">
        <f t="shared" si="36"/>
        <v>200000</v>
      </c>
    </row>
    <row r="316" spans="1:18" x14ac:dyDescent="0.2">
      <c r="A316" s="1019"/>
      <c r="B316" s="81">
        <v>53204080000000</v>
      </c>
      <c r="C316" s="633" t="s">
        <v>51</v>
      </c>
      <c r="D316" s="696">
        <f t="shared" si="44"/>
        <v>75000</v>
      </c>
      <c r="E316" s="696">
        <v>0</v>
      </c>
      <c r="F316" s="698">
        <v>0</v>
      </c>
      <c r="G316" s="658">
        <f t="shared" si="42"/>
        <v>0</v>
      </c>
      <c r="H316" s="650">
        <f t="shared" si="43"/>
        <v>75000</v>
      </c>
      <c r="I316" s="1021"/>
      <c r="J316" s="1022"/>
      <c r="K316" s="1022"/>
      <c r="L316" s="1023"/>
    </row>
    <row r="317" spans="1:18" x14ac:dyDescent="0.2">
      <c r="A317" s="1019"/>
      <c r="B317" s="81">
        <v>53214010000000</v>
      </c>
      <c r="C317" s="634" t="s">
        <v>52</v>
      </c>
      <c r="D317" s="696">
        <f t="shared" si="44"/>
        <v>0</v>
      </c>
      <c r="E317" s="696">
        <v>0</v>
      </c>
      <c r="F317" s="698">
        <v>0</v>
      </c>
      <c r="G317" s="658">
        <f t="shared" si="42"/>
        <v>0</v>
      </c>
      <c r="H317" s="650">
        <f t="shared" si="43"/>
        <v>0</v>
      </c>
      <c r="I317" s="1021"/>
      <c r="J317" s="1022"/>
      <c r="K317" s="1022"/>
      <c r="L317" s="1023"/>
    </row>
    <row r="318" spans="1:18" x14ac:dyDescent="0.2">
      <c r="A318" s="1019"/>
      <c r="B318" s="81">
        <v>53214040000000</v>
      </c>
      <c r="C318" s="634" t="s">
        <v>215</v>
      </c>
      <c r="D318" s="696">
        <f t="shared" si="44"/>
        <v>1786732</v>
      </c>
      <c r="E318" s="696">
        <v>0</v>
      </c>
      <c r="F318" s="698">
        <v>0</v>
      </c>
      <c r="G318" s="658">
        <f t="shared" si="42"/>
        <v>0</v>
      </c>
      <c r="H318" s="650">
        <f t="shared" si="43"/>
        <v>1786732</v>
      </c>
      <c r="I318" s="1021"/>
      <c r="J318" s="1022"/>
      <c r="K318" s="1022"/>
      <c r="L318" s="1023"/>
    </row>
    <row r="319" spans="1:18" x14ac:dyDescent="0.2">
      <c r="A319" s="1019"/>
      <c r="B319" s="690">
        <v>53204020100000</v>
      </c>
      <c r="C319" s="691" t="s">
        <v>207</v>
      </c>
      <c r="D319" s="696">
        <f t="shared" si="44"/>
        <v>0</v>
      </c>
      <c r="E319" s="696">
        <v>0</v>
      </c>
      <c r="F319" s="698">
        <v>0</v>
      </c>
      <c r="G319" s="658">
        <f t="shared" si="42"/>
        <v>0</v>
      </c>
      <c r="H319" s="650">
        <f t="shared" si="43"/>
        <v>0</v>
      </c>
      <c r="I319" s="1021"/>
      <c r="J319" s="1022"/>
      <c r="K319" s="1022"/>
      <c r="L319" s="1023"/>
    </row>
    <row r="320" spans="1:18" x14ac:dyDescent="0.2">
      <c r="A320" s="1019"/>
      <c r="B320" s="80"/>
      <c r="C320" s="644" t="s">
        <v>55</v>
      </c>
      <c r="D320" s="646">
        <f>SUM(D321:D328)</f>
        <v>1821714.5</v>
      </c>
      <c r="E320" s="647"/>
      <c r="F320" s="647"/>
      <c r="G320" s="646">
        <f>SUM(G321:G328)</f>
        <v>241920</v>
      </c>
      <c r="H320" s="651">
        <f>SUM(H321:H328)</f>
        <v>2063634.5</v>
      </c>
      <c r="I320" s="1021"/>
      <c r="J320" s="1022"/>
      <c r="K320" s="1022"/>
      <c r="L320" s="1023"/>
    </row>
    <row r="321" spans="1:12" x14ac:dyDescent="0.2">
      <c r="A321" s="1019"/>
      <c r="B321" s="81">
        <v>53207010000000</v>
      </c>
      <c r="C321" s="634" t="s">
        <v>56</v>
      </c>
      <c r="D321" s="696">
        <f>+P302</f>
        <v>0</v>
      </c>
      <c r="E321" s="696">
        <v>0</v>
      </c>
      <c r="F321" s="698">
        <v>0</v>
      </c>
      <c r="G321" s="658">
        <f t="shared" ref="G321:G328" si="45">E321*F321</f>
        <v>0</v>
      </c>
      <c r="H321" s="650">
        <f t="shared" ref="H321:H328" si="46">D321+G321</f>
        <v>0</v>
      </c>
      <c r="I321" s="1021"/>
      <c r="J321" s="1022"/>
      <c r="K321" s="1022"/>
      <c r="L321" s="1023"/>
    </row>
    <row r="322" spans="1:12" x14ac:dyDescent="0.2">
      <c r="A322" s="1019"/>
      <c r="B322" s="81">
        <v>53207020000000</v>
      </c>
      <c r="C322" s="634" t="s">
        <v>57</v>
      </c>
      <c r="D322" s="696">
        <f>+P303</f>
        <v>0</v>
      </c>
      <c r="E322" s="696">
        <v>0</v>
      </c>
      <c r="F322" s="698">
        <v>0</v>
      </c>
      <c r="G322" s="658">
        <f t="shared" si="45"/>
        <v>0</v>
      </c>
      <c r="H322" s="650">
        <f t="shared" si="46"/>
        <v>0</v>
      </c>
      <c r="I322" s="1021"/>
      <c r="J322" s="1022"/>
      <c r="K322" s="1022"/>
      <c r="L322" s="1023"/>
    </row>
    <row r="323" spans="1:12" x14ac:dyDescent="0.2">
      <c r="A323" s="1019"/>
      <c r="B323" s="81">
        <v>53208020000000</v>
      </c>
      <c r="C323" s="633" t="s">
        <v>197</v>
      </c>
      <c r="D323" s="696">
        <f>+P304</f>
        <v>360000</v>
      </c>
      <c r="E323" s="696">
        <v>0</v>
      </c>
      <c r="F323" s="698">
        <v>0</v>
      </c>
      <c r="G323" s="658">
        <f t="shared" si="45"/>
        <v>0</v>
      </c>
      <c r="H323" s="650">
        <f t="shared" si="46"/>
        <v>360000</v>
      </c>
      <c r="I323" s="1021"/>
      <c r="J323" s="1022"/>
      <c r="K323" s="1022"/>
      <c r="L323" s="1023"/>
    </row>
    <row r="324" spans="1:12" x14ac:dyDescent="0.2">
      <c r="A324" s="1019"/>
      <c r="B324" s="81">
        <v>53208990000000</v>
      </c>
      <c r="C324" s="633" t="s">
        <v>216</v>
      </c>
      <c r="D324" s="696">
        <f>+P305</f>
        <v>405000</v>
      </c>
      <c r="E324" s="696">
        <v>0</v>
      </c>
      <c r="F324" s="698">
        <v>0</v>
      </c>
      <c r="G324" s="658">
        <f t="shared" si="45"/>
        <v>0</v>
      </c>
      <c r="H324" s="650">
        <f t="shared" si="46"/>
        <v>405000</v>
      </c>
      <c r="I324" s="1021"/>
      <c r="J324" s="1022"/>
      <c r="K324" s="1022"/>
      <c r="L324" s="1023"/>
    </row>
    <row r="325" spans="1:12" x14ac:dyDescent="0.2">
      <c r="A325" s="1019"/>
      <c r="B325" s="690">
        <v>53210020300000</v>
      </c>
      <c r="C325" s="692" t="s">
        <v>219</v>
      </c>
      <c r="D325" s="638">
        <v>0</v>
      </c>
      <c r="E325" s="638">
        <v>7560</v>
      </c>
      <c r="F325" s="639">
        <v>32</v>
      </c>
      <c r="G325" s="658">
        <f t="shared" si="45"/>
        <v>241920</v>
      </c>
      <c r="H325" s="650">
        <f t="shared" si="46"/>
        <v>241920</v>
      </c>
      <c r="I325" s="1021"/>
      <c r="J325" s="1022"/>
      <c r="K325" s="1022"/>
      <c r="L325" s="1023"/>
    </row>
    <row r="326" spans="1:12" x14ac:dyDescent="0.2">
      <c r="A326" s="1019"/>
      <c r="B326" s="81">
        <v>53208990000000</v>
      </c>
      <c r="C326" s="633" t="s">
        <v>220</v>
      </c>
      <c r="D326" s="696">
        <f>+P306</f>
        <v>0</v>
      </c>
      <c r="E326" s="696">
        <v>0</v>
      </c>
      <c r="F326" s="698">
        <v>0</v>
      </c>
      <c r="G326" s="658">
        <f t="shared" si="45"/>
        <v>0</v>
      </c>
      <c r="H326" s="650">
        <f t="shared" si="46"/>
        <v>0</v>
      </c>
      <c r="I326" s="1021"/>
      <c r="J326" s="1022"/>
      <c r="K326" s="1022"/>
      <c r="L326" s="1023"/>
    </row>
    <row r="327" spans="1:12" x14ac:dyDescent="0.2">
      <c r="A327" s="1019"/>
      <c r="B327" s="81">
        <v>53209990000000</v>
      </c>
      <c r="C327" s="633" t="s">
        <v>218</v>
      </c>
      <c r="D327" s="696">
        <f>+P307</f>
        <v>0</v>
      </c>
      <c r="E327" s="696">
        <v>0</v>
      </c>
      <c r="F327" s="698">
        <v>0</v>
      </c>
      <c r="G327" s="658">
        <f t="shared" si="45"/>
        <v>0</v>
      </c>
      <c r="H327" s="650">
        <f t="shared" si="46"/>
        <v>0</v>
      </c>
      <c r="I327" s="1021"/>
      <c r="J327" s="1022"/>
      <c r="K327" s="1022"/>
      <c r="L327" s="1023"/>
    </row>
    <row r="328" spans="1:12" x14ac:dyDescent="0.2">
      <c r="A328" s="1019"/>
      <c r="B328" s="81">
        <v>53210020100000</v>
      </c>
      <c r="C328" s="634" t="s">
        <v>64</v>
      </c>
      <c r="D328" s="696">
        <f>+P308</f>
        <v>1056714.5</v>
      </c>
      <c r="E328" s="696">
        <v>0</v>
      </c>
      <c r="F328" s="698">
        <v>0</v>
      </c>
      <c r="G328" s="658">
        <f t="shared" si="45"/>
        <v>0</v>
      </c>
      <c r="H328" s="650">
        <f t="shared" si="46"/>
        <v>1056714.5</v>
      </c>
      <c r="I328" s="1021"/>
      <c r="J328" s="1022"/>
      <c r="K328" s="1022"/>
      <c r="L328" s="1023"/>
    </row>
    <row r="329" spans="1:12" x14ac:dyDescent="0.2">
      <c r="A329" s="1019"/>
      <c r="B329" s="80"/>
      <c r="C329" s="644" t="s">
        <v>65</v>
      </c>
      <c r="D329" s="646">
        <f>SUM(D330:D336)</f>
        <v>614000</v>
      </c>
      <c r="E329" s="647"/>
      <c r="F329" s="647"/>
      <c r="G329" s="646">
        <f>SUM(G330:G336)</f>
        <v>0</v>
      </c>
      <c r="H329" s="651">
        <f>SUM(H330:H336)</f>
        <v>614000</v>
      </c>
      <c r="I329" s="1021"/>
      <c r="J329" s="1022"/>
      <c r="K329" s="1022"/>
      <c r="L329" s="1023"/>
    </row>
    <row r="330" spans="1:12" x14ac:dyDescent="0.2">
      <c r="A330" s="1019"/>
      <c r="B330" s="81">
        <v>53206030000000</v>
      </c>
      <c r="C330" s="634" t="s">
        <v>102</v>
      </c>
      <c r="D330" s="696">
        <f>+P309</f>
        <v>0</v>
      </c>
      <c r="E330" s="696">
        <v>0</v>
      </c>
      <c r="F330" s="698">
        <v>0</v>
      </c>
      <c r="G330" s="658">
        <f t="shared" ref="G330:G336" si="47">E330*F330</f>
        <v>0</v>
      </c>
      <c r="H330" s="650">
        <f t="shared" ref="H330:H336" si="48">D330+G330</f>
        <v>0</v>
      </c>
      <c r="I330" s="1021"/>
      <c r="J330" s="1022"/>
      <c r="K330" s="1022"/>
      <c r="L330" s="1023"/>
    </row>
    <row r="331" spans="1:12" x14ac:dyDescent="0.2">
      <c r="A331" s="1019"/>
      <c r="B331" s="81">
        <v>53206040000000</v>
      </c>
      <c r="C331" s="634" t="s">
        <v>103</v>
      </c>
      <c r="D331" s="696">
        <f t="shared" ref="D331:D336" si="49">+P310</f>
        <v>0</v>
      </c>
      <c r="E331" s="696">
        <v>0</v>
      </c>
      <c r="F331" s="698">
        <v>0</v>
      </c>
      <c r="G331" s="658">
        <f t="shared" si="47"/>
        <v>0</v>
      </c>
      <c r="H331" s="650">
        <f t="shared" si="48"/>
        <v>0</v>
      </c>
      <c r="I331" s="1021"/>
      <c r="J331" s="1022"/>
      <c r="K331" s="1022"/>
      <c r="L331" s="1023"/>
    </row>
    <row r="332" spans="1:12" x14ac:dyDescent="0.2">
      <c r="A332" s="1019"/>
      <c r="B332" s="81">
        <v>53206060000000</v>
      </c>
      <c r="C332" s="634" t="s">
        <v>221</v>
      </c>
      <c r="D332" s="696">
        <f t="shared" si="49"/>
        <v>100000</v>
      </c>
      <c r="E332" s="696">
        <v>0</v>
      </c>
      <c r="F332" s="698">
        <v>0</v>
      </c>
      <c r="G332" s="658">
        <f t="shared" si="47"/>
        <v>0</v>
      </c>
      <c r="H332" s="650">
        <f t="shared" si="48"/>
        <v>100000</v>
      </c>
      <c r="I332" s="1021"/>
      <c r="J332" s="1022"/>
      <c r="K332" s="1022"/>
      <c r="L332" s="1023"/>
    </row>
    <row r="333" spans="1:12" x14ac:dyDescent="0.2">
      <c r="A333" s="1019"/>
      <c r="B333" s="81">
        <v>53206070000000</v>
      </c>
      <c r="C333" s="634" t="s">
        <v>105</v>
      </c>
      <c r="D333" s="696">
        <f t="shared" si="49"/>
        <v>0</v>
      </c>
      <c r="E333" s="696">
        <v>0</v>
      </c>
      <c r="F333" s="698">
        <v>0</v>
      </c>
      <c r="G333" s="658">
        <f t="shared" si="47"/>
        <v>0</v>
      </c>
      <c r="H333" s="650">
        <f t="shared" si="48"/>
        <v>0</v>
      </c>
      <c r="I333" s="1021"/>
      <c r="J333" s="1022"/>
      <c r="K333" s="1022"/>
      <c r="L333" s="1023"/>
    </row>
    <row r="334" spans="1:12" x14ac:dyDescent="0.2">
      <c r="A334" s="1019"/>
      <c r="B334" s="81">
        <v>53206990000000</v>
      </c>
      <c r="C334" s="634" t="s">
        <v>222</v>
      </c>
      <c r="D334" s="696">
        <f t="shared" si="49"/>
        <v>0</v>
      </c>
      <c r="E334" s="696">
        <v>0</v>
      </c>
      <c r="F334" s="698">
        <v>0</v>
      </c>
      <c r="G334" s="658">
        <f t="shared" si="47"/>
        <v>0</v>
      </c>
      <c r="H334" s="650">
        <f t="shared" si="48"/>
        <v>0</v>
      </c>
      <c r="I334" s="1021"/>
      <c r="J334" s="1022"/>
      <c r="K334" s="1022"/>
      <c r="L334" s="1023"/>
    </row>
    <row r="335" spans="1:12" x14ac:dyDescent="0.2">
      <c r="A335" s="1019"/>
      <c r="B335" s="81">
        <v>53208030000000</v>
      </c>
      <c r="C335" s="634" t="s">
        <v>107</v>
      </c>
      <c r="D335" s="696">
        <f t="shared" si="49"/>
        <v>264000</v>
      </c>
      <c r="E335" s="696">
        <v>0</v>
      </c>
      <c r="F335" s="698">
        <v>0</v>
      </c>
      <c r="G335" s="658">
        <f t="shared" si="47"/>
        <v>0</v>
      </c>
      <c r="H335" s="650">
        <f t="shared" si="48"/>
        <v>264000</v>
      </c>
      <c r="I335" s="1021"/>
      <c r="J335" s="1022"/>
      <c r="K335" s="1022"/>
      <c r="L335" s="1023"/>
    </row>
    <row r="336" spans="1:12" x14ac:dyDescent="0.2">
      <c r="A336" s="1019"/>
      <c r="B336" s="81">
        <v>53212060000000</v>
      </c>
      <c r="C336" s="634" t="s">
        <v>100</v>
      </c>
      <c r="D336" s="696">
        <f t="shared" si="49"/>
        <v>250000</v>
      </c>
      <c r="E336" s="696">
        <v>0</v>
      </c>
      <c r="F336" s="698">
        <v>0</v>
      </c>
      <c r="G336" s="658">
        <f t="shared" si="47"/>
        <v>0</v>
      </c>
      <c r="H336" s="650">
        <f t="shared" si="48"/>
        <v>250000</v>
      </c>
      <c r="I336" s="1021"/>
      <c r="J336" s="1022"/>
      <c r="K336" s="1022"/>
      <c r="L336" s="1023"/>
    </row>
    <row r="337" spans="1:12" x14ac:dyDescent="0.2">
      <c r="A337" s="1019"/>
      <c r="B337" s="80"/>
      <c r="C337" s="644" t="s">
        <v>66</v>
      </c>
      <c r="D337" s="646">
        <f>SUM(D338:D338)</f>
        <v>0</v>
      </c>
      <c r="E337" s="647"/>
      <c r="F337" s="647"/>
      <c r="G337" s="646">
        <f>SUM(G338:G338)</f>
        <v>384000</v>
      </c>
      <c r="H337" s="651">
        <f>SUM(H338:H338)</f>
        <v>384000</v>
      </c>
      <c r="I337" s="1021"/>
      <c r="J337" s="1022"/>
      <c r="K337" s="1022"/>
      <c r="L337" s="1023"/>
    </row>
    <row r="338" spans="1:12" x14ac:dyDescent="0.2">
      <c r="A338" s="1019"/>
      <c r="B338" s="95">
        <v>53204999000000</v>
      </c>
      <c r="C338" s="645" t="s">
        <v>217</v>
      </c>
      <c r="D338" s="638">
        <v>0</v>
      </c>
      <c r="E338" s="638">
        <v>12000</v>
      </c>
      <c r="F338" s="639">
        <v>32</v>
      </c>
      <c r="G338" s="658">
        <f>E338*F338</f>
        <v>384000</v>
      </c>
      <c r="H338" s="654">
        <f>D338+G338</f>
        <v>384000</v>
      </c>
      <c r="I338" s="1021"/>
      <c r="J338" s="1022"/>
      <c r="K338" s="1022"/>
      <c r="L338" s="1023"/>
    </row>
    <row r="339" spans="1:12" x14ac:dyDescent="0.2">
      <c r="A339" s="1019"/>
      <c r="B339" s="98"/>
      <c r="C339" s="649" t="s">
        <v>108</v>
      </c>
      <c r="D339" s="662">
        <f>SUM(D276,D303)</f>
        <v>111090740.25600001</v>
      </c>
      <c r="E339" s="663"/>
      <c r="F339" s="663"/>
      <c r="G339" s="662">
        <f>SUM(G276,G303)</f>
        <v>13348870</v>
      </c>
      <c r="H339" s="99">
        <f>SUM(H276,H303)</f>
        <v>124439610.25600001</v>
      </c>
      <c r="I339" s="1021"/>
      <c r="J339" s="1022"/>
      <c r="K339" s="1022"/>
      <c r="L339" s="1023"/>
    </row>
    <row r="340" spans="1:12" ht="12.75" customHeight="1" x14ac:dyDescent="0.2">
      <c r="A340" s="1024" t="s">
        <v>83</v>
      </c>
      <c r="B340" s="1026" t="s">
        <v>77</v>
      </c>
      <c r="C340" s="1028" t="s">
        <v>78</v>
      </c>
      <c r="D340" s="1030" t="s">
        <v>79</v>
      </c>
      <c r="E340" s="1039" t="s">
        <v>80</v>
      </c>
      <c r="F340" s="1039"/>
      <c r="G340" s="1039"/>
      <c r="H340" s="1031" t="s">
        <v>149</v>
      </c>
      <c r="I340" s="1033" t="s">
        <v>76</v>
      </c>
      <c r="J340" s="1034"/>
      <c r="K340" s="1034"/>
      <c r="L340" s="1035"/>
    </row>
    <row r="341" spans="1:12" ht="25.5" x14ac:dyDescent="0.2">
      <c r="A341" s="1025"/>
      <c r="B341" s="1027"/>
      <c r="C341" s="1029"/>
      <c r="D341" s="1030"/>
      <c r="E341" s="664" t="s">
        <v>67</v>
      </c>
      <c r="F341" s="665" t="s">
        <v>68</v>
      </c>
      <c r="G341" s="666" t="s">
        <v>6</v>
      </c>
      <c r="H341" s="1032"/>
      <c r="I341" s="1036"/>
      <c r="J341" s="1037"/>
      <c r="K341" s="1037"/>
      <c r="L341" s="1038"/>
    </row>
    <row r="342" spans="1:12" ht="15.75" customHeight="1" x14ac:dyDescent="0.2">
      <c r="A342" s="1018" t="s">
        <v>160</v>
      </c>
      <c r="B342" s="79"/>
      <c r="C342" s="648" t="s">
        <v>11</v>
      </c>
      <c r="D342" s="659">
        <f>SUM(D343,D348)</f>
        <v>18240777.076000001</v>
      </c>
      <c r="E342" s="660"/>
      <c r="F342" s="660"/>
      <c r="G342" s="667">
        <f>SUM(G343,G348)</f>
        <v>501600</v>
      </c>
      <c r="H342" s="655">
        <f>SUM(H343,H348)</f>
        <v>18742377.076000001</v>
      </c>
      <c r="I342" s="1021"/>
      <c r="J342" s="1022"/>
      <c r="K342" s="1022"/>
      <c r="L342" s="1023"/>
    </row>
    <row r="343" spans="1:12" x14ac:dyDescent="0.2">
      <c r="A343" s="1019"/>
      <c r="B343" s="80"/>
      <c r="C343" s="56" t="s">
        <v>12</v>
      </c>
      <c r="D343" s="640">
        <f>SUM(D344:D347)</f>
        <v>17033595.976</v>
      </c>
      <c r="E343" s="657"/>
      <c r="F343" s="657"/>
      <c r="G343" s="686">
        <f>SUM(G344:G347)</f>
        <v>0</v>
      </c>
      <c r="H343" s="57">
        <f>SUM(H344:H347)</f>
        <v>17033595.976</v>
      </c>
      <c r="I343" s="1021"/>
      <c r="J343" s="1022"/>
      <c r="K343" s="1022"/>
      <c r="L343" s="1023"/>
    </row>
    <row r="344" spans="1:12" x14ac:dyDescent="0.2">
      <c r="A344" s="1019"/>
      <c r="B344" s="81">
        <v>53103040100000</v>
      </c>
      <c r="C344" s="634" t="s">
        <v>98</v>
      </c>
      <c r="D344" s="696">
        <f>+'F) Remuneraciones'!L86</f>
        <v>16863971.976</v>
      </c>
      <c r="E344" s="669">
        <v>0</v>
      </c>
      <c r="F344" s="670">
        <v>0</v>
      </c>
      <c r="G344" s="658">
        <f>E344*F344</f>
        <v>0</v>
      </c>
      <c r="H344" s="650">
        <f>D344+G344</f>
        <v>16863971.976</v>
      </c>
      <c r="I344" s="1021"/>
      <c r="J344" s="1022"/>
      <c r="K344" s="1022"/>
      <c r="L344" s="1023"/>
    </row>
    <row r="345" spans="1:12" x14ac:dyDescent="0.2">
      <c r="A345" s="1019"/>
      <c r="B345" s="81">
        <v>53103050000000</v>
      </c>
      <c r="C345" s="634" t="s">
        <v>198</v>
      </c>
      <c r="D345" s="638">
        <v>0</v>
      </c>
      <c r="E345" s="641">
        <v>0</v>
      </c>
      <c r="F345" s="639">
        <v>0</v>
      </c>
      <c r="G345" s="658">
        <f>E345*F345</f>
        <v>0</v>
      </c>
      <c r="H345" s="650">
        <f>D345+G345</f>
        <v>0</v>
      </c>
      <c r="I345" s="1021"/>
      <c r="J345" s="1022"/>
      <c r="K345" s="1022"/>
      <c r="L345" s="1023"/>
    </row>
    <row r="346" spans="1:12" x14ac:dyDescent="0.2">
      <c r="A346" s="1019"/>
      <c r="B346" s="690">
        <v>53103040400000</v>
      </c>
      <c r="C346" s="691" t="s">
        <v>199</v>
      </c>
      <c r="D346" s="638">
        <v>169624</v>
      </c>
      <c r="E346" s="641">
        <v>0</v>
      </c>
      <c r="F346" s="639">
        <v>0</v>
      </c>
      <c r="G346" s="658">
        <f>E346*F346</f>
        <v>0</v>
      </c>
      <c r="H346" s="650">
        <f>D346+G346</f>
        <v>169624</v>
      </c>
      <c r="I346" s="1021"/>
      <c r="J346" s="1022"/>
      <c r="K346" s="1022"/>
      <c r="L346" s="1023"/>
    </row>
    <row r="347" spans="1:12" x14ac:dyDescent="0.2">
      <c r="A347" s="1019"/>
      <c r="B347" s="81">
        <v>53103080010000</v>
      </c>
      <c r="C347" s="634" t="s">
        <v>200</v>
      </c>
      <c r="D347" s="638">
        <v>0</v>
      </c>
      <c r="E347" s="641">
        <v>0</v>
      </c>
      <c r="F347" s="639">
        <v>0</v>
      </c>
      <c r="G347" s="658">
        <f>E347*F347</f>
        <v>0</v>
      </c>
      <c r="H347" s="650">
        <f>D347+G347</f>
        <v>0</v>
      </c>
      <c r="I347" s="1021"/>
      <c r="J347" s="1022"/>
      <c r="K347" s="1022"/>
      <c r="L347" s="1023"/>
    </row>
    <row r="348" spans="1:12" x14ac:dyDescent="0.2">
      <c r="A348" s="1019"/>
      <c r="B348" s="80"/>
      <c r="C348" s="644" t="s">
        <v>16</v>
      </c>
      <c r="D348" s="646">
        <f>SUM(D349:D368)</f>
        <v>1207181.1000000001</v>
      </c>
      <c r="E348" s="647"/>
      <c r="F348" s="647"/>
      <c r="G348" s="646">
        <f>SUM(G349:G368)</f>
        <v>501600</v>
      </c>
      <c r="H348" s="651">
        <f>SUM(H349:H368)</f>
        <v>1708781.1</v>
      </c>
      <c r="I348" s="1021"/>
      <c r="J348" s="1022"/>
      <c r="K348" s="1022"/>
      <c r="L348" s="1023"/>
    </row>
    <row r="349" spans="1:12" x14ac:dyDescent="0.2">
      <c r="A349" s="1019"/>
      <c r="B349" s="81">
        <v>53201010100000</v>
      </c>
      <c r="C349" s="633" t="s">
        <v>201</v>
      </c>
      <c r="D349" s="638">
        <v>0</v>
      </c>
      <c r="E349" s="641">
        <v>1780</v>
      </c>
      <c r="F349" s="639">
        <f>2*10*11</f>
        <v>220</v>
      </c>
      <c r="G349" s="658">
        <f t="shared" ref="G349:G368" si="50">E349*F349</f>
        <v>391600</v>
      </c>
      <c r="H349" s="650">
        <f t="shared" ref="H349:H354" si="51">D349+G349</f>
        <v>391600</v>
      </c>
      <c r="I349" s="1021"/>
      <c r="J349" s="1022"/>
      <c r="K349" s="1022"/>
      <c r="L349" s="1023"/>
    </row>
    <row r="350" spans="1:12" x14ac:dyDescent="0.2">
      <c r="A350" s="1019"/>
      <c r="B350" s="81">
        <v>53201010100000</v>
      </c>
      <c r="C350" s="633" t="s">
        <v>202</v>
      </c>
      <c r="D350" s="638">
        <v>0</v>
      </c>
      <c r="E350" s="641">
        <v>500</v>
      </c>
      <c r="F350" s="639">
        <f>2*10*11</f>
        <v>220</v>
      </c>
      <c r="G350" s="658">
        <f t="shared" si="50"/>
        <v>110000</v>
      </c>
      <c r="H350" s="650">
        <f t="shared" si="51"/>
        <v>110000</v>
      </c>
      <c r="I350" s="1021"/>
      <c r="J350" s="1022"/>
      <c r="K350" s="1022"/>
      <c r="L350" s="1023"/>
    </row>
    <row r="351" spans="1:12" x14ac:dyDescent="0.2">
      <c r="A351" s="1019"/>
      <c r="B351" s="81">
        <v>53201010100000</v>
      </c>
      <c r="C351" s="633" t="s">
        <v>203</v>
      </c>
      <c r="D351" s="638">
        <v>0</v>
      </c>
      <c r="E351" s="641">
        <v>0</v>
      </c>
      <c r="F351" s="639">
        <v>0</v>
      </c>
      <c r="G351" s="658">
        <f t="shared" si="50"/>
        <v>0</v>
      </c>
      <c r="H351" s="650">
        <f t="shared" si="51"/>
        <v>0</v>
      </c>
      <c r="I351" s="1021"/>
      <c r="J351" s="1022"/>
      <c r="K351" s="1022"/>
      <c r="L351" s="1023"/>
    </row>
    <row r="352" spans="1:12" x14ac:dyDescent="0.2">
      <c r="A352" s="1019"/>
      <c r="B352" s="81">
        <v>53202010100000</v>
      </c>
      <c r="C352" s="633" t="s">
        <v>204</v>
      </c>
      <c r="D352" s="696">
        <f>+Q276</f>
        <v>30000</v>
      </c>
      <c r="E352" s="697">
        <v>0</v>
      </c>
      <c r="F352" s="698">
        <v>0</v>
      </c>
      <c r="G352" s="658">
        <f t="shared" si="50"/>
        <v>0</v>
      </c>
      <c r="H352" s="650">
        <f t="shared" si="51"/>
        <v>30000</v>
      </c>
      <c r="I352" s="1021"/>
      <c r="J352" s="1022"/>
      <c r="K352" s="1022"/>
      <c r="L352" s="1023"/>
    </row>
    <row r="353" spans="1:12" x14ac:dyDescent="0.2">
      <c r="A353" s="1019"/>
      <c r="B353" s="81">
        <v>53203010100000</v>
      </c>
      <c r="C353" s="633" t="s">
        <v>19</v>
      </c>
      <c r="D353" s="696">
        <f t="shared" ref="D353:D368" si="52">+Q277</f>
        <v>0</v>
      </c>
      <c r="E353" s="697">
        <v>0</v>
      </c>
      <c r="F353" s="698">
        <v>0</v>
      </c>
      <c r="G353" s="658">
        <f t="shared" si="50"/>
        <v>0</v>
      </c>
      <c r="H353" s="650">
        <f t="shared" si="51"/>
        <v>0</v>
      </c>
      <c r="I353" s="1021"/>
      <c r="J353" s="1022"/>
      <c r="K353" s="1022"/>
      <c r="L353" s="1023"/>
    </row>
    <row r="354" spans="1:12" x14ac:dyDescent="0.2">
      <c r="A354" s="1019"/>
      <c r="B354" s="81">
        <v>53203030000000</v>
      </c>
      <c r="C354" s="633" t="s">
        <v>205</v>
      </c>
      <c r="D354" s="696">
        <f t="shared" si="52"/>
        <v>0</v>
      </c>
      <c r="E354" s="697">
        <v>0</v>
      </c>
      <c r="F354" s="698">
        <v>0</v>
      </c>
      <c r="G354" s="658">
        <f t="shared" si="50"/>
        <v>0</v>
      </c>
      <c r="H354" s="650">
        <f t="shared" si="51"/>
        <v>0</v>
      </c>
      <c r="I354" s="1021"/>
      <c r="J354" s="1022"/>
      <c r="K354" s="1022"/>
      <c r="L354" s="1023"/>
    </row>
    <row r="355" spans="1:12" x14ac:dyDescent="0.2">
      <c r="A355" s="1019"/>
      <c r="B355" s="81">
        <v>53204030000000</v>
      </c>
      <c r="C355" s="634" t="s">
        <v>206</v>
      </c>
      <c r="D355" s="696">
        <f t="shared" si="52"/>
        <v>10000</v>
      </c>
      <c r="E355" s="697">
        <v>0</v>
      </c>
      <c r="F355" s="698">
        <v>0</v>
      </c>
      <c r="G355" s="658">
        <f t="shared" si="50"/>
        <v>0</v>
      </c>
      <c r="H355" s="650">
        <f>D355+G355</f>
        <v>10000</v>
      </c>
      <c r="I355" s="1021"/>
      <c r="J355" s="1022"/>
      <c r="K355" s="1022"/>
      <c r="L355" s="1023"/>
    </row>
    <row r="356" spans="1:12" x14ac:dyDescent="0.2">
      <c r="A356" s="1019"/>
      <c r="B356" s="81">
        <v>53204100100001</v>
      </c>
      <c r="C356" s="634" t="s">
        <v>22</v>
      </c>
      <c r="D356" s="696">
        <f t="shared" si="52"/>
        <v>150000</v>
      </c>
      <c r="E356" s="697">
        <v>0</v>
      </c>
      <c r="F356" s="698">
        <v>0</v>
      </c>
      <c r="G356" s="658">
        <f t="shared" si="50"/>
        <v>0</v>
      </c>
      <c r="H356" s="650">
        <f t="shared" ref="H356:H368" si="53">D356+G356</f>
        <v>150000</v>
      </c>
      <c r="I356" s="1021"/>
      <c r="J356" s="1022"/>
      <c r="K356" s="1022"/>
      <c r="L356" s="1023"/>
    </row>
    <row r="357" spans="1:12" x14ac:dyDescent="0.2">
      <c r="A357" s="1019"/>
      <c r="B357" s="81">
        <v>53204130100000</v>
      </c>
      <c r="C357" s="634" t="s">
        <v>208</v>
      </c>
      <c r="D357" s="696">
        <f t="shared" si="52"/>
        <v>35000</v>
      </c>
      <c r="E357" s="697">
        <v>0</v>
      </c>
      <c r="F357" s="698">
        <v>0</v>
      </c>
      <c r="G357" s="658">
        <f t="shared" si="50"/>
        <v>0</v>
      </c>
      <c r="H357" s="650">
        <f t="shared" si="53"/>
        <v>35000</v>
      </c>
      <c r="I357" s="1021"/>
      <c r="J357" s="1022"/>
      <c r="K357" s="1022"/>
      <c r="L357" s="1023"/>
    </row>
    <row r="358" spans="1:12" x14ac:dyDescent="0.2">
      <c r="A358" s="1019"/>
      <c r="B358" s="81">
        <v>53205010100000</v>
      </c>
      <c r="C358" s="634" t="s">
        <v>24</v>
      </c>
      <c r="D358" s="696">
        <f t="shared" si="52"/>
        <v>149571.6</v>
      </c>
      <c r="E358" s="697">
        <v>0</v>
      </c>
      <c r="F358" s="698">
        <v>0</v>
      </c>
      <c r="G358" s="658">
        <f t="shared" si="50"/>
        <v>0</v>
      </c>
      <c r="H358" s="650">
        <f t="shared" si="53"/>
        <v>149571.6</v>
      </c>
      <c r="I358" s="1021"/>
      <c r="J358" s="1022"/>
      <c r="K358" s="1022"/>
      <c r="L358" s="1023"/>
    </row>
    <row r="359" spans="1:12" x14ac:dyDescent="0.2">
      <c r="A359" s="1019"/>
      <c r="B359" s="81">
        <v>53205020100000</v>
      </c>
      <c r="C359" s="634" t="s">
        <v>25</v>
      </c>
      <c r="D359" s="696">
        <f t="shared" si="52"/>
        <v>104842</v>
      </c>
      <c r="E359" s="697">
        <v>0</v>
      </c>
      <c r="F359" s="698">
        <v>0</v>
      </c>
      <c r="G359" s="658">
        <f t="shared" si="50"/>
        <v>0</v>
      </c>
      <c r="H359" s="650">
        <f t="shared" si="53"/>
        <v>104842</v>
      </c>
      <c r="I359" s="1021"/>
      <c r="J359" s="1022"/>
      <c r="K359" s="1022"/>
      <c r="L359" s="1023"/>
    </row>
    <row r="360" spans="1:12" x14ac:dyDescent="0.2">
      <c r="A360" s="1019"/>
      <c r="B360" s="81">
        <v>53205030100000</v>
      </c>
      <c r="C360" s="634" t="s">
        <v>26</v>
      </c>
      <c r="D360" s="696">
        <f t="shared" si="52"/>
        <v>335036</v>
      </c>
      <c r="E360" s="697">
        <v>0</v>
      </c>
      <c r="F360" s="698">
        <v>0</v>
      </c>
      <c r="G360" s="658">
        <f t="shared" si="50"/>
        <v>0</v>
      </c>
      <c r="H360" s="650">
        <f t="shared" si="53"/>
        <v>335036</v>
      </c>
      <c r="I360" s="1021"/>
      <c r="J360" s="1022"/>
      <c r="K360" s="1022"/>
      <c r="L360" s="1023"/>
    </row>
    <row r="361" spans="1:12" x14ac:dyDescent="0.2">
      <c r="A361" s="1019"/>
      <c r="B361" s="81">
        <v>53205050100000</v>
      </c>
      <c r="C361" s="634" t="s">
        <v>27</v>
      </c>
      <c r="D361" s="696">
        <f t="shared" si="52"/>
        <v>51420.700000000004</v>
      </c>
      <c r="E361" s="697">
        <v>0</v>
      </c>
      <c r="F361" s="698">
        <v>0</v>
      </c>
      <c r="G361" s="658">
        <f t="shared" si="50"/>
        <v>0</v>
      </c>
      <c r="H361" s="650">
        <f t="shared" si="53"/>
        <v>51420.700000000004</v>
      </c>
      <c r="I361" s="1021"/>
      <c r="J361" s="1022"/>
      <c r="K361" s="1022"/>
      <c r="L361" s="1023"/>
    </row>
    <row r="362" spans="1:12" x14ac:dyDescent="0.2">
      <c r="A362" s="1019"/>
      <c r="B362" s="81">
        <v>53205070100000</v>
      </c>
      <c r="C362" s="634" t="s">
        <v>29</v>
      </c>
      <c r="D362" s="696">
        <f t="shared" si="52"/>
        <v>0</v>
      </c>
      <c r="E362" s="697">
        <v>0</v>
      </c>
      <c r="F362" s="698">
        <v>0</v>
      </c>
      <c r="G362" s="658">
        <f t="shared" si="50"/>
        <v>0</v>
      </c>
      <c r="H362" s="650">
        <f t="shared" si="53"/>
        <v>0</v>
      </c>
      <c r="I362" s="1021"/>
      <c r="J362" s="1022"/>
      <c r="K362" s="1022"/>
      <c r="L362" s="1023"/>
    </row>
    <row r="363" spans="1:12" x14ac:dyDescent="0.2">
      <c r="A363" s="1019"/>
      <c r="B363" s="81">
        <v>53208010100000</v>
      </c>
      <c r="C363" s="634" t="s">
        <v>30</v>
      </c>
      <c r="D363" s="696">
        <f t="shared" si="52"/>
        <v>51190.8</v>
      </c>
      <c r="E363" s="697">
        <v>0</v>
      </c>
      <c r="F363" s="698">
        <v>0</v>
      </c>
      <c r="G363" s="658">
        <f t="shared" si="50"/>
        <v>0</v>
      </c>
      <c r="H363" s="650">
        <f t="shared" si="53"/>
        <v>51190.8</v>
      </c>
      <c r="I363" s="1021"/>
      <c r="J363" s="1022"/>
      <c r="K363" s="1022"/>
      <c r="L363" s="1023"/>
    </row>
    <row r="364" spans="1:12" x14ac:dyDescent="0.2">
      <c r="A364" s="1019"/>
      <c r="B364" s="81">
        <v>53208070100001</v>
      </c>
      <c r="C364" s="634" t="s">
        <v>31</v>
      </c>
      <c r="D364" s="696">
        <f t="shared" si="52"/>
        <v>0</v>
      </c>
      <c r="E364" s="697">
        <v>0</v>
      </c>
      <c r="F364" s="698">
        <v>0</v>
      </c>
      <c r="G364" s="658">
        <f t="shared" si="50"/>
        <v>0</v>
      </c>
      <c r="H364" s="650">
        <f t="shared" si="53"/>
        <v>0</v>
      </c>
      <c r="I364" s="1021"/>
      <c r="J364" s="1022"/>
      <c r="K364" s="1022"/>
      <c r="L364" s="1023"/>
    </row>
    <row r="365" spans="1:12" x14ac:dyDescent="0.2">
      <c r="A365" s="1019"/>
      <c r="B365" s="81">
        <v>53208100100001</v>
      </c>
      <c r="C365" s="634" t="s">
        <v>209</v>
      </c>
      <c r="D365" s="696">
        <f t="shared" si="52"/>
        <v>0</v>
      </c>
      <c r="E365" s="697">
        <v>0</v>
      </c>
      <c r="F365" s="698">
        <v>0</v>
      </c>
      <c r="G365" s="658">
        <f t="shared" si="50"/>
        <v>0</v>
      </c>
      <c r="H365" s="650">
        <f t="shared" si="53"/>
        <v>0</v>
      </c>
      <c r="I365" s="1021"/>
      <c r="J365" s="1022"/>
      <c r="K365" s="1022"/>
      <c r="L365" s="1023"/>
    </row>
    <row r="366" spans="1:12" x14ac:dyDescent="0.2">
      <c r="A366" s="1019"/>
      <c r="B366" s="81">
        <v>53211030000000</v>
      </c>
      <c r="C366" s="634" t="s">
        <v>32</v>
      </c>
      <c r="D366" s="696">
        <f t="shared" si="52"/>
        <v>0</v>
      </c>
      <c r="E366" s="697">
        <v>0</v>
      </c>
      <c r="F366" s="698">
        <v>0</v>
      </c>
      <c r="G366" s="658">
        <f t="shared" si="50"/>
        <v>0</v>
      </c>
      <c r="H366" s="650">
        <f t="shared" si="53"/>
        <v>0</v>
      </c>
      <c r="I366" s="1021"/>
      <c r="J366" s="1022"/>
      <c r="K366" s="1022"/>
      <c r="L366" s="1023"/>
    </row>
    <row r="367" spans="1:12" x14ac:dyDescent="0.2">
      <c r="A367" s="1019"/>
      <c r="B367" s="81">
        <v>53212020100000</v>
      </c>
      <c r="C367" s="634" t="s">
        <v>210</v>
      </c>
      <c r="D367" s="696">
        <f t="shared" si="52"/>
        <v>290120</v>
      </c>
      <c r="E367" s="697">
        <v>0</v>
      </c>
      <c r="F367" s="698">
        <v>0</v>
      </c>
      <c r="G367" s="658">
        <f t="shared" si="50"/>
        <v>0</v>
      </c>
      <c r="H367" s="650">
        <f t="shared" si="53"/>
        <v>290120</v>
      </c>
      <c r="I367" s="1021"/>
      <c r="J367" s="1022"/>
      <c r="K367" s="1022"/>
      <c r="L367" s="1023"/>
    </row>
    <row r="368" spans="1:12" ht="15.75" customHeight="1" x14ac:dyDescent="0.2">
      <c r="A368" s="1019"/>
      <c r="B368" s="81">
        <v>53214020000000</v>
      </c>
      <c r="C368" s="634" t="s">
        <v>211</v>
      </c>
      <c r="D368" s="696">
        <f t="shared" si="52"/>
        <v>0</v>
      </c>
      <c r="E368" s="697">
        <v>0</v>
      </c>
      <c r="F368" s="698">
        <v>0</v>
      </c>
      <c r="G368" s="658">
        <f t="shared" si="50"/>
        <v>0</v>
      </c>
      <c r="H368" s="650">
        <f t="shared" si="53"/>
        <v>0</v>
      </c>
      <c r="I368" s="1021"/>
      <c r="J368" s="1022"/>
      <c r="K368" s="1022"/>
      <c r="L368" s="1023"/>
    </row>
    <row r="369" spans="1:12" x14ac:dyDescent="0.2">
      <c r="A369" s="1019"/>
      <c r="B369" s="79"/>
      <c r="C369" s="648" t="s">
        <v>34</v>
      </c>
      <c r="D369" s="659">
        <f>SUM(D370,D375,D377,D386,D395,D403)</f>
        <v>1151206.7000000002</v>
      </c>
      <c r="E369" s="660"/>
      <c r="F369" s="660"/>
      <c r="G369" s="659">
        <f>SUM(G370,G375,G377,G386,G395,G403)</f>
        <v>81970</v>
      </c>
      <c r="H369" s="652">
        <f>SUM(H370,H375,H377,H386,H395,H403)</f>
        <v>1233176.7000000002</v>
      </c>
      <c r="I369" s="1021"/>
      <c r="J369" s="1022"/>
      <c r="K369" s="1022"/>
      <c r="L369" s="1023"/>
    </row>
    <row r="370" spans="1:12" x14ac:dyDescent="0.2">
      <c r="A370" s="1019"/>
      <c r="B370" s="80"/>
      <c r="C370" s="644" t="s">
        <v>35</v>
      </c>
      <c r="D370" s="646">
        <f>SUM(D371:D374)</f>
        <v>6917.4000000000005</v>
      </c>
      <c r="E370" s="647"/>
      <c r="F370" s="647"/>
      <c r="G370" s="661">
        <f>SUM(G371:G374)</f>
        <v>81970</v>
      </c>
      <c r="H370" s="653">
        <f>SUM(H371:H374)</f>
        <v>88887.4</v>
      </c>
      <c r="I370" s="1021"/>
      <c r="J370" s="1022"/>
      <c r="K370" s="1022"/>
      <c r="L370" s="1023"/>
    </row>
    <row r="371" spans="1:12" x14ac:dyDescent="0.2">
      <c r="A371" s="1019"/>
      <c r="B371" s="81">
        <v>53202020100000</v>
      </c>
      <c r="C371" s="634" t="s">
        <v>212</v>
      </c>
      <c r="D371" s="638">
        <v>0</v>
      </c>
      <c r="E371" s="641">
        <v>25990</v>
      </c>
      <c r="F371" s="639">
        <v>2</v>
      </c>
      <c r="G371" s="658">
        <f>E371*F371</f>
        <v>51980</v>
      </c>
      <c r="H371" s="650">
        <f>D371+G371</f>
        <v>51980</v>
      </c>
      <c r="I371" s="1021"/>
      <c r="J371" s="1022"/>
      <c r="K371" s="1022"/>
      <c r="L371" s="1023"/>
    </row>
    <row r="372" spans="1:12" x14ac:dyDescent="0.2">
      <c r="A372" s="1019"/>
      <c r="B372" s="81">
        <v>53202030000000</v>
      </c>
      <c r="C372" s="634" t="s">
        <v>213</v>
      </c>
      <c r="D372" s="638">
        <v>0</v>
      </c>
      <c r="E372" s="641">
        <v>29990</v>
      </c>
      <c r="F372" s="639">
        <v>1</v>
      </c>
      <c r="G372" s="658">
        <f>E372*F372</f>
        <v>29990</v>
      </c>
      <c r="H372" s="650">
        <f>D372+G372</f>
        <v>29990</v>
      </c>
      <c r="I372" s="1021"/>
      <c r="J372" s="1022"/>
      <c r="K372" s="1022"/>
      <c r="L372" s="1023"/>
    </row>
    <row r="373" spans="1:12" x14ac:dyDescent="0.2">
      <c r="A373" s="1019"/>
      <c r="B373" s="81">
        <v>53211020000000</v>
      </c>
      <c r="C373" s="634" t="s">
        <v>41</v>
      </c>
      <c r="D373" s="638">
        <v>0</v>
      </c>
      <c r="E373" s="641">
        <v>0</v>
      </c>
      <c r="F373" s="639">
        <v>0</v>
      </c>
      <c r="G373" s="658">
        <f>E373*F373</f>
        <v>0</v>
      </c>
      <c r="H373" s="650">
        <f>D373+G373</f>
        <v>0</v>
      </c>
      <c r="I373" s="1021"/>
      <c r="J373" s="1022"/>
      <c r="K373" s="1022"/>
      <c r="L373" s="1023"/>
    </row>
    <row r="374" spans="1:12" x14ac:dyDescent="0.2">
      <c r="A374" s="1019"/>
      <c r="B374" s="81">
        <v>53101040600000</v>
      </c>
      <c r="C374" s="635" t="s">
        <v>214</v>
      </c>
      <c r="D374" s="696">
        <f>+Q293</f>
        <v>6917.4000000000005</v>
      </c>
      <c r="E374" s="697">
        <v>0</v>
      </c>
      <c r="F374" s="698">
        <v>0</v>
      </c>
      <c r="G374" s="658">
        <f>E374*F374</f>
        <v>0</v>
      </c>
      <c r="H374" s="650">
        <f>D374+G374</f>
        <v>6917.4000000000005</v>
      </c>
      <c r="I374" s="1021"/>
      <c r="J374" s="1022"/>
      <c r="K374" s="1022"/>
      <c r="L374" s="1023"/>
    </row>
    <row r="375" spans="1:12" x14ac:dyDescent="0.2">
      <c r="A375" s="1019"/>
      <c r="B375" s="80"/>
      <c r="C375" s="644" t="s">
        <v>42</v>
      </c>
      <c r="D375" s="646">
        <f>SUM(D376:D376)</f>
        <v>0</v>
      </c>
      <c r="E375" s="647"/>
      <c r="F375" s="647"/>
      <c r="G375" s="661">
        <f>SUM(G376:G376)</f>
        <v>0</v>
      </c>
      <c r="H375" s="653">
        <f>SUM(H376:H376)</f>
        <v>0</v>
      </c>
      <c r="I375" s="1021"/>
      <c r="J375" s="1022"/>
      <c r="K375" s="1022"/>
      <c r="L375" s="1023"/>
    </row>
    <row r="376" spans="1:12" x14ac:dyDescent="0.2">
      <c r="A376" s="1019"/>
      <c r="B376" s="632">
        <v>53205990000000</v>
      </c>
      <c r="C376" s="636" t="s">
        <v>44</v>
      </c>
      <c r="D376" s="638">
        <v>0</v>
      </c>
      <c r="E376" s="641">
        <v>0</v>
      </c>
      <c r="F376" s="639">
        <v>0</v>
      </c>
      <c r="G376" s="658">
        <f>E376*F376</f>
        <v>0</v>
      </c>
      <c r="H376" s="650">
        <f>D376+G376</f>
        <v>0</v>
      </c>
      <c r="I376" s="1021"/>
      <c r="J376" s="1022"/>
      <c r="K376" s="1022"/>
      <c r="L376" s="1023"/>
    </row>
    <row r="377" spans="1:12" x14ac:dyDescent="0.2">
      <c r="A377" s="1019"/>
      <c r="B377" s="80"/>
      <c r="C377" s="644" t="s">
        <v>45</v>
      </c>
      <c r="D377" s="646">
        <f>SUM(D378:D385)</f>
        <v>657146.4</v>
      </c>
      <c r="E377" s="647"/>
      <c r="F377" s="647"/>
      <c r="G377" s="646">
        <f>SUM(G378:G385)</f>
        <v>0</v>
      </c>
      <c r="H377" s="651">
        <f>SUM(H378:H385)</f>
        <v>657146.4</v>
      </c>
      <c r="I377" s="1021"/>
      <c r="J377" s="1022"/>
      <c r="K377" s="1022"/>
      <c r="L377" s="1023"/>
    </row>
    <row r="378" spans="1:12" x14ac:dyDescent="0.2">
      <c r="A378" s="1019"/>
      <c r="B378" s="81">
        <v>53204010000000</v>
      </c>
      <c r="C378" s="634" t="s">
        <v>47</v>
      </c>
      <c r="D378" s="696">
        <f>+Q294</f>
        <v>85000</v>
      </c>
      <c r="E378" s="696">
        <v>0</v>
      </c>
      <c r="F378" s="698">
        <v>0</v>
      </c>
      <c r="G378" s="658">
        <f t="shared" ref="G378:G385" si="54">E378*F378</f>
        <v>0</v>
      </c>
      <c r="H378" s="650">
        <f t="shared" ref="H378:H385" si="55">D378+G378</f>
        <v>85000</v>
      </c>
      <c r="I378" s="1021"/>
      <c r="J378" s="1022"/>
      <c r="K378" s="1022"/>
      <c r="L378" s="1023"/>
    </row>
    <row r="379" spans="1:12" x14ac:dyDescent="0.2">
      <c r="A379" s="1019"/>
      <c r="B379" s="632">
        <v>53204040200000</v>
      </c>
      <c r="C379" s="636" t="s">
        <v>223</v>
      </c>
      <c r="D379" s="696">
        <f t="shared" ref="D379:D385" si="56">+Q295</f>
        <v>19800</v>
      </c>
      <c r="E379" s="696">
        <v>0</v>
      </c>
      <c r="F379" s="698">
        <v>0</v>
      </c>
      <c r="G379" s="658">
        <f t="shared" si="54"/>
        <v>0</v>
      </c>
      <c r="H379" s="650">
        <f t="shared" si="55"/>
        <v>19800</v>
      </c>
      <c r="I379" s="1021"/>
      <c r="J379" s="1022"/>
      <c r="K379" s="1022"/>
      <c r="L379" s="1023"/>
    </row>
    <row r="380" spans="1:12" x14ac:dyDescent="0.2">
      <c r="A380" s="1019"/>
      <c r="B380" s="81">
        <v>53204060000000</v>
      </c>
      <c r="C380" s="634" t="s">
        <v>49</v>
      </c>
      <c r="D380" s="696">
        <f t="shared" si="56"/>
        <v>0</v>
      </c>
      <c r="E380" s="696">
        <v>0</v>
      </c>
      <c r="F380" s="698">
        <v>0</v>
      </c>
      <c r="G380" s="658">
        <f t="shared" si="54"/>
        <v>0</v>
      </c>
      <c r="H380" s="650">
        <f t="shared" si="55"/>
        <v>0</v>
      </c>
      <c r="I380" s="1021"/>
      <c r="J380" s="1022"/>
      <c r="K380" s="1022"/>
      <c r="L380" s="1023"/>
    </row>
    <row r="381" spans="1:12" x14ac:dyDescent="0.2">
      <c r="A381" s="1019"/>
      <c r="B381" s="81">
        <v>53204070000000</v>
      </c>
      <c r="C381" s="634" t="s">
        <v>50</v>
      </c>
      <c r="D381" s="696">
        <f t="shared" si="56"/>
        <v>180000</v>
      </c>
      <c r="E381" s="696">
        <v>0</v>
      </c>
      <c r="F381" s="698">
        <v>0</v>
      </c>
      <c r="G381" s="658">
        <f t="shared" si="54"/>
        <v>0</v>
      </c>
      <c r="H381" s="650">
        <f t="shared" si="55"/>
        <v>180000</v>
      </c>
      <c r="I381" s="1021"/>
      <c r="J381" s="1022"/>
      <c r="K381" s="1022"/>
      <c r="L381" s="1023"/>
    </row>
    <row r="382" spans="1:12" x14ac:dyDescent="0.2">
      <c r="A382" s="1019"/>
      <c r="B382" s="81">
        <v>53204080000000</v>
      </c>
      <c r="C382" s="633" t="s">
        <v>51</v>
      </c>
      <c r="D382" s="696">
        <f t="shared" si="56"/>
        <v>15000</v>
      </c>
      <c r="E382" s="696">
        <v>0</v>
      </c>
      <c r="F382" s="698">
        <v>0</v>
      </c>
      <c r="G382" s="658">
        <f t="shared" si="54"/>
        <v>0</v>
      </c>
      <c r="H382" s="650">
        <f t="shared" si="55"/>
        <v>15000</v>
      </c>
      <c r="I382" s="1021"/>
      <c r="J382" s="1022"/>
      <c r="K382" s="1022"/>
      <c r="L382" s="1023"/>
    </row>
    <row r="383" spans="1:12" x14ac:dyDescent="0.2">
      <c r="A383" s="1019"/>
      <c r="B383" s="81">
        <v>53214010000000</v>
      </c>
      <c r="C383" s="634" t="s">
        <v>52</v>
      </c>
      <c r="D383" s="696">
        <f t="shared" si="56"/>
        <v>0</v>
      </c>
      <c r="E383" s="696">
        <v>0</v>
      </c>
      <c r="F383" s="698">
        <v>0</v>
      </c>
      <c r="G383" s="658">
        <f t="shared" si="54"/>
        <v>0</v>
      </c>
      <c r="H383" s="650">
        <f t="shared" si="55"/>
        <v>0</v>
      </c>
      <c r="I383" s="1021"/>
      <c r="J383" s="1022"/>
      <c r="K383" s="1022"/>
      <c r="L383" s="1023"/>
    </row>
    <row r="384" spans="1:12" x14ac:dyDescent="0.2">
      <c r="A384" s="1019"/>
      <c r="B384" s="81">
        <v>53214040000000</v>
      </c>
      <c r="C384" s="634" t="s">
        <v>215</v>
      </c>
      <c r="D384" s="696">
        <f t="shared" si="56"/>
        <v>357346.4</v>
      </c>
      <c r="E384" s="696">
        <v>0</v>
      </c>
      <c r="F384" s="698">
        <v>0</v>
      </c>
      <c r="G384" s="658">
        <f t="shared" si="54"/>
        <v>0</v>
      </c>
      <c r="H384" s="650">
        <f t="shared" si="55"/>
        <v>357346.4</v>
      </c>
      <c r="I384" s="1021"/>
      <c r="J384" s="1022"/>
      <c r="K384" s="1022"/>
      <c r="L384" s="1023"/>
    </row>
    <row r="385" spans="1:12" x14ac:dyDescent="0.2">
      <c r="A385" s="1019"/>
      <c r="B385" s="690">
        <v>53204020100000</v>
      </c>
      <c r="C385" s="691" t="s">
        <v>207</v>
      </c>
      <c r="D385" s="696">
        <f t="shared" si="56"/>
        <v>0</v>
      </c>
      <c r="E385" s="696">
        <v>0</v>
      </c>
      <c r="F385" s="698">
        <v>0</v>
      </c>
      <c r="G385" s="658">
        <f t="shared" si="54"/>
        <v>0</v>
      </c>
      <c r="H385" s="650">
        <f t="shared" si="55"/>
        <v>0</v>
      </c>
      <c r="I385" s="1021"/>
      <c r="J385" s="1022"/>
      <c r="K385" s="1022"/>
      <c r="L385" s="1023"/>
    </row>
    <row r="386" spans="1:12" x14ac:dyDescent="0.2">
      <c r="A386" s="1019"/>
      <c r="B386" s="80"/>
      <c r="C386" s="644" t="s">
        <v>55</v>
      </c>
      <c r="D386" s="646">
        <f>SUM(D387:D394)</f>
        <v>364342.9</v>
      </c>
      <c r="E386" s="647"/>
      <c r="F386" s="647"/>
      <c r="G386" s="646">
        <f>SUM(G387:G394)</f>
        <v>0</v>
      </c>
      <c r="H386" s="651">
        <f>SUM(H387:H394)</f>
        <v>364342.9</v>
      </c>
      <c r="I386" s="1021"/>
      <c r="J386" s="1022"/>
      <c r="K386" s="1022"/>
      <c r="L386" s="1023"/>
    </row>
    <row r="387" spans="1:12" x14ac:dyDescent="0.2">
      <c r="A387" s="1019"/>
      <c r="B387" s="81">
        <v>53207010000000</v>
      </c>
      <c r="C387" s="634" t="s">
        <v>56</v>
      </c>
      <c r="D387" s="696">
        <f>+Q302</f>
        <v>0</v>
      </c>
      <c r="E387" s="696">
        <v>0</v>
      </c>
      <c r="F387" s="698">
        <v>0</v>
      </c>
      <c r="G387" s="658">
        <f t="shared" ref="G387:G394" si="57">E387*F387</f>
        <v>0</v>
      </c>
      <c r="H387" s="650">
        <f t="shared" ref="H387:H394" si="58">D387+G387</f>
        <v>0</v>
      </c>
      <c r="I387" s="1021"/>
      <c r="J387" s="1022"/>
      <c r="K387" s="1022"/>
      <c r="L387" s="1023"/>
    </row>
    <row r="388" spans="1:12" x14ac:dyDescent="0.2">
      <c r="A388" s="1019"/>
      <c r="B388" s="81">
        <v>53207020000000</v>
      </c>
      <c r="C388" s="634" t="s">
        <v>57</v>
      </c>
      <c r="D388" s="696">
        <f>+Q303</f>
        <v>0</v>
      </c>
      <c r="E388" s="696">
        <v>0</v>
      </c>
      <c r="F388" s="698">
        <v>0</v>
      </c>
      <c r="G388" s="658">
        <f t="shared" si="57"/>
        <v>0</v>
      </c>
      <c r="H388" s="650">
        <f t="shared" si="58"/>
        <v>0</v>
      </c>
      <c r="I388" s="1021"/>
      <c r="J388" s="1022"/>
      <c r="K388" s="1022"/>
      <c r="L388" s="1023"/>
    </row>
    <row r="389" spans="1:12" x14ac:dyDescent="0.2">
      <c r="A389" s="1019"/>
      <c r="B389" s="81">
        <v>53208020000000</v>
      </c>
      <c r="C389" s="633" t="s">
        <v>197</v>
      </c>
      <c r="D389" s="696">
        <f>+Q304</f>
        <v>72000</v>
      </c>
      <c r="E389" s="696">
        <v>0</v>
      </c>
      <c r="F389" s="698">
        <v>0</v>
      </c>
      <c r="G389" s="658">
        <f t="shared" si="57"/>
        <v>0</v>
      </c>
      <c r="H389" s="650">
        <f t="shared" si="58"/>
        <v>72000</v>
      </c>
      <c r="I389" s="1021"/>
      <c r="J389" s="1022"/>
      <c r="K389" s="1022"/>
      <c r="L389" s="1023"/>
    </row>
    <row r="390" spans="1:12" x14ac:dyDescent="0.2">
      <c r="A390" s="1019"/>
      <c r="B390" s="81">
        <v>53208990000000</v>
      </c>
      <c r="C390" s="633" t="s">
        <v>216</v>
      </c>
      <c r="D390" s="696">
        <f>+Q305</f>
        <v>81000</v>
      </c>
      <c r="E390" s="696">
        <v>0</v>
      </c>
      <c r="F390" s="698">
        <v>0</v>
      </c>
      <c r="G390" s="658">
        <f t="shared" si="57"/>
        <v>0</v>
      </c>
      <c r="H390" s="650">
        <f t="shared" si="58"/>
        <v>81000</v>
      </c>
      <c r="I390" s="1021"/>
      <c r="J390" s="1022"/>
      <c r="K390" s="1022"/>
      <c r="L390" s="1023"/>
    </row>
    <row r="391" spans="1:12" x14ac:dyDescent="0.2">
      <c r="A391" s="1019"/>
      <c r="B391" s="690">
        <v>53210020300000</v>
      </c>
      <c r="C391" s="692" t="s">
        <v>219</v>
      </c>
      <c r="D391" s="638">
        <v>0</v>
      </c>
      <c r="E391" s="638">
        <v>0</v>
      </c>
      <c r="F391" s="639">
        <v>0</v>
      </c>
      <c r="G391" s="658">
        <f t="shared" si="57"/>
        <v>0</v>
      </c>
      <c r="H391" s="650">
        <f t="shared" si="58"/>
        <v>0</v>
      </c>
      <c r="I391" s="1021"/>
      <c r="J391" s="1022"/>
      <c r="K391" s="1022"/>
      <c r="L391" s="1023"/>
    </row>
    <row r="392" spans="1:12" x14ac:dyDescent="0.2">
      <c r="A392" s="1019"/>
      <c r="B392" s="81">
        <v>53208990000000</v>
      </c>
      <c r="C392" s="633" t="s">
        <v>220</v>
      </c>
      <c r="D392" s="696">
        <f>+Q306</f>
        <v>0</v>
      </c>
      <c r="E392" s="696">
        <v>0</v>
      </c>
      <c r="F392" s="698">
        <v>0</v>
      </c>
      <c r="G392" s="658">
        <f t="shared" si="57"/>
        <v>0</v>
      </c>
      <c r="H392" s="650">
        <f t="shared" si="58"/>
        <v>0</v>
      </c>
      <c r="I392" s="1021"/>
      <c r="J392" s="1022"/>
      <c r="K392" s="1022"/>
      <c r="L392" s="1023"/>
    </row>
    <row r="393" spans="1:12" x14ac:dyDescent="0.2">
      <c r="A393" s="1019"/>
      <c r="B393" s="81">
        <v>53209990000000</v>
      </c>
      <c r="C393" s="633" t="s">
        <v>218</v>
      </c>
      <c r="D393" s="696">
        <f>+Q307</f>
        <v>0</v>
      </c>
      <c r="E393" s="696">
        <v>0</v>
      </c>
      <c r="F393" s="698">
        <v>0</v>
      </c>
      <c r="G393" s="658">
        <f t="shared" si="57"/>
        <v>0</v>
      </c>
      <c r="H393" s="650">
        <f t="shared" si="58"/>
        <v>0</v>
      </c>
      <c r="I393" s="1021"/>
      <c r="J393" s="1022"/>
      <c r="K393" s="1022"/>
      <c r="L393" s="1023"/>
    </row>
    <row r="394" spans="1:12" x14ac:dyDescent="0.2">
      <c r="A394" s="1019"/>
      <c r="B394" s="81">
        <v>53210020100000</v>
      </c>
      <c r="C394" s="634" t="s">
        <v>64</v>
      </c>
      <c r="D394" s="696">
        <f>+Q308</f>
        <v>211342.90000000002</v>
      </c>
      <c r="E394" s="696">
        <v>0</v>
      </c>
      <c r="F394" s="698">
        <v>0</v>
      </c>
      <c r="G394" s="658">
        <f t="shared" si="57"/>
        <v>0</v>
      </c>
      <c r="H394" s="650">
        <f t="shared" si="58"/>
        <v>211342.90000000002</v>
      </c>
      <c r="I394" s="1021"/>
      <c r="J394" s="1022"/>
      <c r="K394" s="1022"/>
      <c r="L394" s="1023"/>
    </row>
    <row r="395" spans="1:12" x14ac:dyDescent="0.2">
      <c r="A395" s="1019"/>
      <c r="B395" s="80"/>
      <c r="C395" s="644" t="s">
        <v>65</v>
      </c>
      <c r="D395" s="646">
        <f>SUM(D396:D402)</f>
        <v>122800</v>
      </c>
      <c r="E395" s="647"/>
      <c r="F395" s="647"/>
      <c r="G395" s="646">
        <f>SUM(G396:G402)</f>
        <v>0</v>
      </c>
      <c r="H395" s="651">
        <f>SUM(H396:H402)</f>
        <v>122800</v>
      </c>
      <c r="I395" s="1021"/>
      <c r="J395" s="1022"/>
      <c r="K395" s="1022"/>
      <c r="L395" s="1023"/>
    </row>
    <row r="396" spans="1:12" x14ac:dyDescent="0.2">
      <c r="A396" s="1019"/>
      <c r="B396" s="81">
        <v>53206030000000</v>
      </c>
      <c r="C396" s="634" t="s">
        <v>102</v>
      </c>
      <c r="D396" s="696">
        <f t="shared" ref="D396:D402" si="59">+Q309</f>
        <v>0</v>
      </c>
      <c r="E396" s="696">
        <v>0</v>
      </c>
      <c r="F396" s="698">
        <v>0</v>
      </c>
      <c r="G396" s="658">
        <f t="shared" ref="G396:G402" si="60">E396*F396</f>
        <v>0</v>
      </c>
      <c r="H396" s="650">
        <f t="shared" ref="H396:H402" si="61">D396+G396</f>
        <v>0</v>
      </c>
      <c r="I396" s="1021"/>
      <c r="J396" s="1022"/>
      <c r="K396" s="1022"/>
      <c r="L396" s="1023"/>
    </row>
    <row r="397" spans="1:12" x14ac:dyDescent="0.2">
      <c r="A397" s="1019"/>
      <c r="B397" s="81">
        <v>53206040000000</v>
      </c>
      <c r="C397" s="634" t="s">
        <v>103</v>
      </c>
      <c r="D397" s="696">
        <f t="shared" si="59"/>
        <v>0</v>
      </c>
      <c r="E397" s="696">
        <v>0</v>
      </c>
      <c r="F397" s="698">
        <v>0</v>
      </c>
      <c r="G397" s="658">
        <f t="shared" si="60"/>
        <v>0</v>
      </c>
      <c r="H397" s="650">
        <f t="shared" si="61"/>
        <v>0</v>
      </c>
      <c r="I397" s="1021"/>
      <c r="J397" s="1022"/>
      <c r="K397" s="1022"/>
      <c r="L397" s="1023"/>
    </row>
    <row r="398" spans="1:12" x14ac:dyDescent="0.2">
      <c r="A398" s="1019"/>
      <c r="B398" s="81">
        <v>53206060000000</v>
      </c>
      <c r="C398" s="634" t="s">
        <v>221</v>
      </c>
      <c r="D398" s="696">
        <f t="shared" si="59"/>
        <v>20000</v>
      </c>
      <c r="E398" s="696">
        <v>0</v>
      </c>
      <c r="F398" s="698">
        <v>0</v>
      </c>
      <c r="G398" s="658">
        <f t="shared" si="60"/>
        <v>0</v>
      </c>
      <c r="H398" s="650">
        <f t="shared" si="61"/>
        <v>20000</v>
      </c>
      <c r="I398" s="1021"/>
      <c r="J398" s="1022"/>
      <c r="K398" s="1022"/>
      <c r="L398" s="1023"/>
    </row>
    <row r="399" spans="1:12" x14ac:dyDescent="0.2">
      <c r="A399" s="1019"/>
      <c r="B399" s="81">
        <v>53206070000000</v>
      </c>
      <c r="C399" s="634" t="s">
        <v>105</v>
      </c>
      <c r="D399" s="696">
        <f t="shared" si="59"/>
        <v>0</v>
      </c>
      <c r="E399" s="696">
        <v>0</v>
      </c>
      <c r="F399" s="698">
        <v>0</v>
      </c>
      <c r="G399" s="658">
        <f t="shared" si="60"/>
        <v>0</v>
      </c>
      <c r="H399" s="650">
        <f t="shared" si="61"/>
        <v>0</v>
      </c>
      <c r="I399" s="1021"/>
      <c r="J399" s="1022"/>
      <c r="K399" s="1022"/>
      <c r="L399" s="1023"/>
    </row>
    <row r="400" spans="1:12" x14ac:dyDescent="0.2">
      <c r="A400" s="1019"/>
      <c r="B400" s="81">
        <v>53206990000000</v>
      </c>
      <c r="C400" s="634" t="s">
        <v>222</v>
      </c>
      <c r="D400" s="696">
        <f t="shared" si="59"/>
        <v>0</v>
      </c>
      <c r="E400" s="696">
        <v>0</v>
      </c>
      <c r="F400" s="698">
        <v>0</v>
      </c>
      <c r="G400" s="658">
        <f t="shared" si="60"/>
        <v>0</v>
      </c>
      <c r="H400" s="650">
        <f t="shared" si="61"/>
        <v>0</v>
      </c>
      <c r="I400" s="1021"/>
      <c r="J400" s="1022"/>
      <c r="K400" s="1022"/>
      <c r="L400" s="1023"/>
    </row>
    <row r="401" spans="1:17" x14ac:dyDescent="0.2">
      <c r="A401" s="1019"/>
      <c r="B401" s="81">
        <v>53208030000000</v>
      </c>
      <c r="C401" s="634" t="s">
        <v>107</v>
      </c>
      <c r="D401" s="696">
        <f t="shared" si="59"/>
        <v>52800</v>
      </c>
      <c r="E401" s="696">
        <v>0</v>
      </c>
      <c r="F401" s="698">
        <v>0</v>
      </c>
      <c r="G401" s="658">
        <f t="shared" si="60"/>
        <v>0</v>
      </c>
      <c r="H401" s="650">
        <f t="shared" si="61"/>
        <v>52800</v>
      </c>
      <c r="I401" s="1021"/>
      <c r="J401" s="1022"/>
      <c r="K401" s="1022"/>
      <c r="L401" s="1023"/>
    </row>
    <row r="402" spans="1:17" x14ac:dyDescent="0.2">
      <c r="A402" s="1019"/>
      <c r="B402" s="81">
        <v>53212060000000</v>
      </c>
      <c r="C402" s="634" t="s">
        <v>100</v>
      </c>
      <c r="D402" s="696">
        <f t="shared" si="59"/>
        <v>50000</v>
      </c>
      <c r="E402" s="696">
        <v>0</v>
      </c>
      <c r="F402" s="698">
        <v>0</v>
      </c>
      <c r="G402" s="658">
        <f t="shared" si="60"/>
        <v>0</v>
      </c>
      <c r="H402" s="650">
        <f t="shared" si="61"/>
        <v>50000</v>
      </c>
      <c r="I402" s="1021"/>
      <c r="J402" s="1022"/>
      <c r="K402" s="1022"/>
      <c r="L402" s="1023"/>
    </row>
    <row r="403" spans="1:17" x14ac:dyDescent="0.2">
      <c r="A403" s="1019"/>
      <c r="B403" s="80"/>
      <c r="C403" s="644" t="s">
        <v>66</v>
      </c>
      <c r="D403" s="646">
        <f>SUM(D404:D404)</f>
        <v>0</v>
      </c>
      <c r="E403" s="647"/>
      <c r="F403" s="647"/>
      <c r="G403" s="646">
        <f>SUM(G404:G404)</f>
        <v>0</v>
      </c>
      <c r="H403" s="651">
        <f>SUM(H404:H404)</f>
        <v>0</v>
      </c>
      <c r="I403" s="1021"/>
      <c r="J403" s="1022"/>
      <c r="K403" s="1022"/>
      <c r="L403" s="1023"/>
    </row>
    <row r="404" spans="1:17" x14ac:dyDescent="0.2">
      <c r="A404" s="1019"/>
      <c r="B404" s="95">
        <v>53204999000000</v>
      </c>
      <c r="C404" s="645" t="s">
        <v>217</v>
      </c>
      <c r="D404" s="638">
        <v>0</v>
      </c>
      <c r="E404" s="638">
        <v>0</v>
      </c>
      <c r="F404" s="639">
        <v>0</v>
      </c>
      <c r="G404" s="658">
        <f>E404*F404</f>
        <v>0</v>
      </c>
      <c r="H404" s="654">
        <f>D404+G404</f>
        <v>0</v>
      </c>
      <c r="I404" s="1021"/>
      <c r="J404" s="1022"/>
      <c r="K404" s="1022"/>
      <c r="L404" s="1023"/>
    </row>
    <row r="405" spans="1:17" x14ac:dyDescent="0.2">
      <c r="A405" s="1019"/>
      <c r="B405" s="98"/>
      <c r="C405" s="649" t="s">
        <v>108</v>
      </c>
      <c r="D405" s="662">
        <f>SUM(D342,D369)</f>
        <v>19391983.776000001</v>
      </c>
      <c r="E405" s="663"/>
      <c r="F405" s="663"/>
      <c r="G405" s="662">
        <f>SUM(G342,G369)</f>
        <v>583570</v>
      </c>
      <c r="H405" s="99">
        <f>SUM(H342,H369)</f>
        <v>19975553.776000001</v>
      </c>
      <c r="I405" s="1021"/>
      <c r="J405" s="1022"/>
      <c r="K405" s="1022"/>
      <c r="L405" s="1023"/>
    </row>
    <row r="406" spans="1:17" ht="12.75" customHeight="1" x14ac:dyDescent="0.2">
      <c r="A406" s="1024" t="s">
        <v>83</v>
      </c>
      <c r="B406" s="1026" t="s">
        <v>77</v>
      </c>
      <c r="C406" s="1028" t="s">
        <v>78</v>
      </c>
      <c r="D406" s="1030" t="s">
        <v>79</v>
      </c>
      <c r="E406" s="1039" t="s">
        <v>80</v>
      </c>
      <c r="F406" s="1039"/>
      <c r="G406" s="1039"/>
      <c r="H406" s="1031" t="s">
        <v>149</v>
      </c>
      <c r="I406" s="1033" t="s">
        <v>76</v>
      </c>
      <c r="J406" s="1034"/>
      <c r="K406" s="1034"/>
      <c r="L406" s="1035"/>
      <c r="N406" s="1015" t="s">
        <v>229</v>
      </c>
      <c r="O406" s="1017" t="s">
        <v>224</v>
      </c>
      <c r="P406" s="1017" t="s">
        <v>230</v>
      </c>
      <c r="Q406" s="1017" t="s">
        <v>231</v>
      </c>
    </row>
    <row r="407" spans="1:17" ht="25.5" x14ac:dyDescent="0.2">
      <c r="A407" s="1025"/>
      <c r="B407" s="1027"/>
      <c r="C407" s="1029"/>
      <c r="D407" s="1030"/>
      <c r="E407" s="664" t="s">
        <v>67</v>
      </c>
      <c r="F407" s="665" t="s">
        <v>68</v>
      </c>
      <c r="G407" s="666" t="s">
        <v>6</v>
      </c>
      <c r="H407" s="1032"/>
      <c r="I407" s="1036"/>
      <c r="J407" s="1037"/>
      <c r="K407" s="1037"/>
      <c r="L407" s="1038"/>
      <c r="N407" s="1016"/>
      <c r="O407" s="1017"/>
      <c r="P407" s="1017"/>
      <c r="Q407" s="1017"/>
    </row>
    <row r="408" spans="1:17" ht="15.75" customHeight="1" x14ac:dyDescent="0.2">
      <c r="A408" s="1018" t="s">
        <v>161</v>
      </c>
      <c r="B408" s="79"/>
      <c r="C408" s="648" t="s">
        <v>11</v>
      </c>
      <c r="D408" s="659">
        <f>SUM(D409,D414)</f>
        <v>168544827.47600001</v>
      </c>
      <c r="E408" s="660"/>
      <c r="F408" s="660"/>
      <c r="G408" s="667">
        <f>SUM(G409,G414)</f>
        <v>25657500</v>
      </c>
      <c r="H408" s="655">
        <f>SUM(H409,H414)</f>
        <v>194202327.47600001</v>
      </c>
      <c r="I408" s="1021"/>
      <c r="J408" s="1022"/>
      <c r="K408" s="1022"/>
      <c r="L408" s="1023"/>
      <c r="N408" s="633" t="s">
        <v>204</v>
      </c>
      <c r="O408" s="689">
        <v>0</v>
      </c>
      <c r="P408" s="637">
        <f>+O408*0.7</f>
        <v>0</v>
      </c>
      <c r="Q408" s="637">
        <f>+O408*0.3</f>
        <v>0</v>
      </c>
    </row>
    <row r="409" spans="1:17" x14ac:dyDescent="0.2">
      <c r="A409" s="1019"/>
      <c r="B409" s="80"/>
      <c r="C409" s="644" t="s">
        <v>12</v>
      </c>
      <c r="D409" s="646">
        <f>SUM(D410:D413)</f>
        <v>155434709.47600001</v>
      </c>
      <c r="E409" s="647"/>
      <c r="F409" s="647"/>
      <c r="G409" s="668">
        <f>SUM(G410:G413)</f>
        <v>0</v>
      </c>
      <c r="H409" s="651">
        <f>SUM(H410:H413)</f>
        <v>155434709.47600001</v>
      </c>
      <c r="I409" s="1021"/>
      <c r="J409" s="1022"/>
      <c r="K409" s="1022"/>
      <c r="L409" s="1023"/>
      <c r="N409" s="633" t="s">
        <v>19</v>
      </c>
      <c r="O409" s="689">
        <v>0</v>
      </c>
      <c r="P409" s="637">
        <f t="shared" ref="P409:P447" si="62">+O409*0.7</f>
        <v>0</v>
      </c>
      <c r="Q409" s="637">
        <f t="shared" ref="Q409:Q447" si="63">+O409*0.3</f>
        <v>0</v>
      </c>
    </row>
    <row r="410" spans="1:17" x14ac:dyDescent="0.2">
      <c r="A410" s="1019"/>
      <c r="B410" s="81">
        <v>53103040100000</v>
      </c>
      <c r="C410" s="634" t="s">
        <v>98</v>
      </c>
      <c r="D410" s="696">
        <f>+'F) Remuneraciones'!L101</f>
        <v>151201598.47600001</v>
      </c>
      <c r="E410" s="669">
        <v>0</v>
      </c>
      <c r="F410" s="670">
        <v>0</v>
      </c>
      <c r="G410" s="658">
        <f>E410*F410</f>
        <v>0</v>
      </c>
      <c r="H410" s="650">
        <f>D410+G410</f>
        <v>151201598.47600001</v>
      </c>
      <c r="I410" s="1021"/>
      <c r="J410" s="1022"/>
      <c r="K410" s="1022"/>
      <c r="L410" s="1023"/>
      <c r="N410" s="633" t="s">
        <v>205</v>
      </c>
      <c r="O410" s="689">
        <v>0</v>
      </c>
      <c r="P410" s="637">
        <f t="shared" si="62"/>
        <v>0</v>
      </c>
      <c r="Q410" s="637">
        <f t="shared" si="63"/>
        <v>0</v>
      </c>
    </row>
    <row r="411" spans="1:17" x14ac:dyDescent="0.2">
      <c r="A411" s="1019"/>
      <c r="B411" s="81">
        <v>53103050000000</v>
      </c>
      <c r="C411" s="634" t="s">
        <v>198</v>
      </c>
      <c r="D411" s="638">
        <v>0</v>
      </c>
      <c r="E411" s="641">
        <v>0</v>
      </c>
      <c r="F411" s="639">
        <v>0</v>
      </c>
      <c r="G411" s="658">
        <f>E411*F411</f>
        <v>0</v>
      </c>
      <c r="H411" s="650">
        <f>D411+G411</f>
        <v>0</v>
      </c>
      <c r="I411" s="1021"/>
      <c r="J411" s="1022"/>
      <c r="K411" s="1022"/>
      <c r="L411" s="1023"/>
      <c r="N411" s="634" t="s">
        <v>206</v>
      </c>
      <c r="O411" s="689">
        <v>266910</v>
      </c>
      <c r="P411" s="637">
        <f t="shared" si="62"/>
        <v>186837</v>
      </c>
      <c r="Q411" s="637">
        <f t="shared" si="63"/>
        <v>80073</v>
      </c>
    </row>
    <row r="412" spans="1:17" x14ac:dyDescent="0.2">
      <c r="A412" s="1019"/>
      <c r="B412" s="690">
        <v>53103040400000</v>
      </c>
      <c r="C412" s="691" t="s">
        <v>199</v>
      </c>
      <c r="D412" s="638">
        <f>4233111</f>
        <v>4233111</v>
      </c>
      <c r="E412" s="641">
        <v>0</v>
      </c>
      <c r="F412" s="639">
        <v>0</v>
      </c>
      <c r="G412" s="658">
        <f>E412*F412</f>
        <v>0</v>
      </c>
      <c r="H412" s="650">
        <f>D412+G412</f>
        <v>4233111</v>
      </c>
      <c r="I412" s="1021"/>
      <c r="J412" s="1022"/>
      <c r="K412" s="1022"/>
      <c r="L412" s="1023"/>
      <c r="N412" s="634" t="s">
        <v>22</v>
      </c>
      <c r="O412" s="689">
        <v>1500000</v>
      </c>
      <c r="P412" s="637">
        <f t="shared" si="62"/>
        <v>1050000</v>
      </c>
      <c r="Q412" s="637">
        <f t="shared" si="63"/>
        <v>450000</v>
      </c>
    </row>
    <row r="413" spans="1:17" x14ac:dyDescent="0.2">
      <c r="A413" s="1019"/>
      <c r="B413" s="81">
        <v>53103080010000</v>
      </c>
      <c r="C413" s="634" t="s">
        <v>200</v>
      </c>
      <c r="D413" s="638">
        <v>0</v>
      </c>
      <c r="E413" s="641">
        <v>0</v>
      </c>
      <c r="F413" s="639">
        <v>0</v>
      </c>
      <c r="G413" s="658">
        <f>E413*F413</f>
        <v>0</v>
      </c>
      <c r="H413" s="650">
        <f>D413+G413</f>
        <v>0</v>
      </c>
      <c r="I413" s="1021"/>
      <c r="J413" s="1022"/>
      <c r="K413" s="1022"/>
      <c r="L413" s="1023"/>
      <c r="N413" s="634" t="s">
        <v>208</v>
      </c>
      <c r="O413" s="689">
        <v>679990</v>
      </c>
      <c r="P413" s="637">
        <f t="shared" si="62"/>
        <v>475992.99999999994</v>
      </c>
      <c r="Q413" s="637">
        <f t="shared" si="63"/>
        <v>203997</v>
      </c>
    </row>
    <row r="414" spans="1:17" x14ac:dyDescent="0.2">
      <c r="A414" s="1019"/>
      <c r="B414" s="80"/>
      <c r="C414" s="644" t="s">
        <v>16</v>
      </c>
      <c r="D414" s="646">
        <f>SUM(D415:D434)</f>
        <v>13110118</v>
      </c>
      <c r="E414" s="647"/>
      <c r="F414" s="647"/>
      <c r="G414" s="646">
        <f>SUM(G415:G434)</f>
        <v>25657500</v>
      </c>
      <c r="H414" s="651">
        <f>SUM(H415:H434)</f>
        <v>38767618</v>
      </c>
      <c r="I414" s="1021"/>
      <c r="J414" s="1022"/>
      <c r="K414" s="1022"/>
      <c r="L414" s="1023"/>
      <c r="N414" s="634" t="s">
        <v>24</v>
      </c>
      <c r="O414" s="689">
        <v>4111480</v>
      </c>
      <c r="P414" s="637">
        <f t="shared" si="62"/>
        <v>2878036</v>
      </c>
      <c r="Q414" s="637">
        <f t="shared" si="63"/>
        <v>1233444</v>
      </c>
    </row>
    <row r="415" spans="1:17" x14ac:dyDescent="0.2">
      <c r="A415" s="1019"/>
      <c r="B415" s="81">
        <v>53201010100000</v>
      </c>
      <c r="C415" s="633" t="s">
        <v>201</v>
      </c>
      <c r="D415" s="638">
        <v>0</v>
      </c>
      <c r="E415" s="641">
        <v>1785</v>
      </c>
      <c r="F415" s="639">
        <f>25*11*20</f>
        <v>5500</v>
      </c>
      <c r="G415" s="658">
        <f t="shared" ref="G415:G434" si="64">E415*F415</f>
        <v>9817500</v>
      </c>
      <c r="H415" s="650">
        <f t="shared" ref="H415:H420" si="65">D415+G415</f>
        <v>9817500</v>
      </c>
      <c r="I415" s="1021"/>
      <c r="J415" s="1022"/>
      <c r="K415" s="1022"/>
      <c r="L415" s="1023"/>
      <c r="N415" s="634" t="s">
        <v>25</v>
      </c>
      <c r="O415" s="689">
        <v>2252200</v>
      </c>
      <c r="P415" s="637">
        <f t="shared" si="62"/>
        <v>1576540</v>
      </c>
      <c r="Q415" s="637">
        <f t="shared" si="63"/>
        <v>675660</v>
      </c>
    </row>
    <row r="416" spans="1:17" x14ac:dyDescent="0.2">
      <c r="A416" s="1019"/>
      <c r="B416" s="81">
        <v>53201010100000</v>
      </c>
      <c r="C416" s="633" t="s">
        <v>202</v>
      </c>
      <c r="D416" s="638">
        <v>0</v>
      </c>
      <c r="E416" s="641">
        <v>1000</v>
      </c>
      <c r="F416" s="639">
        <f>72*11*20</f>
        <v>15840</v>
      </c>
      <c r="G416" s="658">
        <f t="shared" si="64"/>
        <v>15840000</v>
      </c>
      <c r="H416" s="650">
        <f t="shared" si="65"/>
        <v>15840000</v>
      </c>
      <c r="I416" s="1021"/>
      <c r="J416" s="1022"/>
      <c r="K416" s="1022"/>
      <c r="L416" s="1023"/>
      <c r="N416" s="634" t="s">
        <v>26</v>
      </c>
      <c r="O416" s="689">
        <v>3948480</v>
      </c>
      <c r="P416" s="637">
        <f t="shared" si="62"/>
        <v>2763936</v>
      </c>
      <c r="Q416" s="637">
        <f t="shared" si="63"/>
        <v>1184544</v>
      </c>
    </row>
    <row r="417" spans="1:17" x14ac:dyDescent="0.2">
      <c r="A417" s="1019"/>
      <c r="B417" s="81">
        <v>53201010100000</v>
      </c>
      <c r="C417" s="633" t="s">
        <v>203</v>
      </c>
      <c r="D417" s="638">
        <v>0</v>
      </c>
      <c r="E417" s="641">
        <v>0</v>
      </c>
      <c r="F417" s="639">
        <v>0</v>
      </c>
      <c r="G417" s="658">
        <f t="shared" si="64"/>
        <v>0</v>
      </c>
      <c r="H417" s="650">
        <f t="shared" si="65"/>
        <v>0</v>
      </c>
      <c r="I417" s="1021"/>
      <c r="J417" s="1022"/>
      <c r="K417" s="1022"/>
      <c r="L417" s="1023"/>
      <c r="N417" s="634" t="s">
        <v>27</v>
      </c>
      <c r="O417" s="689">
        <v>528000</v>
      </c>
      <c r="P417" s="637">
        <f t="shared" si="62"/>
        <v>369600</v>
      </c>
      <c r="Q417" s="637">
        <f t="shared" si="63"/>
        <v>158400</v>
      </c>
    </row>
    <row r="418" spans="1:17" x14ac:dyDescent="0.2">
      <c r="A418" s="1019"/>
      <c r="B418" s="81">
        <v>53202010100000</v>
      </c>
      <c r="C418" s="633" t="s">
        <v>204</v>
      </c>
      <c r="D418" s="696">
        <f>+P408</f>
        <v>0</v>
      </c>
      <c r="E418" s="697">
        <v>0</v>
      </c>
      <c r="F418" s="698">
        <v>0</v>
      </c>
      <c r="G418" s="658">
        <f t="shared" si="64"/>
        <v>0</v>
      </c>
      <c r="H418" s="650">
        <f t="shared" si="65"/>
        <v>0</v>
      </c>
      <c r="I418" s="1021"/>
      <c r="J418" s="1022"/>
      <c r="K418" s="1022"/>
      <c r="L418" s="1023"/>
      <c r="N418" s="634" t="s">
        <v>29</v>
      </c>
      <c r="O418" s="689">
        <v>105050</v>
      </c>
      <c r="P418" s="637">
        <f t="shared" si="62"/>
        <v>73535</v>
      </c>
      <c r="Q418" s="637">
        <f t="shared" si="63"/>
        <v>31515</v>
      </c>
    </row>
    <row r="419" spans="1:17" x14ac:dyDescent="0.2">
      <c r="A419" s="1019"/>
      <c r="B419" s="81">
        <v>53203010100000</v>
      </c>
      <c r="C419" s="633" t="s">
        <v>19</v>
      </c>
      <c r="D419" s="696">
        <f t="shared" ref="D419:D434" si="66">+P409</f>
        <v>0</v>
      </c>
      <c r="E419" s="697">
        <v>0</v>
      </c>
      <c r="F419" s="698">
        <v>0</v>
      </c>
      <c r="G419" s="658">
        <f t="shared" si="64"/>
        <v>0</v>
      </c>
      <c r="H419" s="650">
        <f t="shared" si="65"/>
        <v>0</v>
      </c>
      <c r="I419" s="1021"/>
      <c r="J419" s="1022"/>
      <c r="K419" s="1022"/>
      <c r="L419" s="1023"/>
      <c r="N419" s="634" t="s">
        <v>30</v>
      </c>
      <c r="O419" s="689">
        <v>2055430</v>
      </c>
      <c r="P419" s="637">
        <f t="shared" si="62"/>
        <v>1438801</v>
      </c>
      <c r="Q419" s="637">
        <f t="shared" si="63"/>
        <v>616629</v>
      </c>
    </row>
    <row r="420" spans="1:17" x14ac:dyDescent="0.2">
      <c r="A420" s="1019"/>
      <c r="B420" s="81">
        <v>53203030000000</v>
      </c>
      <c r="C420" s="633" t="s">
        <v>205</v>
      </c>
      <c r="D420" s="696">
        <f t="shared" si="66"/>
        <v>0</v>
      </c>
      <c r="E420" s="697">
        <v>0</v>
      </c>
      <c r="F420" s="698">
        <v>0</v>
      </c>
      <c r="G420" s="658">
        <f t="shared" si="64"/>
        <v>0</v>
      </c>
      <c r="H420" s="650">
        <f t="shared" si="65"/>
        <v>0</v>
      </c>
      <c r="I420" s="1021"/>
      <c r="J420" s="1022"/>
      <c r="K420" s="1022"/>
      <c r="L420" s="1023"/>
      <c r="N420" s="634" t="s">
        <v>31</v>
      </c>
      <c r="O420" s="689">
        <v>0</v>
      </c>
      <c r="P420" s="637">
        <f t="shared" si="62"/>
        <v>0</v>
      </c>
      <c r="Q420" s="637">
        <f t="shared" si="63"/>
        <v>0</v>
      </c>
    </row>
    <row r="421" spans="1:17" x14ac:dyDescent="0.2">
      <c r="A421" s="1019"/>
      <c r="B421" s="81">
        <v>53204030000000</v>
      </c>
      <c r="C421" s="634" t="s">
        <v>206</v>
      </c>
      <c r="D421" s="696">
        <f t="shared" si="66"/>
        <v>186837</v>
      </c>
      <c r="E421" s="697">
        <v>0</v>
      </c>
      <c r="F421" s="698">
        <v>0</v>
      </c>
      <c r="G421" s="658">
        <f t="shared" si="64"/>
        <v>0</v>
      </c>
      <c r="H421" s="650">
        <f>D421+G421</f>
        <v>186837</v>
      </c>
      <c r="I421" s="1021"/>
      <c r="J421" s="1022"/>
      <c r="K421" s="1022"/>
      <c r="L421" s="1023"/>
      <c r="N421" s="634" t="s">
        <v>209</v>
      </c>
      <c r="O421" s="689">
        <v>30000</v>
      </c>
      <c r="P421" s="637">
        <f t="shared" si="62"/>
        <v>21000</v>
      </c>
      <c r="Q421" s="637">
        <f t="shared" si="63"/>
        <v>9000</v>
      </c>
    </row>
    <row r="422" spans="1:17" x14ac:dyDescent="0.2">
      <c r="A422" s="1019"/>
      <c r="B422" s="81">
        <v>53204100100001</v>
      </c>
      <c r="C422" s="634" t="s">
        <v>22</v>
      </c>
      <c r="D422" s="696">
        <f t="shared" si="66"/>
        <v>1050000</v>
      </c>
      <c r="E422" s="697">
        <v>0</v>
      </c>
      <c r="F422" s="698">
        <v>0</v>
      </c>
      <c r="G422" s="658">
        <f t="shared" si="64"/>
        <v>0</v>
      </c>
      <c r="H422" s="650">
        <f t="shared" ref="H422:H434" si="67">D422+G422</f>
        <v>1050000</v>
      </c>
      <c r="I422" s="1021"/>
      <c r="J422" s="1022"/>
      <c r="K422" s="1022"/>
      <c r="L422" s="1023"/>
      <c r="N422" s="634" t="s">
        <v>32</v>
      </c>
      <c r="O422" s="689">
        <v>0</v>
      </c>
      <c r="P422" s="637">
        <f t="shared" si="62"/>
        <v>0</v>
      </c>
      <c r="Q422" s="637">
        <f t="shared" si="63"/>
        <v>0</v>
      </c>
    </row>
    <row r="423" spans="1:17" x14ac:dyDescent="0.2">
      <c r="A423" s="1019"/>
      <c r="B423" s="81">
        <v>53204130100000</v>
      </c>
      <c r="C423" s="634" t="s">
        <v>208</v>
      </c>
      <c r="D423" s="696">
        <f t="shared" si="66"/>
        <v>475992.99999999994</v>
      </c>
      <c r="E423" s="697">
        <v>0</v>
      </c>
      <c r="F423" s="698">
        <v>0</v>
      </c>
      <c r="G423" s="658">
        <f t="shared" si="64"/>
        <v>0</v>
      </c>
      <c r="H423" s="650">
        <f t="shared" si="67"/>
        <v>475992.99999999994</v>
      </c>
      <c r="I423" s="1021"/>
      <c r="J423" s="1022"/>
      <c r="K423" s="1022"/>
      <c r="L423" s="1023"/>
      <c r="N423" s="634" t="s">
        <v>210</v>
      </c>
      <c r="O423" s="689">
        <f>290120*10</f>
        <v>2901200</v>
      </c>
      <c r="P423" s="637">
        <f t="shared" si="62"/>
        <v>2030839.9999999998</v>
      </c>
      <c r="Q423" s="637">
        <f t="shared" si="63"/>
        <v>870360</v>
      </c>
    </row>
    <row r="424" spans="1:17" x14ac:dyDescent="0.2">
      <c r="A424" s="1019"/>
      <c r="B424" s="81">
        <v>53205010100000</v>
      </c>
      <c r="C424" s="634" t="s">
        <v>24</v>
      </c>
      <c r="D424" s="696">
        <f t="shared" si="66"/>
        <v>2878036</v>
      </c>
      <c r="E424" s="697">
        <v>0</v>
      </c>
      <c r="F424" s="698">
        <v>0</v>
      </c>
      <c r="G424" s="658">
        <f t="shared" si="64"/>
        <v>0</v>
      </c>
      <c r="H424" s="650">
        <f t="shared" si="67"/>
        <v>2878036</v>
      </c>
      <c r="I424" s="1021"/>
      <c r="J424" s="1022"/>
      <c r="K424" s="1022"/>
      <c r="L424" s="1023"/>
      <c r="N424" s="634" t="s">
        <v>211</v>
      </c>
      <c r="O424" s="689">
        <v>350000</v>
      </c>
      <c r="P424" s="637">
        <f t="shared" si="62"/>
        <v>244999.99999999997</v>
      </c>
      <c r="Q424" s="637">
        <f t="shared" si="63"/>
        <v>105000</v>
      </c>
    </row>
    <row r="425" spans="1:17" x14ac:dyDescent="0.2">
      <c r="A425" s="1019"/>
      <c r="B425" s="81">
        <v>53205020100000</v>
      </c>
      <c r="C425" s="634" t="s">
        <v>25</v>
      </c>
      <c r="D425" s="696">
        <f t="shared" si="66"/>
        <v>1576540</v>
      </c>
      <c r="E425" s="697">
        <v>0</v>
      </c>
      <c r="F425" s="698">
        <v>0</v>
      </c>
      <c r="G425" s="658">
        <f t="shared" si="64"/>
        <v>0</v>
      </c>
      <c r="H425" s="650">
        <f t="shared" si="67"/>
        <v>1576540</v>
      </c>
      <c r="I425" s="1021"/>
      <c r="J425" s="1022"/>
      <c r="K425" s="1022"/>
      <c r="L425" s="1023"/>
      <c r="N425" s="635" t="s">
        <v>214</v>
      </c>
      <c r="O425" s="689">
        <f>23508*3</f>
        <v>70524</v>
      </c>
      <c r="P425" s="637">
        <f t="shared" si="62"/>
        <v>49366.799999999996</v>
      </c>
      <c r="Q425" s="637">
        <f t="shared" si="63"/>
        <v>21157.200000000001</v>
      </c>
    </row>
    <row r="426" spans="1:17" x14ac:dyDescent="0.2">
      <c r="A426" s="1019"/>
      <c r="B426" s="81">
        <v>53205030100000</v>
      </c>
      <c r="C426" s="634" t="s">
        <v>26</v>
      </c>
      <c r="D426" s="696">
        <f t="shared" si="66"/>
        <v>2763936</v>
      </c>
      <c r="E426" s="697">
        <v>0</v>
      </c>
      <c r="F426" s="698">
        <v>0</v>
      </c>
      <c r="G426" s="658">
        <f t="shared" si="64"/>
        <v>0</v>
      </c>
      <c r="H426" s="650">
        <f t="shared" si="67"/>
        <v>2763936</v>
      </c>
      <c r="I426" s="1021"/>
      <c r="J426" s="1022"/>
      <c r="K426" s="1022"/>
      <c r="L426" s="1023"/>
      <c r="N426" s="634" t="s">
        <v>47</v>
      </c>
      <c r="O426" s="689">
        <v>614050</v>
      </c>
      <c r="P426" s="637">
        <f t="shared" si="62"/>
        <v>429835</v>
      </c>
      <c r="Q426" s="637">
        <f t="shared" si="63"/>
        <v>184215</v>
      </c>
    </row>
    <row r="427" spans="1:17" x14ac:dyDescent="0.2">
      <c r="A427" s="1019"/>
      <c r="B427" s="81">
        <v>53205050100000</v>
      </c>
      <c r="C427" s="634" t="s">
        <v>27</v>
      </c>
      <c r="D427" s="696">
        <f t="shared" si="66"/>
        <v>369600</v>
      </c>
      <c r="E427" s="697">
        <v>0</v>
      </c>
      <c r="F427" s="698">
        <v>0</v>
      </c>
      <c r="G427" s="658">
        <f t="shared" si="64"/>
        <v>0</v>
      </c>
      <c r="H427" s="650">
        <f t="shared" si="67"/>
        <v>369600</v>
      </c>
      <c r="I427" s="1021"/>
      <c r="J427" s="1022"/>
      <c r="K427" s="1022"/>
      <c r="L427" s="1023"/>
      <c r="N427" s="636" t="s">
        <v>223</v>
      </c>
      <c r="O427" s="689">
        <v>107500</v>
      </c>
      <c r="P427" s="637">
        <f t="shared" si="62"/>
        <v>75250</v>
      </c>
      <c r="Q427" s="637">
        <f t="shared" si="63"/>
        <v>32250</v>
      </c>
    </row>
    <row r="428" spans="1:17" x14ac:dyDescent="0.2">
      <c r="A428" s="1019"/>
      <c r="B428" s="81">
        <v>53205070100000</v>
      </c>
      <c r="C428" s="634" t="s">
        <v>29</v>
      </c>
      <c r="D428" s="696">
        <f t="shared" si="66"/>
        <v>73535</v>
      </c>
      <c r="E428" s="697">
        <v>0</v>
      </c>
      <c r="F428" s="698">
        <v>0</v>
      </c>
      <c r="G428" s="658">
        <f t="shared" si="64"/>
        <v>0</v>
      </c>
      <c r="H428" s="650">
        <f t="shared" si="67"/>
        <v>73535</v>
      </c>
      <c r="I428" s="1021"/>
      <c r="J428" s="1022"/>
      <c r="K428" s="1022"/>
      <c r="L428" s="1023"/>
      <c r="N428" s="634" t="s">
        <v>49</v>
      </c>
      <c r="O428" s="689">
        <v>0</v>
      </c>
      <c r="P428" s="637">
        <f t="shared" si="62"/>
        <v>0</v>
      </c>
      <c r="Q428" s="637">
        <f t="shared" si="63"/>
        <v>0</v>
      </c>
    </row>
    <row r="429" spans="1:17" x14ac:dyDescent="0.2">
      <c r="A429" s="1019"/>
      <c r="B429" s="81">
        <v>53208010100000</v>
      </c>
      <c r="C429" s="634" t="s">
        <v>30</v>
      </c>
      <c r="D429" s="696">
        <f t="shared" si="66"/>
        <v>1438801</v>
      </c>
      <c r="E429" s="697">
        <v>0</v>
      </c>
      <c r="F429" s="698">
        <v>0</v>
      </c>
      <c r="G429" s="658">
        <f t="shared" si="64"/>
        <v>0</v>
      </c>
      <c r="H429" s="650">
        <f t="shared" si="67"/>
        <v>1438801</v>
      </c>
      <c r="I429" s="1021"/>
      <c r="J429" s="1022"/>
      <c r="K429" s="1022"/>
      <c r="L429" s="1023"/>
      <c r="N429" s="634" t="s">
        <v>50</v>
      </c>
      <c r="O429" s="689">
        <v>3120900</v>
      </c>
      <c r="P429" s="637">
        <f t="shared" si="62"/>
        <v>2184630</v>
      </c>
      <c r="Q429" s="637">
        <f t="shared" si="63"/>
        <v>936270</v>
      </c>
    </row>
    <row r="430" spans="1:17" x14ac:dyDescent="0.2">
      <c r="A430" s="1019"/>
      <c r="B430" s="81">
        <v>53208070100001</v>
      </c>
      <c r="C430" s="634" t="s">
        <v>31</v>
      </c>
      <c r="D430" s="696">
        <f t="shared" si="66"/>
        <v>0</v>
      </c>
      <c r="E430" s="697">
        <v>0</v>
      </c>
      <c r="F430" s="698">
        <v>0</v>
      </c>
      <c r="G430" s="658">
        <f t="shared" si="64"/>
        <v>0</v>
      </c>
      <c r="H430" s="650">
        <f t="shared" si="67"/>
        <v>0</v>
      </c>
      <c r="I430" s="1021"/>
      <c r="J430" s="1022"/>
      <c r="K430" s="1022"/>
      <c r="L430" s="1023"/>
      <c r="N430" s="633" t="s">
        <v>51</v>
      </c>
      <c r="O430" s="689">
        <v>300000</v>
      </c>
      <c r="P430" s="637">
        <f t="shared" si="62"/>
        <v>210000</v>
      </c>
      <c r="Q430" s="637">
        <f t="shared" si="63"/>
        <v>90000</v>
      </c>
    </row>
    <row r="431" spans="1:17" x14ac:dyDescent="0.2">
      <c r="A431" s="1019"/>
      <c r="B431" s="81">
        <v>53208100100001</v>
      </c>
      <c r="C431" s="634" t="s">
        <v>209</v>
      </c>
      <c r="D431" s="696">
        <f t="shared" si="66"/>
        <v>21000</v>
      </c>
      <c r="E431" s="697">
        <v>0</v>
      </c>
      <c r="F431" s="698">
        <v>0</v>
      </c>
      <c r="G431" s="658">
        <f t="shared" si="64"/>
        <v>0</v>
      </c>
      <c r="H431" s="650">
        <f t="shared" si="67"/>
        <v>21000</v>
      </c>
      <c r="I431" s="1021"/>
      <c r="J431" s="1022"/>
      <c r="K431" s="1022"/>
      <c r="L431" s="1023"/>
      <c r="N431" s="634" t="s">
        <v>52</v>
      </c>
      <c r="O431" s="689">
        <v>749850</v>
      </c>
      <c r="P431" s="637">
        <f t="shared" si="62"/>
        <v>524895</v>
      </c>
      <c r="Q431" s="637">
        <f t="shared" si="63"/>
        <v>224955</v>
      </c>
    </row>
    <row r="432" spans="1:17" x14ac:dyDescent="0.2">
      <c r="A432" s="1019"/>
      <c r="B432" s="81">
        <v>53211030000000</v>
      </c>
      <c r="C432" s="634" t="s">
        <v>32</v>
      </c>
      <c r="D432" s="696">
        <f t="shared" si="66"/>
        <v>0</v>
      </c>
      <c r="E432" s="697">
        <v>0</v>
      </c>
      <c r="F432" s="698">
        <v>0</v>
      </c>
      <c r="G432" s="658">
        <f t="shared" si="64"/>
        <v>0</v>
      </c>
      <c r="H432" s="650">
        <f t="shared" si="67"/>
        <v>0</v>
      </c>
      <c r="I432" s="1021"/>
      <c r="J432" s="1022"/>
      <c r="K432" s="1022"/>
      <c r="L432" s="1023"/>
      <c r="N432" s="634" t="s">
        <v>215</v>
      </c>
      <c r="O432" s="689">
        <v>2158115</v>
      </c>
      <c r="P432" s="637">
        <f t="shared" si="62"/>
        <v>1510680.5</v>
      </c>
      <c r="Q432" s="637">
        <f t="shared" si="63"/>
        <v>647434.5</v>
      </c>
    </row>
    <row r="433" spans="1:17" x14ac:dyDescent="0.2">
      <c r="A433" s="1019"/>
      <c r="B433" s="81">
        <v>53212020100000</v>
      </c>
      <c r="C433" s="634" t="s">
        <v>210</v>
      </c>
      <c r="D433" s="696">
        <f t="shared" si="66"/>
        <v>2030839.9999999998</v>
      </c>
      <c r="E433" s="697">
        <v>0</v>
      </c>
      <c r="F433" s="698">
        <v>0</v>
      </c>
      <c r="G433" s="658">
        <f t="shared" si="64"/>
        <v>0</v>
      </c>
      <c r="H433" s="650">
        <f t="shared" si="67"/>
        <v>2030839.9999999998</v>
      </c>
      <c r="I433" s="1021"/>
      <c r="J433" s="1022"/>
      <c r="K433" s="1022"/>
      <c r="L433" s="1023"/>
      <c r="N433" s="691" t="s">
        <v>207</v>
      </c>
      <c r="O433" s="689">
        <v>100000</v>
      </c>
      <c r="P433" s="637">
        <f t="shared" si="62"/>
        <v>70000</v>
      </c>
      <c r="Q433" s="637">
        <f t="shared" si="63"/>
        <v>30000</v>
      </c>
    </row>
    <row r="434" spans="1:17" ht="15.75" customHeight="1" x14ac:dyDescent="0.2">
      <c r="A434" s="1019"/>
      <c r="B434" s="81">
        <v>53214020000000</v>
      </c>
      <c r="C434" s="634" t="s">
        <v>211</v>
      </c>
      <c r="D434" s="696">
        <f t="shared" si="66"/>
        <v>244999.99999999997</v>
      </c>
      <c r="E434" s="697">
        <v>0</v>
      </c>
      <c r="F434" s="698">
        <v>0</v>
      </c>
      <c r="G434" s="658">
        <f t="shared" si="64"/>
        <v>0</v>
      </c>
      <c r="H434" s="650">
        <f t="shared" si="67"/>
        <v>244999.99999999997</v>
      </c>
      <c r="I434" s="1021"/>
      <c r="J434" s="1022"/>
      <c r="K434" s="1022"/>
      <c r="L434" s="1023"/>
      <c r="N434" s="634" t="s">
        <v>56</v>
      </c>
      <c r="O434" s="689">
        <v>0</v>
      </c>
      <c r="P434" s="637">
        <f t="shared" si="62"/>
        <v>0</v>
      </c>
      <c r="Q434" s="637">
        <f t="shared" si="63"/>
        <v>0</v>
      </c>
    </row>
    <row r="435" spans="1:17" x14ac:dyDescent="0.2">
      <c r="A435" s="1019"/>
      <c r="B435" s="79"/>
      <c r="C435" s="648" t="s">
        <v>34</v>
      </c>
      <c r="D435" s="659">
        <f>SUM(D436,D441,D443,D452,D461,D469)</f>
        <v>9298132.3999999985</v>
      </c>
      <c r="E435" s="660"/>
      <c r="F435" s="660"/>
      <c r="G435" s="659">
        <f>SUM(G436,G441,G443,G452,G461,G469)</f>
        <v>2310050</v>
      </c>
      <c r="H435" s="652">
        <f>SUM(H436,H441,H443,H452,H461,H469)</f>
        <v>11608182.399999999</v>
      </c>
      <c r="I435" s="1021"/>
      <c r="J435" s="1022"/>
      <c r="K435" s="1022"/>
      <c r="L435" s="1023"/>
      <c r="N435" s="634" t="s">
        <v>57</v>
      </c>
      <c r="O435" s="689">
        <v>330000</v>
      </c>
      <c r="P435" s="637">
        <f t="shared" si="62"/>
        <v>230999.99999999997</v>
      </c>
      <c r="Q435" s="637">
        <f t="shared" si="63"/>
        <v>99000</v>
      </c>
    </row>
    <row r="436" spans="1:17" x14ac:dyDescent="0.2">
      <c r="A436" s="1019"/>
      <c r="B436" s="80"/>
      <c r="C436" s="644" t="s">
        <v>35</v>
      </c>
      <c r="D436" s="646">
        <f>SUM(D437:D440)</f>
        <v>179366.8</v>
      </c>
      <c r="E436" s="647"/>
      <c r="F436" s="647"/>
      <c r="G436" s="661">
        <f>SUM(G437:G440)</f>
        <v>901730</v>
      </c>
      <c r="H436" s="653">
        <f>SUM(H437:H440)</f>
        <v>1081096.8</v>
      </c>
      <c r="I436" s="1021"/>
      <c r="J436" s="1022"/>
      <c r="K436" s="1022"/>
      <c r="L436" s="1023"/>
      <c r="N436" s="633" t="s">
        <v>197</v>
      </c>
      <c r="O436" s="689">
        <v>0</v>
      </c>
      <c r="P436" s="637">
        <f t="shared" si="62"/>
        <v>0</v>
      </c>
      <c r="Q436" s="637">
        <f t="shared" si="63"/>
        <v>0</v>
      </c>
    </row>
    <row r="437" spans="1:17" x14ac:dyDescent="0.2">
      <c r="A437" s="1019"/>
      <c r="B437" s="81">
        <v>53202020100000</v>
      </c>
      <c r="C437" s="634" t="s">
        <v>212</v>
      </c>
      <c r="D437" s="638">
        <v>130000</v>
      </c>
      <c r="E437" s="641">
        <v>25990</v>
      </c>
      <c r="F437" s="639">
        <v>22</v>
      </c>
      <c r="G437" s="658">
        <f>E437*F437</f>
        <v>571780</v>
      </c>
      <c r="H437" s="650">
        <f>D437+G437</f>
        <v>701780</v>
      </c>
      <c r="I437" s="1021"/>
      <c r="J437" s="1022"/>
      <c r="K437" s="1022"/>
      <c r="L437" s="1023"/>
      <c r="N437" s="633" t="s">
        <v>216</v>
      </c>
      <c r="O437" s="689">
        <v>1280000</v>
      </c>
      <c r="P437" s="637">
        <f t="shared" si="62"/>
        <v>896000</v>
      </c>
      <c r="Q437" s="637">
        <f t="shared" si="63"/>
        <v>384000</v>
      </c>
    </row>
    <row r="438" spans="1:17" x14ac:dyDescent="0.2">
      <c r="A438" s="1019"/>
      <c r="B438" s="81">
        <v>53202030000000</v>
      </c>
      <c r="C438" s="634" t="s">
        <v>213</v>
      </c>
      <c r="D438" s="638">
        <v>0</v>
      </c>
      <c r="E438" s="641">
        <v>29990</v>
      </c>
      <c r="F438" s="639">
        <v>5</v>
      </c>
      <c r="G438" s="658">
        <f>E438*F438</f>
        <v>149950</v>
      </c>
      <c r="H438" s="650">
        <f>D438+G438</f>
        <v>149950</v>
      </c>
      <c r="I438" s="1021"/>
      <c r="J438" s="1022"/>
      <c r="K438" s="1022"/>
      <c r="L438" s="1023"/>
      <c r="N438" s="633" t="s">
        <v>220</v>
      </c>
      <c r="O438" s="689">
        <v>1080000</v>
      </c>
      <c r="P438" s="637">
        <f t="shared" si="62"/>
        <v>756000</v>
      </c>
      <c r="Q438" s="637">
        <f t="shared" si="63"/>
        <v>324000</v>
      </c>
    </row>
    <row r="439" spans="1:17" x14ac:dyDescent="0.2">
      <c r="A439" s="1019"/>
      <c r="B439" s="81">
        <v>53211020000000</v>
      </c>
      <c r="C439" s="634" t="s">
        <v>41</v>
      </c>
      <c r="D439" s="638">
        <v>0</v>
      </c>
      <c r="E439" s="641">
        <v>60000</v>
      </c>
      <c r="F439" s="639">
        <v>3</v>
      </c>
      <c r="G439" s="658">
        <f>E439*F439</f>
        <v>180000</v>
      </c>
      <c r="H439" s="650">
        <f>D439+G439</f>
        <v>180000</v>
      </c>
      <c r="I439" s="1021"/>
      <c r="J439" s="1022"/>
      <c r="K439" s="1022"/>
      <c r="L439" s="1023"/>
      <c r="N439" s="633" t="s">
        <v>218</v>
      </c>
      <c r="O439" s="689">
        <v>0</v>
      </c>
      <c r="P439" s="637">
        <f t="shared" si="62"/>
        <v>0</v>
      </c>
      <c r="Q439" s="637">
        <f t="shared" si="63"/>
        <v>0</v>
      </c>
    </row>
    <row r="440" spans="1:17" x14ac:dyDescent="0.2">
      <c r="A440" s="1019"/>
      <c r="B440" s="81">
        <v>53101040600000</v>
      </c>
      <c r="C440" s="635" t="s">
        <v>214</v>
      </c>
      <c r="D440" s="696">
        <f>+P425</f>
        <v>49366.799999999996</v>
      </c>
      <c r="E440" s="697">
        <v>0</v>
      </c>
      <c r="F440" s="698">
        <v>0</v>
      </c>
      <c r="G440" s="658">
        <f>E440*F440</f>
        <v>0</v>
      </c>
      <c r="H440" s="650">
        <f>D440+G440</f>
        <v>49366.799999999996</v>
      </c>
      <c r="I440" s="1021"/>
      <c r="J440" s="1022"/>
      <c r="K440" s="1022"/>
      <c r="L440" s="1023"/>
      <c r="N440" s="634" t="s">
        <v>64</v>
      </c>
      <c r="O440" s="689">
        <f>1319000+250743</f>
        <v>1569743</v>
      </c>
      <c r="P440" s="637">
        <f t="shared" si="62"/>
        <v>1098820.0999999999</v>
      </c>
      <c r="Q440" s="637">
        <f t="shared" si="63"/>
        <v>470922.89999999997</v>
      </c>
    </row>
    <row r="441" spans="1:17" x14ac:dyDescent="0.2">
      <c r="A441" s="1019"/>
      <c r="B441" s="80"/>
      <c r="C441" s="644" t="s">
        <v>42</v>
      </c>
      <c r="D441" s="646">
        <f>SUM(D442:D442)</f>
        <v>0</v>
      </c>
      <c r="E441" s="647"/>
      <c r="F441" s="647"/>
      <c r="G441" s="661">
        <f>SUM(G442:G442)</f>
        <v>0</v>
      </c>
      <c r="H441" s="653">
        <f>SUM(H442:H442)</f>
        <v>0</v>
      </c>
      <c r="I441" s="1021"/>
      <c r="J441" s="1022"/>
      <c r="K441" s="1022"/>
      <c r="L441" s="1023"/>
      <c r="N441" s="634" t="s">
        <v>102</v>
      </c>
      <c r="O441" s="689">
        <v>0</v>
      </c>
      <c r="P441" s="637">
        <f t="shared" si="62"/>
        <v>0</v>
      </c>
      <c r="Q441" s="637">
        <f t="shared" si="63"/>
        <v>0</v>
      </c>
    </row>
    <row r="442" spans="1:17" x14ac:dyDescent="0.2">
      <c r="A442" s="1019"/>
      <c r="B442" s="632">
        <v>53205990000000</v>
      </c>
      <c r="C442" s="636" t="s">
        <v>44</v>
      </c>
      <c r="D442" s="638">
        <v>0</v>
      </c>
      <c r="E442" s="641">
        <v>0</v>
      </c>
      <c r="F442" s="639">
        <v>0</v>
      </c>
      <c r="G442" s="658">
        <f>E442*F442</f>
        <v>0</v>
      </c>
      <c r="H442" s="650">
        <f>D442+G442</f>
        <v>0</v>
      </c>
      <c r="I442" s="1021"/>
      <c r="J442" s="1022"/>
      <c r="K442" s="1022"/>
      <c r="L442" s="1023"/>
      <c r="N442" s="634" t="s">
        <v>103</v>
      </c>
      <c r="O442" s="689">
        <v>400000</v>
      </c>
      <c r="P442" s="637">
        <f t="shared" si="62"/>
        <v>280000</v>
      </c>
      <c r="Q442" s="637">
        <f t="shared" si="63"/>
        <v>120000</v>
      </c>
    </row>
    <row r="443" spans="1:17" x14ac:dyDescent="0.2">
      <c r="A443" s="1019"/>
      <c r="B443" s="80"/>
      <c r="C443" s="644" t="s">
        <v>45</v>
      </c>
      <c r="D443" s="646">
        <f>SUM(D444:D451)</f>
        <v>5005290.5</v>
      </c>
      <c r="E443" s="647"/>
      <c r="F443" s="647"/>
      <c r="G443" s="646">
        <f>SUM(G444:G451)</f>
        <v>0</v>
      </c>
      <c r="H443" s="651">
        <f>SUM(H444:H451)</f>
        <v>5005290.5</v>
      </c>
      <c r="I443" s="1021"/>
      <c r="J443" s="1022"/>
      <c r="K443" s="1022"/>
      <c r="L443" s="1023"/>
      <c r="N443" s="634" t="s">
        <v>221</v>
      </c>
      <c r="O443" s="689">
        <v>350000</v>
      </c>
      <c r="P443" s="637">
        <f t="shared" si="62"/>
        <v>244999.99999999997</v>
      </c>
      <c r="Q443" s="637">
        <f t="shared" si="63"/>
        <v>105000</v>
      </c>
    </row>
    <row r="444" spans="1:17" x14ac:dyDescent="0.2">
      <c r="A444" s="1019"/>
      <c r="B444" s="81">
        <v>53204010000000</v>
      </c>
      <c r="C444" s="634" t="s">
        <v>47</v>
      </c>
      <c r="D444" s="696">
        <f>+P426</f>
        <v>429835</v>
      </c>
      <c r="E444" s="696">
        <v>0</v>
      </c>
      <c r="F444" s="698">
        <v>0</v>
      </c>
      <c r="G444" s="658">
        <f t="shared" ref="G444:G451" si="68">E444*F444</f>
        <v>0</v>
      </c>
      <c r="H444" s="650">
        <f t="shared" ref="H444:H451" si="69">D444+G444</f>
        <v>429835</v>
      </c>
      <c r="I444" s="1021"/>
      <c r="J444" s="1022"/>
      <c r="K444" s="1022"/>
      <c r="L444" s="1023"/>
      <c r="N444" s="634" t="s">
        <v>105</v>
      </c>
      <c r="O444" s="689">
        <v>0</v>
      </c>
      <c r="P444" s="637">
        <f t="shared" si="62"/>
        <v>0</v>
      </c>
      <c r="Q444" s="637">
        <f t="shared" si="63"/>
        <v>0</v>
      </c>
    </row>
    <row r="445" spans="1:17" x14ac:dyDescent="0.2">
      <c r="A445" s="1019"/>
      <c r="B445" s="632">
        <v>53204040200000</v>
      </c>
      <c r="C445" s="636" t="s">
        <v>223</v>
      </c>
      <c r="D445" s="696">
        <f t="shared" ref="D445:D451" si="70">+P427</f>
        <v>75250</v>
      </c>
      <c r="E445" s="696">
        <v>0</v>
      </c>
      <c r="F445" s="698">
        <v>0</v>
      </c>
      <c r="G445" s="658">
        <f t="shared" si="68"/>
        <v>0</v>
      </c>
      <c r="H445" s="650">
        <f t="shared" si="69"/>
        <v>75250</v>
      </c>
      <c r="I445" s="1021"/>
      <c r="J445" s="1022"/>
      <c r="K445" s="1022"/>
      <c r="L445" s="1023"/>
      <c r="N445" s="634" t="s">
        <v>222</v>
      </c>
      <c r="O445" s="689">
        <v>0</v>
      </c>
      <c r="P445" s="637">
        <f t="shared" si="62"/>
        <v>0</v>
      </c>
      <c r="Q445" s="637">
        <f t="shared" si="63"/>
        <v>0</v>
      </c>
    </row>
    <row r="446" spans="1:17" x14ac:dyDescent="0.2">
      <c r="A446" s="1019"/>
      <c r="B446" s="81">
        <v>53204060000000</v>
      </c>
      <c r="C446" s="634" t="s">
        <v>49</v>
      </c>
      <c r="D446" s="696">
        <f t="shared" si="70"/>
        <v>0</v>
      </c>
      <c r="E446" s="696">
        <v>0</v>
      </c>
      <c r="F446" s="698">
        <v>0</v>
      </c>
      <c r="G446" s="658">
        <f t="shared" si="68"/>
        <v>0</v>
      </c>
      <c r="H446" s="650">
        <f t="shared" si="69"/>
        <v>0</v>
      </c>
      <c r="I446" s="1021"/>
      <c r="J446" s="1022"/>
      <c r="K446" s="1022"/>
      <c r="L446" s="1023"/>
      <c r="N446" s="634" t="s">
        <v>107</v>
      </c>
      <c r="O446" s="689">
        <v>866650</v>
      </c>
      <c r="P446" s="637">
        <f t="shared" si="62"/>
        <v>606655</v>
      </c>
      <c r="Q446" s="637">
        <f t="shared" si="63"/>
        <v>259995</v>
      </c>
    </row>
    <row r="447" spans="1:17" x14ac:dyDescent="0.2">
      <c r="A447" s="1019"/>
      <c r="B447" s="81">
        <v>53204070000000</v>
      </c>
      <c r="C447" s="634" t="s">
        <v>50</v>
      </c>
      <c r="D447" s="696">
        <f t="shared" si="70"/>
        <v>2184630</v>
      </c>
      <c r="E447" s="696">
        <v>0</v>
      </c>
      <c r="F447" s="698">
        <v>0</v>
      </c>
      <c r="G447" s="658">
        <f t="shared" si="68"/>
        <v>0</v>
      </c>
      <c r="H447" s="650">
        <f t="shared" si="69"/>
        <v>2184630</v>
      </c>
      <c r="I447" s="1021"/>
      <c r="J447" s="1022"/>
      <c r="K447" s="1022"/>
      <c r="L447" s="1023"/>
      <c r="N447" s="634" t="s">
        <v>100</v>
      </c>
      <c r="O447" s="689">
        <v>0</v>
      </c>
      <c r="P447" s="637">
        <f t="shared" si="62"/>
        <v>0</v>
      </c>
      <c r="Q447" s="637">
        <f t="shared" si="63"/>
        <v>0</v>
      </c>
    </row>
    <row r="448" spans="1:17" x14ac:dyDescent="0.2">
      <c r="A448" s="1019"/>
      <c r="B448" s="81">
        <v>53204080000000</v>
      </c>
      <c r="C448" s="633" t="s">
        <v>51</v>
      </c>
      <c r="D448" s="696">
        <f t="shared" si="70"/>
        <v>210000</v>
      </c>
      <c r="E448" s="696">
        <v>0</v>
      </c>
      <c r="F448" s="698">
        <v>0</v>
      </c>
      <c r="G448" s="658">
        <f t="shared" si="68"/>
        <v>0</v>
      </c>
      <c r="H448" s="650">
        <f t="shared" si="69"/>
        <v>210000</v>
      </c>
      <c r="I448" s="1021"/>
      <c r="J448" s="1022"/>
      <c r="K448" s="1022"/>
      <c r="L448" s="1023"/>
    </row>
    <row r="449" spans="1:12" x14ac:dyDescent="0.2">
      <c r="A449" s="1019"/>
      <c r="B449" s="81">
        <v>53214010000000</v>
      </c>
      <c r="C449" s="634" t="s">
        <v>52</v>
      </c>
      <c r="D449" s="696">
        <f t="shared" si="70"/>
        <v>524895</v>
      </c>
      <c r="E449" s="696">
        <v>0</v>
      </c>
      <c r="F449" s="698">
        <v>0</v>
      </c>
      <c r="G449" s="658">
        <f t="shared" si="68"/>
        <v>0</v>
      </c>
      <c r="H449" s="650">
        <f t="shared" si="69"/>
        <v>524895</v>
      </c>
      <c r="I449" s="1021"/>
      <c r="J449" s="1022"/>
      <c r="K449" s="1022"/>
      <c r="L449" s="1023"/>
    </row>
    <row r="450" spans="1:12" x14ac:dyDescent="0.2">
      <c r="A450" s="1019"/>
      <c r="B450" s="81">
        <v>53214040000000</v>
      </c>
      <c r="C450" s="634" t="s">
        <v>215</v>
      </c>
      <c r="D450" s="696">
        <f t="shared" si="70"/>
        <v>1510680.5</v>
      </c>
      <c r="E450" s="696">
        <v>0</v>
      </c>
      <c r="F450" s="698">
        <v>0</v>
      </c>
      <c r="G450" s="658">
        <f t="shared" si="68"/>
        <v>0</v>
      </c>
      <c r="H450" s="650">
        <f t="shared" si="69"/>
        <v>1510680.5</v>
      </c>
      <c r="I450" s="1021"/>
      <c r="J450" s="1022"/>
      <c r="K450" s="1022"/>
      <c r="L450" s="1023"/>
    </row>
    <row r="451" spans="1:12" x14ac:dyDescent="0.2">
      <c r="A451" s="1019"/>
      <c r="B451" s="690">
        <v>53204020100000</v>
      </c>
      <c r="C451" s="691" t="s">
        <v>207</v>
      </c>
      <c r="D451" s="696">
        <f t="shared" si="70"/>
        <v>70000</v>
      </c>
      <c r="E451" s="696">
        <v>0</v>
      </c>
      <c r="F451" s="698">
        <v>0</v>
      </c>
      <c r="G451" s="658">
        <f t="shared" si="68"/>
        <v>0</v>
      </c>
      <c r="H451" s="650">
        <f t="shared" si="69"/>
        <v>70000</v>
      </c>
      <c r="I451" s="1021"/>
      <c r="J451" s="1022"/>
      <c r="K451" s="1022"/>
      <c r="L451" s="1023"/>
    </row>
    <row r="452" spans="1:12" x14ac:dyDescent="0.2">
      <c r="A452" s="1019"/>
      <c r="B452" s="80"/>
      <c r="C452" s="644" t="s">
        <v>55</v>
      </c>
      <c r="D452" s="646">
        <f>SUM(D453:D460)</f>
        <v>2981820.0999999996</v>
      </c>
      <c r="E452" s="647"/>
      <c r="F452" s="647"/>
      <c r="G452" s="646">
        <f>SUM(G453:G460)</f>
        <v>544320</v>
      </c>
      <c r="H452" s="651">
        <f>SUM(H453:H460)</f>
        <v>3526140.0999999996</v>
      </c>
      <c r="I452" s="1021"/>
      <c r="J452" s="1022"/>
      <c r="K452" s="1022"/>
      <c r="L452" s="1023"/>
    </row>
    <row r="453" spans="1:12" x14ac:dyDescent="0.2">
      <c r="A453" s="1019"/>
      <c r="B453" s="81">
        <v>53207010000000</v>
      </c>
      <c r="C453" s="634" t="s">
        <v>56</v>
      </c>
      <c r="D453" s="696">
        <f>+P434</f>
        <v>0</v>
      </c>
      <c r="E453" s="696">
        <v>0</v>
      </c>
      <c r="F453" s="698">
        <v>0</v>
      </c>
      <c r="G453" s="658">
        <f t="shared" ref="G453:G460" si="71">E453*F453</f>
        <v>0</v>
      </c>
      <c r="H453" s="650">
        <f t="shared" ref="H453:H460" si="72">D453+G453</f>
        <v>0</v>
      </c>
      <c r="I453" s="1021"/>
      <c r="J453" s="1022"/>
      <c r="K453" s="1022"/>
      <c r="L453" s="1023"/>
    </row>
    <row r="454" spans="1:12" x14ac:dyDescent="0.2">
      <c r="A454" s="1019"/>
      <c r="B454" s="81">
        <v>53207020000000</v>
      </c>
      <c r="C454" s="634" t="s">
        <v>57</v>
      </c>
      <c r="D454" s="696">
        <f>+P435</f>
        <v>230999.99999999997</v>
      </c>
      <c r="E454" s="696">
        <v>0</v>
      </c>
      <c r="F454" s="698">
        <v>0</v>
      </c>
      <c r="G454" s="658">
        <f t="shared" si="71"/>
        <v>0</v>
      </c>
      <c r="H454" s="650">
        <f t="shared" si="72"/>
        <v>230999.99999999997</v>
      </c>
      <c r="I454" s="1021"/>
      <c r="J454" s="1022"/>
      <c r="K454" s="1022"/>
      <c r="L454" s="1023"/>
    </row>
    <row r="455" spans="1:12" x14ac:dyDescent="0.2">
      <c r="A455" s="1019"/>
      <c r="B455" s="81">
        <v>53208020000000</v>
      </c>
      <c r="C455" s="633" t="s">
        <v>197</v>
      </c>
      <c r="D455" s="696">
        <f>+P436</f>
        <v>0</v>
      </c>
      <c r="E455" s="696">
        <v>0</v>
      </c>
      <c r="F455" s="698">
        <v>0</v>
      </c>
      <c r="G455" s="658">
        <f t="shared" si="71"/>
        <v>0</v>
      </c>
      <c r="H455" s="650">
        <f t="shared" si="72"/>
        <v>0</v>
      </c>
      <c r="I455" s="1021"/>
      <c r="J455" s="1022"/>
      <c r="K455" s="1022"/>
      <c r="L455" s="1023"/>
    </row>
    <row r="456" spans="1:12" x14ac:dyDescent="0.2">
      <c r="A456" s="1019"/>
      <c r="B456" s="81">
        <v>53208990000000</v>
      </c>
      <c r="C456" s="633" t="s">
        <v>216</v>
      </c>
      <c r="D456" s="696">
        <f>+P437</f>
        <v>896000</v>
      </c>
      <c r="E456" s="696">
        <v>0</v>
      </c>
      <c r="F456" s="698">
        <v>0</v>
      </c>
      <c r="G456" s="658">
        <f t="shared" si="71"/>
        <v>0</v>
      </c>
      <c r="H456" s="650">
        <f t="shared" si="72"/>
        <v>896000</v>
      </c>
      <c r="I456" s="1021"/>
      <c r="J456" s="1022"/>
      <c r="K456" s="1022"/>
      <c r="L456" s="1023"/>
    </row>
    <row r="457" spans="1:12" x14ac:dyDescent="0.2">
      <c r="A457" s="1019"/>
      <c r="B457" s="690">
        <v>53210020300000</v>
      </c>
      <c r="C457" s="692" t="s">
        <v>219</v>
      </c>
      <c r="D457" s="638">
        <v>0</v>
      </c>
      <c r="E457" s="638">
        <v>7560</v>
      </c>
      <c r="F457" s="639">
        <v>72</v>
      </c>
      <c r="G457" s="658">
        <f t="shared" si="71"/>
        <v>544320</v>
      </c>
      <c r="H457" s="650">
        <f t="shared" si="72"/>
        <v>544320</v>
      </c>
      <c r="I457" s="1021"/>
      <c r="J457" s="1022"/>
      <c r="K457" s="1022"/>
      <c r="L457" s="1023"/>
    </row>
    <row r="458" spans="1:12" x14ac:dyDescent="0.2">
      <c r="A458" s="1019"/>
      <c r="B458" s="81">
        <v>53208990000000</v>
      </c>
      <c r="C458" s="633" t="s">
        <v>220</v>
      </c>
      <c r="D458" s="696">
        <f>+P438</f>
        <v>756000</v>
      </c>
      <c r="E458" s="696">
        <v>0</v>
      </c>
      <c r="F458" s="698">
        <v>0</v>
      </c>
      <c r="G458" s="658">
        <f t="shared" si="71"/>
        <v>0</v>
      </c>
      <c r="H458" s="650">
        <f t="shared" si="72"/>
        <v>756000</v>
      </c>
      <c r="I458" s="1021"/>
      <c r="J458" s="1022"/>
      <c r="K458" s="1022"/>
      <c r="L458" s="1023"/>
    </row>
    <row r="459" spans="1:12" x14ac:dyDescent="0.2">
      <c r="A459" s="1019"/>
      <c r="B459" s="81">
        <v>53209990000000</v>
      </c>
      <c r="C459" s="633" t="s">
        <v>218</v>
      </c>
      <c r="D459" s="696">
        <f>+P439</f>
        <v>0</v>
      </c>
      <c r="E459" s="696">
        <v>0</v>
      </c>
      <c r="F459" s="698">
        <v>0</v>
      </c>
      <c r="G459" s="658">
        <f t="shared" si="71"/>
        <v>0</v>
      </c>
      <c r="H459" s="650">
        <f t="shared" si="72"/>
        <v>0</v>
      </c>
      <c r="I459" s="1021"/>
      <c r="J459" s="1022"/>
      <c r="K459" s="1022"/>
      <c r="L459" s="1023"/>
    </row>
    <row r="460" spans="1:12" x14ac:dyDescent="0.2">
      <c r="A460" s="1019"/>
      <c r="B460" s="81">
        <v>53210020100000</v>
      </c>
      <c r="C460" s="634" t="s">
        <v>64</v>
      </c>
      <c r="D460" s="696">
        <f>+P440</f>
        <v>1098820.0999999999</v>
      </c>
      <c r="E460" s="696">
        <v>0</v>
      </c>
      <c r="F460" s="698">
        <v>0</v>
      </c>
      <c r="G460" s="658">
        <f t="shared" si="71"/>
        <v>0</v>
      </c>
      <c r="H460" s="650">
        <f t="shared" si="72"/>
        <v>1098820.0999999999</v>
      </c>
      <c r="I460" s="1021"/>
      <c r="J460" s="1022"/>
      <c r="K460" s="1022"/>
      <c r="L460" s="1023"/>
    </row>
    <row r="461" spans="1:12" x14ac:dyDescent="0.2">
      <c r="A461" s="1019"/>
      <c r="B461" s="80"/>
      <c r="C461" s="644" t="s">
        <v>65</v>
      </c>
      <c r="D461" s="646">
        <f>SUM(D462:D468)</f>
        <v>1131655</v>
      </c>
      <c r="E461" s="647"/>
      <c r="F461" s="647"/>
      <c r="G461" s="646">
        <f>SUM(G462:G468)</f>
        <v>0</v>
      </c>
      <c r="H461" s="651">
        <f>SUM(H462:H468)</f>
        <v>1131655</v>
      </c>
      <c r="I461" s="1021"/>
      <c r="J461" s="1022"/>
      <c r="K461" s="1022"/>
      <c r="L461" s="1023"/>
    </row>
    <row r="462" spans="1:12" x14ac:dyDescent="0.2">
      <c r="A462" s="1019"/>
      <c r="B462" s="81">
        <v>53206030000000</v>
      </c>
      <c r="C462" s="634" t="s">
        <v>102</v>
      </c>
      <c r="D462" s="696">
        <f t="shared" ref="D462:D468" si="73">+P441</f>
        <v>0</v>
      </c>
      <c r="E462" s="696">
        <v>0</v>
      </c>
      <c r="F462" s="698">
        <v>0</v>
      </c>
      <c r="G462" s="658">
        <f t="shared" ref="G462:G468" si="74">E462*F462</f>
        <v>0</v>
      </c>
      <c r="H462" s="650">
        <f t="shared" ref="H462:H468" si="75">D462+G462</f>
        <v>0</v>
      </c>
      <c r="I462" s="1021"/>
      <c r="J462" s="1022"/>
      <c r="K462" s="1022"/>
      <c r="L462" s="1023"/>
    </row>
    <row r="463" spans="1:12" x14ac:dyDescent="0.2">
      <c r="A463" s="1019"/>
      <c r="B463" s="81">
        <v>53206040000000</v>
      </c>
      <c r="C463" s="634" t="s">
        <v>103</v>
      </c>
      <c r="D463" s="696">
        <f t="shared" si="73"/>
        <v>280000</v>
      </c>
      <c r="E463" s="696">
        <v>0</v>
      </c>
      <c r="F463" s="698">
        <v>0</v>
      </c>
      <c r="G463" s="658">
        <f t="shared" si="74"/>
        <v>0</v>
      </c>
      <c r="H463" s="650">
        <f t="shared" si="75"/>
        <v>280000</v>
      </c>
      <c r="I463" s="1021"/>
      <c r="J463" s="1022"/>
      <c r="K463" s="1022"/>
      <c r="L463" s="1023"/>
    </row>
    <row r="464" spans="1:12" x14ac:dyDescent="0.2">
      <c r="A464" s="1019"/>
      <c r="B464" s="81">
        <v>53206060000000</v>
      </c>
      <c r="C464" s="634" t="s">
        <v>221</v>
      </c>
      <c r="D464" s="696">
        <f t="shared" si="73"/>
        <v>244999.99999999997</v>
      </c>
      <c r="E464" s="696">
        <v>0</v>
      </c>
      <c r="F464" s="698">
        <v>0</v>
      </c>
      <c r="G464" s="658">
        <f t="shared" si="74"/>
        <v>0</v>
      </c>
      <c r="H464" s="650">
        <f t="shared" si="75"/>
        <v>244999.99999999997</v>
      </c>
      <c r="I464" s="1021"/>
      <c r="J464" s="1022"/>
      <c r="K464" s="1022"/>
      <c r="L464" s="1023"/>
    </row>
    <row r="465" spans="1:12" x14ac:dyDescent="0.2">
      <c r="A465" s="1019"/>
      <c r="B465" s="81">
        <v>53206070000000</v>
      </c>
      <c r="C465" s="634" t="s">
        <v>105</v>
      </c>
      <c r="D465" s="696">
        <f t="shared" si="73"/>
        <v>0</v>
      </c>
      <c r="E465" s="696">
        <v>0</v>
      </c>
      <c r="F465" s="698">
        <v>0</v>
      </c>
      <c r="G465" s="658">
        <f t="shared" si="74"/>
        <v>0</v>
      </c>
      <c r="H465" s="650">
        <f t="shared" si="75"/>
        <v>0</v>
      </c>
      <c r="I465" s="1021"/>
      <c r="J465" s="1022"/>
      <c r="K465" s="1022"/>
      <c r="L465" s="1023"/>
    </row>
    <row r="466" spans="1:12" x14ac:dyDescent="0.2">
      <c r="A466" s="1019"/>
      <c r="B466" s="81">
        <v>53206990000000</v>
      </c>
      <c r="C466" s="634" t="s">
        <v>222</v>
      </c>
      <c r="D466" s="696">
        <f t="shared" si="73"/>
        <v>0</v>
      </c>
      <c r="E466" s="696">
        <v>0</v>
      </c>
      <c r="F466" s="698">
        <v>0</v>
      </c>
      <c r="G466" s="658">
        <f t="shared" si="74"/>
        <v>0</v>
      </c>
      <c r="H466" s="650">
        <f t="shared" si="75"/>
        <v>0</v>
      </c>
      <c r="I466" s="1021"/>
      <c r="J466" s="1022"/>
      <c r="K466" s="1022"/>
      <c r="L466" s="1023"/>
    </row>
    <row r="467" spans="1:12" x14ac:dyDescent="0.2">
      <c r="A467" s="1019"/>
      <c r="B467" s="81">
        <v>53208030000000</v>
      </c>
      <c r="C467" s="634" t="s">
        <v>107</v>
      </c>
      <c r="D467" s="696">
        <f t="shared" si="73"/>
        <v>606655</v>
      </c>
      <c r="E467" s="696">
        <v>0</v>
      </c>
      <c r="F467" s="698">
        <v>0</v>
      </c>
      <c r="G467" s="658">
        <f t="shared" si="74"/>
        <v>0</v>
      </c>
      <c r="H467" s="650">
        <f t="shared" si="75"/>
        <v>606655</v>
      </c>
      <c r="I467" s="1021"/>
      <c r="J467" s="1022"/>
      <c r="K467" s="1022"/>
      <c r="L467" s="1023"/>
    </row>
    <row r="468" spans="1:12" x14ac:dyDescent="0.2">
      <c r="A468" s="1019"/>
      <c r="B468" s="81">
        <v>53212060000000</v>
      </c>
      <c r="C468" s="634" t="s">
        <v>100</v>
      </c>
      <c r="D468" s="696">
        <f t="shared" si="73"/>
        <v>0</v>
      </c>
      <c r="E468" s="696">
        <v>0</v>
      </c>
      <c r="F468" s="698">
        <v>0</v>
      </c>
      <c r="G468" s="658">
        <f t="shared" si="74"/>
        <v>0</v>
      </c>
      <c r="H468" s="650">
        <f t="shared" si="75"/>
        <v>0</v>
      </c>
      <c r="I468" s="1021"/>
      <c r="J468" s="1022"/>
      <c r="K468" s="1022"/>
      <c r="L468" s="1023"/>
    </row>
    <row r="469" spans="1:12" x14ac:dyDescent="0.2">
      <c r="A469" s="1019"/>
      <c r="B469" s="80"/>
      <c r="C469" s="644" t="s">
        <v>66</v>
      </c>
      <c r="D469" s="646">
        <f>SUM(D470:D470)</f>
        <v>0</v>
      </c>
      <c r="E469" s="647"/>
      <c r="F469" s="647"/>
      <c r="G469" s="646">
        <f>SUM(G470:G470)</f>
        <v>864000</v>
      </c>
      <c r="H469" s="651">
        <f>SUM(H470:H470)</f>
        <v>864000</v>
      </c>
      <c r="I469" s="1021"/>
      <c r="J469" s="1022"/>
      <c r="K469" s="1022"/>
      <c r="L469" s="1023"/>
    </row>
    <row r="470" spans="1:12" x14ac:dyDescent="0.2">
      <c r="A470" s="1019"/>
      <c r="B470" s="95">
        <v>53204999000000</v>
      </c>
      <c r="C470" s="645" t="s">
        <v>217</v>
      </c>
      <c r="D470" s="638">
        <v>0</v>
      </c>
      <c r="E470" s="638">
        <v>12000</v>
      </c>
      <c r="F470" s="639">
        <v>72</v>
      </c>
      <c r="G470" s="658">
        <f>E470*F470</f>
        <v>864000</v>
      </c>
      <c r="H470" s="654">
        <f>D470+G470</f>
        <v>864000</v>
      </c>
      <c r="I470" s="1021"/>
      <c r="J470" s="1022"/>
      <c r="K470" s="1022"/>
      <c r="L470" s="1023"/>
    </row>
    <row r="471" spans="1:12" x14ac:dyDescent="0.2">
      <c r="A471" s="1019"/>
      <c r="B471" s="98"/>
      <c r="C471" s="649" t="s">
        <v>108</v>
      </c>
      <c r="D471" s="662">
        <f>SUM(D408,D435)</f>
        <v>177842959.87600002</v>
      </c>
      <c r="E471" s="663"/>
      <c r="F471" s="663"/>
      <c r="G471" s="662">
        <f>SUM(G408,G435)</f>
        <v>27967550</v>
      </c>
      <c r="H471" s="99">
        <f>SUM(H408,H435)</f>
        <v>205810509.87600002</v>
      </c>
      <c r="I471" s="1021"/>
      <c r="J471" s="1022"/>
      <c r="K471" s="1022"/>
      <c r="L471" s="1023"/>
    </row>
    <row r="472" spans="1:12" ht="12.75" customHeight="1" x14ac:dyDescent="0.2">
      <c r="A472" s="1024" t="s">
        <v>83</v>
      </c>
      <c r="B472" s="1026" t="s">
        <v>77</v>
      </c>
      <c r="C472" s="1028" t="s">
        <v>78</v>
      </c>
      <c r="D472" s="1030" t="s">
        <v>79</v>
      </c>
      <c r="E472" s="1039" t="s">
        <v>80</v>
      </c>
      <c r="F472" s="1039"/>
      <c r="G472" s="1039"/>
      <c r="H472" s="1031" t="s">
        <v>149</v>
      </c>
      <c r="I472" s="1033" t="s">
        <v>76</v>
      </c>
      <c r="J472" s="1034"/>
      <c r="K472" s="1034"/>
      <c r="L472" s="1035"/>
    </row>
    <row r="473" spans="1:12" ht="25.5" x14ac:dyDescent="0.2">
      <c r="A473" s="1025"/>
      <c r="B473" s="1027"/>
      <c r="C473" s="1029"/>
      <c r="D473" s="1030"/>
      <c r="E473" s="664" t="s">
        <v>67</v>
      </c>
      <c r="F473" s="665" t="s">
        <v>68</v>
      </c>
      <c r="G473" s="666" t="s">
        <v>6</v>
      </c>
      <c r="H473" s="1032"/>
      <c r="I473" s="1036"/>
      <c r="J473" s="1037"/>
      <c r="K473" s="1037"/>
      <c r="L473" s="1038"/>
    </row>
    <row r="474" spans="1:12" ht="15.75" customHeight="1" x14ac:dyDescent="0.2">
      <c r="A474" s="1018" t="s">
        <v>162</v>
      </c>
      <c r="B474" s="79"/>
      <c r="C474" s="648" t="s">
        <v>11</v>
      </c>
      <c r="D474" s="659">
        <f>SUM(D475,D480)</f>
        <v>53691867.560000002</v>
      </c>
      <c r="E474" s="660"/>
      <c r="F474" s="660"/>
      <c r="G474" s="667">
        <f>SUM(G475,G480)</f>
        <v>4728900</v>
      </c>
      <c r="H474" s="655">
        <f>SUM(H475,H480)</f>
        <v>58420767.560000002</v>
      </c>
      <c r="I474" s="1021"/>
      <c r="J474" s="1022"/>
      <c r="K474" s="1022"/>
      <c r="L474" s="1023"/>
    </row>
    <row r="475" spans="1:12" x14ac:dyDescent="0.2">
      <c r="A475" s="1019"/>
      <c r="B475" s="80"/>
      <c r="C475" s="644" t="s">
        <v>12</v>
      </c>
      <c r="D475" s="646">
        <f>SUM(D476:D479)</f>
        <v>48073245.560000002</v>
      </c>
      <c r="E475" s="647"/>
      <c r="F475" s="647"/>
      <c r="G475" s="668">
        <f>SUM(G476:G479)</f>
        <v>0</v>
      </c>
      <c r="H475" s="651">
        <f>SUM(H476:H479)</f>
        <v>48073245.560000002</v>
      </c>
      <c r="I475" s="1021"/>
      <c r="J475" s="1022"/>
      <c r="K475" s="1022"/>
      <c r="L475" s="1023"/>
    </row>
    <row r="476" spans="1:12" x14ac:dyDescent="0.2">
      <c r="A476" s="1019"/>
      <c r="B476" s="81">
        <v>53103040100000</v>
      </c>
      <c r="C476" s="634" t="s">
        <v>98</v>
      </c>
      <c r="D476" s="696">
        <f>+'F) Remuneraciones'!L129</f>
        <v>47551188.560000002</v>
      </c>
      <c r="E476" s="669">
        <v>0</v>
      </c>
      <c r="F476" s="670">
        <v>0</v>
      </c>
      <c r="G476" s="658">
        <f>E476*F476</f>
        <v>0</v>
      </c>
      <c r="H476" s="650">
        <f>D476+G476</f>
        <v>47551188.560000002</v>
      </c>
      <c r="I476" s="1021"/>
      <c r="J476" s="1022"/>
      <c r="K476" s="1022"/>
      <c r="L476" s="1023"/>
    </row>
    <row r="477" spans="1:12" x14ac:dyDescent="0.2">
      <c r="A477" s="1019"/>
      <c r="B477" s="81">
        <v>53103050000000</v>
      </c>
      <c r="C477" s="634" t="s">
        <v>198</v>
      </c>
      <c r="D477" s="638">
        <v>0</v>
      </c>
      <c r="E477" s="641">
        <v>0</v>
      </c>
      <c r="F477" s="639">
        <v>0</v>
      </c>
      <c r="G477" s="658">
        <f>E477*F477</f>
        <v>0</v>
      </c>
      <c r="H477" s="650">
        <f>D477+G477</f>
        <v>0</v>
      </c>
      <c r="I477" s="1021"/>
      <c r="J477" s="1022"/>
      <c r="K477" s="1022"/>
      <c r="L477" s="1023"/>
    </row>
    <row r="478" spans="1:12" x14ac:dyDescent="0.2">
      <c r="A478" s="1019"/>
      <c r="B478" s="690">
        <v>53103040400000</v>
      </c>
      <c r="C478" s="691" t="s">
        <v>199</v>
      </c>
      <c r="D478" s="638">
        <v>522057</v>
      </c>
      <c r="E478" s="641">
        <v>0</v>
      </c>
      <c r="F478" s="639">
        <v>0</v>
      </c>
      <c r="G478" s="658">
        <f>E478*F478</f>
        <v>0</v>
      </c>
      <c r="H478" s="650">
        <f>D478+G478</f>
        <v>522057</v>
      </c>
      <c r="I478" s="1021"/>
      <c r="J478" s="1022"/>
      <c r="K478" s="1022"/>
      <c r="L478" s="1023"/>
    </row>
    <row r="479" spans="1:12" x14ac:dyDescent="0.2">
      <c r="A479" s="1019"/>
      <c r="B479" s="81">
        <v>53103080010000</v>
      </c>
      <c r="C479" s="634" t="s">
        <v>200</v>
      </c>
      <c r="D479" s="638">
        <v>0</v>
      </c>
      <c r="E479" s="641">
        <v>0</v>
      </c>
      <c r="F479" s="639">
        <v>0</v>
      </c>
      <c r="G479" s="658">
        <f>E479*F479</f>
        <v>0</v>
      </c>
      <c r="H479" s="650">
        <f>D479+G479</f>
        <v>0</v>
      </c>
      <c r="I479" s="1021"/>
      <c r="J479" s="1022"/>
      <c r="K479" s="1022"/>
      <c r="L479" s="1023"/>
    </row>
    <row r="480" spans="1:12" x14ac:dyDescent="0.2">
      <c r="A480" s="1019"/>
      <c r="B480" s="80"/>
      <c r="C480" s="644" t="s">
        <v>16</v>
      </c>
      <c r="D480" s="646">
        <f>SUM(D481:D500)</f>
        <v>5618622</v>
      </c>
      <c r="E480" s="647"/>
      <c r="F480" s="647"/>
      <c r="G480" s="646">
        <f>SUM(G481:G500)</f>
        <v>4728900</v>
      </c>
      <c r="H480" s="651">
        <f>SUM(H481:H500)</f>
        <v>10347522</v>
      </c>
      <c r="I480" s="1021"/>
      <c r="J480" s="1022"/>
      <c r="K480" s="1022"/>
      <c r="L480" s="1023"/>
    </row>
    <row r="481" spans="1:12" x14ac:dyDescent="0.2">
      <c r="A481" s="1019"/>
      <c r="B481" s="81">
        <v>53201010100000</v>
      </c>
      <c r="C481" s="633" t="s">
        <v>201</v>
      </c>
      <c r="D481" s="638">
        <v>0</v>
      </c>
      <c r="E481" s="641">
        <v>1785</v>
      </c>
      <c r="F481" s="639">
        <f>7*20*11</f>
        <v>1540</v>
      </c>
      <c r="G481" s="658">
        <f t="shared" ref="G481:G500" si="76">E481*F481</f>
        <v>2748900</v>
      </c>
      <c r="H481" s="650">
        <f t="shared" ref="H481:H486" si="77">D481+G481</f>
        <v>2748900</v>
      </c>
      <c r="I481" s="1021"/>
      <c r="J481" s="1022"/>
      <c r="K481" s="1022"/>
      <c r="L481" s="1023"/>
    </row>
    <row r="482" spans="1:12" x14ac:dyDescent="0.2">
      <c r="A482" s="1019"/>
      <c r="B482" s="81">
        <v>53201010100000</v>
      </c>
      <c r="C482" s="633" t="s">
        <v>202</v>
      </c>
      <c r="D482" s="638">
        <v>0</v>
      </c>
      <c r="E482" s="641">
        <v>500</v>
      </c>
      <c r="F482" s="639">
        <f>18*20*11</f>
        <v>3960</v>
      </c>
      <c r="G482" s="658">
        <f t="shared" si="76"/>
        <v>1980000</v>
      </c>
      <c r="H482" s="650">
        <f t="shared" si="77"/>
        <v>1980000</v>
      </c>
      <c r="I482" s="1021"/>
      <c r="J482" s="1022"/>
      <c r="K482" s="1022"/>
      <c r="L482" s="1023"/>
    </row>
    <row r="483" spans="1:12" x14ac:dyDescent="0.2">
      <c r="A483" s="1019"/>
      <c r="B483" s="81">
        <v>53201010100000</v>
      </c>
      <c r="C483" s="633" t="s">
        <v>203</v>
      </c>
      <c r="D483" s="638">
        <v>0</v>
      </c>
      <c r="E483" s="641">
        <v>0</v>
      </c>
      <c r="F483" s="639">
        <v>0</v>
      </c>
      <c r="G483" s="658">
        <f t="shared" si="76"/>
        <v>0</v>
      </c>
      <c r="H483" s="650">
        <f t="shared" si="77"/>
        <v>0</v>
      </c>
      <c r="I483" s="1021"/>
      <c r="J483" s="1022"/>
      <c r="K483" s="1022"/>
      <c r="L483" s="1023"/>
    </row>
    <row r="484" spans="1:12" x14ac:dyDescent="0.2">
      <c r="A484" s="1019"/>
      <c r="B484" s="81">
        <v>53202010100000</v>
      </c>
      <c r="C484" s="633" t="s">
        <v>204</v>
      </c>
      <c r="D484" s="696">
        <f>+Q408</f>
        <v>0</v>
      </c>
      <c r="E484" s="697">
        <v>0</v>
      </c>
      <c r="F484" s="698">
        <v>0</v>
      </c>
      <c r="G484" s="658">
        <f t="shared" si="76"/>
        <v>0</v>
      </c>
      <c r="H484" s="650">
        <f t="shared" si="77"/>
        <v>0</v>
      </c>
      <c r="I484" s="1021"/>
      <c r="J484" s="1022"/>
      <c r="K484" s="1022"/>
      <c r="L484" s="1023"/>
    </row>
    <row r="485" spans="1:12" x14ac:dyDescent="0.2">
      <c r="A485" s="1019"/>
      <c r="B485" s="81">
        <v>53203010100000</v>
      </c>
      <c r="C485" s="633" t="s">
        <v>19</v>
      </c>
      <c r="D485" s="696">
        <f t="shared" ref="D485:D499" si="78">+Q409</f>
        <v>0</v>
      </c>
      <c r="E485" s="697">
        <v>0</v>
      </c>
      <c r="F485" s="698">
        <v>0</v>
      </c>
      <c r="G485" s="658">
        <f t="shared" si="76"/>
        <v>0</v>
      </c>
      <c r="H485" s="650">
        <f t="shared" si="77"/>
        <v>0</v>
      </c>
      <c r="I485" s="1021"/>
      <c r="J485" s="1022"/>
      <c r="K485" s="1022"/>
      <c r="L485" s="1023"/>
    </row>
    <row r="486" spans="1:12" x14ac:dyDescent="0.2">
      <c r="A486" s="1019"/>
      <c r="B486" s="81">
        <v>53203030000000</v>
      </c>
      <c r="C486" s="633" t="s">
        <v>205</v>
      </c>
      <c r="D486" s="696">
        <f t="shared" si="78"/>
        <v>0</v>
      </c>
      <c r="E486" s="697">
        <v>0</v>
      </c>
      <c r="F486" s="698">
        <v>0</v>
      </c>
      <c r="G486" s="658">
        <f t="shared" si="76"/>
        <v>0</v>
      </c>
      <c r="H486" s="650">
        <f t="shared" si="77"/>
        <v>0</v>
      </c>
      <c r="I486" s="1021"/>
      <c r="J486" s="1022"/>
      <c r="K486" s="1022"/>
      <c r="L486" s="1023"/>
    </row>
    <row r="487" spans="1:12" x14ac:dyDescent="0.2">
      <c r="A487" s="1019"/>
      <c r="B487" s="81">
        <v>53204030000000</v>
      </c>
      <c r="C487" s="634" t="s">
        <v>206</v>
      </c>
      <c r="D487" s="696">
        <f t="shared" si="78"/>
        <v>80073</v>
      </c>
      <c r="E487" s="697">
        <v>0</v>
      </c>
      <c r="F487" s="698">
        <v>0</v>
      </c>
      <c r="G487" s="658">
        <f t="shared" si="76"/>
        <v>0</v>
      </c>
      <c r="H487" s="650">
        <f>D487+G487</f>
        <v>80073</v>
      </c>
      <c r="I487" s="1021"/>
      <c r="J487" s="1022"/>
      <c r="K487" s="1022"/>
      <c r="L487" s="1023"/>
    </row>
    <row r="488" spans="1:12" x14ac:dyDescent="0.2">
      <c r="A488" s="1019"/>
      <c r="B488" s="81">
        <v>53204100100001</v>
      </c>
      <c r="C488" s="634" t="s">
        <v>22</v>
      </c>
      <c r="D488" s="696">
        <f t="shared" si="78"/>
        <v>450000</v>
      </c>
      <c r="E488" s="697">
        <v>0</v>
      </c>
      <c r="F488" s="698">
        <v>0</v>
      </c>
      <c r="G488" s="658">
        <f t="shared" si="76"/>
        <v>0</v>
      </c>
      <c r="H488" s="650">
        <f t="shared" ref="H488:H500" si="79">D488+G488</f>
        <v>450000</v>
      </c>
      <c r="I488" s="1021"/>
      <c r="J488" s="1022"/>
      <c r="K488" s="1022"/>
      <c r="L488" s="1023"/>
    </row>
    <row r="489" spans="1:12" x14ac:dyDescent="0.2">
      <c r="A489" s="1019"/>
      <c r="B489" s="81">
        <v>53204130100000</v>
      </c>
      <c r="C489" s="634" t="s">
        <v>208</v>
      </c>
      <c r="D489" s="696">
        <f t="shared" si="78"/>
        <v>203997</v>
      </c>
      <c r="E489" s="697">
        <v>0</v>
      </c>
      <c r="F489" s="698">
        <v>0</v>
      </c>
      <c r="G489" s="658">
        <f t="shared" si="76"/>
        <v>0</v>
      </c>
      <c r="H489" s="650">
        <f t="shared" si="79"/>
        <v>203997</v>
      </c>
      <c r="I489" s="1021"/>
      <c r="J489" s="1022"/>
      <c r="K489" s="1022"/>
      <c r="L489" s="1023"/>
    </row>
    <row r="490" spans="1:12" x14ac:dyDescent="0.2">
      <c r="A490" s="1019"/>
      <c r="B490" s="81">
        <v>53205010100000</v>
      </c>
      <c r="C490" s="634" t="s">
        <v>24</v>
      </c>
      <c r="D490" s="696">
        <f t="shared" si="78"/>
        <v>1233444</v>
      </c>
      <c r="E490" s="697">
        <v>0</v>
      </c>
      <c r="F490" s="698">
        <v>0</v>
      </c>
      <c r="G490" s="658">
        <f t="shared" si="76"/>
        <v>0</v>
      </c>
      <c r="H490" s="650">
        <f t="shared" si="79"/>
        <v>1233444</v>
      </c>
      <c r="I490" s="1021"/>
      <c r="J490" s="1022"/>
      <c r="K490" s="1022"/>
      <c r="L490" s="1023"/>
    </row>
    <row r="491" spans="1:12" x14ac:dyDescent="0.2">
      <c r="A491" s="1019"/>
      <c r="B491" s="81">
        <v>53205020100000</v>
      </c>
      <c r="C491" s="634" t="s">
        <v>25</v>
      </c>
      <c r="D491" s="696">
        <f t="shared" si="78"/>
        <v>675660</v>
      </c>
      <c r="E491" s="697">
        <v>0</v>
      </c>
      <c r="F491" s="698">
        <v>0</v>
      </c>
      <c r="G491" s="658">
        <f t="shared" si="76"/>
        <v>0</v>
      </c>
      <c r="H491" s="650">
        <f t="shared" si="79"/>
        <v>675660</v>
      </c>
      <c r="I491" s="1021"/>
      <c r="J491" s="1022"/>
      <c r="K491" s="1022"/>
      <c r="L491" s="1023"/>
    </row>
    <row r="492" spans="1:12" x14ac:dyDescent="0.2">
      <c r="A492" s="1019"/>
      <c r="B492" s="81">
        <v>53205030100000</v>
      </c>
      <c r="C492" s="634" t="s">
        <v>26</v>
      </c>
      <c r="D492" s="696">
        <f t="shared" si="78"/>
        <v>1184544</v>
      </c>
      <c r="E492" s="697">
        <v>0</v>
      </c>
      <c r="F492" s="698">
        <v>0</v>
      </c>
      <c r="G492" s="658">
        <f t="shared" si="76"/>
        <v>0</v>
      </c>
      <c r="H492" s="650">
        <f t="shared" si="79"/>
        <v>1184544</v>
      </c>
      <c r="I492" s="1021"/>
      <c r="J492" s="1022"/>
      <c r="K492" s="1022"/>
      <c r="L492" s="1023"/>
    </row>
    <row r="493" spans="1:12" x14ac:dyDescent="0.2">
      <c r="A493" s="1019"/>
      <c r="B493" s="81">
        <v>53205050100000</v>
      </c>
      <c r="C493" s="634" t="s">
        <v>27</v>
      </c>
      <c r="D493" s="696">
        <f t="shared" si="78"/>
        <v>158400</v>
      </c>
      <c r="E493" s="697">
        <v>0</v>
      </c>
      <c r="F493" s="698">
        <v>0</v>
      </c>
      <c r="G493" s="658">
        <f t="shared" si="76"/>
        <v>0</v>
      </c>
      <c r="H493" s="650">
        <f t="shared" si="79"/>
        <v>158400</v>
      </c>
      <c r="I493" s="1021"/>
      <c r="J493" s="1022"/>
      <c r="K493" s="1022"/>
      <c r="L493" s="1023"/>
    </row>
    <row r="494" spans="1:12" x14ac:dyDescent="0.2">
      <c r="A494" s="1019"/>
      <c r="B494" s="81">
        <v>53205070100000</v>
      </c>
      <c r="C494" s="634" t="s">
        <v>29</v>
      </c>
      <c r="D494" s="696">
        <f t="shared" si="78"/>
        <v>31515</v>
      </c>
      <c r="E494" s="697">
        <v>0</v>
      </c>
      <c r="F494" s="698">
        <v>0</v>
      </c>
      <c r="G494" s="658">
        <f t="shared" si="76"/>
        <v>0</v>
      </c>
      <c r="H494" s="650">
        <f t="shared" si="79"/>
        <v>31515</v>
      </c>
      <c r="I494" s="1021"/>
      <c r="J494" s="1022"/>
      <c r="K494" s="1022"/>
      <c r="L494" s="1023"/>
    </row>
    <row r="495" spans="1:12" x14ac:dyDescent="0.2">
      <c r="A495" s="1019"/>
      <c r="B495" s="81">
        <v>53208010100000</v>
      </c>
      <c r="C495" s="634" t="s">
        <v>30</v>
      </c>
      <c r="D495" s="696">
        <f t="shared" si="78"/>
        <v>616629</v>
      </c>
      <c r="E495" s="697">
        <v>0</v>
      </c>
      <c r="F495" s="698">
        <v>0</v>
      </c>
      <c r="G495" s="658">
        <f t="shared" si="76"/>
        <v>0</v>
      </c>
      <c r="H495" s="650">
        <f t="shared" si="79"/>
        <v>616629</v>
      </c>
      <c r="I495" s="1021"/>
      <c r="J495" s="1022"/>
      <c r="K495" s="1022"/>
      <c r="L495" s="1023"/>
    </row>
    <row r="496" spans="1:12" x14ac:dyDescent="0.2">
      <c r="A496" s="1019"/>
      <c r="B496" s="81">
        <v>53208070100001</v>
      </c>
      <c r="C496" s="634" t="s">
        <v>31</v>
      </c>
      <c r="D496" s="696">
        <f t="shared" si="78"/>
        <v>0</v>
      </c>
      <c r="E496" s="697">
        <v>0</v>
      </c>
      <c r="F496" s="698">
        <v>0</v>
      </c>
      <c r="G496" s="658">
        <f t="shared" si="76"/>
        <v>0</v>
      </c>
      <c r="H496" s="650">
        <f t="shared" si="79"/>
        <v>0</v>
      </c>
      <c r="I496" s="1021"/>
      <c r="J496" s="1022"/>
      <c r="K496" s="1022"/>
      <c r="L496" s="1023"/>
    </row>
    <row r="497" spans="1:12" x14ac:dyDescent="0.2">
      <c r="A497" s="1019"/>
      <c r="B497" s="81">
        <v>53208100100001</v>
      </c>
      <c r="C497" s="634" t="s">
        <v>209</v>
      </c>
      <c r="D497" s="696">
        <f t="shared" si="78"/>
        <v>9000</v>
      </c>
      <c r="E497" s="697">
        <v>0</v>
      </c>
      <c r="F497" s="698">
        <v>0</v>
      </c>
      <c r="G497" s="658">
        <f t="shared" si="76"/>
        <v>0</v>
      </c>
      <c r="H497" s="650">
        <f t="shared" si="79"/>
        <v>9000</v>
      </c>
      <c r="I497" s="1021"/>
      <c r="J497" s="1022"/>
      <c r="K497" s="1022"/>
      <c r="L497" s="1023"/>
    </row>
    <row r="498" spans="1:12" x14ac:dyDescent="0.2">
      <c r="A498" s="1019"/>
      <c r="B498" s="81">
        <v>53211030000000</v>
      </c>
      <c r="C498" s="634" t="s">
        <v>32</v>
      </c>
      <c r="D498" s="696">
        <f t="shared" si="78"/>
        <v>0</v>
      </c>
      <c r="E498" s="697">
        <v>0</v>
      </c>
      <c r="F498" s="698">
        <v>0</v>
      </c>
      <c r="G498" s="658">
        <f t="shared" si="76"/>
        <v>0</v>
      </c>
      <c r="H498" s="650">
        <f t="shared" si="79"/>
        <v>0</v>
      </c>
      <c r="I498" s="1021"/>
      <c r="J498" s="1022"/>
      <c r="K498" s="1022"/>
      <c r="L498" s="1023"/>
    </row>
    <row r="499" spans="1:12" x14ac:dyDescent="0.2">
      <c r="A499" s="1019"/>
      <c r="B499" s="81">
        <v>53212020100000</v>
      </c>
      <c r="C499" s="634" t="s">
        <v>210</v>
      </c>
      <c r="D499" s="696">
        <f t="shared" si="78"/>
        <v>870360</v>
      </c>
      <c r="E499" s="697">
        <v>0</v>
      </c>
      <c r="F499" s="698">
        <v>0</v>
      </c>
      <c r="G499" s="658">
        <f t="shared" si="76"/>
        <v>0</v>
      </c>
      <c r="H499" s="650">
        <f t="shared" si="79"/>
        <v>870360</v>
      </c>
      <c r="I499" s="1021"/>
      <c r="J499" s="1022"/>
      <c r="K499" s="1022"/>
      <c r="L499" s="1023"/>
    </row>
    <row r="500" spans="1:12" ht="15.75" customHeight="1" x14ac:dyDescent="0.2">
      <c r="A500" s="1019"/>
      <c r="B500" s="81">
        <v>53214020000000</v>
      </c>
      <c r="C500" s="634" t="s">
        <v>211</v>
      </c>
      <c r="D500" s="696">
        <f>+Q424</f>
        <v>105000</v>
      </c>
      <c r="E500" s="697">
        <v>0</v>
      </c>
      <c r="F500" s="698">
        <v>0</v>
      </c>
      <c r="G500" s="658">
        <f t="shared" si="76"/>
        <v>0</v>
      </c>
      <c r="H500" s="650">
        <f t="shared" si="79"/>
        <v>105000</v>
      </c>
      <c r="I500" s="1021"/>
      <c r="J500" s="1022"/>
      <c r="K500" s="1022"/>
      <c r="L500" s="1023"/>
    </row>
    <row r="501" spans="1:12" x14ac:dyDescent="0.2">
      <c r="A501" s="1019"/>
      <c r="B501" s="79"/>
      <c r="C501" s="648" t="s">
        <v>34</v>
      </c>
      <c r="D501" s="659">
        <f>SUM(D502,D507,D509,D518,D527,D535)</f>
        <v>3929199.6</v>
      </c>
      <c r="E501" s="660"/>
      <c r="F501" s="660"/>
      <c r="G501" s="659">
        <f>SUM(G502,G507,G509,G518,G527,G535)</f>
        <v>230940</v>
      </c>
      <c r="H501" s="652">
        <f>SUM(H502,H507,H509,H518,H527,H535)</f>
        <v>4160139.6</v>
      </c>
      <c r="I501" s="1021"/>
      <c r="J501" s="1022"/>
      <c r="K501" s="1022"/>
      <c r="L501" s="1023"/>
    </row>
    <row r="502" spans="1:12" x14ac:dyDescent="0.2">
      <c r="A502" s="1019"/>
      <c r="B502" s="80"/>
      <c r="C502" s="644" t="s">
        <v>35</v>
      </c>
      <c r="D502" s="646">
        <f>SUM(D503:D506)</f>
        <v>21157.200000000001</v>
      </c>
      <c r="E502" s="647"/>
      <c r="F502" s="647"/>
      <c r="G502" s="661">
        <f>SUM(G503:G506)</f>
        <v>230940</v>
      </c>
      <c r="H502" s="653">
        <f>SUM(H503:H506)</f>
        <v>252097.2</v>
      </c>
      <c r="I502" s="1021"/>
      <c r="J502" s="1022"/>
      <c r="K502" s="1022"/>
      <c r="L502" s="1023"/>
    </row>
    <row r="503" spans="1:12" x14ac:dyDescent="0.2">
      <c r="A503" s="1019"/>
      <c r="B503" s="81">
        <v>53202020100000</v>
      </c>
      <c r="C503" s="634" t="s">
        <v>212</v>
      </c>
      <c r="D503" s="638">
        <v>0</v>
      </c>
      <c r="E503" s="641">
        <v>25990</v>
      </c>
      <c r="F503" s="639">
        <v>6</v>
      </c>
      <c r="G503" s="658">
        <f>E503*F503</f>
        <v>155940</v>
      </c>
      <c r="H503" s="650">
        <f>D503+G503</f>
        <v>155940</v>
      </c>
      <c r="I503" s="1021"/>
      <c r="J503" s="1022"/>
      <c r="K503" s="1022"/>
      <c r="L503" s="1023"/>
    </row>
    <row r="504" spans="1:12" x14ac:dyDescent="0.2">
      <c r="A504" s="1019"/>
      <c r="B504" s="81">
        <v>53202030000000</v>
      </c>
      <c r="C504" s="634" t="s">
        <v>213</v>
      </c>
      <c r="D504" s="638">
        <v>0</v>
      </c>
      <c r="E504" s="641">
        <v>0</v>
      </c>
      <c r="F504" s="639">
        <v>0</v>
      </c>
      <c r="G504" s="658">
        <f>E504*F504</f>
        <v>0</v>
      </c>
      <c r="H504" s="650">
        <f>D504+G504</f>
        <v>0</v>
      </c>
      <c r="I504" s="1021"/>
      <c r="J504" s="1022"/>
      <c r="K504" s="1022"/>
      <c r="L504" s="1023"/>
    </row>
    <row r="505" spans="1:12" x14ac:dyDescent="0.2">
      <c r="A505" s="1019"/>
      <c r="B505" s="81">
        <v>53211020000000</v>
      </c>
      <c r="C505" s="634" t="s">
        <v>41</v>
      </c>
      <c r="D505" s="638">
        <v>0</v>
      </c>
      <c r="E505" s="641">
        <v>25000</v>
      </c>
      <c r="F505" s="639">
        <v>3</v>
      </c>
      <c r="G505" s="658">
        <f>E505*F505</f>
        <v>75000</v>
      </c>
      <c r="H505" s="650">
        <f>D505+G505</f>
        <v>75000</v>
      </c>
      <c r="I505" s="1021"/>
      <c r="J505" s="1022"/>
      <c r="K505" s="1022"/>
      <c r="L505" s="1023"/>
    </row>
    <row r="506" spans="1:12" x14ac:dyDescent="0.2">
      <c r="A506" s="1019"/>
      <c r="B506" s="81">
        <v>53101040600000</v>
      </c>
      <c r="C506" s="635" t="s">
        <v>214</v>
      </c>
      <c r="D506" s="696">
        <f>+Q425</f>
        <v>21157.200000000001</v>
      </c>
      <c r="E506" s="697">
        <v>0</v>
      </c>
      <c r="F506" s="698">
        <v>0</v>
      </c>
      <c r="G506" s="658">
        <f>E506*F506</f>
        <v>0</v>
      </c>
      <c r="H506" s="650">
        <f>D506+G506</f>
        <v>21157.200000000001</v>
      </c>
      <c r="I506" s="1021"/>
      <c r="J506" s="1022"/>
      <c r="K506" s="1022"/>
      <c r="L506" s="1023"/>
    </row>
    <row r="507" spans="1:12" x14ac:dyDescent="0.2">
      <c r="A507" s="1019"/>
      <c r="B507" s="80"/>
      <c r="C507" s="644" t="s">
        <v>42</v>
      </c>
      <c r="D507" s="646">
        <f>SUM(D508:D508)</f>
        <v>0</v>
      </c>
      <c r="E507" s="647"/>
      <c r="F507" s="647"/>
      <c r="G507" s="661">
        <f>SUM(G508:G508)</f>
        <v>0</v>
      </c>
      <c r="H507" s="653">
        <f>SUM(H508:H508)</f>
        <v>0</v>
      </c>
      <c r="I507" s="1021"/>
      <c r="J507" s="1022"/>
      <c r="K507" s="1022"/>
      <c r="L507" s="1023"/>
    </row>
    <row r="508" spans="1:12" x14ac:dyDescent="0.2">
      <c r="A508" s="1019"/>
      <c r="B508" s="632">
        <v>53205990000000</v>
      </c>
      <c r="C508" s="636" t="s">
        <v>44</v>
      </c>
      <c r="D508" s="638">
        <v>0</v>
      </c>
      <c r="E508" s="641">
        <v>0</v>
      </c>
      <c r="F508" s="639">
        <v>0</v>
      </c>
      <c r="G508" s="658">
        <f>E508*F508</f>
        <v>0</v>
      </c>
      <c r="H508" s="650">
        <f>D508+G508</f>
        <v>0</v>
      </c>
      <c r="I508" s="1021"/>
      <c r="J508" s="1022"/>
      <c r="K508" s="1022"/>
      <c r="L508" s="1023"/>
    </row>
    <row r="509" spans="1:12" x14ac:dyDescent="0.2">
      <c r="A509" s="1019"/>
      <c r="B509" s="80"/>
      <c r="C509" s="644" t="s">
        <v>45</v>
      </c>
      <c r="D509" s="646">
        <f>SUM(D510:D517)</f>
        <v>2145124.5</v>
      </c>
      <c r="E509" s="647"/>
      <c r="F509" s="647"/>
      <c r="G509" s="646">
        <f>SUM(G510:G517)</f>
        <v>0</v>
      </c>
      <c r="H509" s="651">
        <f>SUM(H510:H517)</f>
        <v>2145124.5</v>
      </c>
      <c r="I509" s="1021"/>
      <c r="J509" s="1022"/>
      <c r="K509" s="1022"/>
      <c r="L509" s="1023"/>
    </row>
    <row r="510" spans="1:12" x14ac:dyDescent="0.2">
      <c r="A510" s="1019"/>
      <c r="B510" s="81">
        <v>53204010000000</v>
      </c>
      <c r="C510" s="634" t="s">
        <v>47</v>
      </c>
      <c r="D510" s="696">
        <f>+Q426</f>
        <v>184215</v>
      </c>
      <c r="E510" s="696">
        <v>0</v>
      </c>
      <c r="F510" s="698">
        <v>0</v>
      </c>
      <c r="G510" s="658">
        <f t="shared" ref="G510:G517" si="80">E510*F510</f>
        <v>0</v>
      </c>
      <c r="H510" s="650">
        <f t="shared" ref="H510:H517" si="81">D510+G510</f>
        <v>184215</v>
      </c>
      <c r="I510" s="1021"/>
      <c r="J510" s="1022"/>
      <c r="K510" s="1022"/>
      <c r="L510" s="1023"/>
    </row>
    <row r="511" spans="1:12" x14ac:dyDescent="0.2">
      <c r="A511" s="1019"/>
      <c r="B511" s="632">
        <v>53204040200000</v>
      </c>
      <c r="C511" s="636" t="s">
        <v>223</v>
      </c>
      <c r="D511" s="696">
        <f t="shared" ref="D511:D517" si="82">+Q427</f>
        <v>32250</v>
      </c>
      <c r="E511" s="696">
        <v>0</v>
      </c>
      <c r="F511" s="698">
        <v>0</v>
      </c>
      <c r="G511" s="658">
        <f t="shared" si="80"/>
        <v>0</v>
      </c>
      <c r="H511" s="650">
        <f t="shared" si="81"/>
        <v>32250</v>
      </c>
      <c r="I511" s="1021"/>
      <c r="J511" s="1022"/>
      <c r="K511" s="1022"/>
      <c r="L511" s="1023"/>
    </row>
    <row r="512" spans="1:12" x14ac:dyDescent="0.2">
      <c r="A512" s="1019"/>
      <c r="B512" s="81">
        <v>53204060000000</v>
      </c>
      <c r="C512" s="634" t="s">
        <v>49</v>
      </c>
      <c r="D512" s="696">
        <f t="shared" si="82"/>
        <v>0</v>
      </c>
      <c r="E512" s="696">
        <v>0</v>
      </c>
      <c r="F512" s="698">
        <v>0</v>
      </c>
      <c r="G512" s="658">
        <f t="shared" si="80"/>
        <v>0</v>
      </c>
      <c r="H512" s="650">
        <f t="shared" si="81"/>
        <v>0</v>
      </c>
      <c r="I512" s="1021"/>
      <c r="J512" s="1022"/>
      <c r="K512" s="1022"/>
      <c r="L512" s="1023"/>
    </row>
    <row r="513" spans="1:12" x14ac:dyDescent="0.2">
      <c r="A513" s="1019"/>
      <c r="B513" s="81">
        <v>53204070000000</v>
      </c>
      <c r="C513" s="634" t="s">
        <v>50</v>
      </c>
      <c r="D513" s="696">
        <f t="shared" si="82"/>
        <v>936270</v>
      </c>
      <c r="E513" s="696">
        <v>0</v>
      </c>
      <c r="F513" s="698">
        <v>0</v>
      </c>
      <c r="G513" s="658">
        <f t="shared" si="80"/>
        <v>0</v>
      </c>
      <c r="H513" s="650">
        <f t="shared" si="81"/>
        <v>936270</v>
      </c>
      <c r="I513" s="1021"/>
      <c r="J513" s="1022"/>
      <c r="K513" s="1022"/>
      <c r="L513" s="1023"/>
    </row>
    <row r="514" spans="1:12" x14ac:dyDescent="0.2">
      <c r="A514" s="1019"/>
      <c r="B514" s="81">
        <v>53204080000000</v>
      </c>
      <c r="C514" s="633" t="s">
        <v>51</v>
      </c>
      <c r="D514" s="696">
        <f t="shared" si="82"/>
        <v>90000</v>
      </c>
      <c r="E514" s="696">
        <v>0</v>
      </c>
      <c r="F514" s="698">
        <v>0</v>
      </c>
      <c r="G514" s="658">
        <f t="shared" si="80"/>
        <v>0</v>
      </c>
      <c r="H514" s="650">
        <f t="shared" si="81"/>
        <v>90000</v>
      </c>
      <c r="I514" s="1021"/>
      <c r="J514" s="1022"/>
      <c r="K514" s="1022"/>
      <c r="L514" s="1023"/>
    </row>
    <row r="515" spans="1:12" x14ac:dyDescent="0.2">
      <c r="A515" s="1019"/>
      <c r="B515" s="81">
        <v>53214010000000</v>
      </c>
      <c r="C515" s="634" t="s">
        <v>52</v>
      </c>
      <c r="D515" s="696">
        <f t="shared" si="82"/>
        <v>224955</v>
      </c>
      <c r="E515" s="696">
        <v>0</v>
      </c>
      <c r="F515" s="698">
        <v>0</v>
      </c>
      <c r="G515" s="658">
        <f t="shared" si="80"/>
        <v>0</v>
      </c>
      <c r="H515" s="650">
        <f t="shared" si="81"/>
        <v>224955</v>
      </c>
      <c r="I515" s="1021"/>
      <c r="J515" s="1022"/>
      <c r="K515" s="1022"/>
      <c r="L515" s="1023"/>
    </row>
    <row r="516" spans="1:12" x14ac:dyDescent="0.2">
      <c r="A516" s="1019"/>
      <c r="B516" s="81">
        <v>53214040000000</v>
      </c>
      <c r="C516" s="634" t="s">
        <v>215</v>
      </c>
      <c r="D516" s="696">
        <f t="shared" si="82"/>
        <v>647434.5</v>
      </c>
      <c r="E516" s="696">
        <v>0</v>
      </c>
      <c r="F516" s="698">
        <v>0</v>
      </c>
      <c r="G516" s="658">
        <f t="shared" si="80"/>
        <v>0</v>
      </c>
      <c r="H516" s="650">
        <f t="shared" si="81"/>
        <v>647434.5</v>
      </c>
      <c r="I516" s="1021"/>
      <c r="J516" s="1022"/>
      <c r="K516" s="1022"/>
      <c r="L516" s="1023"/>
    </row>
    <row r="517" spans="1:12" x14ac:dyDescent="0.2">
      <c r="A517" s="1019"/>
      <c r="B517" s="690">
        <v>53204020100000</v>
      </c>
      <c r="C517" s="691" t="s">
        <v>207</v>
      </c>
      <c r="D517" s="696">
        <f t="shared" si="82"/>
        <v>30000</v>
      </c>
      <c r="E517" s="696">
        <v>0</v>
      </c>
      <c r="F517" s="698">
        <v>0</v>
      </c>
      <c r="G517" s="658">
        <f t="shared" si="80"/>
        <v>0</v>
      </c>
      <c r="H517" s="650">
        <f t="shared" si="81"/>
        <v>30000</v>
      </c>
      <c r="I517" s="1021"/>
      <c r="J517" s="1022"/>
      <c r="K517" s="1022"/>
      <c r="L517" s="1023"/>
    </row>
    <row r="518" spans="1:12" x14ac:dyDescent="0.2">
      <c r="A518" s="1019"/>
      <c r="B518" s="80"/>
      <c r="C518" s="644" t="s">
        <v>55</v>
      </c>
      <c r="D518" s="646">
        <f>SUM(D519:D526)</f>
        <v>1277922.8999999999</v>
      </c>
      <c r="E518" s="647"/>
      <c r="F518" s="647"/>
      <c r="G518" s="646">
        <f>SUM(G519:G526)</f>
        <v>0</v>
      </c>
      <c r="H518" s="651">
        <f>SUM(H519:H526)</f>
        <v>1277922.8999999999</v>
      </c>
      <c r="I518" s="1021"/>
      <c r="J518" s="1022"/>
      <c r="K518" s="1022"/>
      <c r="L518" s="1023"/>
    </row>
    <row r="519" spans="1:12" x14ac:dyDescent="0.2">
      <c r="A519" s="1019"/>
      <c r="B519" s="81">
        <v>53207010000000</v>
      </c>
      <c r="C519" s="634" t="s">
        <v>56</v>
      </c>
      <c r="D519" s="696">
        <f>+Q434</f>
        <v>0</v>
      </c>
      <c r="E519" s="696">
        <v>0</v>
      </c>
      <c r="F519" s="698">
        <v>0</v>
      </c>
      <c r="G519" s="658">
        <f t="shared" ref="G519:G526" si="83">E519*F519</f>
        <v>0</v>
      </c>
      <c r="H519" s="650">
        <f t="shared" ref="H519:H526" si="84">D519+G519</f>
        <v>0</v>
      </c>
      <c r="I519" s="1021"/>
      <c r="J519" s="1022"/>
      <c r="K519" s="1022"/>
      <c r="L519" s="1023"/>
    </row>
    <row r="520" spans="1:12" x14ac:dyDescent="0.2">
      <c r="A520" s="1019"/>
      <c r="B520" s="81">
        <v>53207020000000</v>
      </c>
      <c r="C520" s="634" t="s">
        <v>57</v>
      </c>
      <c r="D520" s="696">
        <f>+Q435</f>
        <v>99000</v>
      </c>
      <c r="E520" s="696">
        <v>0</v>
      </c>
      <c r="F520" s="698">
        <v>0</v>
      </c>
      <c r="G520" s="658">
        <f t="shared" si="83"/>
        <v>0</v>
      </c>
      <c r="H520" s="650">
        <f t="shared" si="84"/>
        <v>99000</v>
      </c>
      <c r="I520" s="1021"/>
      <c r="J520" s="1022"/>
      <c r="K520" s="1022"/>
      <c r="L520" s="1023"/>
    </row>
    <row r="521" spans="1:12" x14ac:dyDescent="0.2">
      <c r="A521" s="1019"/>
      <c r="B521" s="81">
        <v>53208020000000</v>
      </c>
      <c r="C521" s="633" t="s">
        <v>197</v>
      </c>
      <c r="D521" s="696">
        <f>+Q436</f>
        <v>0</v>
      </c>
      <c r="E521" s="696">
        <v>0</v>
      </c>
      <c r="F521" s="698">
        <v>0</v>
      </c>
      <c r="G521" s="658">
        <f t="shared" si="83"/>
        <v>0</v>
      </c>
      <c r="H521" s="650">
        <f t="shared" si="84"/>
        <v>0</v>
      </c>
      <c r="I521" s="1021"/>
      <c r="J521" s="1022"/>
      <c r="K521" s="1022"/>
      <c r="L521" s="1023"/>
    </row>
    <row r="522" spans="1:12" x14ac:dyDescent="0.2">
      <c r="A522" s="1019"/>
      <c r="B522" s="81">
        <v>53208990000000</v>
      </c>
      <c r="C522" s="633" t="s">
        <v>216</v>
      </c>
      <c r="D522" s="696">
        <f>+Q437</f>
        <v>384000</v>
      </c>
      <c r="E522" s="696">
        <v>0</v>
      </c>
      <c r="F522" s="698">
        <v>0</v>
      </c>
      <c r="G522" s="658">
        <f t="shared" si="83"/>
        <v>0</v>
      </c>
      <c r="H522" s="650">
        <f t="shared" si="84"/>
        <v>384000</v>
      </c>
      <c r="I522" s="1021"/>
      <c r="J522" s="1022"/>
      <c r="K522" s="1022"/>
      <c r="L522" s="1023"/>
    </row>
    <row r="523" spans="1:12" x14ac:dyDescent="0.2">
      <c r="A523" s="1019"/>
      <c r="B523" s="690">
        <v>53210020300000</v>
      </c>
      <c r="C523" s="692" t="s">
        <v>219</v>
      </c>
      <c r="D523" s="638">
        <v>0</v>
      </c>
      <c r="E523" s="638">
        <v>0</v>
      </c>
      <c r="F523" s="639">
        <v>0</v>
      </c>
      <c r="G523" s="658">
        <f t="shared" si="83"/>
        <v>0</v>
      </c>
      <c r="H523" s="650">
        <f t="shared" si="84"/>
        <v>0</v>
      </c>
      <c r="I523" s="1021"/>
      <c r="J523" s="1022"/>
      <c r="K523" s="1022"/>
      <c r="L523" s="1023"/>
    </row>
    <row r="524" spans="1:12" x14ac:dyDescent="0.2">
      <c r="A524" s="1019"/>
      <c r="B524" s="81">
        <v>53208990000000</v>
      </c>
      <c r="C524" s="633" t="s">
        <v>220</v>
      </c>
      <c r="D524" s="696">
        <f>+Q438</f>
        <v>324000</v>
      </c>
      <c r="E524" s="696">
        <v>0</v>
      </c>
      <c r="F524" s="698">
        <v>0</v>
      </c>
      <c r="G524" s="658">
        <f t="shared" si="83"/>
        <v>0</v>
      </c>
      <c r="H524" s="650">
        <f t="shared" si="84"/>
        <v>324000</v>
      </c>
      <c r="I524" s="1021"/>
      <c r="J524" s="1022"/>
      <c r="K524" s="1022"/>
      <c r="L524" s="1023"/>
    </row>
    <row r="525" spans="1:12" x14ac:dyDescent="0.2">
      <c r="A525" s="1019"/>
      <c r="B525" s="81">
        <v>53209990000000</v>
      </c>
      <c r="C525" s="633" t="s">
        <v>218</v>
      </c>
      <c r="D525" s="696">
        <f>+Q439</f>
        <v>0</v>
      </c>
      <c r="E525" s="696">
        <v>0</v>
      </c>
      <c r="F525" s="698">
        <v>0</v>
      </c>
      <c r="G525" s="658">
        <f t="shared" si="83"/>
        <v>0</v>
      </c>
      <c r="H525" s="650">
        <f t="shared" si="84"/>
        <v>0</v>
      </c>
      <c r="I525" s="1021"/>
      <c r="J525" s="1022"/>
      <c r="K525" s="1022"/>
      <c r="L525" s="1023"/>
    </row>
    <row r="526" spans="1:12" x14ac:dyDescent="0.2">
      <c r="A526" s="1019"/>
      <c r="B526" s="81">
        <v>53210020100000</v>
      </c>
      <c r="C526" s="634" t="s">
        <v>64</v>
      </c>
      <c r="D526" s="696">
        <f>+Q440</f>
        <v>470922.89999999997</v>
      </c>
      <c r="E526" s="696">
        <v>0</v>
      </c>
      <c r="F526" s="698">
        <v>0</v>
      </c>
      <c r="G526" s="658">
        <f t="shared" si="83"/>
        <v>0</v>
      </c>
      <c r="H526" s="650">
        <f t="shared" si="84"/>
        <v>470922.89999999997</v>
      </c>
      <c r="I526" s="1021"/>
      <c r="J526" s="1022"/>
      <c r="K526" s="1022"/>
      <c r="L526" s="1023"/>
    </row>
    <row r="527" spans="1:12" x14ac:dyDescent="0.2">
      <c r="A527" s="1019"/>
      <c r="B527" s="80"/>
      <c r="C527" s="644" t="s">
        <v>65</v>
      </c>
      <c r="D527" s="646">
        <f>SUM(D528:D534)</f>
        <v>484995</v>
      </c>
      <c r="E527" s="647"/>
      <c r="F527" s="647"/>
      <c r="G527" s="646">
        <f>SUM(G528:G534)</f>
        <v>0</v>
      </c>
      <c r="H527" s="651">
        <f>SUM(H528:H534)</f>
        <v>484995</v>
      </c>
      <c r="I527" s="1021"/>
      <c r="J527" s="1022"/>
      <c r="K527" s="1022"/>
      <c r="L527" s="1023"/>
    </row>
    <row r="528" spans="1:12" x14ac:dyDescent="0.2">
      <c r="A528" s="1019"/>
      <c r="B528" s="81">
        <v>53206030000000</v>
      </c>
      <c r="C528" s="634" t="s">
        <v>102</v>
      </c>
      <c r="D528" s="696">
        <f>+Q441</f>
        <v>0</v>
      </c>
      <c r="E528" s="696">
        <v>0</v>
      </c>
      <c r="F528" s="698">
        <v>0</v>
      </c>
      <c r="G528" s="658">
        <f t="shared" ref="G528:G534" si="85">E528*F528</f>
        <v>0</v>
      </c>
      <c r="H528" s="650">
        <f t="shared" ref="H528:H534" si="86">D528+G528</f>
        <v>0</v>
      </c>
      <c r="I528" s="1021"/>
      <c r="J528" s="1022"/>
      <c r="K528" s="1022"/>
      <c r="L528" s="1023"/>
    </row>
    <row r="529" spans="1:12" x14ac:dyDescent="0.2">
      <c r="A529" s="1019"/>
      <c r="B529" s="81">
        <v>53206040000000</v>
      </c>
      <c r="C529" s="634" t="s">
        <v>103</v>
      </c>
      <c r="D529" s="696">
        <f t="shared" ref="D529:D534" si="87">+Q442</f>
        <v>120000</v>
      </c>
      <c r="E529" s="696">
        <v>0</v>
      </c>
      <c r="F529" s="698">
        <v>0</v>
      </c>
      <c r="G529" s="658">
        <f t="shared" si="85"/>
        <v>0</v>
      </c>
      <c r="H529" s="650">
        <f t="shared" si="86"/>
        <v>120000</v>
      </c>
      <c r="I529" s="1021"/>
      <c r="J529" s="1022"/>
      <c r="K529" s="1022"/>
      <c r="L529" s="1023"/>
    </row>
    <row r="530" spans="1:12" x14ac:dyDescent="0.2">
      <c r="A530" s="1019"/>
      <c r="B530" s="81">
        <v>53206060000000</v>
      </c>
      <c r="C530" s="634" t="s">
        <v>221</v>
      </c>
      <c r="D530" s="696">
        <f t="shared" si="87"/>
        <v>105000</v>
      </c>
      <c r="E530" s="696">
        <v>0</v>
      </c>
      <c r="F530" s="698">
        <v>0</v>
      </c>
      <c r="G530" s="658">
        <f t="shared" si="85"/>
        <v>0</v>
      </c>
      <c r="H530" s="650">
        <f t="shared" si="86"/>
        <v>105000</v>
      </c>
      <c r="I530" s="1021"/>
      <c r="J530" s="1022"/>
      <c r="K530" s="1022"/>
      <c r="L530" s="1023"/>
    </row>
    <row r="531" spans="1:12" x14ac:dyDescent="0.2">
      <c r="A531" s="1019"/>
      <c r="B531" s="81">
        <v>53206070000000</v>
      </c>
      <c r="C531" s="634" t="s">
        <v>105</v>
      </c>
      <c r="D531" s="696">
        <f t="shared" si="87"/>
        <v>0</v>
      </c>
      <c r="E531" s="696">
        <v>0</v>
      </c>
      <c r="F531" s="698">
        <v>0</v>
      </c>
      <c r="G531" s="658">
        <f t="shared" si="85"/>
        <v>0</v>
      </c>
      <c r="H531" s="650">
        <f t="shared" si="86"/>
        <v>0</v>
      </c>
      <c r="I531" s="1021"/>
      <c r="J531" s="1022"/>
      <c r="K531" s="1022"/>
      <c r="L531" s="1023"/>
    </row>
    <row r="532" spans="1:12" x14ac:dyDescent="0.2">
      <c r="A532" s="1019"/>
      <c r="B532" s="81">
        <v>53206990000000</v>
      </c>
      <c r="C532" s="634" t="s">
        <v>222</v>
      </c>
      <c r="D532" s="696">
        <f t="shared" si="87"/>
        <v>0</v>
      </c>
      <c r="E532" s="696">
        <v>0</v>
      </c>
      <c r="F532" s="698">
        <v>0</v>
      </c>
      <c r="G532" s="658">
        <f t="shared" si="85"/>
        <v>0</v>
      </c>
      <c r="H532" s="650">
        <f t="shared" si="86"/>
        <v>0</v>
      </c>
      <c r="I532" s="1021"/>
      <c r="J532" s="1022"/>
      <c r="K532" s="1022"/>
      <c r="L532" s="1023"/>
    </row>
    <row r="533" spans="1:12" x14ac:dyDescent="0.2">
      <c r="A533" s="1019"/>
      <c r="B533" s="81">
        <v>53208030000000</v>
      </c>
      <c r="C533" s="634" t="s">
        <v>107</v>
      </c>
      <c r="D533" s="696">
        <f t="shared" si="87"/>
        <v>259995</v>
      </c>
      <c r="E533" s="696">
        <v>0</v>
      </c>
      <c r="F533" s="698">
        <v>0</v>
      </c>
      <c r="G533" s="658">
        <f t="shared" si="85"/>
        <v>0</v>
      </c>
      <c r="H533" s="650">
        <f t="shared" si="86"/>
        <v>259995</v>
      </c>
      <c r="I533" s="1021"/>
      <c r="J533" s="1022"/>
      <c r="K533" s="1022"/>
      <c r="L533" s="1023"/>
    </row>
    <row r="534" spans="1:12" x14ac:dyDescent="0.2">
      <c r="A534" s="1019"/>
      <c r="B534" s="81">
        <v>53212060000000</v>
      </c>
      <c r="C534" s="634" t="s">
        <v>100</v>
      </c>
      <c r="D534" s="696">
        <f t="shared" si="87"/>
        <v>0</v>
      </c>
      <c r="E534" s="696">
        <v>0</v>
      </c>
      <c r="F534" s="698">
        <v>0</v>
      </c>
      <c r="G534" s="658">
        <f t="shared" si="85"/>
        <v>0</v>
      </c>
      <c r="H534" s="650">
        <f t="shared" si="86"/>
        <v>0</v>
      </c>
      <c r="I534" s="1021"/>
      <c r="J534" s="1022"/>
      <c r="K534" s="1022"/>
      <c r="L534" s="1023"/>
    </row>
    <row r="535" spans="1:12" x14ac:dyDescent="0.2">
      <c r="A535" s="1019"/>
      <c r="B535" s="80"/>
      <c r="C535" s="644" t="s">
        <v>66</v>
      </c>
      <c r="D535" s="646">
        <f>SUM(D536:D536)</f>
        <v>0</v>
      </c>
      <c r="E535" s="647"/>
      <c r="F535" s="647"/>
      <c r="G535" s="646">
        <f>SUM(G536:G536)</f>
        <v>0</v>
      </c>
      <c r="H535" s="651">
        <f>SUM(H536:H536)</f>
        <v>0</v>
      </c>
      <c r="I535" s="1021"/>
      <c r="J535" s="1022"/>
      <c r="K535" s="1022"/>
      <c r="L535" s="1023"/>
    </row>
    <row r="536" spans="1:12" x14ac:dyDescent="0.2">
      <c r="A536" s="1019"/>
      <c r="B536" s="95">
        <v>53204999000000</v>
      </c>
      <c r="C536" s="645" t="s">
        <v>217</v>
      </c>
      <c r="D536" s="638">
        <v>0</v>
      </c>
      <c r="E536" s="638">
        <v>0</v>
      </c>
      <c r="F536" s="639">
        <v>0</v>
      </c>
      <c r="G536" s="658">
        <f>E536*F536</f>
        <v>0</v>
      </c>
      <c r="H536" s="654">
        <f>D536+G536</f>
        <v>0</v>
      </c>
      <c r="I536" s="1021"/>
      <c r="J536" s="1022"/>
      <c r="K536" s="1022"/>
      <c r="L536" s="1023"/>
    </row>
    <row r="537" spans="1:12" x14ac:dyDescent="0.2">
      <c r="A537" s="1019"/>
      <c r="B537" s="98"/>
      <c r="C537" s="649" t="s">
        <v>108</v>
      </c>
      <c r="D537" s="662">
        <f>SUM(D474,D501)</f>
        <v>57621067.160000004</v>
      </c>
      <c r="E537" s="663"/>
      <c r="F537" s="663"/>
      <c r="G537" s="662">
        <f>SUM(G474,G501)</f>
        <v>4959840</v>
      </c>
      <c r="H537" s="99">
        <f>SUM(H474,H501)</f>
        <v>62580907.160000004</v>
      </c>
      <c r="I537" s="1021"/>
      <c r="J537" s="1022"/>
      <c r="K537" s="1022"/>
      <c r="L537" s="1023"/>
    </row>
    <row r="538" spans="1:12" ht="15.75" customHeight="1" x14ac:dyDescent="0.2">
      <c r="A538" s="1049" t="s">
        <v>112</v>
      </c>
      <c r="B538" s="1049"/>
      <c r="C538" s="1049"/>
      <c r="D538" s="1049"/>
      <c r="E538" s="1049"/>
      <c r="F538" s="1049"/>
      <c r="G538" s="1050"/>
      <c r="H538" s="96">
        <f>+H75+H141+H207+H273+H339+H405+H471+H537</f>
        <v>840738400.36400008</v>
      </c>
    </row>
    <row r="541" spans="1:12" x14ac:dyDescent="0.2">
      <c r="G541" s="6">
        <v>3.4</v>
      </c>
      <c r="H541" s="895">
        <f>+H538-'F) Remuneraciones'!L144</f>
        <v>238774997</v>
      </c>
    </row>
    <row r="543" spans="1:12" x14ac:dyDescent="0.2">
      <c r="G543" s="6" t="s">
        <v>631</v>
      </c>
      <c r="H543" s="890">
        <f>+H541/1.034</f>
        <v>230923594.77756286</v>
      </c>
    </row>
    <row r="545" spans="2:8" x14ac:dyDescent="0.2">
      <c r="D545" s="58"/>
      <c r="G545" s="6">
        <v>3.3</v>
      </c>
      <c r="H545" s="890">
        <f>+H543*1.033</f>
        <v>238544073.40522242</v>
      </c>
    </row>
    <row r="547" spans="2:8" x14ac:dyDescent="0.2">
      <c r="B547" s="26"/>
      <c r="C547" s="70"/>
      <c r="D547" s="21"/>
      <c r="E547" s="71"/>
      <c r="F547" s="72"/>
      <c r="G547" s="71"/>
      <c r="H547" s="75"/>
    </row>
    <row r="548" spans="2:8" x14ac:dyDescent="0.2">
      <c r="B548" s="26"/>
      <c r="C548" s="70"/>
      <c r="D548" s="21"/>
      <c r="E548" s="71"/>
      <c r="F548" s="72"/>
      <c r="G548" s="71" t="s">
        <v>632</v>
      </c>
      <c r="H548" s="75">
        <f>+H541-H545</f>
        <v>230923.59477758408</v>
      </c>
    </row>
    <row r="549" spans="2:8" x14ac:dyDescent="0.2">
      <c r="B549" s="26"/>
      <c r="C549" s="70"/>
      <c r="E549" s="71"/>
      <c r="F549" s="72"/>
      <c r="H549" s="75"/>
    </row>
    <row r="550" spans="2:8" x14ac:dyDescent="0.2">
      <c r="B550" s="26"/>
      <c r="C550" s="70"/>
      <c r="D550" s="21"/>
      <c r="E550" s="71"/>
      <c r="F550" s="72"/>
      <c r="G550" s="6">
        <v>3</v>
      </c>
      <c r="H550" s="75">
        <f>+H543*1.03</f>
        <v>237851302.62088975</v>
      </c>
    </row>
    <row r="551" spans="2:8" x14ac:dyDescent="0.2">
      <c r="B551" s="26"/>
      <c r="C551" s="70"/>
      <c r="E551" s="71"/>
      <c r="F551" s="72"/>
      <c r="G551" s="71"/>
      <c r="H551" s="75"/>
    </row>
    <row r="552" spans="2:8" x14ac:dyDescent="0.2">
      <c r="B552" s="26"/>
      <c r="C552" s="70"/>
      <c r="D552" s="21"/>
      <c r="E552" s="71"/>
      <c r="F552" s="72"/>
      <c r="G552" s="71"/>
      <c r="H552" s="75">
        <f>+H541-H550</f>
        <v>923694.3791102469</v>
      </c>
    </row>
    <row r="553" spans="2:8" x14ac:dyDescent="0.2">
      <c r="B553" s="26"/>
      <c r="E553" s="71"/>
      <c r="F553" s="72"/>
      <c r="G553" s="71"/>
      <c r="H553" s="75"/>
    </row>
    <row r="554" spans="2:8" x14ac:dyDescent="0.2">
      <c r="B554" s="26"/>
      <c r="E554" s="71"/>
      <c r="F554" s="72"/>
      <c r="G554" s="71"/>
      <c r="H554" s="75"/>
    </row>
    <row r="555" spans="2:8" x14ac:dyDescent="0.2">
      <c r="B555" s="26"/>
      <c r="E555" s="74"/>
      <c r="F555" s="74"/>
      <c r="G555" s="73"/>
      <c r="H555" s="76"/>
    </row>
  </sheetData>
  <mergeCells count="586">
    <mergeCell ref="N406:N407"/>
    <mergeCell ref="O406:O407"/>
    <mergeCell ref="P406:P407"/>
    <mergeCell ref="Q406:Q407"/>
    <mergeCell ref="I207:L207"/>
    <mergeCell ref="I190:L190"/>
    <mergeCell ref="I191:L191"/>
    <mergeCell ref="I192:L192"/>
    <mergeCell ref="I193:L193"/>
    <mergeCell ref="I194:L194"/>
    <mergeCell ref="I195:L195"/>
    <mergeCell ref="I196:L196"/>
    <mergeCell ref="I197:L197"/>
    <mergeCell ref="I198:L198"/>
    <mergeCell ref="I403:L403"/>
    <mergeCell ref="I404:L404"/>
    <mergeCell ref="I405:L405"/>
    <mergeCell ref="I385:L385"/>
    <mergeCell ref="I386:L386"/>
    <mergeCell ref="I387:L387"/>
    <mergeCell ref="I388:L388"/>
    <mergeCell ref="I389:L389"/>
    <mergeCell ref="I390:L390"/>
    <mergeCell ref="I391:L391"/>
    <mergeCell ref="D4:E4"/>
    <mergeCell ref="I199:L199"/>
    <mergeCell ref="I200:L200"/>
    <mergeCell ref="I201:L201"/>
    <mergeCell ref="I202:L202"/>
    <mergeCell ref="I203:L203"/>
    <mergeCell ref="I204:L204"/>
    <mergeCell ref="I205:L205"/>
    <mergeCell ref="I206:L206"/>
    <mergeCell ref="I177:L177"/>
    <mergeCell ref="I178:L178"/>
    <mergeCell ref="I139:L139"/>
    <mergeCell ref="I140:L140"/>
    <mergeCell ref="I141:L141"/>
    <mergeCell ref="I181:L181"/>
    <mergeCell ref="I182:L182"/>
    <mergeCell ref="I183:L183"/>
    <mergeCell ref="I184:L184"/>
    <mergeCell ref="I167:L167"/>
    <mergeCell ref="I168:L168"/>
    <mergeCell ref="I169:L169"/>
    <mergeCell ref="I170:L170"/>
    <mergeCell ref="I171:L171"/>
    <mergeCell ref="I172:L172"/>
    <mergeCell ref="I534:L534"/>
    <mergeCell ref="I535:L535"/>
    <mergeCell ref="I536:L536"/>
    <mergeCell ref="I537:L537"/>
    <mergeCell ref="I525:L525"/>
    <mergeCell ref="I526:L526"/>
    <mergeCell ref="I527:L527"/>
    <mergeCell ref="I528:L528"/>
    <mergeCell ref="I529:L529"/>
    <mergeCell ref="I530:L530"/>
    <mergeCell ref="I531:L531"/>
    <mergeCell ref="I532:L532"/>
    <mergeCell ref="I533:L533"/>
    <mergeCell ref="I515:L515"/>
    <mergeCell ref="I516:L516"/>
    <mergeCell ref="I517:L517"/>
    <mergeCell ref="I518:L518"/>
    <mergeCell ref="I519:L519"/>
    <mergeCell ref="I522:L522"/>
    <mergeCell ref="I523:L523"/>
    <mergeCell ref="I524:L524"/>
    <mergeCell ref="I506:L506"/>
    <mergeCell ref="I507:L507"/>
    <mergeCell ref="I508:L508"/>
    <mergeCell ref="I509:L509"/>
    <mergeCell ref="I510:L510"/>
    <mergeCell ref="I511:L511"/>
    <mergeCell ref="I512:L512"/>
    <mergeCell ref="I513:L513"/>
    <mergeCell ref="I514:L514"/>
    <mergeCell ref="I520:L520"/>
    <mergeCell ref="I521:L521"/>
    <mergeCell ref="I505:L505"/>
    <mergeCell ref="I488:L488"/>
    <mergeCell ref="I489:L489"/>
    <mergeCell ref="I490:L490"/>
    <mergeCell ref="I491:L491"/>
    <mergeCell ref="I492:L492"/>
    <mergeCell ref="I493:L493"/>
    <mergeCell ref="I494:L494"/>
    <mergeCell ref="I495:L495"/>
    <mergeCell ref="I496:L496"/>
    <mergeCell ref="I499:L499"/>
    <mergeCell ref="I500:L500"/>
    <mergeCell ref="I501:L501"/>
    <mergeCell ref="I502:L502"/>
    <mergeCell ref="I503:L503"/>
    <mergeCell ref="I504:L504"/>
    <mergeCell ref="I474:L474"/>
    <mergeCell ref="I475:L475"/>
    <mergeCell ref="I476:L476"/>
    <mergeCell ref="I477:L477"/>
    <mergeCell ref="I478:L478"/>
    <mergeCell ref="I497:L497"/>
    <mergeCell ref="I498:L498"/>
    <mergeCell ref="I472:L473"/>
    <mergeCell ref="I479:L479"/>
    <mergeCell ref="I480:L480"/>
    <mergeCell ref="I481:L481"/>
    <mergeCell ref="I482:L482"/>
    <mergeCell ref="I483:L483"/>
    <mergeCell ref="I484:L484"/>
    <mergeCell ref="I485:L485"/>
    <mergeCell ref="I486:L486"/>
    <mergeCell ref="I487:L487"/>
    <mergeCell ref="I464:L464"/>
    <mergeCell ref="I465:L465"/>
    <mergeCell ref="I466:L466"/>
    <mergeCell ref="I467:L467"/>
    <mergeCell ref="I468:L468"/>
    <mergeCell ref="I469:L469"/>
    <mergeCell ref="I470:L470"/>
    <mergeCell ref="I471:L471"/>
    <mergeCell ref="I455:L455"/>
    <mergeCell ref="I456:L456"/>
    <mergeCell ref="I457:L457"/>
    <mergeCell ref="I458:L458"/>
    <mergeCell ref="I459:L459"/>
    <mergeCell ref="I460:L460"/>
    <mergeCell ref="I461:L461"/>
    <mergeCell ref="I462:L462"/>
    <mergeCell ref="I463:L463"/>
    <mergeCell ref="I445:L445"/>
    <mergeCell ref="I446:L446"/>
    <mergeCell ref="I447:L447"/>
    <mergeCell ref="I450:L450"/>
    <mergeCell ref="I451:L451"/>
    <mergeCell ref="I452:L452"/>
    <mergeCell ref="I453:L453"/>
    <mergeCell ref="I454:L454"/>
    <mergeCell ref="I436:L436"/>
    <mergeCell ref="I437:L437"/>
    <mergeCell ref="I438:L438"/>
    <mergeCell ref="I439:L439"/>
    <mergeCell ref="I440:L440"/>
    <mergeCell ref="I441:L441"/>
    <mergeCell ref="I442:L442"/>
    <mergeCell ref="I443:L443"/>
    <mergeCell ref="I444:L444"/>
    <mergeCell ref="I448:L448"/>
    <mergeCell ref="I449:L449"/>
    <mergeCell ref="I429:L429"/>
    <mergeCell ref="I430:L430"/>
    <mergeCell ref="I431:L431"/>
    <mergeCell ref="I432:L432"/>
    <mergeCell ref="I433:L433"/>
    <mergeCell ref="I434:L434"/>
    <mergeCell ref="I435:L435"/>
    <mergeCell ref="I418:L418"/>
    <mergeCell ref="I419:L419"/>
    <mergeCell ref="I420:L420"/>
    <mergeCell ref="I421:L421"/>
    <mergeCell ref="I422:L422"/>
    <mergeCell ref="I423:L423"/>
    <mergeCell ref="I424:L424"/>
    <mergeCell ref="I425:L425"/>
    <mergeCell ref="I426:L426"/>
    <mergeCell ref="I408:L408"/>
    <mergeCell ref="I427:L427"/>
    <mergeCell ref="I428:L428"/>
    <mergeCell ref="I409:L409"/>
    <mergeCell ref="I410:L410"/>
    <mergeCell ref="I411:L411"/>
    <mergeCell ref="I412:L412"/>
    <mergeCell ref="I413:L413"/>
    <mergeCell ref="I414:L414"/>
    <mergeCell ref="I415:L415"/>
    <mergeCell ref="I416:L416"/>
    <mergeCell ref="I417:L417"/>
    <mergeCell ref="I355:L355"/>
    <mergeCell ref="I356:L356"/>
    <mergeCell ref="I375:L375"/>
    <mergeCell ref="I378:L378"/>
    <mergeCell ref="I379:L379"/>
    <mergeCell ref="I380:L380"/>
    <mergeCell ref="I381:L381"/>
    <mergeCell ref="I382:L382"/>
    <mergeCell ref="I383:L383"/>
    <mergeCell ref="I376:L376"/>
    <mergeCell ref="I377:L377"/>
    <mergeCell ref="I366:L366"/>
    <mergeCell ref="I367:L367"/>
    <mergeCell ref="I368:L368"/>
    <mergeCell ref="I369:L369"/>
    <mergeCell ref="I370:L370"/>
    <mergeCell ref="I371:L371"/>
    <mergeCell ref="I372:L372"/>
    <mergeCell ref="I373:L373"/>
    <mergeCell ref="I374:L374"/>
    <mergeCell ref="I333:L333"/>
    <mergeCell ref="I334:L334"/>
    <mergeCell ref="I335:L335"/>
    <mergeCell ref="I336:L336"/>
    <mergeCell ref="I337:L337"/>
    <mergeCell ref="I338:L338"/>
    <mergeCell ref="I339:L339"/>
    <mergeCell ref="I353:L353"/>
    <mergeCell ref="I354:L354"/>
    <mergeCell ref="I347:L347"/>
    <mergeCell ref="I348:L348"/>
    <mergeCell ref="I349:L349"/>
    <mergeCell ref="I350:L350"/>
    <mergeCell ref="I351:L351"/>
    <mergeCell ref="I352:L352"/>
    <mergeCell ref="I343:L343"/>
    <mergeCell ref="I344:L344"/>
    <mergeCell ref="I345:L345"/>
    <mergeCell ref="I346:L346"/>
    <mergeCell ref="I325:L325"/>
    <mergeCell ref="I326:L326"/>
    <mergeCell ref="I327:L327"/>
    <mergeCell ref="I328:L328"/>
    <mergeCell ref="I329:L329"/>
    <mergeCell ref="I330:L330"/>
    <mergeCell ref="I331:L331"/>
    <mergeCell ref="I332:L332"/>
    <mergeCell ref="I315:L315"/>
    <mergeCell ref="I316:L316"/>
    <mergeCell ref="I317:L317"/>
    <mergeCell ref="I318:L318"/>
    <mergeCell ref="I319:L319"/>
    <mergeCell ref="I320:L320"/>
    <mergeCell ref="I321:L321"/>
    <mergeCell ref="I322:L322"/>
    <mergeCell ref="I323:L323"/>
    <mergeCell ref="I296:L296"/>
    <mergeCell ref="I297:L297"/>
    <mergeCell ref="I298:L298"/>
    <mergeCell ref="I299:L299"/>
    <mergeCell ref="I300:L300"/>
    <mergeCell ref="I301:L301"/>
    <mergeCell ref="I302:L302"/>
    <mergeCell ref="I303:L303"/>
    <mergeCell ref="I324:L324"/>
    <mergeCell ref="I306:L306"/>
    <mergeCell ref="I307:L307"/>
    <mergeCell ref="I308:L308"/>
    <mergeCell ref="I309:L309"/>
    <mergeCell ref="I310:L310"/>
    <mergeCell ref="I311:L311"/>
    <mergeCell ref="I312:L312"/>
    <mergeCell ref="I313:L313"/>
    <mergeCell ref="I314:L314"/>
    <mergeCell ref="I305:L305"/>
    <mergeCell ref="I304:L304"/>
    <mergeCell ref="I290:L290"/>
    <mergeCell ref="I291:L291"/>
    <mergeCell ref="I292:L292"/>
    <mergeCell ref="I293:L293"/>
    <mergeCell ref="I294:L294"/>
    <mergeCell ref="I295:L295"/>
    <mergeCell ref="I278:L278"/>
    <mergeCell ref="I279:L279"/>
    <mergeCell ref="I280:L280"/>
    <mergeCell ref="I281:L281"/>
    <mergeCell ref="I282:L282"/>
    <mergeCell ref="I283:L283"/>
    <mergeCell ref="I284:L284"/>
    <mergeCell ref="I285:L285"/>
    <mergeCell ref="I286:L286"/>
    <mergeCell ref="I271:L271"/>
    <mergeCell ref="I272:L272"/>
    <mergeCell ref="I273:L273"/>
    <mergeCell ref="I287:L287"/>
    <mergeCell ref="I288:L288"/>
    <mergeCell ref="I289:L289"/>
    <mergeCell ref="I276:L276"/>
    <mergeCell ref="I277:L277"/>
    <mergeCell ref="I274:L275"/>
    <mergeCell ref="I261:L261"/>
    <mergeCell ref="I262:L262"/>
    <mergeCell ref="I263:L263"/>
    <mergeCell ref="I265:L265"/>
    <mergeCell ref="I266:L266"/>
    <mergeCell ref="I267:L267"/>
    <mergeCell ref="I268:L268"/>
    <mergeCell ref="I269:L269"/>
    <mergeCell ref="I270:L270"/>
    <mergeCell ref="I264:L264"/>
    <mergeCell ref="I258:L258"/>
    <mergeCell ref="I259:L259"/>
    <mergeCell ref="I260:L260"/>
    <mergeCell ref="I228:L228"/>
    <mergeCell ref="I229:L229"/>
    <mergeCell ref="I230:L230"/>
    <mergeCell ref="I231:L231"/>
    <mergeCell ref="I232:L232"/>
    <mergeCell ref="I233:L233"/>
    <mergeCell ref="I234:L234"/>
    <mergeCell ref="I235:L235"/>
    <mergeCell ref="I236:L236"/>
    <mergeCell ref="I242:L242"/>
    <mergeCell ref="I243:L243"/>
    <mergeCell ref="I244:L244"/>
    <mergeCell ref="I245:L245"/>
    <mergeCell ref="I237:L237"/>
    <mergeCell ref="I238:L238"/>
    <mergeCell ref="I239:L239"/>
    <mergeCell ref="I246:L246"/>
    <mergeCell ref="I247:L247"/>
    <mergeCell ref="I248:L248"/>
    <mergeCell ref="I249:L249"/>
    <mergeCell ref="I250:L250"/>
    <mergeCell ref="I219:L219"/>
    <mergeCell ref="I222:L222"/>
    <mergeCell ref="I223:L223"/>
    <mergeCell ref="I224:L224"/>
    <mergeCell ref="I225:L225"/>
    <mergeCell ref="I226:L226"/>
    <mergeCell ref="I227:L227"/>
    <mergeCell ref="I240:L240"/>
    <mergeCell ref="I241:L241"/>
    <mergeCell ref="I173:L173"/>
    <mergeCell ref="I174:L174"/>
    <mergeCell ref="I175:L175"/>
    <mergeCell ref="I179:L179"/>
    <mergeCell ref="I180:L180"/>
    <mergeCell ref="I72:L72"/>
    <mergeCell ref="I73:L73"/>
    <mergeCell ref="I74:L74"/>
    <mergeCell ref="I75:L75"/>
    <mergeCell ref="I124:L124"/>
    <mergeCell ref="I125:L125"/>
    <mergeCell ref="I165:L165"/>
    <mergeCell ref="I166:L166"/>
    <mergeCell ref="I148:L148"/>
    <mergeCell ref="I149:L149"/>
    <mergeCell ref="I144:L144"/>
    <mergeCell ref="I88:L88"/>
    <mergeCell ref="I89:L89"/>
    <mergeCell ref="I90:L90"/>
    <mergeCell ref="I91:L91"/>
    <mergeCell ref="I92:L92"/>
    <mergeCell ref="I93:L93"/>
    <mergeCell ref="I145:L145"/>
    <mergeCell ref="I146:L146"/>
    <mergeCell ref="I62:L62"/>
    <mergeCell ref="I63:L63"/>
    <mergeCell ref="I64:L64"/>
    <mergeCell ref="I65:L65"/>
    <mergeCell ref="I66:L66"/>
    <mergeCell ref="I67:L67"/>
    <mergeCell ref="I68:L68"/>
    <mergeCell ref="I69:L69"/>
    <mergeCell ref="I47:L47"/>
    <mergeCell ref="I48:L48"/>
    <mergeCell ref="I49:L49"/>
    <mergeCell ref="I50:L50"/>
    <mergeCell ref="I51:L51"/>
    <mergeCell ref="I52:L52"/>
    <mergeCell ref="I53:L53"/>
    <mergeCell ref="I61:L61"/>
    <mergeCell ref="I70:L70"/>
    <mergeCell ref="I71:L71"/>
    <mergeCell ref="I45:L45"/>
    <mergeCell ref="I32:L32"/>
    <mergeCell ref="A274:A275"/>
    <mergeCell ref="B274:B275"/>
    <mergeCell ref="C274:C275"/>
    <mergeCell ref="D274:D275"/>
    <mergeCell ref="E274:G274"/>
    <mergeCell ref="H274:H275"/>
    <mergeCell ref="I33:L33"/>
    <mergeCell ref="I34:L34"/>
    <mergeCell ref="I35:L35"/>
    <mergeCell ref="I36:L36"/>
    <mergeCell ref="I37:L37"/>
    <mergeCell ref="I38:L38"/>
    <mergeCell ref="I39:L39"/>
    <mergeCell ref="I54:L54"/>
    <mergeCell ref="I55:L55"/>
    <mergeCell ref="I56:L56"/>
    <mergeCell ref="I57:L57"/>
    <mergeCell ref="I58:L58"/>
    <mergeCell ref="I59:L59"/>
    <mergeCell ref="I60:L60"/>
    <mergeCell ref="I46:L46"/>
    <mergeCell ref="I22:L22"/>
    <mergeCell ref="B10:B11"/>
    <mergeCell ref="A10:A11"/>
    <mergeCell ref="E10:G10"/>
    <mergeCell ref="D10:D11"/>
    <mergeCell ref="D76:D77"/>
    <mergeCell ref="H10:H11"/>
    <mergeCell ref="C10:C11"/>
    <mergeCell ref="E76:G76"/>
    <mergeCell ref="H76:H77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40:L40"/>
    <mergeCell ref="I41:L41"/>
    <mergeCell ref="I42:L42"/>
    <mergeCell ref="I43:L43"/>
    <mergeCell ref="I44:L44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A538:G538"/>
    <mergeCell ref="A472:A473"/>
    <mergeCell ref="B472:B473"/>
    <mergeCell ref="C472:C473"/>
    <mergeCell ref="D472:D473"/>
    <mergeCell ref="E472:G472"/>
    <mergeCell ref="H472:H473"/>
    <mergeCell ref="A474:A537"/>
    <mergeCell ref="I106:L106"/>
    <mergeCell ref="I107:L107"/>
    <mergeCell ref="I108:L108"/>
    <mergeCell ref="I109:L109"/>
    <mergeCell ref="I110:L110"/>
    <mergeCell ref="I111:L111"/>
    <mergeCell ref="I112:L112"/>
    <mergeCell ref="I113:L113"/>
    <mergeCell ref="I114:L114"/>
    <mergeCell ref="I126:L126"/>
    <mergeCell ref="I127:L127"/>
    <mergeCell ref="I128:L128"/>
    <mergeCell ref="I129:L129"/>
    <mergeCell ref="I130:L130"/>
    <mergeCell ref="I131:L131"/>
    <mergeCell ref="I132:L132"/>
    <mergeCell ref="A76:A77"/>
    <mergeCell ref="B76:B77"/>
    <mergeCell ref="C76:C77"/>
    <mergeCell ref="I76:L77"/>
    <mergeCell ref="A142:A143"/>
    <mergeCell ref="B142:B143"/>
    <mergeCell ref="C142:C143"/>
    <mergeCell ref="D142:D143"/>
    <mergeCell ref="E142:G142"/>
    <mergeCell ref="H142:H143"/>
    <mergeCell ref="I142:L143"/>
    <mergeCell ref="I94:L94"/>
    <mergeCell ref="I95:L95"/>
    <mergeCell ref="I96:L96"/>
    <mergeCell ref="I79:L79"/>
    <mergeCell ref="I80:L80"/>
    <mergeCell ref="I81:L81"/>
    <mergeCell ref="I82:L82"/>
    <mergeCell ref="I83:L83"/>
    <mergeCell ref="I84:L84"/>
    <mergeCell ref="I85:L85"/>
    <mergeCell ref="I86:L86"/>
    <mergeCell ref="I87:L87"/>
    <mergeCell ref="I97:L97"/>
    <mergeCell ref="I185:L185"/>
    <mergeCell ref="I186:L186"/>
    <mergeCell ref="I187:L187"/>
    <mergeCell ref="I188:L188"/>
    <mergeCell ref="I189:L189"/>
    <mergeCell ref="E208:G208"/>
    <mergeCell ref="I78:L78"/>
    <mergeCell ref="I115:L115"/>
    <mergeCell ref="I116:L116"/>
    <mergeCell ref="I117:L117"/>
    <mergeCell ref="I118:L118"/>
    <mergeCell ref="I119:L119"/>
    <mergeCell ref="I120:L120"/>
    <mergeCell ref="I121:L121"/>
    <mergeCell ref="I122:L122"/>
    <mergeCell ref="I123:L123"/>
    <mergeCell ref="I133:L133"/>
    <mergeCell ref="I134:L134"/>
    <mergeCell ref="I135:L135"/>
    <mergeCell ref="I136:L136"/>
    <mergeCell ref="I137:L137"/>
    <mergeCell ref="I138:L138"/>
    <mergeCell ref="I163:L163"/>
    <mergeCell ref="I164:L164"/>
    <mergeCell ref="I147:L147"/>
    <mergeCell ref="I98:L98"/>
    <mergeCell ref="I99:L99"/>
    <mergeCell ref="I100:L100"/>
    <mergeCell ref="I101:L101"/>
    <mergeCell ref="I102:L102"/>
    <mergeCell ref="I103:L103"/>
    <mergeCell ref="I104:L104"/>
    <mergeCell ref="I105:L105"/>
    <mergeCell ref="E406:G406"/>
    <mergeCell ref="H406:H407"/>
    <mergeCell ref="I406:L407"/>
    <mergeCell ref="I357:L357"/>
    <mergeCell ref="I358:L358"/>
    <mergeCell ref="I359:L359"/>
    <mergeCell ref="I360:L360"/>
    <mergeCell ref="I361:L361"/>
    <mergeCell ref="I362:L362"/>
    <mergeCell ref="I363:L363"/>
    <mergeCell ref="I364:L364"/>
    <mergeCell ref="I365:L365"/>
    <mergeCell ref="I401:L401"/>
    <mergeCell ref="I402:L402"/>
    <mergeCell ref="I384:L384"/>
    <mergeCell ref="I392:L392"/>
    <mergeCell ref="I393:L393"/>
    <mergeCell ref="I394:L394"/>
    <mergeCell ref="I395:L395"/>
    <mergeCell ref="I396:L396"/>
    <mergeCell ref="I397:L397"/>
    <mergeCell ref="I398:L398"/>
    <mergeCell ref="I399:L399"/>
    <mergeCell ref="I400:L400"/>
    <mergeCell ref="H208:H209"/>
    <mergeCell ref="I208:L209"/>
    <mergeCell ref="I220:L220"/>
    <mergeCell ref="I221:L221"/>
    <mergeCell ref="E340:G340"/>
    <mergeCell ref="H340:H341"/>
    <mergeCell ref="I340:L341"/>
    <mergeCell ref="I342:L342"/>
    <mergeCell ref="I210:L210"/>
    <mergeCell ref="I211:L211"/>
    <mergeCell ref="I212:L212"/>
    <mergeCell ref="I213:L213"/>
    <mergeCell ref="I214:L214"/>
    <mergeCell ref="I215:L215"/>
    <mergeCell ref="I216:L216"/>
    <mergeCell ref="I217:L217"/>
    <mergeCell ref="I218:L218"/>
    <mergeCell ref="I251:L251"/>
    <mergeCell ref="I252:L252"/>
    <mergeCell ref="I253:L253"/>
    <mergeCell ref="I254:L254"/>
    <mergeCell ref="I255:L255"/>
    <mergeCell ref="I256:L256"/>
    <mergeCell ref="I257:L257"/>
    <mergeCell ref="A276:A339"/>
    <mergeCell ref="A342:A405"/>
    <mergeCell ref="A408:A471"/>
    <mergeCell ref="A340:A341"/>
    <mergeCell ref="B340:B341"/>
    <mergeCell ref="C340:C341"/>
    <mergeCell ref="D340:D341"/>
    <mergeCell ref="A208:A209"/>
    <mergeCell ref="B208:B209"/>
    <mergeCell ref="C208:C209"/>
    <mergeCell ref="D208:D209"/>
    <mergeCell ref="A406:A407"/>
    <mergeCell ref="B406:B407"/>
    <mergeCell ref="C406:C407"/>
    <mergeCell ref="D406:D407"/>
    <mergeCell ref="N274:N275"/>
    <mergeCell ref="O274:O275"/>
    <mergeCell ref="P274:P275"/>
    <mergeCell ref="Q274:Q275"/>
    <mergeCell ref="R274:R275"/>
    <mergeCell ref="A8:C8"/>
    <mergeCell ref="A12:A75"/>
    <mergeCell ref="A78:A141"/>
    <mergeCell ref="A144:A207"/>
    <mergeCell ref="A210:A273"/>
    <mergeCell ref="I150:L150"/>
    <mergeCell ref="I151:L151"/>
    <mergeCell ref="I152:L152"/>
    <mergeCell ref="I153:L153"/>
    <mergeCell ref="I154:L154"/>
    <mergeCell ref="I155:L155"/>
    <mergeCell ref="I156:L156"/>
    <mergeCell ref="I157:L157"/>
    <mergeCell ref="I176:L176"/>
    <mergeCell ref="I158:L158"/>
    <mergeCell ref="I159:L159"/>
    <mergeCell ref="I160:L160"/>
    <mergeCell ref="I161:L161"/>
    <mergeCell ref="I162:L162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  <ignoredError sqref="D418:F4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H98"/>
  <sheetViews>
    <sheetView showGridLines="0" topLeftCell="C12" zoomScale="80" zoomScaleNormal="80" workbookViewId="0">
      <selection activeCell="F56" sqref="F56"/>
    </sheetView>
  </sheetViews>
  <sheetFormatPr baseColWidth="10" defaultColWidth="11.42578125" defaultRowHeight="12.75" x14ac:dyDescent="0.2"/>
  <cols>
    <col min="1" max="1" width="7.140625" style="33" customWidth="1"/>
    <col min="2" max="2" width="28" style="33" customWidth="1"/>
    <col min="3" max="3" width="28.7109375" style="33" customWidth="1"/>
    <col min="4" max="4" width="24.140625" style="33" customWidth="1"/>
    <col min="5" max="5" width="25.140625" style="33" customWidth="1"/>
    <col min="6" max="6" width="22.140625" style="33" customWidth="1"/>
    <col min="7" max="7" width="14.85546875" style="33" customWidth="1"/>
    <col min="8" max="8" width="15" style="33" customWidth="1"/>
    <col min="9" max="9" width="15.140625" style="33" customWidth="1"/>
    <col min="10" max="10" width="17.42578125" style="33" customWidth="1"/>
    <col min="11" max="11" width="19.140625" style="33" customWidth="1"/>
    <col min="12" max="12" width="4.85546875" style="33" customWidth="1"/>
    <col min="13" max="13" width="19.140625" style="33" customWidth="1"/>
    <col min="14" max="14" width="16.140625" style="33" customWidth="1"/>
    <col min="15" max="15" width="17.140625" style="33" customWidth="1"/>
    <col min="16" max="16" width="14.85546875" style="33" customWidth="1"/>
    <col min="17" max="17" width="17.7109375" style="33" customWidth="1"/>
    <col min="18" max="18" width="17.140625" style="33" customWidth="1"/>
    <col min="19" max="19" width="17.42578125" style="33" customWidth="1"/>
    <col min="20" max="20" width="5" style="33" customWidth="1"/>
    <col min="21" max="21" width="19.85546875" style="33" bestFit="1" customWidth="1"/>
    <col min="22" max="22" width="52.140625" style="33" bestFit="1" customWidth="1"/>
    <col min="23" max="23" width="18.28515625" style="33" customWidth="1"/>
    <col min="24" max="24" width="5.7109375" style="33" customWidth="1"/>
    <col min="25" max="25" width="11.42578125" style="33" customWidth="1"/>
    <col min="26" max="31" width="14.28515625" style="33" customWidth="1"/>
    <col min="32" max="32" width="11.28515625" style="33" customWidth="1"/>
    <col min="33" max="38" width="14.28515625" style="33" customWidth="1"/>
    <col min="39" max="39" width="11.42578125" style="33"/>
    <col min="40" max="45" width="14.28515625" style="33" customWidth="1"/>
    <col min="46" max="16384" width="11.42578125" style="33"/>
  </cols>
  <sheetData>
    <row r="1" spans="1:242" s="6" customFormat="1" x14ac:dyDescent="0.2">
      <c r="C1" s="7"/>
      <c r="D1" s="7"/>
      <c r="E1" s="58" t="s">
        <v>242</v>
      </c>
      <c r="F1" s="58"/>
      <c r="G1" s="58"/>
      <c r="H1" s="58"/>
      <c r="I1" s="58"/>
      <c r="J1" s="7"/>
      <c r="K1" s="7"/>
      <c r="L1" s="7"/>
      <c r="IG1" s="4"/>
      <c r="IH1" s="4"/>
    </row>
    <row r="2" spans="1:242" s="6" customFormat="1" x14ac:dyDescent="0.2">
      <c r="E2" s="58" t="s">
        <v>234</v>
      </c>
      <c r="F2" s="58"/>
      <c r="G2" s="58"/>
      <c r="H2" s="58"/>
      <c r="I2" s="58"/>
      <c r="IG2" s="4"/>
      <c r="IH2" s="4"/>
    </row>
    <row r="3" spans="1:242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7"/>
      <c r="D4" s="292" t="s">
        <v>0</v>
      </c>
      <c r="E4" s="509" t="str">
        <f>+'B) Reajuste Tarifas y Ocupación'!F5</f>
        <v>(DEPTO./DELEG.)</v>
      </c>
      <c r="F4" s="117"/>
      <c r="G4" s="118"/>
      <c r="H4" s="118"/>
      <c r="I4" s="118"/>
      <c r="J4" s="118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7"/>
      <c r="D5" s="293"/>
      <c r="E5" s="296"/>
      <c r="F5" s="296"/>
      <c r="G5" s="296"/>
      <c r="H5" s="296"/>
      <c r="I5" s="296"/>
      <c r="J5" s="296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7"/>
      <c r="D6" s="293"/>
      <c r="E6" s="296"/>
      <c r="F6" s="296"/>
      <c r="G6" s="296"/>
      <c r="H6" s="296"/>
      <c r="I6" s="296"/>
      <c r="J6" s="296"/>
      <c r="O6" s="3"/>
      <c r="HX6" s="4"/>
      <c r="HY6" s="4"/>
      <c r="HZ6" s="4"/>
      <c r="IA6" s="4"/>
      <c r="IB6" s="4"/>
      <c r="IC6" s="4"/>
    </row>
    <row r="7" spans="1:242" x14ac:dyDescent="0.2">
      <c r="B7" s="31"/>
      <c r="C7" s="31"/>
      <c r="D7" s="31"/>
      <c r="E7" s="31"/>
      <c r="F7" s="31"/>
      <c r="G7" s="31"/>
      <c r="H7" s="31"/>
      <c r="I7" s="31"/>
      <c r="J7" s="42"/>
      <c r="K7" s="42"/>
      <c r="L7" s="42"/>
      <c r="M7" s="42"/>
      <c r="N7" s="42"/>
      <c r="O7" s="42"/>
      <c r="P7" s="42"/>
      <c r="Q7" s="42"/>
      <c r="R7" s="42"/>
      <c r="Y7" s="537"/>
      <c r="Z7" s="538"/>
      <c r="AA7" s="538"/>
      <c r="AB7" s="538"/>
      <c r="AC7" s="538"/>
      <c r="AD7" s="538"/>
      <c r="AE7" s="538"/>
      <c r="AF7" s="538"/>
      <c r="AG7" s="538"/>
      <c r="AH7" s="538"/>
      <c r="AI7" s="538"/>
      <c r="AJ7" s="538"/>
      <c r="AK7" s="538"/>
      <c r="AL7" s="538"/>
      <c r="AM7" s="538"/>
      <c r="AN7" s="538"/>
      <c r="AO7" s="538"/>
      <c r="AP7" s="538"/>
      <c r="AQ7" s="538"/>
      <c r="AR7" s="538"/>
      <c r="AS7" s="538"/>
      <c r="AT7" s="539"/>
    </row>
    <row r="8" spans="1:242" x14ac:dyDescent="0.2">
      <c r="B8" s="31"/>
      <c r="C8" s="31"/>
      <c r="D8" s="31"/>
      <c r="E8" s="31"/>
      <c r="F8" s="31"/>
      <c r="G8" s="31"/>
      <c r="H8" s="31"/>
      <c r="I8" s="31"/>
      <c r="J8" s="42"/>
      <c r="K8" s="42"/>
      <c r="L8" s="42"/>
      <c r="M8" s="42"/>
      <c r="N8" s="42"/>
      <c r="O8" s="42"/>
      <c r="P8" s="42"/>
      <c r="Q8" s="42"/>
      <c r="R8" s="42"/>
      <c r="Y8" s="540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541"/>
    </row>
    <row r="9" spans="1:242" ht="15.75" customHeight="1" x14ac:dyDescent="0.2">
      <c r="A9" s="1103" t="s">
        <v>180</v>
      </c>
      <c r="B9" s="1103"/>
      <c r="C9" s="1103"/>
      <c r="D9" s="1103"/>
      <c r="E9" s="1103"/>
      <c r="F9" s="1103"/>
      <c r="G9" s="1103"/>
      <c r="H9" s="1103"/>
      <c r="I9" s="295"/>
      <c r="J9" s="295"/>
      <c r="K9" s="295"/>
      <c r="L9" s="295"/>
      <c r="M9" s="1067" t="s">
        <v>181</v>
      </c>
      <c r="N9" s="1067"/>
      <c r="O9" s="1067"/>
      <c r="P9" s="1067"/>
      <c r="Q9" s="1067"/>
      <c r="R9" s="1067"/>
      <c r="S9" s="1067"/>
      <c r="U9" s="1067" t="s">
        <v>182</v>
      </c>
      <c r="V9" s="1067"/>
      <c r="W9" s="1067"/>
      <c r="X9" s="324"/>
      <c r="Y9" s="542"/>
      <c r="Z9" s="1067" t="s">
        <v>183</v>
      </c>
      <c r="AA9" s="1067"/>
      <c r="AB9" s="1067"/>
      <c r="AC9" s="1067"/>
      <c r="AD9" s="1067"/>
      <c r="AE9" s="1067"/>
      <c r="AF9" s="324"/>
      <c r="AG9" s="1067" t="s">
        <v>184</v>
      </c>
      <c r="AH9" s="1067"/>
      <c r="AI9" s="1067"/>
      <c r="AJ9" s="1067"/>
      <c r="AK9" s="1067"/>
      <c r="AL9" s="1067"/>
      <c r="AM9" s="44"/>
      <c r="AN9" s="1067" t="s">
        <v>185</v>
      </c>
      <c r="AO9" s="1067"/>
      <c r="AP9" s="1067"/>
      <c r="AQ9" s="1067"/>
      <c r="AR9" s="1067"/>
      <c r="AS9" s="1067"/>
      <c r="AT9" s="541"/>
    </row>
    <row r="10" spans="1:242" ht="13.5" customHeight="1" x14ac:dyDescent="0.2">
      <c r="B10" s="27"/>
      <c r="C10" s="293"/>
      <c r="D10" s="293"/>
      <c r="E10" s="296"/>
      <c r="F10" s="296"/>
      <c r="G10" s="296"/>
      <c r="H10" s="296"/>
      <c r="I10" s="296"/>
      <c r="J10" s="296"/>
      <c r="M10" s="1067"/>
      <c r="N10" s="1067"/>
      <c r="O10" s="1067"/>
      <c r="P10" s="1067"/>
      <c r="Q10" s="1067"/>
      <c r="R10" s="1067"/>
      <c r="S10" s="1067"/>
      <c r="U10" s="1067"/>
      <c r="V10" s="1067"/>
      <c r="W10" s="1067"/>
      <c r="Y10" s="540"/>
      <c r="Z10" s="1067"/>
      <c r="AA10" s="1067"/>
      <c r="AB10" s="1067"/>
      <c r="AC10" s="1067"/>
      <c r="AD10" s="1067"/>
      <c r="AE10" s="1067"/>
      <c r="AF10" s="44"/>
      <c r="AG10" s="1067"/>
      <c r="AH10" s="1067"/>
      <c r="AI10" s="1067"/>
      <c r="AJ10" s="1067"/>
      <c r="AK10" s="1067"/>
      <c r="AL10" s="1067"/>
      <c r="AM10" s="44"/>
      <c r="AN10" s="1067"/>
      <c r="AO10" s="1067"/>
      <c r="AP10" s="1067"/>
      <c r="AQ10" s="1067"/>
      <c r="AR10" s="1067"/>
      <c r="AS10" s="1067"/>
      <c r="AT10" s="541"/>
    </row>
    <row r="11" spans="1:242" x14ac:dyDescent="0.2">
      <c r="J11" s="122" t="s">
        <v>4</v>
      </c>
      <c r="K11" s="120">
        <v>2.8000000000000001E-2</v>
      </c>
      <c r="Y11" s="540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541"/>
    </row>
    <row r="12" spans="1:242" ht="12.75" customHeight="1" thickBot="1" x14ac:dyDescent="0.25">
      <c r="K12" s="44"/>
      <c r="L12" s="44"/>
      <c r="M12" s="1096"/>
      <c r="N12" s="1096"/>
      <c r="O12" s="1096"/>
      <c r="P12" s="1096"/>
      <c r="Q12" s="1096"/>
      <c r="R12" s="1096"/>
      <c r="Y12" s="540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541"/>
    </row>
    <row r="13" spans="1:242" ht="21.75" customHeight="1" x14ac:dyDescent="0.2">
      <c r="A13" s="1112" t="s">
        <v>122</v>
      </c>
      <c r="B13" s="1113"/>
      <c r="C13" s="1116" t="s">
        <v>74</v>
      </c>
      <c r="D13" s="1116" t="s">
        <v>75</v>
      </c>
      <c r="E13" s="1118" t="s">
        <v>3</v>
      </c>
      <c r="F13" s="1118" t="s">
        <v>83</v>
      </c>
      <c r="G13" s="1083" t="s">
        <v>164</v>
      </c>
      <c r="H13" s="1084"/>
      <c r="I13" s="1084"/>
      <c r="J13" s="1085"/>
      <c r="K13" s="1108" t="s">
        <v>166</v>
      </c>
      <c r="L13" s="42"/>
      <c r="M13" s="1081" t="s">
        <v>69</v>
      </c>
      <c r="N13" s="1110"/>
      <c r="O13" s="1069" t="s">
        <v>70</v>
      </c>
      <c r="P13" s="1070"/>
      <c r="Q13" s="1111" t="s">
        <v>71</v>
      </c>
      <c r="R13" s="1072"/>
      <c r="S13" s="1065" t="s">
        <v>171</v>
      </c>
      <c r="U13" s="1104" t="s">
        <v>77</v>
      </c>
      <c r="V13" s="1106" t="s">
        <v>78</v>
      </c>
      <c r="W13" s="1068" t="s">
        <v>167</v>
      </c>
      <c r="Y13" s="540"/>
      <c r="Z13" s="1075" t="s">
        <v>69</v>
      </c>
      <c r="AA13" s="1076"/>
      <c r="AB13" s="1077" t="s">
        <v>70</v>
      </c>
      <c r="AC13" s="1078"/>
      <c r="AD13" s="1079" t="s">
        <v>71</v>
      </c>
      <c r="AE13" s="1080"/>
      <c r="AF13" s="44"/>
      <c r="AG13" s="1081" t="s">
        <v>69</v>
      </c>
      <c r="AH13" s="1082"/>
      <c r="AI13" s="1069" t="s">
        <v>70</v>
      </c>
      <c r="AJ13" s="1070"/>
      <c r="AK13" s="1071" t="s">
        <v>71</v>
      </c>
      <c r="AL13" s="1072"/>
      <c r="AM13" s="44"/>
      <c r="AN13" s="1081" t="s">
        <v>69</v>
      </c>
      <c r="AO13" s="1082"/>
      <c r="AP13" s="1069" t="s">
        <v>70</v>
      </c>
      <c r="AQ13" s="1070"/>
      <c r="AR13" s="1071" t="s">
        <v>71</v>
      </c>
      <c r="AS13" s="1072"/>
      <c r="AT13" s="541"/>
    </row>
    <row r="14" spans="1:242" s="44" customFormat="1" ht="39" thickBot="1" x14ac:dyDescent="0.25">
      <c r="A14" s="1114"/>
      <c r="B14" s="1115"/>
      <c r="C14" s="1117"/>
      <c r="D14" s="1117"/>
      <c r="E14" s="1119"/>
      <c r="F14" s="1119"/>
      <c r="G14" s="310" t="s">
        <v>119</v>
      </c>
      <c r="H14" s="310" t="s">
        <v>120</v>
      </c>
      <c r="I14" s="311" t="s">
        <v>121</v>
      </c>
      <c r="J14" s="312" t="s">
        <v>165</v>
      </c>
      <c r="K14" s="1109"/>
      <c r="L14" s="42"/>
      <c r="M14" s="521" t="s">
        <v>36</v>
      </c>
      <c r="N14" s="523" t="s">
        <v>37</v>
      </c>
      <c r="O14" s="531" t="s">
        <v>36</v>
      </c>
      <c r="P14" s="532" t="s">
        <v>37</v>
      </c>
      <c r="Q14" s="524" t="s">
        <v>36</v>
      </c>
      <c r="R14" s="522" t="s">
        <v>37</v>
      </c>
      <c r="S14" s="1066"/>
      <c r="U14" s="1105"/>
      <c r="V14" s="1107"/>
      <c r="W14" s="1068"/>
      <c r="Y14" s="540"/>
      <c r="Z14" s="521" t="s">
        <v>36</v>
      </c>
      <c r="AA14" s="523" t="s">
        <v>37</v>
      </c>
      <c r="AB14" s="531" t="s">
        <v>36</v>
      </c>
      <c r="AC14" s="532" t="s">
        <v>37</v>
      </c>
      <c r="AD14" s="524" t="s">
        <v>36</v>
      </c>
      <c r="AE14" s="522" t="s">
        <v>37</v>
      </c>
      <c r="AG14" s="543" t="s">
        <v>36</v>
      </c>
      <c r="AH14" s="544" t="s">
        <v>37</v>
      </c>
      <c r="AI14" s="545" t="s">
        <v>36</v>
      </c>
      <c r="AJ14" s="546" t="s">
        <v>37</v>
      </c>
      <c r="AK14" s="547" t="s">
        <v>36</v>
      </c>
      <c r="AL14" s="548" t="s">
        <v>37</v>
      </c>
      <c r="AN14" s="1073" t="s">
        <v>172</v>
      </c>
      <c r="AO14" s="1074"/>
      <c r="AP14" s="1061" t="s">
        <v>172</v>
      </c>
      <c r="AQ14" s="1062"/>
      <c r="AR14" s="1063" t="s">
        <v>173</v>
      </c>
      <c r="AS14" s="1064"/>
      <c r="AT14" s="541"/>
    </row>
    <row r="15" spans="1:242" s="44" customFormat="1" ht="12.75" customHeight="1" thickBot="1" x14ac:dyDescent="0.25">
      <c r="A15" s="1086" t="s">
        <v>163</v>
      </c>
      <c r="B15" s="1089" t="s">
        <v>96</v>
      </c>
      <c r="C15" s="778" t="s">
        <v>289</v>
      </c>
      <c r="D15" s="902" t="s">
        <v>290</v>
      </c>
      <c r="E15" s="779" t="s">
        <v>291</v>
      </c>
      <c r="F15" s="780" t="s">
        <v>123</v>
      </c>
      <c r="G15" s="781">
        <f>1836937*12</f>
        <v>22043244</v>
      </c>
      <c r="H15" s="781">
        <v>195130</v>
      </c>
      <c r="I15" s="782">
        <v>135325</v>
      </c>
      <c r="J15" s="316">
        <f>SUM(G15:I15)</f>
        <v>22373699</v>
      </c>
      <c r="K15" s="308">
        <f t="shared" ref="K15:K61" si="0">+J15*(1+$K$11)</f>
        <v>23000162.572000001</v>
      </c>
      <c r="L15" s="42"/>
      <c r="M15" s="333">
        <v>0</v>
      </c>
      <c r="N15" s="513">
        <v>0</v>
      </c>
      <c r="O15" s="792">
        <v>0.25</v>
      </c>
      <c r="P15" s="528">
        <f t="shared" ref="P15:P61" si="1">+$K15*O15</f>
        <v>5750040.6430000002</v>
      </c>
      <c r="Q15" s="525">
        <v>0</v>
      </c>
      <c r="R15" s="513">
        <v>0</v>
      </c>
      <c r="S15" s="516">
        <f>+M15+O15+Q15</f>
        <v>0.25</v>
      </c>
      <c r="U15" s="328"/>
      <c r="V15" s="325" t="s">
        <v>11</v>
      </c>
      <c r="W15" s="659">
        <f>SUM(W16,W20)</f>
        <v>94426854.965999991</v>
      </c>
      <c r="Y15" s="540"/>
      <c r="Z15" s="533">
        <f t="shared" ref="Z15:AE15" si="2">+M62</f>
        <v>0</v>
      </c>
      <c r="AA15" s="535">
        <f t="shared" si="2"/>
        <v>0</v>
      </c>
      <c r="AB15" s="533">
        <f t="shared" si="2"/>
        <v>0.24060962989449863</v>
      </c>
      <c r="AC15" s="536">
        <f t="shared" si="2"/>
        <v>56804171.150692284</v>
      </c>
      <c r="AD15" s="534">
        <f t="shared" si="2"/>
        <v>0</v>
      </c>
      <c r="AE15" s="536">
        <f t="shared" si="2"/>
        <v>0</v>
      </c>
      <c r="AG15" s="750">
        <f>+Z15</f>
        <v>0</v>
      </c>
      <c r="AH15" s="751">
        <f>+AG15*W80</f>
        <v>0</v>
      </c>
      <c r="AI15" s="752">
        <f>+AB15</f>
        <v>0.24060962989449863</v>
      </c>
      <c r="AJ15" s="751">
        <f>+AI15*W80</f>
        <v>32745028.326652706</v>
      </c>
      <c r="AK15" s="753">
        <f>+AD15</f>
        <v>0</v>
      </c>
      <c r="AL15" s="754">
        <f>+AK15*W80</f>
        <v>0</v>
      </c>
      <c r="AN15" s="1059">
        <f>+AH15+AA15</f>
        <v>0</v>
      </c>
      <c r="AO15" s="1060"/>
      <c r="AP15" s="1059">
        <f>+AJ15+AC15+K70</f>
        <v>89549199.47734499</v>
      </c>
      <c r="AQ15" s="1060"/>
      <c r="AR15" s="1059">
        <f>+AL15+AE15</f>
        <v>0</v>
      </c>
      <c r="AS15" s="1060"/>
      <c r="AT15" s="541"/>
    </row>
    <row r="16" spans="1:242" s="44" customFormat="1" x14ac:dyDescent="0.2">
      <c r="A16" s="1087"/>
      <c r="B16" s="1090"/>
      <c r="C16" s="783" t="s">
        <v>292</v>
      </c>
      <c r="D16" s="784" t="s">
        <v>293</v>
      </c>
      <c r="E16" s="785" t="s">
        <v>294</v>
      </c>
      <c r="F16" s="786" t="s">
        <v>123</v>
      </c>
      <c r="G16" s="787">
        <v>8725089.7827133294</v>
      </c>
      <c r="H16" s="787">
        <v>316316</v>
      </c>
      <c r="I16" s="788">
        <v>135325</v>
      </c>
      <c r="J16" s="317">
        <f t="shared" ref="J16:J39" si="3">SUM(G16:I16)</f>
        <v>9176730.7827133294</v>
      </c>
      <c r="K16" s="309">
        <f t="shared" si="0"/>
        <v>9433679.244629303</v>
      </c>
      <c r="L16" s="42"/>
      <c r="M16" s="511">
        <v>0</v>
      </c>
      <c r="N16" s="514">
        <f t="shared" ref="N16:N61" si="4">+$K16*M16</f>
        <v>0</v>
      </c>
      <c r="O16" s="792">
        <v>0.25</v>
      </c>
      <c r="P16" s="512">
        <f t="shared" si="1"/>
        <v>2358419.8111573257</v>
      </c>
      <c r="Q16" s="526">
        <v>0</v>
      </c>
      <c r="R16" s="514">
        <f t="shared" ref="R16:R61" si="5">+$K16*Q16</f>
        <v>0</v>
      </c>
      <c r="S16" s="517">
        <f t="shared" ref="S16:S61" si="6">+M16+O16+Q16</f>
        <v>0.25</v>
      </c>
      <c r="U16" s="329"/>
      <c r="V16" s="326" t="s">
        <v>12</v>
      </c>
      <c r="W16" s="794">
        <f>SUM(W17:W19)</f>
        <v>-20000000</v>
      </c>
      <c r="Y16" s="540"/>
      <c r="AT16" s="541"/>
    </row>
    <row r="17" spans="1:46" s="44" customFormat="1" ht="12.75" customHeight="1" x14ac:dyDescent="0.2">
      <c r="A17" s="1087"/>
      <c r="B17" s="1090"/>
      <c r="C17" s="783" t="s">
        <v>295</v>
      </c>
      <c r="D17" s="903" t="s">
        <v>296</v>
      </c>
      <c r="E17" s="785" t="s">
        <v>297</v>
      </c>
      <c r="F17" s="786" t="s">
        <v>123</v>
      </c>
      <c r="G17" s="787">
        <v>5892528</v>
      </c>
      <c r="H17" s="787">
        <v>316316</v>
      </c>
      <c r="I17" s="788">
        <v>135325</v>
      </c>
      <c r="J17" s="317">
        <f t="shared" si="3"/>
        <v>6344169</v>
      </c>
      <c r="K17" s="309">
        <f t="shared" si="0"/>
        <v>6521805.7319999998</v>
      </c>
      <c r="L17" s="42"/>
      <c r="M17" s="511">
        <v>0</v>
      </c>
      <c r="N17" s="514">
        <f t="shared" si="4"/>
        <v>0</v>
      </c>
      <c r="O17" s="792">
        <v>0.25</v>
      </c>
      <c r="P17" s="512">
        <f t="shared" si="1"/>
        <v>1630451.433</v>
      </c>
      <c r="Q17" s="526">
        <v>0</v>
      </c>
      <c r="R17" s="514">
        <f t="shared" si="5"/>
        <v>0</v>
      </c>
      <c r="S17" s="517">
        <f t="shared" si="6"/>
        <v>0.25</v>
      </c>
      <c r="U17" s="330">
        <v>53103050000000</v>
      </c>
      <c r="V17" s="327" t="s">
        <v>13</v>
      </c>
      <c r="W17" s="793">
        <v>0</v>
      </c>
      <c r="Y17" s="540"/>
      <c r="AT17" s="541"/>
    </row>
    <row r="18" spans="1:46" s="44" customFormat="1" ht="13.5" customHeight="1" thickBot="1" x14ac:dyDescent="0.25">
      <c r="A18" s="1087"/>
      <c r="B18" s="1090"/>
      <c r="C18" s="783" t="s">
        <v>298</v>
      </c>
      <c r="D18" s="903" t="s">
        <v>299</v>
      </c>
      <c r="E18" s="785" t="s">
        <v>300</v>
      </c>
      <c r="F18" s="786" t="s">
        <v>123</v>
      </c>
      <c r="G18" s="787">
        <v>12087540</v>
      </c>
      <c r="H18" s="787">
        <v>316316</v>
      </c>
      <c r="I18" s="788">
        <v>135325</v>
      </c>
      <c r="J18" s="317">
        <f t="shared" si="3"/>
        <v>12539181</v>
      </c>
      <c r="K18" s="309">
        <f t="shared" si="0"/>
        <v>12890278.068</v>
      </c>
      <c r="L18" s="42"/>
      <c r="M18" s="511">
        <v>0</v>
      </c>
      <c r="N18" s="514">
        <f t="shared" si="4"/>
        <v>0</v>
      </c>
      <c r="O18" s="792">
        <v>0.25</v>
      </c>
      <c r="P18" s="512">
        <f t="shared" si="1"/>
        <v>3222569.517</v>
      </c>
      <c r="Q18" s="526">
        <v>0</v>
      </c>
      <c r="R18" s="514">
        <f t="shared" si="5"/>
        <v>0</v>
      </c>
      <c r="S18" s="517">
        <f t="shared" si="6"/>
        <v>0.25</v>
      </c>
      <c r="U18" s="330">
        <v>53103060000000</v>
      </c>
      <c r="V18" s="327" t="s">
        <v>14</v>
      </c>
      <c r="W18" s="793">
        <v>0</v>
      </c>
      <c r="Y18" s="549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50"/>
      <c r="AM18" s="550"/>
      <c r="AN18" s="550"/>
      <c r="AO18" s="550"/>
      <c r="AP18" s="550"/>
      <c r="AQ18" s="550"/>
      <c r="AR18" s="550"/>
      <c r="AS18" s="550"/>
      <c r="AT18" s="551"/>
    </row>
    <row r="19" spans="1:46" s="44" customFormat="1" x14ac:dyDescent="0.2">
      <c r="A19" s="1087"/>
      <c r="B19" s="1090"/>
      <c r="C19" s="783" t="s">
        <v>301</v>
      </c>
      <c r="D19" s="903" t="s">
        <v>302</v>
      </c>
      <c r="E19" s="785" t="s">
        <v>303</v>
      </c>
      <c r="F19" s="786" t="s">
        <v>123</v>
      </c>
      <c r="G19" s="787">
        <v>11616228</v>
      </c>
      <c r="H19" s="781">
        <v>195130</v>
      </c>
      <c r="I19" s="782">
        <v>135325</v>
      </c>
      <c r="J19" s="317">
        <f t="shared" si="3"/>
        <v>11946683</v>
      </c>
      <c r="K19" s="309">
        <f t="shared" si="0"/>
        <v>12281190.124</v>
      </c>
      <c r="L19" s="42"/>
      <c r="M19" s="511">
        <v>0</v>
      </c>
      <c r="N19" s="514">
        <f t="shared" si="4"/>
        <v>0</v>
      </c>
      <c r="O19" s="792">
        <v>0.25</v>
      </c>
      <c r="P19" s="512">
        <f t="shared" si="1"/>
        <v>3070297.531</v>
      </c>
      <c r="Q19" s="526">
        <v>0</v>
      </c>
      <c r="R19" s="514">
        <f t="shared" si="5"/>
        <v>0</v>
      </c>
      <c r="S19" s="517">
        <f t="shared" si="6"/>
        <v>0.25</v>
      </c>
      <c r="U19" s="330">
        <v>53103080010000</v>
      </c>
      <c r="V19" s="327" t="s">
        <v>15</v>
      </c>
      <c r="W19" s="793">
        <v>-20000000</v>
      </c>
    </row>
    <row r="20" spans="1:46" s="44" customFormat="1" x14ac:dyDescent="0.2">
      <c r="A20" s="1087"/>
      <c r="B20" s="1090"/>
      <c r="C20" s="783" t="s">
        <v>304</v>
      </c>
      <c r="D20" s="903" t="s">
        <v>305</v>
      </c>
      <c r="E20" s="785" t="s">
        <v>294</v>
      </c>
      <c r="F20" s="786" t="s">
        <v>123</v>
      </c>
      <c r="G20" s="787">
        <v>8114821.1753733922</v>
      </c>
      <c r="H20" s="787">
        <v>316316</v>
      </c>
      <c r="I20" s="788">
        <v>135325</v>
      </c>
      <c r="J20" s="317">
        <f t="shared" si="3"/>
        <v>8566462.1753733922</v>
      </c>
      <c r="K20" s="309">
        <f t="shared" si="0"/>
        <v>8806323.116283847</v>
      </c>
      <c r="L20" s="42"/>
      <c r="M20" s="511">
        <v>0</v>
      </c>
      <c r="N20" s="514">
        <f t="shared" si="4"/>
        <v>0</v>
      </c>
      <c r="O20" s="792">
        <v>0.25</v>
      </c>
      <c r="P20" s="512">
        <f t="shared" si="1"/>
        <v>2201580.7790709618</v>
      </c>
      <c r="Q20" s="526">
        <v>0</v>
      </c>
      <c r="R20" s="514">
        <f t="shared" si="5"/>
        <v>0</v>
      </c>
      <c r="S20" s="517">
        <f t="shared" si="6"/>
        <v>0.25</v>
      </c>
      <c r="U20" s="329"/>
      <c r="V20" s="326" t="s">
        <v>16</v>
      </c>
      <c r="W20" s="777">
        <f>SUM(W21:W39)</f>
        <v>114426854.96599999</v>
      </c>
    </row>
    <row r="21" spans="1:46" s="44" customFormat="1" x14ac:dyDescent="0.2">
      <c r="A21" s="1087"/>
      <c r="B21" s="1090"/>
      <c r="C21" s="783" t="s">
        <v>306</v>
      </c>
      <c r="D21" s="905" t="s">
        <v>307</v>
      </c>
      <c r="E21" s="785" t="s">
        <v>308</v>
      </c>
      <c r="F21" s="786" t="s">
        <v>123</v>
      </c>
      <c r="G21" s="787">
        <f>826277*12</f>
        <v>9915324</v>
      </c>
      <c r="H21" s="787">
        <v>316316</v>
      </c>
      <c r="I21" s="788">
        <v>135325</v>
      </c>
      <c r="J21" s="317">
        <f t="shared" si="3"/>
        <v>10366965</v>
      </c>
      <c r="K21" s="309">
        <f t="shared" si="0"/>
        <v>10657240.02</v>
      </c>
      <c r="L21" s="42"/>
      <c r="M21" s="511">
        <v>0</v>
      </c>
      <c r="N21" s="514">
        <f t="shared" si="4"/>
        <v>0</v>
      </c>
      <c r="O21" s="792">
        <v>0.25</v>
      </c>
      <c r="P21" s="512">
        <f t="shared" si="1"/>
        <v>2664310.0049999999</v>
      </c>
      <c r="Q21" s="526">
        <v>0</v>
      </c>
      <c r="R21" s="514">
        <f t="shared" si="5"/>
        <v>0</v>
      </c>
      <c r="S21" s="517">
        <f t="shared" si="6"/>
        <v>0.25</v>
      </c>
      <c r="U21" s="330">
        <v>53201010100000</v>
      </c>
      <c r="V21" s="327" t="s">
        <v>17</v>
      </c>
      <c r="W21" s="793">
        <v>22729121.228</v>
      </c>
    </row>
    <row r="22" spans="1:46" s="44" customFormat="1" x14ac:dyDescent="0.2">
      <c r="A22" s="1087"/>
      <c r="B22" s="1090"/>
      <c r="C22" s="783" t="s">
        <v>309</v>
      </c>
      <c r="D22" s="905" t="s">
        <v>310</v>
      </c>
      <c r="E22" s="785" t="s">
        <v>294</v>
      </c>
      <c r="F22" s="786" t="s">
        <v>123</v>
      </c>
      <c r="G22" s="787">
        <v>12049920</v>
      </c>
      <c r="H22" s="787">
        <v>316316</v>
      </c>
      <c r="I22" s="788">
        <v>135325</v>
      </c>
      <c r="J22" s="317">
        <f t="shared" si="3"/>
        <v>12501561</v>
      </c>
      <c r="K22" s="309">
        <f t="shared" si="0"/>
        <v>12851604.708000001</v>
      </c>
      <c r="L22" s="42"/>
      <c r="M22" s="511">
        <v>0</v>
      </c>
      <c r="N22" s="514">
        <f t="shared" si="4"/>
        <v>0</v>
      </c>
      <c r="O22" s="792">
        <v>0.5</v>
      </c>
      <c r="P22" s="512">
        <f t="shared" si="1"/>
        <v>6425802.3540000003</v>
      </c>
      <c r="Q22" s="526">
        <v>0</v>
      </c>
      <c r="R22" s="514">
        <f t="shared" si="5"/>
        <v>0</v>
      </c>
      <c r="S22" s="517">
        <f t="shared" si="6"/>
        <v>0.5</v>
      </c>
      <c r="U22" s="330">
        <v>53202010100000</v>
      </c>
      <c r="V22" s="327" t="s">
        <v>18</v>
      </c>
      <c r="W22" s="793">
        <v>546434.87800000003</v>
      </c>
    </row>
    <row r="23" spans="1:46" s="44" customFormat="1" x14ac:dyDescent="0.2">
      <c r="A23" s="1087"/>
      <c r="B23" s="1090"/>
      <c r="C23" s="783" t="s">
        <v>478</v>
      </c>
      <c r="D23" s="903" t="s">
        <v>479</v>
      </c>
      <c r="E23" s="785" t="s">
        <v>480</v>
      </c>
      <c r="F23" s="786" t="s">
        <v>123</v>
      </c>
      <c r="G23" s="787">
        <v>7781892</v>
      </c>
      <c r="H23" s="787">
        <v>316316</v>
      </c>
      <c r="I23" s="788">
        <v>135325</v>
      </c>
      <c r="J23" s="317">
        <f t="shared" si="3"/>
        <v>8233533</v>
      </c>
      <c r="K23" s="309">
        <f t="shared" si="0"/>
        <v>8464071.9240000006</v>
      </c>
      <c r="L23" s="42"/>
      <c r="M23" s="511">
        <v>0</v>
      </c>
      <c r="N23" s="514">
        <f t="shared" si="4"/>
        <v>0</v>
      </c>
      <c r="O23" s="792">
        <v>0.25</v>
      </c>
      <c r="P23" s="512">
        <f t="shared" si="1"/>
        <v>2116017.9810000001</v>
      </c>
      <c r="Q23" s="526">
        <v>0</v>
      </c>
      <c r="R23" s="514">
        <f t="shared" si="5"/>
        <v>0</v>
      </c>
      <c r="S23" s="517">
        <f t="shared" si="6"/>
        <v>0.25</v>
      </c>
      <c r="U23" s="330">
        <v>53203010100000</v>
      </c>
      <c r="V23" s="327" t="s">
        <v>19</v>
      </c>
      <c r="W23" s="793">
        <v>6645377.3760000002</v>
      </c>
    </row>
    <row r="24" spans="1:46" s="44" customFormat="1" ht="13.5" thickBot="1" x14ac:dyDescent="0.25">
      <c r="A24" s="1087"/>
      <c r="B24" s="1091"/>
      <c r="C24" s="323"/>
      <c r="D24" s="299"/>
      <c r="E24" s="300"/>
      <c r="F24" s="301"/>
      <c r="G24" s="302">
        <v>0</v>
      </c>
      <c r="H24" s="302">
        <v>0</v>
      </c>
      <c r="I24" s="315">
        <v>0</v>
      </c>
      <c r="J24" s="318">
        <f t="shared" si="3"/>
        <v>0</v>
      </c>
      <c r="K24" s="307">
        <f t="shared" si="0"/>
        <v>0</v>
      </c>
      <c r="L24" s="42"/>
      <c r="M24" s="518">
        <v>0</v>
      </c>
      <c r="N24" s="515">
        <f t="shared" si="4"/>
        <v>0</v>
      </c>
      <c r="O24" s="518">
        <v>0</v>
      </c>
      <c r="P24" s="529">
        <f t="shared" si="1"/>
        <v>0</v>
      </c>
      <c r="Q24" s="527">
        <v>0</v>
      </c>
      <c r="R24" s="515">
        <f t="shared" si="5"/>
        <v>0</v>
      </c>
      <c r="S24" s="519">
        <f t="shared" si="6"/>
        <v>0</v>
      </c>
      <c r="U24" s="330">
        <v>53203030000000</v>
      </c>
      <c r="V24" s="327" t="s">
        <v>20</v>
      </c>
      <c r="W24" s="793">
        <v>0</v>
      </c>
    </row>
    <row r="25" spans="1:46" s="44" customFormat="1" ht="12.75" customHeight="1" x14ac:dyDescent="0.2">
      <c r="A25" s="1087"/>
      <c r="B25" s="1089" t="s">
        <v>95</v>
      </c>
      <c r="C25" s="783" t="s">
        <v>311</v>
      </c>
      <c r="D25" s="903" t="s">
        <v>312</v>
      </c>
      <c r="E25" s="785" t="s">
        <v>313</v>
      </c>
      <c r="F25" s="786" t="s">
        <v>123</v>
      </c>
      <c r="G25" s="787">
        <v>19644408</v>
      </c>
      <c r="H25" s="781">
        <v>195130</v>
      </c>
      <c r="I25" s="782">
        <v>135325</v>
      </c>
      <c r="J25" s="316">
        <f t="shared" si="3"/>
        <v>19974863</v>
      </c>
      <c r="K25" s="308">
        <f t="shared" si="0"/>
        <v>20534159.164000001</v>
      </c>
      <c r="L25" s="42"/>
      <c r="M25" s="333">
        <v>0</v>
      </c>
      <c r="N25" s="513">
        <f t="shared" si="4"/>
        <v>0</v>
      </c>
      <c r="O25" s="792">
        <v>0.25</v>
      </c>
      <c r="P25" s="528">
        <f t="shared" si="1"/>
        <v>5133539.7910000002</v>
      </c>
      <c r="Q25" s="525">
        <v>0</v>
      </c>
      <c r="R25" s="513">
        <f t="shared" si="5"/>
        <v>0</v>
      </c>
      <c r="S25" s="516">
        <f t="shared" si="6"/>
        <v>0.25</v>
      </c>
      <c r="U25" s="330">
        <v>53204030000000</v>
      </c>
      <c r="V25" s="327" t="s">
        <v>21</v>
      </c>
      <c r="W25" s="793">
        <v>49218.400000000001</v>
      </c>
      <c r="AG25" s="33"/>
    </row>
    <row r="26" spans="1:46" s="44" customFormat="1" ht="12.75" customHeight="1" x14ac:dyDescent="0.2">
      <c r="A26" s="1087"/>
      <c r="B26" s="1090"/>
      <c r="C26" s="783" t="s">
        <v>314</v>
      </c>
      <c r="D26" s="903" t="s">
        <v>315</v>
      </c>
      <c r="E26" s="785" t="s">
        <v>316</v>
      </c>
      <c r="F26" s="786" t="s">
        <v>123</v>
      </c>
      <c r="G26" s="787">
        <v>7624686.432</v>
      </c>
      <c r="H26" s="787">
        <v>316316</v>
      </c>
      <c r="I26" s="788">
        <v>135325</v>
      </c>
      <c r="J26" s="317">
        <f t="shared" si="3"/>
        <v>8076327.432</v>
      </c>
      <c r="K26" s="309">
        <f t="shared" si="0"/>
        <v>8302464.6000960004</v>
      </c>
      <c r="L26" s="42"/>
      <c r="M26" s="511">
        <v>0</v>
      </c>
      <c r="N26" s="514">
        <f t="shared" si="4"/>
        <v>0</v>
      </c>
      <c r="O26" s="792">
        <v>0.25</v>
      </c>
      <c r="P26" s="512">
        <f t="shared" si="1"/>
        <v>2075616.1500240001</v>
      </c>
      <c r="Q26" s="526">
        <v>0</v>
      </c>
      <c r="R26" s="514">
        <f t="shared" si="5"/>
        <v>0</v>
      </c>
      <c r="S26" s="517">
        <f t="shared" si="6"/>
        <v>0.25</v>
      </c>
      <c r="U26" s="330">
        <v>53204100100001</v>
      </c>
      <c r="V26" s="327" t="s">
        <v>22</v>
      </c>
      <c r="W26" s="819">
        <v>7004596</v>
      </c>
      <c r="AG26" s="33"/>
    </row>
    <row r="27" spans="1:46" s="44" customFormat="1" ht="12.75" customHeight="1" x14ac:dyDescent="0.2">
      <c r="A27" s="1087"/>
      <c r="B27" s="1090"/>
      <c r="C27" s="783" t="s">
        <v>317</v>
      </c>
      <c r="D27" s="903" t="s">
        <v>318</v>
      </c>
      <c r="E27" s="785" t="s">
        <v>316</v>
      </c>
      <c r="F27" s="786" t="s">
        <v>123</v>
      </c>
      <c r="G27" s="787">
        <v>9955257</v>
      </c>
      <c r="H27" s="787">
        <v>195130</v>
      </c>
      <c r="I27" s="788">
        <v>135325</v>
      </c>
      <c r="J27" s="317">
        <f t="shared" si="3"/>
        <v>10285712</v>
      </c>
      <c r="K27" s="309">
        <f t="shared" si="0"/>
        <v>10573711.936000001</v>
      </c>
      <c r="L27" s="42"/>
      <c r="M27" s="511">
        <v>0</v>
      </c>
      <c r="N27" s="514">
        <f t="shared" si="4"/>
        <v>0</v>
      </c>
      <c r="O27" s="792">
        <v>0.02</v>
      </c>
      <c r="P27" s="512">
        <f t="shared" si="1"/>
        <v>211474.23872000002</v>
      </c>
      <c r="Q27" s="526">
        <v>0</v>
      </c>
      <c r="R27" s="514">
        <f t="shared" si="5"/>
        <v>0</v>
      </c>
      <c r="S27" s="517">
        <f t="shared" si="6"/>
        <v>0.02</v>
      </c>
      <c r="U27" s="330">
        <v>53204130100000</v>
      </c>
      <c r="V27" s="327" t="s">
        <v>23</v>
      </c>
      <c r="W27" s="793">
        <v>0</v>
      </c>
      <c r="AG27" s="33"/>
    </row>
    <row r="28" spans="1:46" s="44" customFormat="1" ht="12.75" customHeight="1" x14ac:dyDescent="0.2">
      <c r="A28" s="1087"/>
      <c r="B28" s="1090"/>
      <c r="C28" s="783" t="s">
        <v>319</v>
      </c>
      <c r="D28" s="903" t="s">
        <v>320</v>
      </c>
      <c r="E28" s="785" t="s">
        <v>321</v>
      </c>
      <c r="F28" s="786" t="s">
        <v>123</v>
      </c>
      <c r="G28" s="787">
        <v>12283032</v>
      </c>
      <c r="H28" s="787">
        <v>195130</v>
      </c>
      <c r="I28" s="788">
        <v>135325</v>
      </c>
      <c r="J28" s="317">
        <f t="shared" si="3"/>
        <v>12613487</v>
      </c>
      <c r="K28" s="309">
        <f t="shared" si="0"/>
        <v>12966664.636</v>
      </c>
      <c r="L28" s="42"/>
      <c r="M28" s="511">
        <v>0</v>
      </c>
      <c r="N28" s="514">
        <f t="shared" si="4"/>
        <v>0</v>
      </c>
      <c r="O28" s="792">
        <v>0.25</v>
      </c>
      <c r="P28" s="512">
        <f t="shared" si="1"/>
        <v>3241666.159</v>
      </c>
      <c r="Q28" s="526">
        <v>0</v>
      </c>
      <c r="R28" s="514">
        <f t="shared" si="5"/>
        <v>0</v>
      </c>
      <c r="S28" s="517">
        <f t="shared" si="6"/>
        <v>0.25</v>
      </c>
      <c r="U28" s="330">
        <v>53205010100000</v>
      </c>
      <c r="V28" s="327" t="s">
        <v>24</v>
      </c>
      <c r="W28" s="793">
        <v>19560239.006000001</v>
      </c>
      <c r="AG28" s="33"/>
    </row>
    <row r="29" spans="1:46" s="44" customFormat="1" ht="12.75" customHeight="1" x14ac:dyDescent="0.2">
      <c r="A29" s="1087"/>
      <c r="B29" s="1090"/>
      <c r="C29" s="149"/>
      <c r="D29" s="304"/>
      <c r="E29" s="305"/>
      <c r="F29" s="306"/>
      <c r="G29" s="298">
        <v>0</v>
      </c>
      <c r="H29" s="298">
        <v>0</v>
      </c>
      <c r="I29" s="314">
        <v>0</v>
      </c>
      <c r="J29" s="317">
        <f t="shared" si="3"/>
        <v>0</v>
      </c>
      <c r="K29" s="309">
        <f t="shared" si="0"/>
        <v>0</v>
      </c>
      <c r="L29" s="42"/>
      <c r="M29" s="511">
        <v>0</v>
      </c>
      <c r="N29" s="514">
        <f t="shared" si="4"/>
        <v>0</v>
      </c>
      <c r="O29" s="511">
        <v>0</v>
      </c>
      <c r="P29" s="512">
        <f t="shared" si="1"/>
        <v>0</v>
      </c>
      <c r="Q29" s="526">
        <v>0</v>
      </c>
      <c r="R29" s="514">
        <f t="shared" si="5"/>
        <v>0</v>
      </c>
      <c r="S29" s="517">
        <f t="shared" si="6"/>
        <v>0</v>
      </c>
      <c r="U29" s="330">
        <v>53205020100000</v>
      </c>
      <c r="V29" s="327" t="s">
        <v>25</v>
      </c>
      <c r="W29" s="793">
        <v>14192433.772</v>
      </c>
      <c r="AG29" s="33"/>
    </row>
    <row r="30" spans="1:46" s="44" customFormat="1" ht="12.75" customHeight="1" x14ac:dyDescent="0.2">
      <c r="A30" s="1087"/>
      <c r="B30" s="1090"/>
      <c r="C30" s="149"/>
      <c r="D30" s="304"/>
      <c r="E30" s="305"/>
      <c r="F30" s="306"/>
      <c r="G30" s="298">
        <v>0</v>
      </c>
      <c r="H30" s="298">
        <v>0</v>
      </c>
      <c r="I30" s="314">
        <v>0</v>
      </c>
      <c r="J30" s="317">
        <f t="shared" si="3"/>
        <v>0</v>
      </c>
      <c r="K30" s="309">
        <f t="shared" si="0"/>
        <v>0</v>
      </c>
      <c r="L30" s="42"/>
      <c r="M30" s="511">
        <v>0</v>
      </c>
      <c r="N30" s="514">
        <f t="shared" si="4"/>
        <v>0</v>
      </c>
      <c r="O30" s="511">
        <v>0</v>
      </c>
      <c r="P30" s="512">
        <f t="shared" si="1"/>
        <v>0</v>
      </c>
      <c r="Q30" s="526">
        <v>0</v>
      </c>
      <c r="R30" s="514">
        <f t="shared" si="5"/>
        <v>0</v>
      </c>
      <c r="S30" s="517">
        <f t="shared" si="6"/>
        <v>0</v>
      </c>
      <c r="U30" s="330">
        <v>53205030100000</v>
      </c>
      <c r="V30" s="327" t="s">
        <v>26</v>
      </c>
      <c r="W30" s="793">
        <v>15182703.844000001</v>
      </c>
      <c r="AG30" s="33"/>
    </row>
    <row r="31" spans="1:46" s="44" customFormat="1" ht="12.75" customHeight="1" x14ac:dyDescent="0.2">
      <c r="A31" s="1087"/>
      <c r="B31" s="1090"/>
      <c r="C31" s="149"/>
      <c r="D31" s="304"/>
      <c r="E31" s="305"/>
      <c r="F31" s="306"/>
      <c r="G31" s="298">
        <v>0</v>
      </c>
      <c r="H31" s="298">
        <v>0</v>
      </c>
      <c r="I31" s="314">
        <v>0</v>
      </c>
      <c r="J31" s="317">
        <f t="shared" si="3"/>
        <v>0</v>
      </c>
      <c r="K31" s="309">
        <f t="shared" si="0"/>
        <v>0</v>
      </c>
      <c r="L31" s="42"/>
      <c r="M31" s="511">
        <v>0</v>
      </c>
      <c r="N31" s="514">
        <f t="shared" si="4"/>
        <v>0</v>
      </c>
      <c r="O31" s="511">
        <v>0</v>
      </c>
      <c r="P31" s="512">
        <f t="shared" si="1"/>
        <v>0</v>
      </c>
      <c r="Q31" s="526">
        <v>0</v>
      </c>
      <c r="R31" s="514">
        <f t="shared" si="5"/>
        <v>0</v>
      </c>
      <c r="S31" s="517">
        <f t="shared" si="6"/>
        <v>0</v>
      </c>
      <c r="U31" s="330">
        <v>53205050100000</v>
      </c>
      <c r="V31" s="327" t="s">
        <v>27</v>
      </c>
      <c r="W31" s="793">
        <v>3958258.5019999999</v>
      </c>
      <c r="AG31" s="33"/>
    </row>
    <row r="32" spans="1:46" s="44" customFormat="1" ht="12.75" customHeight="1" x14ac:dyDescent="0.2">
      <c r="A32" s="1087"/>
      <c r="B32" s="1090"/>
      <c r="C32" s="149"/>
      <c r="D32" s="304"/>
      <c r="E32" s="305"/>
      <c r="F32" s="306"/>
      <c r="G32" s="298">
        <v>0</v>
      </c>
      <c r="H32" s="298">
        <v>0</v>
      </c>
      <c r="I32" s="314">
        <v>0</v>
      </c>
      <c r="J32" s="317">
        <f t="shared" si="3"/>
        <v>0</v>
      </c>
      <c r="K32" s="309">
        <f t="shared" si="0"/>
        <v>0</v>
      </c>
      <c r="L32" s="42"/>
      <c r="M32" s="511">
        <v>0</v>
      </c>
      <c r="N32" s="514">
        <f t="shared" si="4"/>
        <v>0</v>
      </c>
      <c r="O32" s="511">
        <v>0</v>
      </c>
      <c r="P32" s="512">
        <f t="shared" si="1"/>
        <v>0</v>
      </c>
      <c r="Q32" s="526">
        <v>0</v>
      </c>
      <c r="R32" s="514">
        <f t="shared" si="5"/>
        <v>0</v>
      </c>
      <c r="S32" s="517">
        <f t="shared" si="6"/>
        <v>0</v>
      </c>
      <c r="U32" s="330">
        <v>53205060100000</v>
      </c>
      <c r="V32" s="327" t="s">
        <v>28</v>
      </c>
      <c r="W32" s="793">
        <v>1330056.9480000001</v>
      </c>
      <c r="AG32" s="33"/>
    </row>
    <row r="33" spans="1:33" s="44" customFormat="1" ht="12.75" customHeight="1" x14ac:dyDescent="0.2">
      <c r="A33" s="1087"/>
      <c r="B33" s="1090"/>
      <c r="C33" s="149"/>
      <c r="D33" s="304"/>
      <c r="E33" s="305"/>
      <c r="F33" s="306"/>
      <c r="G33" s="298">
        <v>0</v>
      </c>
      <c r="H33" s="298">
        <v>0</v>
      </c>
      <c r="I33" s="314">
        <v>0</v>
      </c>
      <c r="J33" s="317">
        <f t="shared" si="3"/>
        <v>0</v>
      </c>
      <c r="K33" s="309">
        <f t="shared" si="0"/>
        <v>0</v>
      </c>
      <c r="L33" s="42"/>
      <c r="M33" s="511">
        <v>0</v>
      </c>
      <c r="N33" s="514">
        <f t="shared" si="4"/>
        <v>0</v>
      </c>
      <c r="O33" s="511">
        <v>0</v>
      </c>
      <c r="P33" s="512">
        <f t="shared" si="1"/>
        <v>0</v>
      </c>
      <c r="Q33" s="526">
        <v>0</v>
      </c>
      <c r="R33" s="514">
        <f t="shared" si="5"/>
        <v>0</v>
      </c>
      <c r="S33" s="517">
        <f t="shared" si="6"/>
        <v>0</v>
      </c>
      <c r="U33" s="330">
        <v>53205070100000</v>
      </c>
      <c r="V33" s="327" t="s">
        <v>29</v>
      </c>
      <c r="W33" s="793">
        <v>3530503.0419999999</v>
      </c>
      <c r="AG33" s="33"/>
    </row>
    <row r="34" spans="1:33" s="44" customFormat="1" ht="12.75" customHeight="1" thickBot="1" x14ac:dyDescent="0.25">
      <c r="A34" s="1087"/>
      <c r="B34" s="1091"/>
      <c r="C34" s="323"/>
      <c r="D34" s="299"/>
      <c r="E34" s="300"/>
      <c r="F34" s="301"/>
      <c r="G34" s="302">
        <v>0</v>
      </c>
      <c r="H34" s="302">
        <v>0</v>
      </c>
      <c r="I34" s="315">
        <v>0</v>
      </c>
      <c r="J34" s="318">
        <f t="shared" si="3"/>
        <v>0</v>
      </c>
      <c r="K34" s="307">
        <f t="shared" si="0"/>
        <v>0</v>
      </c>
      <c r="L34" s="42"/>
      <c r="M34" s="518">
        <v>0</v>
      </c>
      <c r="N34" s="515">
        <f t="shared" si="4"/>
        <v>0</v>
      </c>
      <c r="O34" s="518">
        <v>0</v>
      </c>
      <c r="P34" s="529">
        <f t="shared" si="1"/>
        <v>0</v>
      </c>
      <c r="Q34" s="527">
        <v>0</v>
      </c>
      <c r="R34" s="515">
        <f t="shared" si="5"/>
        <v>0</v>
      </c>
      <c r="S34" s="519">
        <f t="shared" si="6"/>
        <v>0</v>
      </c>
      <c r="U34" s="330">
        <v>53208010100000</v>
      </c>
      <c r="V34" s="327" t="s">
        <v>30</v>
      </c>
      <c r="W34" s="793">
        <v>1944604.5079999999</v>
      </c>
      <c r="AG34" s="33"/>
    </row>
    <row r="35" spans="1:33" s="44" customFormat="1" ht="12.75" customHeight="1" x14ac:dyDescent="0.2">
      <c r="A35" s="1087"/>
      <c r="B35" s="1089" t="s">
        <v>94</v>
      </c>
      <c r="C35" s="783" t="s">
        <v>322</v>
      </c>
      <c r="D35" s="903" t="s">
        <v>323</v>
      </c>
      <c r="E35" s="785" t="s">
        <v>324</v>
      </c>
      <c r="F35" s="786" t="s">
        <v>123</v>
      </c>
      <c r="G35" s="787">
        <f>842768*12</f>
        <v>10113216</v>
      </c>
      <c r="H35" s="787">
        <v>316316</v>
      </c>
      <c r="I35" s="788">
        <v>135325</v>
      </c>
      <c r="J35" s="316">
        <f t="shared" si="3"/>
        <v>10564857</v>
      </c>
      <c r="K35" s="308">
        <f t="shared" si="0"/>
        <v>10860672.995999999</v>
      </c>
      <c r="L35" s="42"/>
      <c r="M35" s="333">
        <v>0</v>
      </c>
      <c r="N35" s="513">
        <f t="shared" si="4"/>
        <v>0</v>
      </c>
      <c r="O35" s="817">
        <v>0.25</v>
      </c>
      <c r="P35" s="528">
        <f t="shared" si="1"/>
        <v>2715168.2489999998</v>
      </c>
      <c r="Q35" s="525">
        <v>0</v>
      </c>
      <c r="R35" s="513">
        <f t="shared" si="5"/>
        <v>0</v>
      </c>
      <c r="S35" s="516">
        <f t="shared" si="6"/>
        <v>0.25</v>
      </c>
      <c r="U35" s="330">
        <v>53208070100001</v>
      </c>
      <c r="V35" s="327" t="s">
        <v>31</v>
      </c>
      <c r="W35" s="793">
        <v>782146.55200000003</v>
      </c>
      <c r="AG35" s="33"/>
    </row>
    <row r="36" spans="1:33" s="44" customFormat="1" ht="12.75" customHeight="1" x14ac:dyDescent="0.2">
      <c r="A36" s="1087"/>
      <c r="B36" s="1090"/>
      <c r="C36" s="149"/>
      <c r="D36" s="304"/>
      <c r="E36" s="305"/>
      <c r="F36" s="306"/>
      <c r="G36" s="298">
        <v>0</v>
      </c>
      <c r="H36" s="298">
        <v>0</v>
      </c>
      <c r="I36" s="314">
        <v>0</v>
      </c>
      <c r="J36" s="317">
        <f t="shared" si="3"/>
        <v>0</v>
      </c>
      <c r="K36" s="309">
        <f t="shared" si="0"/>
        <v>0</v>
      </c>
      <c r="L36" s="42"/>
      <c r="M36" s="511">
        <v>0</v>
      </c>
      <c r="N36" s="514">
        <f t="shared" si="4"/>
        <v>0</v>
      </c>
      <c r="O36" s="511">
        <v>0</v>
      </c>
      <c r="P36" s="512">
        <f t="shared" si="1"/>
        <v>0</v>
      </c>
      <c r="Q36" s="526">
        <v>0</v>
      </c>
      <c r="R36" s="514">
        <f t="shared" si="5"/>
        <v>0</v>
      </c>
      <c r="S36" s="517">
        <f t="shared" si="6"/>
        <v>0</v>
      </c>
      <c r="U36" s="330">
        <v>53208100100001</v>
      </c>
      <c r="V36" s="327" t="s">
        <v>136</v>
      </c>
      <c r="W36" s="793">
        <v>0</v>
      </c>
      <c r="AG36" s="33"/>
    </row>
    <row r="37" spans="1:33" s="44" customFormat="1" ht="12.75" customHeight="1" x14ac:dyDescent="0.2">
      <c r="A37" s="1087"/>
      <c r="B37" s="1090"/>
      <c r="C37" s="149"/>
      <c r="D37" s="304"/>
      <c r="E37" s="305"/>
      <c r="F37" s="306"/>
      <c r="G37" s="298">
        <v>0</v>
      </c>
      <c r="H37" s="298">
        <v>0</v>
      </c>
      <c r="I37" s="314">
        <v>0</v>
      </c>
      <c r="J37" s="317">
        <f t="shared" si="3"/>
        <v>0</v>
      </c>
      <c r="K37" s="309">
        <f t="shared" si="0"/>
        <v>0</v>
      </c>
      <c r="L37" s="42"/>
      <c r="M37" s="511">
        <v>0</v>
      </c>
      <c r="N37" s="514">
        <f t="shared" si="4"/>
        <v>0</v>
      </c>
      <c r="O37" s="511">
        <v>0</v>
      </c>
      <c r="P37" s="512">
        <f t="shared" si="1"/>
        <v>0</v>
      </c>
      <c r="Q37" s="526">
        <v>0</v>
      </c>
      <c r="R37" s="514">
        <f t="shared" si="5"/>
        <v>0</v>
      </c>
      <c r="S37" s="517">
        <f t="shared" si="6"/>
        <v>0</v>
      </c>
      <c r="U37" s="330">
        <v>53211030000000</v>
      </c>
      <c r="V37" s="327" t="s">
        <v>32</v>
      </c>
      <c r="W37" s="793">
        <v>0</v>
      </c>
      <c r="AG37" s="33"/>
    </row>
    <row r="38" spans="1:33" s="44" customFormat="1" ht="12.75" customHeight="1" x14ac:dyDescent="0.2">
      <c r="A38" s="1087"/>
      <c r="B38" s="1090"/>
      <c r="C38" s="149"/>
      <c r="D38" s="304"/>
      <c r="E38" s="305"/>
      <c r="F38" s="306"/>
      <c r="G38" s="298">
        <v>0</v>
      </c>
      <c r="H38" s="298">
        <v>0</v>
      </c>
      <c r="I38" s="314">
        <v>0</v>
      </c>
      <c r="J38" s="317">
        <f t="shared" si="3"/>
        <v>0</v>
      </c>
      <c r="K38" s="309">
        <f t="shared" si="0"/>
        <v>0</v>
      </c>
      <c r="L38" s="42"/>
      <c r="M38" s="511">
        <v>0</v>
      </c>
      <c r="N38" s="514">
        <f t="shared" si="4"/>
        <v>0</v>
      </c>
      <c r="O38" s="511">
        <v>0</v>
      </c>
      <c r="P38" s="512">
        <f t="shared" si="1"/>
        <v>0</v>
      </c>
      <c r="Q38" s="526">
        <v>0</v>
      </c>
      <c r="R38" s="514">
        <f t="shared" si="5"/>
        <v>0</v>
      </c>
      <c r="S38" s="517">
        <f t="shared" si="6"/>
        <v>0</v>
      </c>
      <c r="U38" s="330">
        <v>53212020100000</v>
      </c>
      <c r="V38" s="327" t="s">
        <v>101</v>
      </c>
      <c r="W38" s="793">
        <v>16861281.866</v>
      </c>
      <c r="AG38" s="33"/>
    </row>
    <row r="39" spans="1:33" s="44" customFormat="1" ht="12.75" customHeight="1" thickBot="1" x14ac:dyDescent="0.25">
      <c r="A39" s="1087"/>
      <c r="B39" s="1091"/>
      <c r="C39" s="323"/>
      <c r="D39" s="299"/>
      <c r="E39" s="300"/>
      <c r="F39" s="301"/>
      <c r="G39" s="302">
        <v>0</v>
      </c>
      <c r="H39" s="302">
        <v>0</v>
      </c>
      <c r="I39" s="315">
        <v>0</v>
      </c>
      <c r="J39" s="318">
        <f t="shared" si="3"/>
        <v>0</v>
      </c>
      <c r="K39" s="307">
        <f t="shared" si="0"/>
        <v>0</v>
      </c>
      <c r="L39" s="42"/>
      <c r="M39" s="518">
        <v>0</v>
      </c>
      <c r="N39" s="515">
        <f t="shared" si="4"/>
        <v>0</v>
      </c>
      <c r="O39" s="518">
        <v>0</v>
      </c>
      <c r="P39" s="529">
        <f t="shared" si="1"/>
        <v>0</v>
      </c>
      <c r="Q39" s="527">
        <v>0</v>
      </c>
      <c r="R39" s="515">
        <f t="shared" si="5"/>
        <v>0</v>
      </c>
      <c r="S39" s="519">
        <f t="shared" si="6"/>
        <v>0</v>
      </c>
      <c r="U39" s="330">
        <v>53214020000000</v>
      </c>
      <c r="V39" s="327" t="s">
        <v>33</v>
      </c>
      <c r="W39" s="793">
        <v>109879.04399999999</v>
      </c>
      <c r="AG39" s="33"/>
    </row>
    <row r="40" spans="1:33" s="44" customFormat="1" ht="12.75" customHeight="1" x14ac:dyDescent="0.2">
      <c r="A40" s="1087"/>
      <c r="B40" s="1092" t="s">
        <v>124</v>
      </c>
      <c r="C40" s="789" t="s">
        <v>481</v>
      </c>
      <c r="D40" s="904" t="s">
        <v>482</v>
      </c>
      <c r="E40" s="790" t="s">
        <v>483</v>
      </c>
      <c r="F40" s="791" t="s">
        <v>123</v>
      </c>
      <c r="G40" s="787">
        <v>5496480</v>
      </c>
      <c r="H40" s="787">
        <v>316316</v>
      </c>
      <c r="I40" s="788">
        <v>135325</v>
      </c>
      <c r="J40" s="319">
        <f>SUM(G40:I40)</f>
        <v>5948121</v>
      </c>
      <c r="K40" s="321">
        <f t="shared" si="0"/>
        <v>6114668.3880000003</v>
      </c>
      <c r="L40" s="42"/>
      <c r="M40" s="333">
        <v>0</v>
      </c>
      <c r="N40" s="513">
        <f t="shared" si="4"/>
        <v>0</v>
      </c>
      <c r="O40" s="792">
        <v>0.25</v>
      </c>
      <c r="P40" s="528">
        <f t="shared" si="1"/>
        <v>1528667.0970000001</v>
      </c>
      <c r="Q40" s="525">
        <v>0</v>
      </c>
      <c r="R40" s="513">
        <f t="shared" si="5"/>
        <v>0</v>
      </c>
      <c r="S40" s="516">
        <f t="shared" si="6"/>
        <v>0.25</v>
      </c>
      <c r="U40" s="328"/>
      <c r="V40" s="325" t="s">
        <v>34</v>
      </c>
      <c r="W40" s="659">
        <f>SUM(W41,W46,W49,W60,W70,W78)</f>
        <v>41665072.614</v>
      </c>
      <c r="AG40" s="33"/>
    </row>
    <row r="41" spans="1:33" s="44" customFormat="1" ht="12.75" customHeight="1" x14ac:dyDescent="0.2">
      <c r="A41" s="1087"/>
      <c r="B41" s="1093"/>
      <c r="C41" s="789" t="s">
        <v>325</v>
      </c>
      <c r="D41" s="906" t="s">
        <v>326</v>
      </c>
      <c r="E41" s="790" t="s">
        <v>327</v>
      </c>
      <c r="F41" s="791" t="s">
        <v>123</v>
      </c>
      <c r="G41" s="787">
        <f>1029061*12</f>
        <v>12348732</v>
      </c>
      <c r="H41" s="787">
        <v>195130</v>
      </c>
      <c r="I41" s="788">
        <v>135325</v>
      </c>
      <c r="J41" s="320">
        <f t="shared" ref="J41:J48" si="7">SUM(G41:I41)</f>
        <v>12679187</v>
      </c>
      <c r="K41" s="322">
        <f t="shared" si="0"/>
        <v>13034204.236</v>
      </c>
      <c r="L41" s="42"/>
      <c r="M41" s="511">
        <v>0</v>
      </c>
      <c r="N41" s="514">
        <f t="shared" si="4"/>
        <v>0</v>
      </c>
      <c r="O41" s="792">
        <v>0.02</v>
      </c>
      <c r="P41" s="512">
        <f t="shared" si="1"/>
        <v>260684.08471999998</v>
      </c>
      <c r="Q41" s="526">
        <v>0</v>
      </c>
      <c r="R41" s="514">
        <f t="shared" si="5"/>
        <v>0</v>
      </c>
      <c r="S41" s="517">
        <f t="shared" si="6"/>
        <v>0.02</v>
      </c>
      <c r="U41" s="329"/>
      <c r="V41" s="326" t="s">
        <v>35</v>
      </c>
      <c r="W41" s="794">
        <f>SUM(W42:W45)</f>
        <v>4304424.1239999998</v>
      </c>
      <c r="AG41" s="33"/>
    </row>
    <row r="42" spans="1:33" s="44" customFormat="1" ht="12.75" customHeight="1" x14ac:dyDescent="0.2">
      <c r="A42" s="1087"/>
      <c r="B42" s="1093"/>
      <c r="C42" s="789" t="s">
        <v>484</v>
      </c>
      <c r="D42" s="906" t="s">
        <v>485</v>
      </c>
      <c r="E42" s="790" t="s">
        <v>71</v>
      </c>
      <c r="F42" s="791" t="s">
        <v>123</v>
      </c>
      <c r="G42" s="787">
        <f>447430*12</f>
        <v>5369160</v>
      </c>
      <c r="H42" s="787">
        <v>316316</v>
      </c>
      <c r="I42" s="788">
        <v>135325</v>
      </c>
      <c r="J42" s="320">
        <f t="shared" si="7"/>
        <v>5820801</v>
      </c>
      <c r="K42" s="322">
        <f t="shared" si="0"/>
        <v>5983783.4280000003</v>
      </c>
      <c r="L42" s="42"/>
      <c r="M42" s="511">
        <v>0</v>
      </c>
      <c r="N42" s="514">
        <f t="shared" si="4"/>
        <v>0</v>
      </c>
      <c r="O42" s="792">
        <v>0.25</v>
      </c>
      <c r="P42" s="512">
        <f t="shared" si="1"/>
        <v>1495945.8570000001</v>
      </c>
      <c r="Q42" s="526">
        <v>0</v>
      </c>
      <c r="R42" s="514">
        <f t="shared" si="5"/>
        <v>0</v>
      </c>
      <c r="S42" s="517">
        <f t="shared" si="6"/>
        <v>0.25</v>
      </c>
      <c r="U42" s="330">
        <v>53202020100000</v>
      </c>
      <c r="V42" s="327" t="s">
        <v>39</v>
      </c>
      <c r="W42" s="793">
        <v>917724.63199999998</v>
      </c>
      <c r="AG42" s="33"/>
    </row>
    <row r="43" spans="1:33" s="44" customFormat="1" ht="12.75" customHeight="1" x14ac:dyDescent="0.2">
      <c r="A43" s="1087"/>
      <c r="B43" s="1093"/>
      <c r="C43" s="789" t="s">
        <v>486</v>
      </c>
      <c r="D43" s="904" t="s">
        <v>487</v>
      </c>
      <c r="E43" s="790" t="s">
        <v>488</v>
      </c>
      <c r="F43" s="791" t="s">
        <v>123</v>
      </c>
      <c r="G43" s="787">
        <v>9371640</v>
      </c>
      <c r="H43" s="787">
        <v>316316</v>
      </c>
      <c r="I43" s="788">
        <v>135325</v>
      </c>
      <c r="J43" s="320">
        <f t="shared" si="7"/>
        <v>9823281</v>
      </c>
      <c r="K43" s="322">
        <f t="shared" si="0"/>
        <v>10098332.868000001</v>
      </c>
      <c r="L43" s="42"/>
      <c r="M43" s="511">
        <v>0</v>
      </c>
      <c r="N43" s="514">
        <f t="shared" si="4"/>
        <v>0</v>
      </c>
      <c r="O43" s="792">
        <v>0.25</v>
      </c>
      <c r="P43" s="512">
        <f t="shared" si="1"/>
        <v>2524583.2170000002</v>
      </c>
      <c r="Q43" s="526">
        <v>0</v>
      </c>
      <c r="R43" s="514">
        <f t="shared" si="5"/>
        <v>0</v>
      </c>
      <c r="S43" s="517">
        <f t="shared" si="6"/>
        <v>0.25</v>
      </c>
      <c r="U43" s="330">
        <v>53202030000000</v>
      </c>
      <c r="V43" s="327" t="s">
        <v>40</v>
      </c>
      <c r="W43" s="793">
        <v>146424.74</v>
      </c>
      <c r="AG43" s="33"/>
    </row>
    <row r="44" spans="1:33" s="44" customFormat="1" ht="12.75" customHeight="1" x14ac:dyDescent="0.2">
      <c r="A44" s="1087"/>
      <c r="B44" s="1093"/>
      <c r="C44" s="789" t="s">
        <v>489</v>
      </c>
      <c r="D44" s="904" t="s">
        <v>490</v>
      </c>
      <c r="E44" s="790" t="s">
        <v>491</v>
      </c>
      <c r="F44" s="791" t="s">
        <v>123</v>
      </c>
      <c r="G44" s="787">
        <v>8971152</v>
      </c>
      <c r="H44" s="787">
        <v>316316</v>
      </c>
      <c r="I44" s="788">
        <v>135325</v>
      </c>
      <c r="J44" s="320">
        <f t="shared" si="7"/>
        <v>9422793</v>
      </c>
      <c r="K44" s="322">
        <f t="shared" si="0"/>
        <v>9686631.2039999999</v>
      </c>
      <c r="L44" s="42"/>
      <c r="M44" s="511">
        <v>0</v>
      </c>
      <c r="N44" s="514">
        <f t="shared" si="4"/>
        <v>0</v>
      </c>
      <c r="O44" s="792">
        <v>0.25</v>
      </c>
      <c r="P44" s="512">
        <f t="shared" si="1"/>
        <v>2421657.801</v>
      </c>
      <c r="Q44" s="526">
        <v>0</v>
      </c>
      <c r="R44" s="514">
        <f t="shared" si="5"/>
        <v>0</v>
      </c>
      <c r="S44" s="517">
        <f t="shared" si="6"/>
        <v>0.25</v>
      </c>
      <c r="U44" s="330">
        <v>53211020000000</v>
      </c>
      <c r="V44" s="327" t="s">
        <v>41</v>
      </c>
      <c r="W44" s="793">
        <v>944042</v>
      </c>
      <c r="AG44" s="33"/>
    </row>
    <row r="45" spans="1:33" s="44" customFormat="1" ht="12.75" customHeight="1" x14ac:dyDescent="0.2">
      <c r="A45" s="1087"/>
      <c r="B45" s="1093"/>
      <c r="C45" s="789" t="s">
        <v>492</v>
      </c>
      <c r="D45" s="904" t="s">
        <v>493</v>
      </c>
      <c r="E45" s="790" t="s">
        <v>494</v>
      </c>
      <c r="F45" s="791" t="s">
        <v>123</v>
      </c>
      <c r="G45" s="787">
        <v>5094396</v>
      </c>
      <c r="H45" s="787">
        <v>316316</v>
      </c>
      <c r="I45" s="788">
        <v>135325</v>
      </c>
      <c r="J45" s="320">
        <f t="shared" si="7"/>
        <v>5546037</v>
      </c>
      <c r="K45" s="322">
        <f t="shared" si="0"/>
        <v>5701326.0360000003</v>
      </c>
      <c r="L45" s="42"/>
      <c r="M45" s="511">
        <v>0</v>
      </c>
      <c r="N45" s="514">
        <f t="shared" si="4"/>
        <v>0</v>
      </c>
      <c r="O45" s="792">
        <v>0.25</v>
      </c>
      <c r="P45" s="512">
        <f t="shared" si="1"/>
        <v>1425331.5090000001</v>
      </c>
      <c r="Q45" s="526">
        <v>0</v>
      </c>
      <c r="R45" s="514">
        <f t="shared" si="5"/>
        <v>0</v>
      </c>
      <c r="S45" s="517">
        <f t="shared" si="6"/>
        <v>0.25</v>
      </c>
      <c r="U45" s="330">
        <v>53101004030000</v>
      </c>
      <c r="V45" s="327" t="s">
        <v>38</v>
      </c>
      <c r="W45" s="793">
        <v>2296232.7519999999</v>
      </c>
      <c r="AG45" s="33"/>
    </row>
    <row r="46" spans="1:33" s="44" customFormat="1" ht="12.75" customHeight="1" x14ac:dyDescent="0.2">
      <c r="A46" s="1087"/>
      <c r="B46" s="1093"/>
      <c r="C46" s="789" t="s">
        <v>495</v>
      </c>
      <c r="D46" s="904" t="s">
        <v>496</v>
      </c>
      <c r="E46" s="790" t="s">
        <v>497</v>
      </c>
      <c r="F46" s="791" t="s">
        <v>123</v>
      </c>
      <c r="G46" s="787">
        <v>1914744</v>
      </c>
      <c r="H46" s="787">
        <v>316316</v>
      </c>
      <c r="I46" s="788">
        <v>135325</v>
      </c>
      <c r="J46" s="320">
        <f t="shared" si="7"/>
        <v>2366385</v>
      </c>
      <c r="K46" s="322">
        <f t="shared" si="0"/>
        <v>2432643.7800000003</v>
      </c>
      <c r="L46" s="42"/>
      <c r="M46" s="511">
        <v>0</v>
      </c>
      <c r="N46" s="514">
        <f t="shared" si="4"/>
        <v>0</v>
      </c>
      <c r="O46" s="792">
        <v>0.25</v>
      </c>
      <c r="P46" s="512">
        <f t="shared" si="1"/>
        <v>608160.94500000007</v>
      </c>
      <c r="Q46" s="526">
        <v>0</v>
      </c>
      <c r="R46" s="514">
        <f t="shared" si="5"/>
        <v>0</v>
      </c>
      <c r="S46" s="517">
        <f t="shared" si="6"/>
        <v>0.25</v>
      </c>
      <c r="U46" s="329"/>
      <c r="V46" s="326" t="s">
        <v>42</v>
      </c>
      <c r="W46" s="646">
        <v>214025.592</v>
      </c>
      <c r="AG46" s="33"/>
    </row>
    <row r="47" spans="1:33" s="44" customFormat="1" ht="12.75" customHeight="1" x14ac:dyDescent="0.2">
      <c r="A47" s="1087"/>
      <c r="B47" s="1093"/>
      <c r="C47" s="789" t="s">
        <v>498</v>
      </c>
      <c r="D47" s="904" t="s">
        <v>499</v>
      </c>
      <c r="E47" s="790" t="s">
        <v>500</v>
      </c>
      <c r="F47" s="791" t="s">
        <v>123</v>
      </c>
      <c r="G47" s="787">
        <v>6361548</v>
      </c>
      <c r="H47" s="787">
        <v>316316</v>
      </c>
      <c r="I47" s="788">
        <v>135325</v>
      </c>
      <c r="J47" s="320">
        <f t="shared" si="7"/>
        <v>6813189</v>
      </c>
      <c r="K47" s="322">
        <f t="shared" si="0"/>
        <v>7003958.2920000004</v>
      </c>
      <c r="L47" s="42"/>
      <c r="M47" s="511">
        <v>0</v>
      </c>
      <c r="N47" s="514">
        <f t="shared" si="4"/>
        <v>0</v>
      </c>
      <c r="O47" s="792">
        <v>0.25</v>
      </c>
      <c r="P47" s="512">
        <f t="shared" si="1"/>
        <v>1750989.5730000001</v>
      </c>
      <c r="Q47" s="526">
        <v>0</v>
      </c>
      <c r="R47" s="514">
        <f t="shared" si="5"/>
        <v>0</v>
      </c>
      <c r="S47" s="517">
        <f t="shared" si="6"/>
        <v>0.25</v>
      </c>
      <c r="U47" s="330">
        <v>53205080000000</v>
      </c>
      <c r="V47" s="327" t="s">
        <v>43</v>
      </c>
      <c r="W47" s="638">
        <v>0</v>
      </c>
      <c r="AG47" s="33"/>
    </row>
    <row r="48" spans="1:33" s="44" customFormat="1" ht="12.75" customHeight="1" x14ac:dyDescent="0.2">
      <c r="A48" s="1087"/>
      <c r="B48" s="1093"/>
      <c r="C48" s="789" t="s">
        <v>501</v>
      </c>
      <c r="D48" s="904" t="s">
        <v>502</v>
      </c>
      <c r="E48" s="790" t="s">
        <v>503</v>
      </c>
      <c r="F48" s="791" t="s">
        <v>123</v>
      </c>
      <c r="G48" s="787">
        <v>7218384</v>
      </c>
      <c r="H48" s="787">
        <v>316316</v>
      </c>
      <c r="I48" s="788">
        <v>135325</v>
      </c>
      <c r="J48" s="320">
        <f t="shared" si="7"/>
        <v>7670025</v>
      </c>
      <c r="K48" s="322">
        <f t="shared" si="0"/>
        <v>7884785.7000000002</v>
      </c>
      <c r="L48" s="42"/>
      <c r="M48" s="511">
        <v>0</v>
      </c>
      <c r="N48" s="514">
        <f t="shared" si="4"/>
        <v>0</v>
      </c>
      <c r="O48" s="792">
        <v>0.25</v>
      </c>
      <c r="P48" s="512">
        <f t="shared" si="1"/>
        <v>1971196.425</v>
      </c>
      <c r="Q48" s="526">
        <v>0</v>
      </c>
      <c r="R48" s="514">
        <f t="shared" si="5"/>
        <v>0</v>
      </c>
      <c r="S48" s="517">
        <f t="shared" si="6"/>
        <v>0.25</v>
      </c>
      <c r="U48" s="330">
        <v>53205990000000</v>
      </c>
      <c r="V48" s="327" t="s">
        <v>44</v>
      </c>
      <c r="W48" s="638">
        <v>214025.592</v>
      </c>
      <c r="AG48" s="33"/>
    </row>
    <row r="49" spans="1:33" s="44" customFormat="1" ht="12.75" customHeight="1" x14ac:dyDescent="0.2">
      <c r="A49" s="1087"/>
      <c r="B49" s="1094"/>
      <c r="C49" s="150"/>
      <c r="D49" s="152"/>
      <c r="E49" s="153"/>
      <c r="F49" s="175"/>
      <c r="G49" s="298">
        <v>0</v>
      </c>
      <c r="H49" s="298">
        <v>0</v>
      </c>
      <c r="I49" s="314">
        <v>0</v>
      </c>
      <c r="J49" s="320">
        <f t="shared" ref="J49:J61" si="8">SUM(G49:I49)</f>
        <v>0</v>
      </c>
      <c r="K49" s="322">
        <f t="shared" si="0"/>
        <v>0</v>
      </c>
      <c r="L49" s="42"/>
      <c r="M49" s="511">
        <v>0</v>
      </c>
      <c r="N49" s="514">
        <f t="shared" si="4"/>
        <v>0</v>
      </c>
      <c r="O49" s="792">
        <v>0</v>
      </c>
      <c r="P49" s="512">
        <f t="shared" si="1"/>
        <v>0</v>
      </c>
      <c r="Q49" s="526">
        <v>0</v>
      </c>
      <c r="R49" s="514">
        <f t="shared" si="5"/>
        <v>0</v>
      </c>
      <c r="S49" s="517">
        <f t="shared" si="6"/>
        <v>0</v>
      </c>
      <c r="U49" s="329"/>
      <c r="V49" s="326" t="s">
        <v>45</v>
      </c>
      <c r="W49" s="777">
        <f>SUM(W50:W59)</f>
        <v>26858483.958000001</v>
      </c>
      <c r="AG49" s="33"/>
    </row>
    <row r="50" spans="1:33" s="44" customFormat="1" ht="12.75" customHeight="1" x14ac:dyDescent="0.2">
      <c r="A50" s="1087"/>
      <c r="B50" s="1093"/>
      <c r="C50" s="150"/>
      <c r="D50" s="152"/>
      <c r="E50" s="153"/>
      <c r="F50" s="175"/>
      <c r="G50" s="298">
        <v>0</v>
      </c>
      <c r="H50" s="298">
        <v>0</v>
      </c>
      <c r="I50" s="314">
        <v>0</v>
      </c>
      <c r="J50" s="320">
        <f t="shared" si="8"/>
        <v>0</v>
      </c>
      <c r="K50" s="322">
        <f t="shared" si="0"/>
        <v>0</v>
      </c>
      <c r="L50" s="42"/>
      <c r="M50" s="511">
        <v>0</v>
      </c>
      <c r="N50" s="514">
        <f t="shared" si="4"/>
        <v>0</v>
      </c>
      <c r="O50" s="792">
        <v>0</v>
      </c>
      <c r="P50" s="512">
        <f t="shared" si="1"/>
        <v>0</v>
      </c>
      <c r="Q50" s="526">
        <v>0</v>
      </c>
      <c r="R50" s="514">
        <f t="shared" si="5"/>
        <v>0</v>
      </c>
      <c r="S50" s="517">
        <f t="shared" si="6"/>
        <v>0</v>
      </c>
      <c r="U50" s="330">
        <v>53203010200000</v>
      </c>
      <c r="V50" s="327" t="s">
        <v>46</v>
      </c>
      <c r="W50" s="638">
        <v>0</v>
      </c>
      <c r="AG50" s="33"/>
    </row>
    <row r="51" spans="1:33" s="44" customFormat="1" ht="12.75" customHeight="1" x14ac:dyDescent="0.2">
      <c r="A51" s="1087"/>
      <c r="B51" s="1093"/>
      <c r="C51" s="150"/>
      <c r="D51" s="152"/>
      <c r="E51" s="153"/>
      <c r="F51" s="175"/>
      <c r="G51" s="298">
        <v>0</v>
      </c>
      <c r="H51" s="298">
        <v>0</v>
      </c>
      <c r="I51" s="314">
        <v>0</v>
      </c>
      <c r="J51" s="320">
        <f t="shared" si="8"/>
        <v>0</v>
      </c>
      <c r="K51" s="322">
        <f t="shared" si="0"/>
        <v>0</v>
      </c>
      <c r="L51" s="42"/>
      <c r="M51" s="511">
        <v>0</v>
      </c>
      <c r="N51" s="514">
        <f t="shared" si="4"/>
        <v>0</v>
      </c>
      <c r="O51" s="792">
        <v>0</v>
      </c>
      <c r="P51" s="512">
        <f t="shared" si="1"/>
        <v>0</v>
      </c>
      <c r="Q51" s="526">
        <v>0</v>
      </c>
      <c r="R51" s="514">
        <f t="shared" si="5"/>
        <v>0</v>
      </c>
      <c r="S51" s="517">
        <f t="shared" si="6"/>
        <v>0</v>
      </c>
      <c r="U51" s="330">
        <v>53204010000000</v>
      </c>
      <c r="V51" s="327" t="s">
        <v>47</v>
      </c>
      <c r="W51" s="793">
        <v>10632335.582</v>
      </c>
      <c r="AG51" s="33"/>
    </row>
    <row r="52" spans="1:33" s="44" customFormat="1" ht="12.75" customHeight="1" x14ac:dyDescent="0.2">
      <c r="A52" s="1087"/>
      <c r="B52" s="1093"/>
      <c r="C52" s="150"/>
      <c r="D52" s="152"/>
      <c r="E52" s="153"/>
      <c r="F52" s="175"/>
      <c r="G52" s="298">
        <v>0</v>
      </c>
      <c r="H52" s="298">
        <v>0</v>
      </c>
      <c r="I52" s="314">
        <v>0</v>
      </c>
      <c r="J52" s="320">
        <f t="shared" si="8"/>
        <v>0</v>
      </c>
      <c r="K52" s="322">
        <f t="shared" si="0"/>
        <v>0</v>
      </c>
      <c r="L52" s="42"/>
      <c r="M52" s="511">
        <v>0</v>
      </c>
      <c r="N52" s="514">
        <f t="shared" si="4"/>
        <v>0</v>
      </c>
      <c r="O52" s="792">
        <v>0</v>
      </c>
      <c r="P52" s="512">
        <f t="shared" si="1"/>
        <v>0</v>
      </c>
      <c r="Q52" s="526">
        <v>0</v>
      </c>
      <c r="R52" s="514">
        <f t="shared" si="5"/>
        <v>0</v>
      </c>
      <c r="S52" s="517">
        <f t="shared" si="6"/>
        <v>0</v>
      </c>
      <c r="U52" s="330">
        <v>53204040200000</v>
      </c>
      <c r="V52" s="327" t="s">
        <v>48</v>
      </c>
      <c r="W52" s="793">
        <v>0</v>
      </c>
      <c r="AG52" s="33"/>
    </row>
    <row r="53" spans="1:33" s="44" customFormat="1" ht="12.75" customHeight="1" x14ac:dyDescent="0.2">
      <c r="A53" s="1087"/>
      <c r="B53" s="1093"/>
      <c r="C53" s="150"/>
      <c r="D53" s="152"/>
      <c r="E53" s="153"/>
      <c r="F53" s="175"/>
      <c r="G53" s="298">
        <v>0</v>
      </c>
      <c r="H53" s="298">
        <v>0</v>
      </c>
      <c r="I53" s="314">
        <v>0</v>
      </c>
      <c r="J53" s="320">
        <f t="shared" si="8"/>
        <v>0</v>
      </c>
      <c r="K53" s="322">
        <f t="shared" si="0"/>
        <v>0</v>
      </c>
      <c r="L53" s="42"/>
      <c r="M53" s="511">
        <v>0</v>
      </c>
      <c r="N53" s="514">
        <f t="shared" si="4"/>
        <v>0</v>
      </c>
      <c r="O53" s="792">
        <v>0</v>
      </c>
      <c r="P53" s="512">
        <f t="shared" si="1"/>
        <v>0</v>
      </c>
      <c r="Q53" s="526">
        <v>0</v>
      </c>
      <c r="R53" s="514">
        <f t="shared" si="5"/>
        <v>0</v>
      </c>
      <c r="S53" s="517">
        <f t="shared" si="6"/>
        <v>0</v>
      </c>
      <c r="U53" s="330">
        <v>53204060000000</v>
      </c>
      <c r="V53" s="327" t="s">
        <v>49</v>
      </c>
      <c r="W53" s="793">
        <v>0</v>
      </c>
      <c r="AG53" s="33"/>
    </row>
    <row r="54" spans="1:33" s="44" customFormat="1" ht="12.75" customHeight="1" x14ac:dyDescent="0.2">
      <c r="A54" s="1087"/>
      <c r="B54" s="1094"/>
      <c r="C54" s="150"/>
      <c r="D54" s="152"/>
      <c r="E54" s="153"/>
      <c r="F54" s="175"/>
      <c r="G54" s="298">
        <v>0</v>
      </c>
      <c r="H54" s="298">
        <v>0</v>
      </c>
      <c r="I54" s="314">
        <v>0</v>
      </c>
      <c r="J54" s="320">
        <f t="shared" si="8"/>
        <v>0</v>
      </c>
      <c r="K54" s="322">
        <f t="shared" si="0"/>
        <v>0</v>
      </c>
      <c r="L54" s="42"/>
      <c r="M54" s="511">
        <v>0</v>
      </c>
      <c r="N54" s="514">
        <f t="shared" si="4"/>
        <v>0</v>
      </c>
      <c r="O54" s="792">
        <v>0</v>
      </c>
      <c r="P54" s="512">
        <f t="shared" si="1"/>
        <v>0</v>
      </c>
      <c r="Q54" s="526">
        <v>0</v>
      </c>
      <c r="R54" s="514">
        <f t="shared" si="5"/>
        <v>0</v>
      </c>
      <c r="S54" s="517">
        <f t="shared" si="6"/>
        <v>0</v>
      </c>
      <c r="U54" s="330">
        <v>53204070000000</v>
      </c>
      <c r="V54" s="327" t="s">
        <v>50</v>
      </c>
      <c r="W54" s="793">
        <v>11185604.165999999</v>
      </c>
      <c r="AG54" s="33"/>
    </row>
    <row r="55" spans="1:33" s="44" customFormat="1" ht="12.75" customHeight="1" x14ac:dyDescent="0.2">
      <c r="A55" s="1087"/>
      <c r="B55" s="1094"/>
      <c r="C55" s="150"/>
      <c r="D55" s="152"/>
      <c r="E55" s="153"/>
      <c r="F55" s="175"/>
      <c r="G55" s="298">
        <v>0</v>
      </c>
      <c r="H55" s="298">
        <v>0</v>
      </c>
      <c r="I55" s="314">
        <v>0</v>
      </c>
      <c r="J55" s="320">
        <f t="shared" si="8"/>
        <v>0</v>
      </c>
      <c r="K55" s="322">
        <f t="shared" si="0"/>
        <v>0</v>
      </c>
      <c r="L55" s="42"/>
      <c r="M55" s="511">
        <v>0</v>
      </c>
      <c r="N55" s="514">
        <f t="shared" si="4"/>
        <v>0</v>
      </c>
      <c r="O55" s="792">
        <v>0</v>
      </c>
      <c r="P55" s="512">
        <f t="shared" si="1"/>
        <v>0</v>
      </c>
      <c r="Q55" s="526">
        <v>0</v>
      </c>
      <c r="R55" s="514">
        <f t="shared" si="5"/>
        <v>0</v>
      </c>
      <c r="S55" s="517">
        <f t="shared" si="6"/>
        <v>0</v>
      </c>
      <c r="U55" s="330">
        <v>53204080000000</v>
      </c>
      <c r="V55" s="327" t="s">
        <v>51</v>
      </c>
      <c r="W55" s="793">
        <v>2509655.5219999999</v>
      </c>
      <c r="AG55" s="33"/>
    </row>
    <row r="56" spans="1:33" s="44" customFormat="1" ht="12.75" customHeight="1" x14ac:dyDescent="0.2">
      <c r="A56" s="1087"/>
      <c r="B56" s="1094"/>
      <c r="C56" s="150"/>
      <c r="D56" s="152"/>
      <c r="E56" s="153"/>
      <c r="F56" s="175"/>
      <c r="G56" s="298">
        <v>0</v>
      </c>
      <c r="H56" s="298">
        <v>0</v>
      </c>
      <c r="I56" s="314">
        <v>0</v>
      </c>
      <c r="J56" s="320">
        <f t="shared" si="8"/>
        <v>0</v>
      </c>
      <c r="K56" s="322">
        <f t="shared" si="0"/>
        <v>0</v>
      </c>
      <c r="L56" s="42"/>
      <c r="M56" s="511">
        <v>0</v>
      </c>
      <c r="N56" s="514">
        <f t="shared" si="4"/>
        <v>0</v>
      </c>
      <c r="O56" s="792">
        <v>0</v>
      </c>
      <c r="P56" s="512">
        <f t="shared" si="1"/>
        <v>0</v>
      </c>
      <c r="Q56" s="526">
        <v>0</v>
      </c>
      <c r="R56" s="514">
        <f t="shared" si="5"/>
        <v>0</v>
      </c>
      <c r="S56" s="517">
        <f t="shared" si="6"/>
        <v>0</v>
      </c>
      <c r="U56" s="330">
        <v>53214010000000</v>
      </c>
      <c r="V56" s="327" t="s">
        <v>52</v>
      </c>
      <c r="W56" s="793">
        <v>530888.68799999997</v>
      </c>
      <c r="AG56" s="33"/>
    </row>
    <row r="57" spans="1:33" s="44" customFormat="1" ht="12.75" customHeight="1" x14ac:dyDescent="0.2">
      <c r="A57" s="1087"/>
      <c r="B57" s="1094"/>
      <c r="C57" s="150"/>
      <c r="D57" s="152"/>
      <c r="E57" s="153"/>
      <c r="F57" s="175"/>
      <c r="G57" s="298">
        <v>0</v>
      </c>
      <c r="H57" s="298">
        <v>0</v>
      </c>
      <c r="I57" s="314">
        <v>0</v>
      </c>
      <c r="J57" s="320">
        <f t="shared" si="8"/>
        <v>0</v>
      </c>
      <c r="K57" s="322">
        <f t="shared" si="0"/>
        <v>0</v>
      </c>
      <c r="L57" s="42"/>
      <c r="M57" s="511">
        <v>0</v>
      </c>
      <c r="N57" s="514">
        <f t="shared" si="4"/>
        <v>0</v>
      </c>
      <c r="O57" s="792">
        <v>0</v>
      </c>
      <c r="P57" s="512">
        <f t="shared" si="1"/>
        <v>0</v>
      </c>
      <c r="Q57" s="526">
        <v>0</v>
      </c>
      <c r="R57" s="514">
        <f t="shared" si="5"/>
        <v>0</v>
      </c>
      <c r="S57" s="517">
        <f t="shared" si="6"/>
        <v>0</v>
      </c>
      <c r="U57" s="330">
        <v>53214040000000</v>
      </c>
      <c r="V57" s="327" t="s">
        <v>137</v>
      </c>
      <c r="W57" s="793">
        <v>2000000</v>
      </c>
      <c r="AG57" s="33"/>
    </row>
    <row r="58" spans="1:33" s="44" customFormat="1" ht="12.75" customHeight="1" x14ac:dyDescent="0.2">
      <c r="A58" s="1087"/>
      <c r="B58" s="1094"/>
      <c r="C58" s="150"/>
      <c r="D58" s="152"/>
      <c r="E58" s="153"/>
      <c r="F58" s="175"/>
      <c r="G58" s="298">
        <v>0</v>
      </c>
      <c r="H58" s="298">
        <v>0</v>
      </c>
      <c r="I58" s="314">
        <v>0</v>
      </c>
      <c r="J58" s="320">
        <f t="shared" si="8"/>
        <v>0</v>
      </c>
      <c r="K58" s="322">
        <f t="shared" si="0"/>
        <v>0</v>
      </c>
      <c r="L58" s="42"/>
      <c r="M58" s="511">
        <v>0</v>
      </c>
      <c r="N58" s="514">
        <f t="shared" si="4"/>
        <v>0</v>
      </c>
      <c r="O58" s="792">
        <v>0</v>
      </c>
      <c r="P58" s="512">
        <f t="shared" si="1"/>
        <v>0</v>
      </c>
      <c r="Q58" s="526">
        <v>0</v>
      </c>
      <c r="R58" s="514">
        <f t="shared" si="5"/>
        <v>0</v>
      </c>
      <c r="S58" s="517">
        <f t="shared" si="6"/>
        <v>0</v>
      </c>
      <c r="U58" s="330">
        <v>55201010100004</v>
      </c>
      <c r="V58" s="327" t="s">
        <v>53</v>
      </c>
      <c r="W58" s="638">
        <v>0</v>
      </c>
      <c r="AG58" s="33"/>
    </row>
    <row r="59" spans="1:33" s="44" customFormat="1" ht="12.75" customHeight="1" x14ac:dyDescent="0.2">
      <c r="A59" s="1087"/>
      <c r="B59" s="1094"/>
      <c r="C59" s="150"/>
      <c r="D59" s="152"/>
      <c r="E59" s="153"/>
      <c r="F59" s="175"/>
      <c r="G59" s="298">
        <v>0</v>
      </c>
      <c r="H59" s="298">
        <v>0</v>
      </c>
      <c r="I59" s="314">
        <v>0</v>
      </c>
      <c r="J59" s="320">
        <f t="shared" si="8"/>
        <v>0</v>
      </c>
      <c r="K59" s="322">
        <f t="shared" si="0"/>
        <v>0</v>
      </c>
      <c r="L59" s="42"/>
      <c r="M59" s="511">
        <v>0</v>
      </c>
      <c r="N59" s="514">
        <f t="shared" si="4"/>
        <v>0</v>
      </c>
      <c r="O59" s="792">
        <v>0</v>
      </c>
      <c r="P59" s="512">
        <f t="shared" si="1"/>
        <v>0</v>
      </c>
      <c r="Q59" s="526">
        <v>0</v>
      </c>
      <c r="R59" s="514">
        <f t="shared" si="5"/>
        <v>0</v>
      </c>
      <c r="S59" s="517">
        <f t="shared" si="6"/>
        <v>0</v>
      </c>
      <c r="U59" s="330">
        <v>55201010100005</v>
      </c>
      <c r="V59" s="327" t="s">
        <v>54</v>
      </c>
      <c r="W59" s="638">
        <v>0</v>
      </c>
      <c r="AG59" s="33"/>
    </row>
    <row r="60" spans="1:33" s="44" customFormat="1" ht="12.75" customHeight="1" x14ac:dyDescent="0.2">
      <c r="A60" s="1087"/>
      <c r="B60" s="1094"/>
      <c r="C60" s="150"/>
      <c r="D60" s="152"/>
      <c r="E60" s="153"/>
      <c r="F60" s="175"/>
      <c r="G60" s="298">
        <v>0</v>
      </c>
      <c r="H60" s="298">
        <v>0</v>
      </c>
      <c r="I60" s="314">
        <v>0</v>
      </c>
      <c r="J60" s="320">
        <f t="shared" si="8"/>
        <v>0</v>
      </c>
      <c r="K60" s="322">
        <f t="shared" si="0"/>
        <v>0</v>
      </c>
      <c r="L60" s="42"/>
      <c r="M60" s="511">
        <v>0</v>
      </c>
      <c r="N60" s="514">
        <f t="shared" si="4"/>
        <v>0</v>
      </c>
      <c r="O60" s="792">
        <v>0</v>
      </c>
      <c r="P60" s="512">
        <f t="shared" si="1"/>
        <v>0</v>
      </c>
      <c r="Q60" s="526">
        <v>0</v>
      </c>
      <c r="R60" s="514">
        <f t="shared" si="5"/>
        <v>0</v>
      </c>
      <c r="S60" s="517">
        <f t="shared" si="6"/>
        <v>0</v>
      </c>
      <c r="U60" s="329"/>
      <c r="V60" s="326" t="s">
        <v>55</v>
      </c>
      <c r="W60" s="794">
        <f>SUM(W61:W69)</f>
        <v>6557302.29</v>
      </c>
      <c r="AG60" s="33"/>
    </row>
    <row r="61" spans="1:33" s="44" customFormat="1" ht="12.75" customHeight="1" thickBot="1" x14ac:dyDescent="0.25">
      <c r="A61" s="1088"/>
      <c r="B61" s="1095"/>
      <c r="C61" s="323"/>
      <c r="D61" s="299"/>
      <c r="E61" s="300"/>
      <c r="F61" s="301"/>
      <c r="G61" s="302">
        <v>0</v>
      </c>
      <c r="H61" s="302">
        <v>0</v>
      </c>
      <c r="I61" s="315">
        <v>0</v>
      </c>
      <c r="J61" s="318">
        <f t="shared" si="8"/>
        <v>0</v>
      </c>
      <c r="K61" s="307">
        <f t="shared" si="0"/>
        <v>0</v>
      </c>
      <c r="L61" s="42"/>
      <c r="M61" s="518">
        <v>0</v>
      </c>
      <c r="N61" s="515">
        <f t="shared" si="4"/>
        <v>0</v>
      </c>
      <c r="O61" s="792">
        <v>0</v>
      </c>
      <c r="P61" s="529">
        <f t="shared" si="1"/>
        <v>0</v>
      </c>
      <c r="Q61" s="527">
        <v>0</v>
      </c>
      <c r="R61" s="515">
        <f t="shared" si="5"/>
        <v>0</v>
      </c>
      <c r="S61" s="519">
        <f t="shared" si="6"/>
        <v>0</v>
      </c>
      <c r="U61" s="330">
        <v>53207010000000</v>
      </c>
      <c r="V61" s="327" t="s">
        <v>56</v>
      </c>
      <c r="W61" s="793">
        <v>0</v>
      </c>
      <c r="AG61" s="33"/>
    </row>
    <row r="62" spans="1:33" s="44" customFormat="1" ht="12.75" customHeight="1" thickBo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729">
        <f>SUM(K15:K61)</f>
        <v>236084362.77300915</v>
      </c>
      <c r="L62" s="33"/>
      <c r="M62" s="730">
        <f>+N62/$K$62</f>
        <v>0</v>
      </c>
      <c r="N62" s="731">
        <f>SUM(N15:N61)</f>
        <v>0</v>
      </c>
      <c r="O62" s="730">
        <f>+P62/$K$62</f>
        <v>0.24060962989449863</v>
      </c>
      <c r="P62" s="731">
        <f>SUM(P15:P61)</f>
        <v>56804171.150692284</v>
      </c>
      <c r="Q62" s="730">
        <f>+R62/$K$62</f>
        <v>0</v>
      </c>
      <c r="R62" s="731">
        <f>SUM(R15:R61)</f>
        <v>0</v>
      </c>
      <c r="S62" s="33"/>
      <c r="U62" s="330">
        <v>53207020000000</v>
      </c>
      <c r="V62" s="327" t="s">
        <v>57</v>
      </c>
      <c r="W62" s="793">
        <v>707599.28799999994</v>
      </c>
      <c r="AG62" s="33"/>
    </row>
    <row r="63" spans="1:33" s="44" customFormat="1" ht="12.7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129">
        <v>1</v>
      </c>
      <c r="L63" s="33"/>
      <c r="M63" s="33"/>
      <c r="O63" s="33"/>
      <c r="P63" s="33"/>
      <c r="Q63" s="33"/>
      <c r="R63" s="33"/>
      <c r="S63" s="33"/>
      <c r="U63" s="330">
        <v>53208020000000</v>
      </c>
      <c r="V63" s="327" t="s">
        <v>58</v>
      </c>
      <c r="W63" s="793">
        <v>0</v>
      </c>
      <c r="AG63" s="33"/>
    </row>
    <row r="64" spans="1:33" s="44" customFormat="1" ht="12.75" customHeight="1" thickBo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U64" s="330">
        <v>53208990000000</v>
      </c>
      <c r="V64" s="327" t="s">
        <v>59</v>
      </c>
      <c r="W64" s="793">
        <v>293385.092</v>
      </c>
      <c r="AG64" s="33"/>
    </row>
    <row r="65" spans="1:33" s="44" customFormat="1" ht="12.75" customHeight="1" x14ac:dyDescent="0.2">
      <c r="A65" s="1097" t="s">
        <v>151</v>
      </c>
      <c r="B65" s="1100" t="s">
        <v>126</v>
      </c>
      <c r="C65" s="732"/>
      <c r="D65" s="568"/>
      <c r="E65" s="733"/>
      <c r="F65" s="303" t="s">
        <v>125</v>
      </c>
      <c r="G65" s="569">
        <v>0</v>
      </c>
      <c r="H65" s="569">
        <v>0</v>
      </c>
      <c r="I65" s="313">
        <v>0</v>
      </c>
      <c r="J65" s="734">
        <f>SUM(G65:I65)</f>
        <v>0</v>
      </c>
      <c r="K65" s="735">
        <f>+J65*(1+$K$11)</f>
        <v>0</v>
      </c>
      <c r="L65" s="42"/>
      <c r="M65" s="33"/>
      <c r="N65" s="33"/>
      <c r="O65" s="33"/>
      <c r="P65" s="33"/>
      <c r="Q65" s="33"/>
      <c r="R65" s="33"/>
      <c r="S65" s="33"/>
      <c r="U65" s="330">
        <v>53209010000000</v>
      </c>
      <c r="V65" s="327" t="s">
        <v>60</v>
      </c>
      <c r="W65" s="793">
        <v>0</v>
      </c>
      <c r="AG65" s="33"/>
    </row>
    <row r="66" spans="1:33" s="44" customFormat="1" ht="12.75" customHeight="1" x14ac:dyDescent="0.2">
      <c r="A66" s="1098"/>
      <c r="B66" s="1101"/>
      <c r="C66" s="151"/>
      <c r="D66" s="736"/>
      <c r="E66" s="737"/>
      <c r="F66" s="738" t="s">
        <v>125</v>
      </c>
      <c r="G66" s="510">
        <v>0</v>
      </c>
      <c r="H66" s="510">
        <v>0</v>
      </c>
      <c r="I66" s="739">
        <v>0</v>
      </c>
      <c r="J66" s="740">
        <f>SUM(G66:I66)</f>
        <v>0</v>
      </c>
      <c r="K66" s="741">
        <f>+J66*(1+$K$11)</f>
        <v>0</v>
      </c>
      <c r="L66" s="42"/>
      <c r="M66" s="33"/>
      <c r="N66" s="33"/>
      <c r="O66" s="33"/>
      <c r="P66" s="33"/>
      <c r="Q66" s="33"/>
      <c r="R66" s="33"/>
      <c r="S66" s="33"/>
      <c r="U66" s="330">
        <v>53209040000000</v>
      </c>
      <c r="V66" s="327" t="s">
        <v>61</v>
      </c>
      <c r="W66" s="793">
        <v>2308417.4079999998</v>
      </c>
      <c r="AG66" s="33"/>
    </row>
    <row r="67" spans="1:33" x14ac:dyDescent="0.2">
      <c r="A67" s="1098"/>
      <c r="B67" s="1101"/>
      <c r="C67" s="151"/>
      <c r="D67" s="736"/>
      <c r="E67" s="737"/>
      <c r="F67" s="738" t="s">
        <v>125</v>
      </c>
      <c r="G67" s="510">
        <v>0</v>
      </c>
      <c r="H67" s="510">
        <v>0</v>
      </c>
      <c r="I67" s="739">
        <v>0</v>
      </c>
      <c r="J67" s="740">
        <f>SUM(G67:I67)</f>
        <v>0</v>
      </c>
      <c r="K67" s="741">
        <f>+J67*(1+$K$11)</f>
        <v>0</v>
      </c>
      <c r="L67" s="42"/>
      <c r="U67" s="330">
        <v>53209050000000</v>
      </c>
      <c r="V67" s="327" t="s">
        <v>62</v>
      </c>
      <c r="W67" s="793">
        <v>3171329.7</v>
      </c>
    </row>
    <row r="68" spans="1:33" x14ac:dyDescent="0.2">
      <c r="A68" s="1098"/>
      <c r="B68" s="1101"/>
      <c r="C68" s="742"/>
      <c r="D68" s="567"/>
      <c r="E68" s="743"/>
      <c r="F68" s="744" t="s">
        <v>125</v>
      </c>
      <c r="G68" s="510">
        <v>0</v>
      </c>
      <c r="H68" s="510">
        <v>0</v>
      </c>
      <c r="I68" s="739">
        <v>0</v>
      </c>
      <c r="J68" s="740">
        <f>SUM(G68:I68)</f>
        <v>0</v>
      </c>
      <c r="K68" s="741">
        <f>+J68*(1+$K$11)</f>
        <v>0</v>
      </c>
      <c r="L68" s="42"/>
      <c r="U68" s="330">
        <v>53209990000000</v>
      </c>
      <c r="V68" s="327" t="s">
        <v>63</v>
      </c>
      <c r="W68" s="793">
        <v>76570.801999999996</v>
      </c>
    </row>
    <row r="69" spans="1:33" ht="13.5" thickBot="1" x14ac:dyDescent="0.25">
      <c r="A69" s="1099"/>
      <c r="B69" s="1102"/>
      <c r="C69" s="595"/>
      <c r="D69" s="570"/>
      <c r="E69" s="745"/>
      <c r="F69" s="746" t="s">
        <v>125</v>
      </c>
      <c r="G69" s="571">
        <v>0</v>
      </c>
      <c r="H69" s="571">
        <v>0</v>
      </c>
      <c r="I69" s="747">
        <v>0</v>
      </c>
      <c r="J69" s="748">
        <f>SUM(G69:I69)</f>
        <v>0</v>
      </c>
      <c r="K69" s="749">
        <f>+J69*(1+$K$11)</f>
        <v>0</v>
      </c>
      <c r="L69" s="42"/>
      <c r="U69" s="330">
        <v>53210020100000</v>
      </c>
      <c r="V69" s="327" t="s">
        <v>64</v>
      </c>
      <c r="W69" s="793">
        <v>0</v>
      </c>
    </row>
    <row r="70" spans="1:33" ht="16.5" thickBot="1" x14ac:dyDescent="0.25">
      <c r="C70" s="31"/>
      <c r="D70" s="31"/>
      <c r="E70" s="46"/>
      <c r="F70" s="46"/>
      <c r="G70" s="46"/>
      <c r="H70" s="46"/>
      <c r="I70" s="46"/>
      <c r="K70" s="729">
        <f>SUM(K65:K69)</f>
        <v>0</v>
      </c>
      <c r="L70" s="42"/>
      <c r="U70" s="329"/>
      <c r="V70" s="326" t="s">
        <v>65</v>
      </c>
      <c r="W70" s="794">
        <f>SUM(W71:W77)</f>
        <v>1832083.65</v>
      </c>
    </row>
    <row r="71" spans="1:33" x14ac:dyDescent="0.2">
      <c r="K71" s="129">
        <v>1</v>
      </c>
      <c r="L71" s="42"/>
      <c r="M71" s="47"/>
      <c r="O71" s="47"/>
      <c r="Q71" s="47"/>
      <c r="U71" s="330">
        <v>53206030000000</v>
      </c>
      <c r="V71" s="327" t="s">
        <v>102</v>
      </c>
      <c r="W71" s="793">
        <v>649067.65</v>
      </c>
    </row>
    <row r="72" spans="1:33" ht="15.75" customHeight="1" x14ac:dyDescent="0.2">
      <c r="H72" s="324"/>
      <c r="U72" s="330">
        <v>53206040000000</v>
      </c>
      <c r="V72" s="327" t="s">
        <v>103</v>
      </c>
      <c r="W72" s="793">
        <v>0</v>
      </c>
    </row>
    <row r="73" spans="1:33" x14ac:dyDescent="0.2">
      <c r="U73" s="330">
        <v>53206060000000</v>
      </c>
      <c r="V73" s="327" t="s">
        <v>104</v>
      </c>
      <c r="W73" s="793">
        <v>537799</v>
      </c>
    </row>
    <row r="74" spans="1:33" x14ac:dyDescent="0.2">
      <c r="U74" s="330">
        <v>53206070000000</v>
      </c>
      <c r="V74" s="327" t="s">
        <v>105</v>
      </c>
      <c r="W74" s="793">
        <v>645217</v>
      </c>
    </row>
    <row r="75" spans="1:33" x14ac:dyDescent="0.2">
      <c r="U75" s="330">
        <v>53206990000000</v>
      </c>
      <c r="V75" s="327" t="s">
        <v>106</v>
      </c>
      <c r="W75" s="793">
        <v>0</v>
      </c>
    </row>
    <row r="76" spans="1:33" x14ac:dyDescent="0.2">
      <c r="U76" s="330">
        <v>53208030000000</v>
      </c>
      <c r="V76" s="327" t="s">
        <v>107</v>
      </c>
      <c r="W76" s="793">
        <v>0</v>
      </c>
    </row>
    <row r="77" spans="1:33" x14ac:dyDescent="0.2">
      <c r="U77" s="330">
        <v>53212060000000</v>
      </c>
      <c r="V77" s="327" t="s">
        <v>100</v>
      </c>
      <c r="W77" s="793">
        <v>0</v>
      </c>
    </row>
    <row r="78" spans="1:33" x14ac:dyDescent="0.2">
      <c r="U78" s="329"/>
      <c r="V78" s="326" t="s">
        <v>66</v>
      </c>
      <c r="W78" s="794">
        <f>SUM(W79:W79)</f>
        <v>1898753</v>
      </c>
    </row>
    <row r="79" spans="1:33" x14ac:dyDescent="0.2">
      <c r="U79" s="330">
        <v>53204999000000</v>
      </c>
      <c r="V79" s="327" t="s">
        <v>99</v>
      </c>
      <c r="W79" s="793">
        <v>1898753</v>
      </c>
    </row>
    <row r="80" spans="1:33" ht="15.75" customHeight="1" x14ac:dyDescent="0.2">
      <c r="U80" s="331"/>
      <c r="V80" s="332" t="s">
        <v>168</v>
      </c>
      <c r="W80" s="818">
        <f>+W40+W15</f>
        <v>136091927.57999998</v>
      </c>
    </row>
    <row r="94" spans="11:12" x14ac:dyDescent="0.2">
      <c r="L94" s="334"/>
    </row>
    <row r="96" spans="11:12" x14ac:dyDescent="0.2">
      <c r="K96" s="508"/>
    </row>
    <row r="98" spans="11:11" x14ac:dyDescent="0.2">
      <c r="K98" s="335"/>
    </row>
  </sheetData>
  <mergeCells count="43"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AN15:AO15"/>
    <mergeCell ref="AP14:AQ14"/>
    <mergeCell ref="AP15:AQ15"/>
    <mergeCell ref="AR14:AS14"/>
    <mergeCell ref="AR15:AS15"/>
  </mergeCells>
  <conditionalFormatting sqref="S15:S61">
    <cfRule type="cellIs" dxfId="2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K22"/>
  <sheetViews>
    <sheetView showGridLines="0" zoomScale="90" zoomScaleNormal="90" workbookViewId="0">
      <selection activeCell="H11" sqref="H11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6" customWidth="1"/>
    <col min="4" max="4" width="14.140625" style="26" bestFit="1" customWidth="1"/>
    <col min="5" max="17" width="14.140625" style="26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58" t="s">
        <v>243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58" t="s">
        <v>235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6"/>
      <c r="C4" s="293"/>
      <c r="F4" s="293" t="s">
        <v>0</v>
      </c>
      <c r="G4" s="1129" t="str">
        <f>+'B) Reajuste Tarifas y Ocupación'!F5</f>
        <v>(DEPTO./DELEG.)</v>
      </c>
      <c r="H4" s="1130"/>
      <c r="I4" s="293"/>
      <c r="J4" s="293"/>
      <c r="K4" s="293"/>
      <c r="L4" s="293"/>
      <c r="M4" s="293"/>
      <c r="N4" s="293"/>
      <c r="O4" s="293"/>
      <c r="P4" s="293"/>
      <c r="Q4" s="293"/>
      <c r="IA4" s="4"/>
      <c r="IB4" s="4"/>
      <c r="IC4" s="4"/>
      <c r="ID4" s="4"/>
      <c r="IE4" s="4"/>
      <c r="IF4" s="4"/>
    </row>
    <row r="5" spans="1:245" s="6" customFormat="1" x14ac:dyDescent="0.2">
      <c r="B5" s="26"/>
      <c r="C5" s="293"/>
      <c r="F5" s="293"/>
      <c r="G5" s="296"/>
      <c r="H5" s="296"/>
      <c r="I5" s="293"/>
      <c r="J5" s="293"/>
      <c r="K5" s="293"/>
      <c r="L5" s="293"/>
      <c r="M5" s="293"/>
      <c r="N5" s="293"/>
      <c r="O5" s="293"/>
      <c r="P5" s="293"/>
      <c r="Q5" s="293"/>
      <c r="IA5" s="4"/>
      <c r="IB5" s="4"/>
      <c r="IC5" s="4"/>
      <c r="ID5" s="4"/>
      <c r="IE5" s="4"/>
      <c r="IF5" s="4"/>
    </row>
    <row r="6" spans="1:245" s="6" customFormat="1" ht="15.75" x14ac:dyDescent="0.2">
      <c r="A6" s="1136" t="s">
        <v>186</v>
      </c>
      <c r="B6" s="1136"/>
      <c r="C6" s="1136"/>
      <c r="D6" s="1136"/>
      <c r="E6" s="295"/>
      <c r="F6" s="293"/>
      <c r="G6" s="296"/>
      <c r="H6" s="296"/>
      <c r="I6" s="293"/>
      <c r="J6" s="293"/>
      <c r="K6" s="293"/>
      <c r="L6" s="293"/>
      <c r="M6" s="293"/>
      <c r="N6" s="293"/>
      <c r="O6" s="293"/>
      <c r="P6" s="293"/>
      <c r="Q6" s="293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1123" t="s">
        <v>117</v>
      </c>
      <c r="B8" s="1125" t="s">
        <v>5</v>
      </c>
      <c r="C8" s="1134" t="s">
        <v>145</v>
      </c>
      <c r="D8" s="982"/>
      <c r="E8" s="982"/>
      <c r="F8" s="982"/>
      <c r="G8" s="1135"/>
      <c r="H8" s="1131" t="s">
        <v>88</v>
      </c>
      <c r="I8" s="1132"/>
      <c r="J8" s="1132"/>
      <c r="K8" s="1132"/>
      <c r="L8" s="1133"/>
      <c r="M8" s="1127" t="s">
        <v>129</v>
      </c>
      <c r="N8" s="1127"/>
      <c r="O8" s="1127"/>
      <c r="P8" s="1127"/>
      <c r="Q8" s="1128"/>
      <c r="R8" s="1127" t="s">
        <v>130</v>
      </c>
      <c r="S8" s="1127"/>
      <c r="T8" s="1127"/>
      <c r="U8" s="1127"/>
      <c r="V8" s="1128"/>
    </row>
    <row r="9" spans="1:245" ht="64.5" thickBot="1" x14ac:dyDescent="0.25">
      <c r="A9" s="1124" t="e">
        <f>NA()</f>
        <v>#N/A</v>
      </c>
      <c r="B9" s="1126" t="e">
        <f>NA()</f>
        <v>#N/A</v>
      </c>
      <c r="C9" s="169" t="s">
        <v>89</v>
      </c>
      <c r="D9" s="161" t="s">
        <v>143</v>
      </c>
      <c r="E9" s="161" t="s">
        <v>144</v>
      </c>
      <c r="F9" s="161" t="s">
        <v>90</v>
      </c>
      <c r="G9" s="102" t="s">
        <v>91</v>
      </c>
      <c r="H9" s="170" t="s">
        <v>89</v>
      </c>
      <c r="I9" s="160" t="s">
        <v>143</v>
      </c>
      <c r="J9" s="160" t="s">
        <v>144</v>
      </c>
      <c r="K9" s="160" t="s">
        <v>90</v>
      </c>
      <c r="L9" s="103" t="s">
        <v>91</v>
      </c>
      <c r="M9" s="159" t="s">
        <v>89</v>
      </c>
      <c r="N9" s="160" t="s">
        <v>143</v>
      </c>
      <c r="O9" s="160" t="s">
        <v>144</v>
      </c>
      <c r="P9" s="160" t="s">
        <v>90</v>
      </c>
      <c r="Q9" s="126" t="s">
        <v>91</v>
      </c>
      <c r="R9" s="171" t="s">
        <v>89</v>
      </c>
      <c r="S9" s="160" t="s">
        <v>143</v>
      </c>
      <c r="T9" s="160" t="s">
        <v>144</v>
      </c>
      <c r="U9" s="160" t="s">
        <v>90</v>
      </c>
      <c r="V9" s="126" t="s">
        <v>91</v>
      </c>
    </row>
    <row r="10" spans="1:245" s="10" customFormat="1" x14ac:dyDescent="0.2">
      <c r="A10" s="1120" t="str">
        <f>+'B) Reajuste Tarifas y Ocupación'!A12</f>
        <v>Jardín Infantil Lobito Marino</v>
      </c>
      <c r="B10" s="374" t="str">
        <f>+'B) Reajuste Tarifas y Ocupación'!B12</f>
        <v>Media jornada</v>
      </c>
      <c r="C10" s="336">
        <f>+'B) Reajuste Tarifas y Ocupación'!M12</f>
        <v>79200</v>
      </c>
      <c r="D10" s="337">
        <f>+'B) Reajuste Tarifas y Ocupación'!N12</f>
        <v>95100</v>
      </c>
      <c r="E10" s="337">
        <f>+'B) Reajuste Tarifas y Ocupación'!O12</f>
        <v>95100</v>
      </c>
      <c r="F10" s="337">
        <f>+'B) Reajuste Tarifas y Ocupación'!P12</f>
        <v>106200</v>
      </c>
      <c r="G10" s="338">
        <f>+'B) Reajuste Tarifas y Ocupación'!Q12</f>
        <v>156200</v>
      </c>
      <c r="H10" s="378">
        <f>+'B) Reajuste Tarifas y Ocupación'!C12</f>
        <v>74000</v>
      </c>
      <c r="I10" s="339">
        <f>+'B) Reajuste Tarifas y Ocupación'!D12</f>
        <v>88800</v>
      </c>
      <c r="J10" s="339">
        <f>+'B) Reajuste Tarifas y Ocupación'!E12</f>
        <v>88800</v>
      </c>
      <c r="K10" s="339">
        <f>+'B) Reajuste Tarifas y Ocupación'!F12</f>
        <v>99200</v>
      </c>
      <c r="L10" s="354">
        <f>+'B) Reajuste Tarifas y Ocupación'!G12</f>
        <v>145900</v>
      </c>
      <c r="M10" s="361">
        <f>C10-H10</f>
        <v>5200</v>
      </c>
      <c r="N10" s="362">
        <f>D10-I10</f>
        <v>6300</v>
      </c>
      <c r="O10" s="362">
        <f>E10-J10</f>
        <v>6300</v>
      </c>
      <c r="P10" s="362">
        <f>F10-K10</f>
        <v>7000</v>
      </c>
      <c r="Q10" s="371">
        <f>G10-L10</f>
        <v>10300</v>
      </c>
      <c r="R10" s="393">
        <f>+'B) Reajuste Tarifas y Ocupación'!H12</f>
        <v>7.0000000000000007E-2</v>
      </c>
      <c r="S10" s="394">
        <f>+'B) Reajuste Tarifas y Ocupación'!I12</f>
        <v>7.0000000000000007E-2</v>
      </c>
      <c r="T10" s="394">
        <f>+'B) Reajuste Tarifas y Ocupación'!J12</f>
        <v>7.0000000000000007E-2</v>
      </c>
      <c r="U10" s="394">
        <f>+'B) Reajuste Tarifas y Ocupación'!K12</f>
        <v>7.0000000000000007E-2</v>
      </c>
      <c r="V10" s="395">
        <f>+'B) Reajuste Tarifas y Ocupación'!L12</f>
        <v>7.0000000000000007E-2</v>
      </c>
    </row>
    <row r="11" spans="1:245" s="10" customFormat="1" ht="13.5" thickBot="1" x14ac:dyDescent="0.25">
      <c r="A11" s="1121"/>
      <c r="B11" s="375" t="str">
        <f>+'B) Reajuste Tarifas y Ocupación'!B13</f>
        <v>Jornada completa</v>
      </c>
      <c r="C11" s="383">
        <f>+'B) Reajuste Tarifas y Ocupación'!M13</f>
        <v>129400</v>
      </c>
      <c r="D11" s="384">
        <f>+'B) Reajuste Tarifas y Ocupación'!N13</f>
        <v>155300</v>
      </c>
      <c r="E11" s="384">
        <f>+'B) Reajuste Tarifas y Ocupación'!O13</f>
        <v>155300</v>
      </c>
      <c r="F11" s="384">
        <f>+'B) Reajuste Tarifas y Ocupación'!P13</f>
        <v>218400</v>
      </c>
      <c r="G11" s="385">
        <f>+'B) Reajuste Tarifas y Ocupación'!Q13</f>
        <v>325800</v>
      </c>
      <c r="H11" s="379">
        <f>+'B) Reajuste Tarifas y Ocupación'!C13</f>
        <v>120900</v>
      </c>
      <c r="I11" s="340">
        <f>+'B) Reajuste Tarifas y Ocupación'!D13</f>
        <v>145100</v>
      </c>
      <c r="J11" s="340">
        <f>+'B) Reajuste Tarifas y Ocupación'!E13</f>
        <v>145100</v>
      </c>
      <c r="K11" s="340">
        <f>+'B) Reajuste Tarifas y Ocupación'!F13</f>
        <v>204100</v>
      </c>
      <c r="L11" s="355">
        <f>+'B) Reajuste Tarifas y Ocupación'!G13</f>
        <v>304400</v>
      </c>
      <c r="M11" s="364">
        <f t="shared" ref="M11:M22" si="0">C11-H11</f>
        <v>8500</v>
      </c>
      <c r="N11" s="365">
        <f t="shared" ref="N11:N22" si="1">D11-I11</f>
        <v>10200</v>
      </c>
      <c r="O11" s="365">
        <f t="shared" ref="O11:O22" si="2">E11-J11</f>
        <v>10200</v>
      </c>
      <c r="P11" s="365">
        <f t="shared" ref="P11:P22" si="3">F11-K11</f>
        <v>14300</v>
      </c>
      <c r="Q11" s="372">
        <f t="shared" ref="Q11:Q22" si="4">G11-L11</f>
        <v>21400</v>
      </c>
      <c r="R11" s="396">
        <f>+'B) Reajuste Tarifas y Ocupación'!H13</f>
        <v>7.0000000000000007E-2</v>
      </c>
      <c r="S11" s="397">
        <f>+'B) Reajuste Tarifas y Ocupación'!I13</f>
        <v>7.0000000000000007E-2</v>
      </c>
      <c r="T11" s="397">
        <f>+'B) Reajuste Tarifas y Ocupación'!J13</f>
        <v>7.0000000000000007E-2</v>
      </c>
      <c r="U11" s="397">
        <f>+'B) Reajuste Tarifas y Ocupación'!K13</f>
        <v>7.0000000000000007E-2</v>
      </c>
      <c r="V11" s="398">
        <f>+'B) Reajuste Tarifas y Ocupación'!L13</f>
        <v>7.0000000000000007E-2</v>
      </c>
    </row>
    <row r="12" spans="1:245" s="10" customFormat="1" x14ac:dyDescent="0.2">
      <c r="A12" s="1120" t="str">
        <f>+'B) Reajuste Tarifas y Ocupación'!A14</f>
        <v>Jardín Infantil Los Delfines</v>
      </c>
      <c r="B12" s="374" t="str">
        <f>+'B) Reajuste Tarifas y Ocupación'!B14</f>
        <v>Media jornada</v>
      </c>
      <c r="C12" s="336">
        <f>+'B) Reajuste Tarifas y Ocupación'!M14</f>
        <v>79200</v>
      </c>
      <c r="D12" s="337">
        <f>+'B) Reajuste Tarifas y Ocupación'!N14</f>
        <v>95100</v>
      </c>
      <c r="E12" s="337">
        <f>+'B) Reajuste Tarifas y Ocupación'!O14</f>
        <v>95100</v>
      </c>
      <c r="F12" s="337">
        <f>+'B) Reajuste Tarifas y Ocupación'!P14</f>
        <v>106200</v>
      </c>
      <c r="G12" s="338">
        <f>+'B) Reajuste Tarifas y Ocupación'!Q14</f>
        <v>156200</v>
      </c>
      <c r="H12" s="378">
        <f>+'B) Reajuste Tarifas y Ocupación'!C14</f>
        <v>74000</v>
      </c>
      <c r="I12" s="339">
        <f>+'B) Reajuste Tarifas y Ocupación'!D14</f>
        <v>88800</v>
      </c>
      <c r="J12" s="339">
        <f>+'B) Reajuste Tarifas y Ocupación'!E14</f>
        <v>88800</v>
      </c>
      <c r="K12" s="339">
        <f>+'B) Reajuste Tarifas y Ocupación'!F14</f>
        <v>99200</v>
      </c>
      <c r="L12" s="354">
        <f>+'B) Reajuste Tarifas y Ocupación'!G14</f>
        <v>145900</v>
      </c>
      <c r="M12" s="361">
        <f t="shared" si="0"/>
        <v>5200</v>
      </c>
      <c r="N12" s="362">
        <f>D12-I12</f>
        <v>6300</v>
      </c>
      <c r="O12" s="362">
        <f t="shared" si="2"/>
        <v>6300</v>
      </c>
      <c r="P12" s="362">
        <f t="shared" si="3"/>
        <v>7000</v>
      </c>
      <c r="Q12" s="371">
        <f t="shared" si="4"/>
        <v>10300</v>
      </c>
      <c r="R12" s="393">
        <f>+'B) Reajuste Tarifas y Ocupación'!H14</f>
        <v>7.0000000000000007E-2</v>
      </c>
      <c r="S12" s="394">
        <f>+'B) Reajuste Tarifas y Ocupación'!I14</f>
        <v>7.0000000000000007E-2</v>
      </c>
      <c r="T12" s="394">
        <f>+'B) Reajuste Tarifas y Ocupación'!J14</f>
        <v>7.0000000000000007E-2</v>
      </c>
      <c r="U12" s="394">
        <f>+'B) Reajuste Tarifas y Ocupación'!K14</f>
        <v>7.0000000000000007E-2</v>
      </c>
      <c r="V12" s="395">
        <f>+'B) Reajuste Tarifas y Ocupación'!L14</f>
        <v>7.0000000000000007E-2</v>
      </c>
    </row>
    <row r="13" spans="1:245" s="10" customFormat="1" ht="13.5" thickBot="1" x14ac:dyDescent="0.25">
      <c r="A13" s="1121"/>
      <c r="B13" s="376" t="str">
        <f>+'B) Reajuste Tarifas y Ocupación'!B15</f>
        <v>Jornada completa</v>
      </c>
      <c r="C13" s="383">
        <f>+'B) Reajuste Tarifas y Ocupación'!M15</f>
        <v>129400</v>
      </c>
      <c r="D13" s="384">
        <f>+'B) Reajuste Tarifas y Ocupación'!N15</f>
        <v>155300</v>
      </c>
      <c r="E13" s="384">
        <f>+'B) Reajuste Tarifas y Ocupación'!O15</f>
        <v>155300</v>
      </c>
      <c r="F13" s="384">
        <f>+'B) Reajuste Tarifas y Ocupación'!P15</f>
        <v>218400</v>
      </c>
      <c r="G13" s="385">
        <f>+'B) Reajuste Tarifas y Ocupación'!Q15</f>
        <v>325800</v>
      </c>
      <c r="H13" s="380">
        <f>+'B) Reajuste Tarifas y Ocupación'!C15</f>
        <v>120900</v>
      </c>
      <c r="I13" s="347">
        <f>+'B) Reajuste Tarifas y Ocupación'!D15</f>
        <v>145100</v>
      </c>
      <c r="J13" s="347">
        <f>+'B) Reajuste Tarifas y Ocupación'!E15</f>
        <v>145100</v>
      </c>
      <c r="K13" s="347">
        <f>+'B) Reajuste Tarifas y Ocupación'!F15</f>
        <v>204100</v>
      </c>
      <c r="L13" s="356">
        <f>+'B) Reajuste Tarifas y Ocupación'!G15</f>
        <v>304400</v>
      </c>
      <c r="M13" s="364">
        <f t="shared" si="0"/>
        <v>8500</v>
      </c>
      <c r="N13" s="365">
        <f t="shared" si="1"/>
        <v>10200</v>
      </c>
      <c r="O13" s="365">
        <f t="shared" si="2"/>
        <v>10200</v>
      </c>
      <c r="P13" s="365">
        <f t="shared" si="3"/>
        <v>14300</v>
      </c>
      <c r="Q13" s="372">
        <f t="shared" si="4"/>
        <v>21400</v>
      </c>
      <c r="R13" s="396">
        <f>+'B) Reajuste Tarifas y Ocupación'!H15</f>
        <v>7.0000000000000007E-2</v>
      </c>
      <c r="S13" s="397">
        <f>+'B) Reajuste Tarifas y Ocupación'!I15</f>
        <v>7.0000000000000007E-2</v>
      </c>
      <c r="T13" s="397">
        <f>+'B) Reajuste Tarifas y Ocupación'!J15</f>
        <v>7.0000000000000007E-2</v>
      </c>
      <c r="U13" s="397">
        <f>+'B) Reajuste Tarifas y Ocupación'!K15</f>
        <v>7.0000000000000007E-2</v>
      </c>
      <c r="V13" s="398">
        <f>+'B) Reajuste Tarifas y Ocupación'!L15</f>
        <v>7.0000000000000007E-2</v>
      </c>
    </row>
    <row r="14" spans="1:245" s="10" customFormat="1" ht="23.25" customHeight="1" thickBot="1" x14ac:dyDescent="0.25">
      <c r="A14" s="341" t="str">
        <f>+'B) Reajuste Tarifas y Ocupación'!A16</f>
        <v>Jardín Infantil Pecesitos de Colores</v>
      </c>
      <c r="B14" s="377" t="str">
        <f>+'B) Reajuste Tarifas y Ocupación'!B16</f>
        <v>Media jornada</v>
      </c>
      <c r="C14" s="348">
        <f>+'B) Reajuste Tarifas y Ocupación'!M16</f>
        <v>31800</v>
      </c>
      <c r="D14" s="349">
        <f>+'B) Reajuste Tarifas y Ocupación'!N16</f>
        <v>38200</v>
      </c>
      <c r="E14" s="349">
        <f>+'B) Reajuste Tarifas y Ocupación'!O16</f>
        <v>38200</v>
      </c>
      <c r="F14" s="349">
        <f>+'B) Reajuste Tarifas y Ocupación'!P16</f>
        <v>40000</v>
      </c>
      <c r="G14" s="386">
        <f>+'B) Reajuste Tarifas y Ocupación'!Q16</f>
        <v>47800</v>
      </c>
      <c r="H14" s="381">
        <f>+'B) Reajuste Tarifas y Ocupación'!C16</f>
        <v>29700</v>
      </c>
      <c r="I14" s="351">
        <f>+'B) Reajuste Tarifas y Ocupación'!D16</f>
        <v>35700</v>
      </c>
      <c r="J14" s="351">
        <f>+'B) Reajuste Tarifas y Ocupación'!E16</f>
        <v>35700</v>
      </c>
      <c r="K14" s="351">
        <f>+'B) Reajuste Tarifas y Ocupación'!F16</f>
        <v>37300</v>
      </c>
      <c r="L14" s="357">
        <f>+'B) Reajuste Tarifas y Ocupación'!G16</f>
        <v>44600</v>
      </c>
      <c r="M14" s="367">
        <f t="shared" si="0"/>
        <v>2100</v>
      </c>
      <c r="N14" s="368">
        <f t="shared" si="1"/>
        <v>2500</v>
      </c>
      <c r="O14" s="368">
        <f t="shared" si="2"/>
        <v>2500</v>
      </c>
      <c r="P14" s="368">
        <f t="shared" si="3"/>
        <v>2700</v>
      </c>
      <c r="Q14" s="373">
        <f t="shared" si="4"/>
        <v>3200</v>
      </c>
      <c r="R14" s="399">
        <f>+'B) Reajuste Tarifas y Ocupación'!H16</f>
        <v>7.0000000000000007E-2</v>
      </c>
      <c r="S14" s="400">
        <f>+'B) Reajuste Tarifas y Ocupación'!I16</f>
        <v>7.0000000000000007E-2</v>
      </c>
      <c r="T14" s="400">
        <f>+'B) Reajuste Tarifas y Ocupación'!J16</f>
        <v>7.0000000000000007E-2</v>
      </c>
      <c r="U14" s="400">
        <f>+'B) Reajuste Tarifas y Ocupación'!K16</f>
        <v>7.0000000000000007E-2</v>
      </c>
      <c r="V14" s="401">
        <f>+'B) Reajuste Tarifas y Ocupación'!L16</f>
        <v>7.0000000000000007E-2</v>
      </c>
    </row>
    <row r="15" spans="1:245" s="10" customFormat="1" x14ac:dyDescent="0.2">
      <c r="A15" s="1120" t="str">
        <f>+'B) Reajuste Tarifas y Ocupación'!A17</f>
        <v>Jardín Infantil Caracolito de Mar</v>
      </c>
      <c r="B15" s="374" t="str">
        <f>+'B) Reajuste Tarifas y Ocupación'!B17</f>
        <v>Media jornada</v>
      </c>
      <c r="C15" s="336">
        <f>+'B) Reajuste Tarifas y Ocupación'!M17</f>
        <v>79200</v>
      </c>
      <c r="D15" s="337">
        <f>+'B) Reajuste Tarifas y Ocupación'!N17</f>
        <v>95100</v>
      </c>
      <c r="E15" s="337">
        <f>+'B) Reajuste Tarifas y Ocupación'!O17</f>
        <v>95100</v>
      </c>
      <c r="F15" s="337">
        <f>+'B) Reajuste Tarifas y Ocupación'!P17</f>
        <v>106200</v>
      </c>
      <c r="G15" s="338">
        <f>+'B) Reajuste Tarifas y Ocupación'!Q17</f>
        <v>156200</v>
      </c>
      <c r="H15" s="378">
        <f>+'B) Reajuste Tarifas y Ocupación'!C17</f>
        <v>74000</v>
      </c>
      <c r="I15" s="339">
        <f>+'B) Reajuste Tarifas y Ocupación'!D17</f>
        <v>88800</v>
      </c>
      <c r="J15" s="339">
        <f>+'B) Reajuste Tarifas y Ocupación'!E17</f>
        <v>88800</v>
      </c>
      <c r="K15" s="339">
        <f>+'B) Reajuste Tarifas y Ocupación'!F17</f>
        <v>99200</v>
      </c>
      <c r="L15" s="354">
        <f>+'B) Reajuste Tarifas y Ocupación'!G17</f>
        <v>145900</v>
      </c>
      <c r="M15" s="361">
        <f t="shared" si="0"/>
        <v>5200</v>
      </c>
      <c r="N15" s="362">
        <f t="shared" si="1"/>
        <v>6300</v>
      </c>
      <c r="O15" s="362">
        <f t="shared" si="2"/>
        <v>6300</v>
      </c>
      <c r="P15" s="362">
        <f t="shared" si="3"/>
        <v>7000</v>
      </c>
      <c r="Q15" s="371">
        <f t="shared" si="4"/>
        <v>10300</v>
      </c>
      <c r="R15" s="393">
        <f>+'B) Reajuste Tarifas y Ocupación'!H17</f>
        <v>7.0000000000000007E-2</v>
      </c>
      <c r="S15" s="394">
        <f>+'B) Reajuste Tarifas y Ocupación'!I17</f>
        <v>7.0000000000000007E-2</v>
      </c>
      <c r="T15" s="394">
        <f>+'B) Reajuste Tarifas y Ocupación'!J17</f>
        <v>7.0000000000000007E-2</v>
      </c>
      <c r="U15" s="394">
        <f>+'B) Reajuste Tarifas y Ocupación'!K17</f>
        <v>7.0000000000000007E-2</v>
      </c>
      <c r="V15" s="395">
        <f>+'B) Reajuste Tarifas y Ocupación'!L17</f>
        <v>7.0000000000000007E-2</v>
      </c>
    </row>
    <row r="16" spans="1:245" s="10" customFormat="1" ht="13.5" thickBot="1" x14ac:dyDescent="0.25">
      <c r="A16" s="1121"/>
      <c r="B16" s="375" t="str">
        <f>+'B) Reajuste Tarifas y Ocupación'!B18</f>
        <v>Jornada completa</v>
      </c>
      <c r="C16" s="345">
        <f>+'B) Reajuste Tarifas y Ocupación'!M18</f>
        <v>129400</v>
      </c>
      <c r="D16" s="346">
        <f>+'B) Reajuste Tarifas y Ocupación'!N18</f>
        <v>155300</v>
      </c>
      <c r="E16" s="346">
        <f>+'B) Reajuste Tarifas y Ocupación'!O18</f>
        <v>155300</v>
      </c>
      <c r="F16" s="346">
        <f>+'B) Reajuste Tarifas y Ocupación'!P18</f>
        <v>218400</v>
      </c>
      <c r="G16" s="390">
        <f>+'B) Reajuste Tarifas y Ocupación'!Q18</f>
        <v>325800</v>
      </c>
      <c r="H16" s="379">
        <f>+'B) Reajuste Tarifas y Ocupación'!C18</f>
        <v>120900</v>
      </c>
      <c r="I16" s="344">
        <f>+'B) Reajuste Tarifas y Ocupación'!D18</f>
        <v>145100</v>
      </c>
      <c r="J16" s="344">
        <f>+'B) Reajuste Tarifas y Ocupación'!E18</f>
        <v>145100</v>
      </c>
      <c r="K16" s="344">
        <f>+'B) Reajuste Tarifas y Ocupación'!F18</f>
        <v>204100</v>
      </c>
      <c r="L16" s="355">
        <f>+'B) Reajuste Tarifas y Ocupación'!G18</f>
        <v>304400</v>
      </c>
      <c r="M16" s="364">
        <f t="shared" si="0"/>
        <v>8500</v>
      </c>
      <c r="N16" s="365">
        <f t="shared" si="1"/>
        <v>10200</v>
      </c>
      <c r="O16" s="365">
        <f t="shared" si="2"/>
        <v>10200</v>
      </c>
      <c r="P16" s="365">
        <f t="shared" si="3"/>
        <v>14300</v>
      </c>
      <c r="Q16" s="372">
        <f t="shared" si="4"/>
        <v>21400</v>
      </c>
      <c r="R16" s="396">
        <f>+'B) Reajuste Tarifas y Ocupación'!H18</f>
        <v>7.0000000000000007E-2</v>
      </c>
      <c r="S16" s="397">
        <f>+'B) Reajuste Tarifas y Ocupación'!I18</f>
        <v>7.0000000000000007E-2</v>
      </c>
      <c r="T16" s="397">
        <f>+'B) Reajuste Tarifas y Ocupación'!J18</f>
        <v>7.0000000000000007E-2</v>
      </c>
      <c r="U16" s="397">
        <f>+'B) Reajuste Tarifas y Ocupación'!K18</f>
        <v>7.0000000000000007E-2</v>
      </c>
      <c r="V16" s="398">
        <f>+'B) Reajuste Tarifas y Ocupación'!L18</f>
        <v>7.0000000000000007E-2</v>
      </c>
    </row>
    <row r="17" spans="1:22" s="10" customFormat="1" x14ac:dyDescent="0.2">
      <c r="A17" s="1120" t="str">
        <f>+'B) Reajuste Tarifas y Ocupación'!A22</f>
        <v>Sala Cuna Caracolito de Mar</v>
      </c>
      <c r="B17" s="374" t="str">
        <f>+'B) Reajuste Tarifas y Ocupación'!B22</f>
        <v>Diurna</v>
      </c>
      <c r="C17" s="336">
        <f>+'B) Reajuste Tarifas y Ocupación'!M22</f>
        <v>323800</v>
      </c>
      <c r="D17" s="337">
        <f>+'B) Reajuste Tarifas y Ocupación'!N22</f>
        <v>388500</v>
      </c>
      <c r="E17" s="337">
        <f>+'B) Reajuste Tarifas y Ocupación'!O22</f>
        <v>388500</v>
      </c>
      <c r="F17" s="337">
        <f>+'B) Reajuste Tarifas y Ocupación'!P22</f>
        <v>381600</v>
      </c>
      <c r="G17" s="338">
        <f>+'B) Reajuste Tarifas y Ocupación'!Q22</f>
        <v>445200</v>
      </c>
      <c r="H17" s="378">
        <f>+'B) Reajuste Tarifas y Ocupación'!C22</f>
        <v>308300</v>
      </c>
      <c r="I17" s="339">
        <f>+'B) Reajuste Tarifas y Ocupación'!D22</f>
        <v>370000</v>
      </c>
      <c r="J17" s="339">
        <f>+'B) Reajuste Tarifas y Ocupación'!E22</f>
        <v>370000</v>
      </c>
      <c r="K17" s="339">
        <f>+'B) Reajuste Tarifas y Ocupación'!F22</f>
        <v>363400</v>
      </c>
      <c r="L17" s="354">
        <f>+'B) Reajuste Tarifas y Ocupación'!G22</f>
        <v>424000</v>
      </c>
      <c r="M17" s="361">
        <f t="shared" si="0"/>
        <v>15500</v>
      </c>
      <c r="N17" s="362">
        <f t="shared" si="1"/>
        <v>18500</v>
      </c>
      <c r="O17" s="362">
        <f t="shared" si="2"/>
        <v>18500</v>
      </c>
      <c r="P17" s="362">
        <f t="shared" si="3"/>
        <v>18200</v>
      </c>
      <c r="Q17" s="363">
        <f t="shared" si="4"/>
        <v>21200</v>
      </c>
      <c r="R17" s="393">
        <f>+'B) Reajuste Tarifas y Ocupación'!H22</f>
        <v>0.05</v>
      </c>
      <c r="S17" s="402">
        <f>+'B) Reajuste Tarifas y Ocupación'!I22</f>
        <v>0.05</v>
      </c>
      <c r="T17" s="402">
        <f>+'B) Reajuste Tarifas y Ocupación'!J22</f>
        <v>0.05</v>
      </c>
      <c r="U17" s="402">
        <f>+'B) Reajuste Tarifas y Ocupación'!K22</f>
        <v>0.05</v>
      </c>
      <c r="V17" s="403">
        <f>+'B) Reajuste Tarifas y Ocupación'!L22</f>
        <v>0.05</v>
      </c>
    </row>
    <row r="18" spans="1:22" s="10" customFormat="1" x14ac:dyDescent="0.2">
      <c r="A18" s="1121"/>
      <c r="B18" s="375" t="str">
        <f>+'B) Reajuste Tarifas y Ocupación'!B23</f>
        <v>Nocturna</v>
      </c>
      <c r="C18" s="391">
        <f>+'B) Reajuste Tarifas y Ocupación'!M23</f>
        <v>263900</v>
      </c>
      <c r="D18" s="382">
        <f>+'B) Reajuste Tarifas y Ocupación'!N23</f>
        <v>0</v>
      </c>
      <c r="E18" s="382">
        <f>+'B) Reajuste Tarifas y Ocupación'!O23</f>
        <v>0</v>
      </c>
      <c r="F18" s="382">
        <f>+'B) Reajuste Tarifas y Ocupación'!P23</f>
        <v>0</v>
      </c>
      <c r="G18" s="392">
        <f>+'B) Reajuste Tarifas y Ocupación'!Q23</f>
        <v>0</v>
      </c>
      <c r="H18" s="388">
        <f>+'B) Reajuste Tarifas y Ocupación'!C23</f>
        <v>251300</v>
      </c>
      <c r="I18" s="343">
        <f>+'B) Reajuste Tarifas y Ocupación'!D23</f>
        <v>0</v>
      </c>
      <c r="J18" s="343">
        <f>+'B) Reajuste Tarifas y Ocupación'!E23</f>
        <v>0</v>
      </c>
      <c r="K18" s="343">
        <f>+'B) Reajuste Tarifas y Ocupación'!F23</f>
        <v>0</v>
      </c>
      <c r="L18" s="358">
        <f>+'B) Reajuste Tarifas y Ocupación'!G23</f>
        <v>0</v>
      </c>
      <c r="M18" s="369">
        <f t="shared" si="0"/>
        <v>12600</v>
      </c>
      <c r="N18" s="360">
        <f t="shared" si="1"/>
        <v>0</v>
      </c>
      <c r="O18" s="360">
        <f t="shared" si="2"/>
        <v>0</v>
      </c>
      <c r="P18" s="360">
        <f t="shared" si="3"/>
        <v>0</v>
      </c>
      <c r="Q18" s="370">
        <f t="shared" si="4"/>
        <v>0</v>
      </c>
      <c r="R18" s="404">
        <f>+'B) Reajuste Tarifas y Ocupación'!H23</f>
        <v>0.05</v>
      </c>
      <c r="S18" s="405">
        <f>+'B) Reajuste Tarifas y Ocupación'!I23</f>
        <v>0.05</v>
      </c>
      <c r="T18" s="405">
        <f>+'B) Reajuste Tarifas y Ocupación'!J23</f>
        <v>0.05</v>
      </c>
      <c r="U18" s="405">
        <f>+'B) Reajuste Tarifas y Ocupación'!K23</f>
        <v>0.05</v>
      </c>
      <c r="V18" s="406">
        <f>+'B) Reajuste Tarifas y Ocupación'!L23</f>
        <v>0.05</v>
      </c>
    </row>
    <row r="19" spans="1:22" s="10" customFormat="1" ht="13.5" thickBot="1" x14ac:dyDescent="0.25">
      <c r="A19" s="1121"/>
      <c r="B19" s="375" t="str">
        <f>+'B) Reajuste Tarifas y Ocupación'!B24</f>
        <v>Media Jornada</v>
      </c>
      <c r="C19" s="383">
        <f>+'B) Reajuste Tarifas y Ocupación'!M24</f>
        <v>179900</v>
      </c>
      <c r="D19" s="384">
        <f>+'B) Reajuste Tarifas y Ocupación'!N24</f>
        <v>0</v>
      </c>
      <c r="E19" s="384">
        <f>+'B) Reajuste Tarifas y Ocupación'!O24</f>
        <v>0</v>
      </c>
      <c r="F19" s="384">
        <f>+'B) Reajuste Tarifas y Ocupación'!P24</f>
        <v>0</v>
      </c>
      <c r="G19" s="385">
        <f>+'B) Reajuste Tarifas y Ocupación'!Q24</f>
        <v>0</v>
      </c>
      <c r="H19" s="389">
        <f>+'B) Reajuste Tarifas y Ocupación'!C24</f>
        <v>171300</v>
      </c>
      <c r="I19" s="352">
        <f>+'B) Reajuste Tarifas y Ocupación'!D24</f>
        <v>0</v>
      </c>
      <c r="J19" s="352">
        <f>+'B) Reajuste Tarifas y Ocupación'!E24</f>
        <v>0</v>
      </c>
      <c r="K19" s="352">
        <f>+'B) Reajuste Tarifas y Ocupación'!F24</f>
        <v>0</v>
      </c>
      <c r="L19" s="359">
        <f>+'B) Reajuste Tarifas y Ocupación'!G24</f>
        <v>0</v>
      </c>
      <c r="M19" s="364">
        <f t="shared" si="0"/>
        <v>8600</v>
      </c>
      <c r="N19" s="365">
        <f t="shared" si="1"/>
        <v>0</v>
      </c>
      <c r="O19" s="365">
        <f t="shared" si="2"/>
        <v>0</v>
      </c>
      <c r="P19" s="365">
        <f t="shared" si="3"/>
        <v>0</v>
      </c>
      <c r="Q19" s="366">
        <f t="shared" si="4"/>
        <v>0</v>
      </c>
      <c r="R19" s="407">
        <f>+'B) Reajuste Tarifas y Ocupación'!H24</f>
        <v>0.05</v>
      </c>
      <c r="S19" s="408">
        <f>+'B) Reajuste Tarifas y Ocupación'!I24</f>
        <v>0.05</v>
      </c>
      <c r="T19" s="408">
        <f>+'B) Reajuste Tarifas y Ocupación'!J24</f>
        <v>0.05</v>
      </c>
      <c r="U19" s="408">
        <f>+'B) Reajuste Tarifas y Ocupación'!K24</f>
        <v>0.05</v>
      </c>
      <c r="V19" s="409">
        <f>+'B) Reajuste Tarifas y Ocupación'!L24</f>
        <v>0.05</v>
      </c>
    </row>
    <row r="20" spans="1:22" s="10" customFormat="1" x14ac:dyDescent="0.2">
      <c r="A20" s="1120" t="str">
        <f>+'B) Reajuste Tarifas y Ocupación'!A25</f>
        <v>Sala Cuna Mar Azúl</v>
      </c>
      <c r="B20" s="374" t="str">
        <f>+'B) Reajuste Tarifas y Ocupación'!B25</f>
        <v>Diurna</v>
      </c>
      <c r="C20" s="336">
        <f>+'B) Reajuste Tarifas y Ocupación'!M25</f>
        <v>309500</v>
      </c>
      <c r="D20" s="337">
        <f>+'B) Reajuste Tarifas y Ocupación'!N25</f>
        <v>371400</v>
      </c>
      <c r="E20" s="337">
        <f>+'B) Reajuste Tarifas y Ocupación'!O25</f>
        <v>371400</v>
      </c>
      <c r="F20" s="337">
        <f>+'B) Reajuste Tarifas y Ocupación'!P25</f>
        <v>372200</v>
      </c>
      <c r="G20" s="338">
        <f>+'B) Reajuste Tarifas y Ocupación'!Q25</f>
        <v>434100</v>
      </c>
      <c r="H20" s="378">
        <f>+'B) Reajuste Tarifas y Ocupación'!C25</f>
        <v>294700</v>
      </c>
      <c r="I20" s="339">
        <f>+'B) Reajuste Tarifas y Ocupación'!D25</f>
        <v>360700</v>
      </c>
      <c r="J20" s="339">
        <f>+'B) Reajuste Tarifas y Ocupación'!E25</f>
        <v>360700</v>
      </c>
      <c r="K20" s="339">
        <f>+'B) Reajuste Tarifas y Ocupación'!F25</f>
        <v>354400</v>
      </c>
      <c r="L20" s="354">
        <f>+'B) Reajuste Tarifas y Ocupación'!G25</f>
        <v>413400</v>
      </c>
      <c r="M20" s="361">
        <f t="shared" si="0"/>
        <v>14800</v>
      </c>
      <c r="N20" s="362">
        <f t="shared" si="1"/>
        <v>10700</v>
      </c>
      <c r="O20" s="362">
        <f t="shared" si="2"/>
        <v>10700</v>
      </c>
      <c r="P20" s="362">
        <f t="shared" si="3"/>
        <v>17800</v>
      </c>
      <c r="Q20" s="363">
        <f t="shared" si="4"/>
        <v>20700</v>
      </c>
      <c r="R20" s="393">
        <f>+'B) Reajuste Tarifas y Ocupación'!H25</f>
        <v>0.05</v>
      </c>
      <c r="S20" s="402">
        <f>+'B) Reajuste Tarifas y Ocupación'!I25</f>
        <v>0.05</v>
      </c>
      <c r="T20" s="402">
        <f>+'B) Reajuste Tarifas y Ocupación'!J25</f>
        <v>0.05</v>
      </c>
      <c r="U20" s="402">
        <f>+'B) Reajuste Tarifas y Ocupación'!K25</f>
        <v>0.05</v>
      </c>
      <c r="V20" s="403">
        <f>+'B) Reajuste Tarifas y Ocupación'!L25</f>
        <v>0.05</v>
      </c>
    </row>
    <row r="21" spans="1:22" s="10" customFormat="1" x14ac:dyDescent="0.2">
      <c r="A21" s="1121"/>
      <c r="B21" s="375" t="str">
        <f>+'B) Reajuste Tarifas y Ocupación'!B26</f>
        <v>Nocturna</v>
      </c>
      <c r="C21" s="391">
        <f>+'B) Reajuste Tarifas y Ocupación'!M26</f>
        <v>252200</v>
      </c>
      <c r="D21" s="382">
        <f>+'B) Reajuste Tarifas y Ocupación'!N26</f>
        <v>0</v>
      </c>
      <c r="E21" s="382">
        <f>+'B) Reajuste Tarifas y Ocupación'!O26</f>
        <v>0</v>
      </c>
      <c r="F21" s="382">
        <f>+'B) Reajuste Tarifas y Ocupación'!P26</f>
        <v>0</v>
      </c>
      <c r="G21" s="392">
        <f>+'B) Reajuste Tarifas y Ocupación'!Q26</f>
        <v>0</v>
      </c>
      <c r="H21" s="388">
        <f>+'B) Reajuste Tarifas y Ocupación'!C26</f>
        <v>240100</v>
      </c>
      <c r="I21" s="353">
        <f>+'B) Reajuste Tarifas y Ocupación'!D26</f>
        <v>0</v>
      </c>
      <c r="J21" s="353">
        <f>+'B) Reajuste Tarifas y Ocupación'!E26</f>
        <v>0</v>
      </c>
      <c r="K21" s="353">
        <f>+'B) Reajuste Tarifas y Ocupación'!F26</f>
        <v>0</v>
      </c>
      <c r="L21" s="358">
        <f>+'B) Reajuste Tarifas y Ocupación'!G26</f>
        <v>0</v>
      </c>
      <c r="M21" s="369">
        <f t="shared" si="0"/>
        <v>12100</v>
      </c>
      <c r="N21" s="360">
        <f t="shared" si="1"/>
        <v>0</v>
      </c>
      <c r="O21" s="360">
        <f t="shared" si="2"/>
        <v>0</v>
      </c>
      <c r="P21" s="360">
        <f t="shared" si="3"/>
        <v>0</v>
      </c>
      <c r="Q21" s="370">
        <f t="shared" si="4"/>
        <v>0</v>
      </c>
      <c r="R21" s="404">
        <f>+'B) Reajuste Tarifas y Ocupación'!H26</f>
        <v>0.05</v>
      </c>
      <c r="S21" s="405">
        <f>+'B) Reajuste Tarifas y Ocupación'!I26</f>
        <v>0.05</v>
      </c>
      <c r="T21" s="405">
        <f>+'B) Reajuste Tarifas y Ocupación'!J26</f>
        <v>0.05</v>
      </c>
      <c r="U21" s="405">
        <f>+'B) Reajuste Tarifas y Ocupación'!K26</f>
        <v>0.05</v>
      </c>
      <c r="V21" s="406">
        <f>+'B) Reajuste Tarifas y Ocupación'!L26</f>
        <v>0.05</v>
      </c>
    </row>
    <row r="22" spans="1:22" s="10" customFormat="1" ht="13.5" thickBot="1" x14ac:dyDescent="0.25">
      <c r="A22" s="1122"/>
      <c r="B22" s="387" t="str">
        <f>+'B) Reajuste Tarifas y Ocupación'!B27</f>
        <v>Media Jornada</v>
      </c>
      <c r="C22" s="383">
        <f>+'B) Reajuste Tarifas y Ocupación'!M27</f>
        <v>172000</v>
      </c>
      <c r="D22" s="384">
        <f>+'B) Reajuste Tarifas y Ocupación'!N27</f>
        <v>0</v>
      </c>
      <c r="E22" s="384">
        <f>+'B) Reajuste Tarifas y Ocupación'!O27</f>
        <v>0</v>
      </c>
      <c r="F22" s="384">
        <f>+'B) Reajuste Tarifas y Ocupación'!P27</f>
        <v>0</v>
      </c>
      <c r="G22" s="385">
        <f>+'B) Reajuste Tarifas y Ocupación'!Q27</f>
        <v>0</v>
      </c>
      <c r="H22" s="389">
        <f>+'B) Reajuste Tarifas y Ocupación'!C27</f>
        <v>163800</v>
      </c>
      <c r="I22" s="352">
        <f>+'B) Reajuste Tarifas y Ocupación'!D27</f>
        <v>0</v>
      </c>
      <c r="J22" s="352">
        <f>+'B) Reajuste Tarifas y Ocupación'!E27</f>
        <v>0</v>
      </c>
      <c r="K22" s="352">
        <f>+'B) Reajuste Tarifas y Ocupación'!F27</f>
        <v>0</v>
      </c>
      <c r="L22" s="359">
        <f>+'B) Reajuste Tarifas y Ocupación'!G27</f>
        <v>0</v>
      </c>
      <c r="M22" s="364">
        <f t="shared" si="0"/>
        <v>8200</v>
      </c>
      <c r="N22" s="365">
        <f t="shared" si="1"/>
        <v>0</v>
      </c>
      <c r="O22" s="365">
        <f t="shared" si="2"/>
        <v>0</v>
      </c>
      <c r="P22" s="365">
        <f t="shared" si="3"/>
        <v>0</v>
      </c>
      <c r="Q22" s="366">
        <f t="shared" si="4"/>
        <v>0</v>
      </c>
      <c r="R22" s="407">
        <f>+'B) Reajuste Tarifas y Ocupación'!H27</f>
        <v>0.05</v>
      </c>
      <c r="S22" s="408">
        <f>+'B) Reajuste Tarifas y Ocupación'!I27</f>
        <v>0.05</v>
      </c>
      <c r="T22" s="408">
        <f>+'B) Reajuste Tarifas y Ocupación'!J27</f>
        <v>0.05</v>
      </c>
      <c r="U22" s="408">
        <f>+'B) Reajuste Tarifas y Ocupación'!K27</f>
        <v>0.05</v>
      </c>
      <c r="V22" s="409">
        <f>+'B) Reajuste Tarifas y Ocupación'!L27</f>
        <v>0.05</v>
      </c>
    </row>
  </sheetData>
  <sheetProtection password="9C6E" sheet="1" objects="1" scenarios="1"/>
  <mergeCells count="13">
    <mergeCell ref="R8:V8"/>
    <mergeCell ref="A17:A19"/>
    <mergeCell ref="G4:H4"/>
    <mergeCell ref="H8:L8"/>
    <mergeCell ref="M8:Q8"/>
    <mergeCell ref="C8:G8"/>
    <mergeCell ref="A6:D6"/>
    <mergeCell ref="A20:A22"/>
    <mergeCell ref="A8:A9"/>
    <mergeCell ref="B8:B9"/>
    <mergeCell ref="A10:A11"/>
    <mergeCell ref="A12:A13"/>
    <mergeCell ref="A15:A16"/>
  </mergeCells>
  <conditionalFormatting sqref="M10:Q22">
    <cfRule type="cellIs" dxfId="1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Y151"/>
  <sheetViews>
    <sheetView showGridLines="0" topLeftCell="B1" zoomScale="80" zoomScaleNormal="80" workbookViewId="0">
      <selection activeCell="E30" sqref="E30"/>
    </sheetView>
  </sheetViews>
  <sheetFormatPr baseColWidth="10" defaultColWidth="11.42578125" defaultRowHeight="12.75" x14ac:dyDescent="0.2"/>
  <cols>
    <col min="1" max="1" width="7.140625" style="33" customWidth="1"/>
    <col min="2" max="2" width="37.28515625" style="33" customWidth="1"/>
    <col min="3" max="3" width="28" style="33" customWidth="1"/>
    <col min="4" max="4" width="24.140625" style="33" customWidth="1"/>
    <col min="5" max="5" width="25.140625" style="33" customWidth="1"/>
    <col min="6" max="6" width="22.140625" style="33" customWidth="1"/>
    <col min="7" max="7" width="14.85546875" style="33" customWidth="1"/>
    <col min="8" max="8" width="15" style="33" customWidth="1"/>
    <col min="9" max="9" width="15.140625" style="33" customWidth="1"/>
    <col min="10" max="10" width="17.42578125" style="33" customWidth="1"/>
    <col min="11" max="12" width="19.140625" style="33" customWidth="1"/>
    <col min="13" max="13" width="16.140625" style="33" customWidth="1"/>
    <col min="14" max="14" width="17.140625" style="33" customWidth="1"/>
    <col min="15" max="15" width="14.85546875" style="33" customWidth="1"/>
    <col min="16" max="16" width="17.7109375" style="33" customWidth="1"/>
    <col min="17" max="17" width="17.140625" style="33" customWidth="1"/>
    <col min="18" max="18" width="18.140625" style="48" customWidth="1"/>
    <col min="19" max="19" width="16.28515625" style="33" customWidth="1"/>
    <col min="20" max="20" width="15.85546875" style="33" customWidth="1"/>
    <col min="21" max="21" width="14.85546875" style="33" customWidth="1"/>
    <col min="22" max="22" width="15.85546875" style="33" customWidth="1"/>
    <col min="23" max="23" width="14.28515625" style="33" customWidth="1"/>
    <col min="24" max="24" width="14.85546875" style="33" customWidth="1"/>
    <col min="25" max="25" width="14.140625" style="33" customWidth="1"/>
    <col min="26" max="26" width="16.85546875" style="33" customWidth="1"/>
    <col min="27" max="27" width="17.5703125" style="33" customWidth="1"/>
    <col min="28" max="28" width="15.28515625" style="33" customWidth="1"/>
    <col min="29" max="29" width="19.7109375" style="33" customWidth="1"/>
    <col min="30" max="30" width="17.42578125" style="33" customWidth="1"/>
    <col min="31" max="31" width="12" style="33" customWidth="1"/>
    <col min="32" max="16384" width="11.42578125" style="33"/>
  </cols>
  <sheetData>
    <row r="1" spans="2:259" s="6" customFormat="1" x14ac:dyDescent="0.2">
      <c r="C1" s="7"/>
      <c r="D1" s="7"/>
      <c r="E1" s="58" t="s">
        <v>244</v>
      </c>
      <c r="F1" s="58"/>
      <c r="G1" s="58"/>
      <c r="H1" s="58"/>
      <c r="I1" s="58"/>
      <c r="J1" s="7"/>
      <c r="K1" s="7"/>
      <c r="IM1" s="4"/>
      <c r="IN1" s="4"/>
    </row>
    <row r="2" spans="2:259" s="6" customFormat="1" x14ac:dyDescent="0.2">
      <c r="E2" s="58" t="s">
        <v>236</v>
      </c>
      <c r="F2" s="58"/>
      <c r="G2" s="58"/>
      <c r="H2" s="58"/>
      <c r="I2" s="58"/>
      <c r="IM2" s="4"/>
      <c r="IN2" s="4"/>
    </row>
    <row r="3" spans="2:259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7"/>
      <c r="D4" s="292" t="s">
        <v>0</v>
      </c>
      <c r="E4" s="509" t="str">
        <f>+'B) Reajuste Tarifas y Ocupación'!F5</f>
        <v>(DEPTO./DELEG.)</v>
      </c>
      <c r="F4" s="117"/>
      <c r="G4" s="118"/>
      <c r="H4" s="118"/>
      <c r="I4" s="118"/>
      <c r="J4" s="118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7"/>
      <c r="D5" s="293"/>
      <c r="E5" s="296"/>
      <c r="F5" s="296"/>
      <c r="G5" s="296"/>
      <c r="H5" s="296"/>
      <c r="I5" s="296"/>
      <c r="J5" s="296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7"/>
      <c r="D6" s="293"/>
      <c r="E6" s="296"/>
      <c r="F6" s="296"/>
      <c r="G6" s="296"/>
      <c r="H6" s="296"/>
      <c r="I6" s="296"/>
      <c r="J6" s="296"/>
      <c r="N6" s="3"/>
      <c r="ID6" s="4"/>
      <c r="IE6" s="4"/>
      <c r="IF6" s="4"/>
      <c r="IG6" s="4"/>
      <c r="IH6" s="4"/>
      <c r="II6" s="4"/>
    </row>
    <row r="7" spans="2:259" s="17" customFormat="1" ht="15.75" x14ac:dyDescent="0.2">
      <c r="B7" s="986" t="s">
        <v>187</v>
      </c>
      <c r="C7" s="986"/>
      <c r="D7" s="986"/>
      <c r="E7" s="986"/>
      <c r="F7" s="294"/>
      <c r="G7" s="294"/>
      <c r="H7" s="294"/>
      <c r="I7" s="294"/>
      <c r="J7" s="296"/>
      <c r="K7" s="119" t="s">
        <v>4</v>
      </c>
      <c r="L7" s="120">
        <v>2.8000000000000001E-2</v>
      </c>
      <c r="N7" s="30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1163" t="s">
        <v>117</v>
      </c>
      <c r="C9" s="1116" t="s">
        <v>74</v>
      </c>
      <c r="D9" s="1116" t="s">
        <v>75</v>
      </c>
      <c r="E9" s="1118" t="s">
        <v>3</v>
      </c>
      <c r="F9" s="1161" t="s">
        <v>83</v>
      </c>
      <c r="G9" s="1155" t="s">
        <v>164</v>
      </c>
      <c r="H9" s="1156"/>
      <c r="I9" s="1156"/>
      <c r="J9" s="1157"/>
      <c r="K9" s="1158" t="s">
        <v>166</v>
      </c>
      <c r="L9" s="1159" t="s">
        <v>118</v>
      </c>
      <c r="O9" s="32"/>
      <c r="P9" s="32"/>
      <c r="Q9" s="32"/>
      <c r="R9" s="32"/>
      <c r="S9" s="32"/>
      <c r="T9" s="32"/>
    </row>
    <row r="10" spans="2:259" ht="39" thickBot="1" x14ac:dyDescent="0.25">
      <c r="B10" s="1164"/>
      <c r="C10" s="1117"/>
      <c r="D10" s="1117"/>
      <c r="E10" s="1119"/>
      <c r="F10" s="1162"/>
      <c r="G10" s="520" t="s">
        <v>119</v>
      </c>
      <c r="H10" s="121" t="s">
        <v>120</v>
      </c>
      <c r="I10" s="121" t="s">
        <v>121</v>
      </c>
      <c r="J10" s="566" t="s">
        <v>165</v>
      </c>
      <c r="K10" s="1146"/>
      <c r="L10" s="1147"/>
      <c r="M10" s="34"/>
      <c r="N10" s="92"/>
      <c r="O10" s="92"/>
      <c r="P10" s="24"/>
      <c r="Q10" s="24"/>
      <c r="R10" s="24"/>
      <c r="S10" s="34"/>
      <c r="T10" s="1160"/>
      <c r="U10" s="1160"/>
      <c r="V10" s="1160"/>
      <c r="W10" s="1160"/>
      <c r="X10" s="34"/>
    </row>
    <row r="11" spans="2:259" s="2" customFormat="1" ht="13.5" thickBot="1" x14ac:dyDescent="0.25">
      <c r="B11" s="1137" t="str">
        <f>+'B) Reajuste Tarifas y Ocupación'!A12</f>
        <v>Jardín Infantil Lobito Marino</v>
      </c>
      <c r="C11" s="568" t="s">
        <v>254</v>
      </c>
      <c r="D11" s="568" t="s">
        <v>255</v>
      </c>
      <c r="E11" s="568" t="s">
        <v>250</v>
      </c>
      <c r="F11" s="573" t="s">
        <v>281</v>
      </c>
      <c r="G11" s="576">
        <f>698117*12</f>
        <v>8377404</v>
      </c>
      <c r="H11" s="569">
        <v>316316</v>
      </c>
      <c r="I11" s="569">
        <v>135325</v>
      </c>
      <c r="J11" s="577">
        <f>SUM(G11:I11)</f>
        <v>8829045</v>
      </c>
      <c r="K11" s="583">
        <f>+J11*(1+$L$7)</f>
        <v>9076258.2599999998</v>
      </c>
      <c r="L11" s="1140">
        <f>SUM(K11:K31)</f>
        <v>128273793.74000002</v>
      </c>
      <c r="M11" s="34"/>
      <c r="N11" s="39"/>
      <c r="O11" s="39"/>
      <c r="P11" s="93"/>
      <c r="Q11" s="93"/>
      <c r="R11" s="93"/>
      <c r="S11" s="36"/>
      <c r="T11" s="35"/>
      <c r="U11" s="35"/>
      <c r="V11" s="35"/>
      <c r="W11" s="35"/>
      <c r="X11" s="37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ht="13.5" thickBot="1" x14ac:dyDescent="0.25">
      <c r="B12" s="1138"/>
      <c r="C12" s="567" t="s">
        <v>256</v>
      </c>
      <c r="D12" s="567" t="s">
        <v>257</v>
      </c>
      <c r="E12" s="568" t="s">
        <v>250</v>
      </c>
      <c r="F12" s="573" t="s">
        <v>281</v>
      </c>
      <c r="G12" s="578">
        <f>732496*12</f>
        <v>8789952</v>
      </c>
      <c r="H12" s="569">
        <v>316316</v>
      </c>
      <c r="I12" s="569">
        <v>135325</v>
      </c>
      <c r="J12" s="579">
        <f t="shared" ref="J12:J68" si="0">SUM(G12:I12)</f>
        <v>9241593</v>
      </c>
      <c r="K12" s="584">
        <f t="shared" ref="K12:K68" si="1">+J12*(1+$L$7)</f>
        <v>9500357.6040000003</v>
      </c>
      <c r="L12" s="1141"/>
      <c r="M12" s="34"/>
      <c r="N12" s="39"/>
      <c r="O12" s="39"/>
      <c r="P12" s="24"/>
      <c r="Q12" s="24"/>
      <c r="R12" s="24"/>
      <c r="S12" s="36"/>
      <c r="T12" s="35"/>
      <c r="U12" s="35"/>
      <c r="V12" s="35"/>
      <c r="W12" s="35"/>
      <c r="X12" s="37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ht="13.5" thickBot="1" x14ac:dyDescent="0.25">
      <c r="B13" s="1138"/>
      <c r="C13" s="567" t="s">
        <v>258</v>
      </c>
      <c r="D13" s="567" t="s">
        <v>259</v>
      </c>
      <c r="E13" s="567" t="s">
        <v>249</v>
      </c>
      <c r="F13" s="573" t="s">
        <v>281</v>
      </c>
      <c r="G13" s="578">
        <v>8002752</v>
      </c>
      <c r="H13" s="569">
        <v>316316</v>
      </c>
      <c r="I13" s="569">
        <v>135325</v>
      </c>
      <c r="J13" s="579">
        <f t="shared" si="0"/>
        <v>8454393</v>
      </c>
      <c r="K13" s="584">
        <f t="shared" si="1"/>
        <v>8691116.0040000007</v>
      </c>
      <c r="L13" s="1141"/>
      <c r="M13" s="34"/>
      <c r="N13" s="39"/>
      <c r="O13" s="39"/>
      <c r="P13" s="24"/>
      <c r="Q13" s="24"/>
      <c r="R13" s="24"/>
      <c r="S13" s="36"/>
      <c r="T13" s="35"/>
      <c r="U13" s="35"/>
      <c r="V13" s="35"/>
      <c r="W13" s="35"/>
      <c r="X13" s="37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ht="13.5" thickBot="1" x14ac:dyDescent="0.25">
      <c r="B14" s="1138"/>
      <c r="C14" s="567" t="s">
        <v>263</v>
      </c>
      <c r="D14" s="567" t="s">
        <v>331</v>
      </c>
      <c r="E14" s="567" t="s">
        <v>249</v>
      </c>
      <c r="F14" s="573" t="s">
        <v>281</v>
      </c>
      <c r="G14" s="578">
        <v>6432864</v>
      </c>
      <c r="H14" s="569">
        <v>316316</v>
      </c>
      <c r="I14" s="569">
        <v>135325</v>
      </c>
      <c r="J14" s="579">
        <f t="shared" si="0"/>
        <v>6884505</v>
      </c>
      <c r="K14" s="584">
        <f t="shared" si="1"/>
        <v>7077271.1400000006</v>
      </c>
      <c r="L14" s="1141"/>
      <c r="M14" s="34"/>
      <c r="N14" s="39"/>
      <c r="O14" s="39"/>
      <c r="P14" s="24"/>
      <c r="Q14" s="24"/>
      <c r="R14" s="24"/>
      <c r="S14" s="36"/>
      <c r="T14" s="35"/>
      <c r="U14" s="35"/>
      <c r="V14" s="35"/>
      <c r="W14" s="35"/>
      <c r="X14" s="37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ht="13.5" thickBot="1" x14ac:dyDescent="0.25">
      <c r="B15" s="1138"/>
      <c r="C15" s="567" t="s">
        <v>270</v>
      </c>
      <c r="D15" s="567" t="s">
        <v>271</v>
      </c>
      <c r="E15" s="567" t="s">
        <v>249</v>
      </c>
      <c r="F15" s="573" t="s">
        <v>566</v>
      </c>
      <c r="G15" s="578">
        <v>6432864</v>
      </c>
      <c r="H15" s="569">
        <v>316316</v>
      </c>
      <c r="I15" s="569">
        <v>135325</v>
      </c>
      <c r="J15" s="579">
        <f t="shared" si="0"/>
        <v>6884505</v>
      </c>
      <c r="K15" s="584">
        <f t="shared" si="1"/>
        <v>7077271.1400000006</v>
      </c>
      <c r="L15" s="1141"/>
      <c r="M15" s="34"/>
      <c r="N15" s="39"/>
      <c r="O15" s="39"/>
      <c r="P15" s="24"/>
      <c r="Q15" s="24"/>
      <c r="R15" s="24"/>
      <c r="S15" s="36"/>
      <c r="T15" s="35"/>
      <c r="U15" s="35"/>
      <c r="V15" s="35"/>
      <c r="W15" s="35"/>
      <c r="X15" s="37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ht="13.5" thickBot="1" x14ac:dyDescent="0.25">
      <c r="B16" s="1138"/>
      <c r="C16" s="567" t="s">
        <v>265</v>
      </c>
      <c r="D16" s="567" t="s">
        <v>266</v>
      </c>
      <c r="E16" s="567" t="s">
        <v>249</v>
      </c>
      <c r="F16" s="573" t="s">
        <v>281</v>
      </c>
      <c r="G16" s="578">
        <v>6607765</v>
      </c>
      <c r="H16" s="569">
        <v>316316</v>
      </c>
      <c r="I16" s="569">
        <v>135325</v>
      </c>
      <c r="J16" s="579">
        <f t="shared" si="0"/>
        <v>7059406</v>
      </c>
      <c r="K16" s="584">
        <f t="shared" si="1"/>
        <v>7257069.3679999998</v>
      </c>
      <c r="L16" s="1141"/>
      <c r="M16" s="34"/>
      <c r="N16" s="39"/>
      <c r="O16" s="39"/>
      <c r="P16" s="24"/>
      <c r="Q16" s="24"/>
      <c r="R16" s="24"/>
      <c r="S16" s="36"/>
      <c r="T16" s="35"/>
      <c r="U16" s="35"/>
      <c r="V16" s="35"/>
      <c r="W16" s="35"/>
      <c r="X16" s="37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ht="13.5" thickBot="1" x14ac:dyDescent="0.25">
      <c r="B17" s="1138"/>
      <c r="C17" s="567" t="s">
        <v>272</v>
      </c>
      <c r="D17" s="567" t="s">
        <v>273</v>
      </c>
      <c r="E17" s="567" t="s">
        <v>249</v>
      </c>
      <c r="F17" s="573" t="s">
        <v>281</v>
      </c>
      <c r="G17" s="578">
        <v>6162756</v>
      </c>
      <c r="H17" s="569">
        <v>316316</v>
      </c>
      <c r="I17" s="569">
        <v>135325</v>
      </c>
      <c r="J17" s="579">
        <f t="shared" si="0"/>
        <v>6614397</v>
      </c>
      <c r="K17" s="584">
        <f t="shared" si="1"/>
        <v>6799600.1160000004</v>
      </c>
      <c r="L17" s="1141"/>
      <c r="M17" s="34"/>
      <c r="N17" s="39"/>
      <c r="O17" s="39"/>
      <c r="P17" s="24"/>
      <c r="Q17" s="24"/>
      <c r="R17" s="24"/>
      <c r="S17" s="36"/>
      <c r="T17" s="35"/>
      <c r="U17" s="35"/>
      <c r="V17" s="35"/>
      <c r="W17" s="35"/>
      <c r="X17" s="37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ht="13.5" thickBot="1" x14ac:dyDescent="0.25">
      <c r="B18" s="1138"/>
      <c r="C18" s="567" t="s">
        <v>261</v>
      </c>
      <c r="D18" s="567" t="s">
        <v>262</v>
      </c>
      <c r="E18" s="567" t="s">
        <v>249</v>
      </c>
      <c r="F18" s="573" t="s">
        <v>281</v>
      </c>
      <c r="G18" s="578">
        <v>8002752</v>
      </c>
      <c r="H18" s="569">
        <v>316316</v>
      </c>
      <c r="I18" s="569">
        <v>135325</v>
      </c>
      <c r="J18" s="579">
        <f>SUM(G18:I18)</f>
        <v>8454393</v>
      </c>
      <c r="K18" s="584">
        <f>+J18*(1+$L$7)</f>
        <v>8691116.0040000007</v>
      </c>
      <c r="L18" s="1141"/>
      <c r="M18" s="34"/>
      <c r="N18" s="39"/>
      <c r="O18" s="39"/>
      <c r="P18" s="24"/>
      <c r="Q18" s="24"/>
      <c r="R18" s="24"/>
      <c r="S18" s="36"/>
      <c r="T18" s="35"/>
      <c r="U18" s="35"/>
      <c r="V18" s="35"/>
      <c r="W18" s="35"/>
      <c r="X18" s="37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ht="13.5" thickBot="1" x14ac:dyDescent="0.25">
      <c r="B19" s="1138"/>
      <c r="C19" s="567" t="s">
        <v>332</v>
      </c>
      <c r="D19" s="567" t="s">
        <v>274</v>
      </c>
      <c r="E19" s="567" t="s">
        <v>249</v>
      </c>
      <c r="F19" s="573" t="s">
        <v>566</v>
      </c>
      <c r="G19" s="578"/>
      <c r="H19" s="569"/>
      <c r="I19" s="569"/>
      <c r="J19" s="579">
        <f t="shared" ref="J19:J26" si="2">SUM(G19:I19)</f>
        <v>0</v>
      </c>
      <c r="K19" s="584">
        <f t="shared" ref="K19:K26" si="3">+J19*(1+$L$7)</f>
        <v>0</v>
      </c>
      <c r="L19" s="1141"/>
      <c r="M19" s="34"/>
      <c r="N19" s="39"/>
      <c r="O19" s="39"/>
      <c r="P19" s="24"/>
      <c r="Q19" s="24"/>
      <c r="R19" s="24"/>
      <c r="S19" s="36"/>
      <c r="T19" s="35"/>
      <c r="U19" s="35"/>
      <c r="V19" s="35"/>
      <c r="W19" s="35"/>
      <c r="X19" s="37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ht="13.5" thickBot="1" x14ac:dyDescent="0.25">
      <c r="B20" s="1138"/>
      <c r="C20" s="567" t="s">
        <v>268</v>
      </c>
      <c r="D20" s="567" t="s">
        <v>269</v>
      </c>
      <c r="E20" s="567" t="s">
        <v>249</v>
      </c>
      <c r="F20" s="573" t="s">
        <v>281</v>
      </c>
      <c r="G20" s="578">
        <v>6736980</v>
      </c>
      <c r="H20" s="569">
        <v>316316</v>
      </c>
      <c r="I20" s="569">
        <v>135325</v>
      </c>
      <c r="J20" s="579">
        <f t="shared" si="2"/>
        <v>7188621</v>
      </c>
      <c r="K20" s="584">
        <f t="shared" si="3"/>
        <v>7389902.3880000003</v>
      </c>
      <c r="L20" s="1141"/>
      <c r="M20" s="34"/>
      <c r="N20" s="39"/>
      <c r="O20" s="39"/>
      <c r="P20" s="24"/>
      <c r="Q20" s="24"/>
      <c r="R20" s="24"/>
      <c r="S20" s="36"/>
      <c r="T20" s="35"/>
      <c r="U20" s="35"/>
      <c r="V20" s="35"/>
      <c r="W20" s="35"/>
      <c r="X20" s="37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ht="13.5" thickBot="1" x14ac:dyDescent="0.25">
      <c r="B21" s="1138"/>
      <c r="C21" s="567" t="s">
        <v>264</v>
      </c>
      <c r="D21" s="567" t="s">
        <v>333</v>
      </c>
      <c r="E21" s="567" t="s">
        <v>249</v>
      </c>
      <c r="F21" s="573" t="s">
        <v>281</v>
      </c>
      <c r="G21" s="578">
        <v>6432864</v>
      </c>
      <c r="H21" s="569">
        <v>316316</v>
      </c>
      <c r="I21" s="569">
        <v>135325</v>
      </c>
      <c r="J21" s="579">
        <f t="shared" si="2"/>
        <v>6884505</v>
      </c>
      <c r="K21" s="584">
        <f t="shared" si="3"/>
        <v>7077271.1400000006</v>
      </c>
      <c r="L21" s="1141"/>
      <c r="M21" s="34"/>
      <c r="N21" s="39"/>
      <c r="O21" s="39"/>
      <c r="P21" s="24"/>
      <c r="Q21" s="24"/>
      <c r="R21" s="24"/>
      <c r="S21" s="36"/>
      <c r="T21" s="35"/>
      <c r="U21" s="35"/>
      <c r="V21" s="35"/>
      <c r="W21" s="35"/>
      <c r="X21" s="37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3.5" thickBot="1" x14ac:dyDescent="0.25">
      <c r="B22" s="1138"/>
      <c r="C22" s="567" t="s">
        <v>375</v>
      </c>
      <c r="D22" s="567" t="s">
        <v>376</v>
      </c>
      <c r="E22" s="567" t="s">
        <v>249</v>
      </c>
      <c r="F22" s="573" t="s">
        <v>285</v>
      </c>
      <c r="G22" s="578">
        <v>6587076</v>
      </c>
      <c r="H22" s="569">
        <v>316316</v>
      </c>
      <c r="I22" s="569">
        <v>135325</v>
      </c>
      <c r="J22" s="579">
        <f t="shared" si="2"/>
        <v>7038717</v>
      </c>
      <c r="K22" s="584">
        <f t="shared" si="3"/>
        <v>7235801.0760000004</v>
      </c>
      <c r="L22" s="1141"/>
      <c r="M22" s="34"/>
      <c r="N22" s="39"/>
      <c r="O22" s="39"/>
      <c r="P22" s="24"/>
      <c r="Q22" s="24"/>
      <c r="R22" s="24"/>
      <c r="S22" s="36"/>
      <c r="T22" s="35"/>
      <c r="U22" s="35"/>
      <c r="V22" s="35"/>
      <c r="W22" s="35"/>
      <c r="X22" s="37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ht="13.5" thickBot="1" x14ac:dyDescent="0.25">
      <c r="B23" s="1138"/>
      <c r="C23" s="567" t="s">
        <v>260</v>
      </c>
      <c r="D23" s="567" t="s">
        <v>334</v>
      </c>
      <c r="E23" s="567" t="s">
        <v>249</v>
      </c>
      <c r="F23" s="573" t="s">
        <v>281</v>
      </c>
      <c r="G23" s="578">
        <v>7768668</v>
      </c>
      <c r="H23" s="569">
        <v>316316</v>
      </c>
      <c r="I23" s="569">
        <v>135325</v>
      </c>
      <c r="J23" s="579">
        <f t="shared" si="2"/>
        <v>8220309</v>
      </c>
      <c r="K23" s="584">
        <f t="shared" si="3"/>
        <v>8450477.6520000007</v>
      </c>
      <c r="L23" s="1141"/>
      <c r="M23" s="34"/>
      <c r="N23" s="39"/>
      <c r="O23" s="39"/>
      <c r="P23" s="24"/>
      <c r="Q23" s="24"/>
      <c r="R23" s="24"/>
      <c r="S23" s="36"/>
      <c r="T23" s="35"/>
      <c r="U23" s="35"/>
      <c r="V23" s="35"/>
      <c r="W23" s="35"/>
      <c r="X23" s="37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ht="13.5" thickBot="1" x14ac:dyDescent="0.25">
      <c r="B24" s="1138"/>
      <c r="C24" s="567" t="s">
        <v>335</v>
      </c>
      <c r="D24" s="567" t="s">
        <v>267</v>
      </c>
      <c r="E24" s="567" t="s">
        <v>249</v>
      </c>
      <c r="F24" s="573" t="s">
        <v>281</v>
      </c>
      <c r="G24" s="578">
        <v>6128755</v>
      </c>
      <c r="H24" s="569">
        <v>316316</v>
      </c>
      <c r="I24" s="569">
        <v>135325</v>
      </c>
      <c r="J24" s="579">
        <f t="shared" si="2"/>
        <v>6580396</v>
      </c>
      <c r="K24" s="584">
        <f t="shared" si="3"/>
        <v>6764647.0880000005</v>
      </c>
      <c r="L24" s="1141"/>
      <c r="M24" s="34"/>
      <c r="N24" s="39"/>
      <c r="O24" s="39"/>
      <c r="P24" s="24"/>
      <c r="Q24" s="24"/>
      <c r="R24" s="24"/>
      <c r="S24" s="36"/>
      <c r="T24" s="35"/>
      <c r="U24" s="35"/>
      <c r="V24" s="35"/>
      <c r="W24" s="35"/>
      <c r="X24" s="37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ht="13.5" thickBot="1" x14ac:dyDescent="0.25">
      <c r="B25" s="1138"/>
      <c r="C25" s="567" t="s">
        <v>367</v>
      </c>
      <c r="D25" s="567" t="s">
        <v>284</v>
      </c>
      <c r="E25" s="567" t="s">
        <v>253</v>
      </c>
      <c r="F25" s="573" t="s">
        <v>281</v>
      </c>
      <c r="G25" s="578">
        <v>3966020</v>
      </c>
      <c r="H25" s="569">
        <v>316316</v>
      </c>
      <c r="I25" s="569">
        <v>135325</v>
      </c>
      <c r="J25" s="579">
        <f>SUM(G25:I25)</f>
        <v>4417661</v>
      </c>
      <c r="K25" s="584">
        <f t="shared" si="3"/>
        <v>4541355.5080000004</v>
      </c>
      <c r="L25" s="1141"/>
      <c r="M25" s="34"/>
      <c r="N25" s="39"/>
      <c r="O25" s="39"/>
      <c r="P25" s="24"/>
      <c r="Q25" s="24"/>
      <c r="R25" s="24"/>
      <c r="S25" s="36"/>
      <c r="T25" s="35"/>
      <c r="U25" s="35"/>
      <c r="V25" s="35"/>
      <c r="W25" s="35"/>
      <c r="X25" s="37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ht="13.5" thickBot="1" x14ac:dyDescent="0.25">
      <c r="B26" s="1138"/>
      <c r="C26" s="567" t="s">
        <v>279</v>
      </c>
      <c r="D26" s="567" t="s">
        <v>280</v>
      </c>
      <c r="E26" s="567" t="s">
        <v>253</v>
      </c>
      <c r="F26" s="573" t="s">
        <v>281</v>
      </c>
      <c r="G26" s="578">
        <v>3824076</v>
      </c>
      <c r="H26" s="569">
        <v>316316</v>
      </c>
      <c r="I26" s="569">
        <v>135325</v>
      </c>
      <c r="J26" s="579">
        <f t="shared" si="2"/>
        <v>4275717</v>
      </c>
      <c r="K26" s="584">
        <f t="shared" si="3"/>
        <v>4395437.0760000004</v>
      </c>
      <c r="L26" s="1141"/>
      <c r="M26" s="34"/>
      <c r="N26" s="39"/>
      <c r="O26" s="39"/>
      <c r="P26" s="24"/>
      <c r="Q26" s="24"/>
      <c r="R26" s="24"/>
      <c r="S26" s="36"/>
      <c r="T26" s="35"/>
      <c r="U26" s="35"/>
      <c r="V26" s="35"/>
      <c r="W26" s="35"/>
      <c r="X26" s="37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ht="13.5" thickBot="1" x14ac:dyDescent="0.25">
      <c r="B27" s="1138"/>
      <c r="C27" s="567" t="s">
        <v>276</v>
      </c>
      <c r="D27" s="567" t="s">
        <v>277</v>
      </c>
      <c r="E27" s="567" t="s">
        <v>252</v>
      </c>
      <c r="F27" s="573" t="s">
        <v>281</v>
      </c>
      <c r="G27" s="578">
        <v>6819972</v>
      </c>
      <c r="H27" s="569">
        <v>316316</v>
      </c>
      <c r="I27" s="569">
        <v>135325</v>
      </c>
      <c r="J27" s="579">
        <f t="shared" si="0"/>
        <v>7271613</v>
      </c>
      <c r="K27" s="584">
        <f t="shared" si="1"/>
        <v>7475218.1639999999</v>
      </c>
      <c r="L27" s="1141"/>
      <c r="M27" s="34"/>
      <c r="N27" s="39"/>
      <c r="O27" s="39"/>
      <c r="P27" s="24"/>
      <c r="Q27" s="24"/>
      <c r="R27" s="24"/>
      <c r="S27" s="36"/>
      <c r="T27" s="35"/>
      <c r="U27" s="35"/>
      <c r="V27" s="35"/>
      <c r="W27" s="35"/>
      <c r="X27" s="37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ht="13.5" thickBot="1" x14ac:dyDescent="0.25">
      <c r="B28" s="1138"/>
      <c r="C28" s="567" t="s">
        <v>336</v>
      </c>
      <c r="D28" s="567" t="s">
        <v>278</v>
      </c>
      <c r="E28" s="567" t="s">
        <v>252</v>
      </c>
      <c r="F28" s="573" t="s">
        <v>281</v>
      </c>
      <c r="G28" s="578">
        <v>4195956</v>
      </c>
      <c r="H28" s="569">
        <v>316316</v>
      </c>
      <c r="I28" s="569">
        <v>135325</v>
      </c>
      <c r="J28" s="579">
        <f t="shared" si="0"/>
        <v>4647597</v>
      </c>
      <c r="K28" s="584">
        <f t="shared" si="1"/>
        <v>4777729.716</v>
      </c>
      <c r="L28" s="1141"/>
      <c r="M28" s="34"/>
      <c r="N28" s="39"/>
      <c r="O28" s="39"/>
      <c r="P28" s="24"/>
      <c r="Q28" s="24"/>
      <c r="R28" s="24"/>
      <c r="S28" s="36"/>
      <c r="T28" s="35"/>
      <c r="U28" s="35"/>
      <c r="V28" s="35"/>
      <c r="W28" s="35"/>
      <c r="X28" s="37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ht="13.5" thickBot="1" x14ac:dyDescent="0.25">
      <c r="B29" s="1138"/>
      <c r="C29" s="567" t="s">
        <v>282</v>
      </c>
      <c r="D29" s="567" t="s">
        <v>283</v>
      </c>
      <c r="E29" s="567" t="s">
        <v>252</v>
      </c>
      <c r="F29" s="573" t="s">
        <v>281</v>
      </c>
      <c r="G29" s="578">
        <v>4195956</v>
      </c>
      <c r="H29" s="569">
        <v>316316</v>
      </c>
      <c r="I29" s="569">
        <v>135325</v>
      </c>
      <c r="J29" s="579">
        <f t="shared" si="0"/>
        <v>4647597</v>
      </c>
      <c r="K29" s="584">
        <f t="shared" si="1"/>
        <v>4777729.716</v>
      </c>
      <c r="L29" s="1141"/>
      <c r="M29" s="34"/>
      <c r="N29" s="39"/>
      <c r="O29" s="39"/>
      <c r="P29" s="24"/>
      <c r="Q29" s="24"/>
      <c r="R29" s="24"/>
      <c r="S29" s="36"/>
      <c r="T29" s="35"/>
      <c r="U29" s="35"/>
      <c r="V29" s="35"/>
      <c r="W29" s="35"/>
      <c r="X29" s="37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1138"/>
      <c r="C30" s="567" t="s">
        <v>337</v>
      </c>
      <c r="D30" s="567" t="s">
        <v>275</v>
      </c>
      <c r="E30" s="567" t="s">
        <v>338</v>
      </c>
      <c r="F30" s="573" t="s">
        <v>281</v>
      </c>
      <c r="G30" s="578">
        <v>733344</v>
      </c>
      <c r="H30" s="569">
        <v>316316</v>
      </c>
      <c r="I30" s="569">
        <v>135325</v>
      </c>
      <c r="J30" s="579">
        <f t="shared" si="0"/>
        <v>1184985</v>
      </c>
      <c r="K30" s="584">
        <f t="shared" si="1"/>
        <v>1218164.58</v>
      </c>
      <c r="L30" s="1141"/>
      <c r="M30" s="34"/>
      <c r="N30" s="39"/>
      <c r="O30" s="39"/>
      <c r="P30" s="24"/>
      <c r="Q30" s="24"/>
      <c r="R30" s="24"/>
      <c r="S30" s="36"/>
      <c r="T30" s="35"/>
      <c r="U30" s="35"/>
      <c r="V30" s="35"/>
      <c r="W30" s="35"/>
      <c r="X30" s="37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1139"/>
      <c r="C31" s="570"/>
      <c r="D31" s="570"/>
      <c r="E31" s="567"/>
      <c r="F31" s="575"/>
      <c r="G31" s="580">
        <v>0</v>
      </c>
      <c r="H31" s="571">
        <v>0</v>
      </c>
      <c r="I31" s="571">
        <v>0</v>
      </c>
      <c r="J31" s="581">
        <f t="shared" si="0"/>
        <v>0</v>
      </c>
      <c r="K31" s="585">
        <f t="shared" si="1"/>
        <v>0</v>
      </c>
      <c r="L31" s="1142"/>
      <c r="M31" s="34"/>
      <c r="N31" s="39"/>
      <c r="O31" s="39"/>
      <c r="P31" s="39"/>
      <c r="Q31" s="39"/>
      <c r="R31" s="39"/>
      <c r="S31" s="40"/>
      <c r="T31" s="39"/>
      <c r="U31" s="39"/>
      <c r="V31" s="39"/>
      <c r="W31" s="39"/>
      <c r="X31" s="41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</row>
    <row r="32" spans="2:259" ht="12.75" customHeight="1" thickBot="1" x14ac:dyDescent="0.25">
      <c r="B32" s="1137" t="str">
        <f>+'B) Reajuste Tarifas y Ocupación'!A14</f>
        <v>Jardín Infantil Los Delfines</v>
      </c>
      <c r="C32" s="568" t="s">
        <v>340</v>
      </c>
      <c r="D32" s="568" t="s">
        <v>339</v>
      </c>
      <c r="E32" s="568" t="s">
        <v>250</v>
      </c>
      <c r="F32" s="573" t="s">
        <v>153</v>
      </c>
      <c r="G32" s="576">
        <f>751625*12</f>
        <v>9019500</v>
      </c>
      <c r="H32" s="569">
        <v>316316</v>
      </c>
      <c r="I32" s="569">
        <v>135325</v>
      </c>
      <c r="J32" s="577">
        <f t="shared" si="0"/>
        <v>9471141</v>
      </c>
      <c r="K32" s="583">
        <f t="shared" si="1"/>
        <v>9736332.9480000008</v>
      </c>
      <c r="L32" s="1140">
        <f>SUM(K32:K50)</f>
        <v>123282785.892</v>
      </c>
      <c r="M32" s="34"/>
      <c r="N32" s="39"/>
      <c r="O32" s="39"/>
      <c r="P32" s="93"/>
      <c r="Q32" s="93"/>
      <c r="R32" s="93"/>
      <c r="T32" s="297"/>
      <c r="U32" s="297"/>
      <c r="V32" s="297"/>
      <c r="W32" s="297"/>
    </row>
    <row r="33" spans="2:24" ht="12.75" customHeight="1" thickBot="1" x14ac:dyDescent="0.25">
      <c r="B33" s="1138"/>
      <c r="C33" s="567" t="s">
        <v>342</v>
      </c>
      <c r="D33" s="567" t="s">
        <v>341</v>
      </c>
      <c r="E33" s="568" t="s">
        <v>250</v>
      </c>
      <c r="F33" s="573" t="s">
        <v>153</v>
      </c>
      <c r="G33" s="578">
        <f>694236*12</f>
        <v>8330832</v>
      </c>
      <c r="H33" s="569">
        <v>316316</v>
      </c>
      <c r="I33" s="569">
        <v>135325</v>
      </c>
      <c r="J33" s="579">
        <f t="shared" si="0"/>
        <v>8782473</v>
      </c>
      <c r="K33" s="584">
        <f t="shared" si="1"/>
        <v>9028382.2440000009</v>
      </c>
      <c r="L33" s="1141"/>
      <c r="M33" s="34"/>
      <c r="N33" s="39"/>
      <c r="O33" s="39"/>
      <c r="P33" s="24"/>
      <c r="Q33" s="24"/>
      <c r="R33" s="24"/>
      <c r="S33" s="42"/>
      <c r="T33" s="42"/>
      <c r="U33" s="43"/>
      <c r="V33" s="43"/>
      <c r="W33" s="44"/>
      <c r="X33" s="44"/>
    </row>
    <row r="34" spans="2:24" ht="12.75" customHeight="1" thickBot="1" x14ac:dyDescent="0.25">
      <c r="B34" s="1138"/>
      <c r="C34" s="567" t="s">
        <v>344</v>
      </c>
      <c r="D34" s="567" t="s">
        <v>343</v>
      </c>
      <c r="E34" s="567" t="s">
        <v>249</v>
      </c>
      <c r="F34" s="573" t="s">
        <v>153</v>
      </c>
      <c r="G34" s="578">
        <v>6128755</v>
      </c>
      <c r="H34" s="569">
        <v>316316</v>
      </c>
      <c r="I34" s="569">
        <v>135325</v>
      </c>
      <c r="J34" s="579">
        <f t="shared" si="0"/>
        <v>6580396</v>
      </c>
      <c r="K34" s="584">
        <f t="shared" si="1"/>
        <v>6764647.0880000005</v>
      </c>
      <c r="L34" s="1141"/>
      <c r="M34" s="34"/>
      <c r="N34" s="39"/>
      <c r="O34" s="39"/>
      <c r="P34" s="24"/>
      <c r="Q34" s="24"/>
      <c r="R34" s="24"/>
      <c r="S34" s="42"/>
      <c r="T34" s="42"/>
      <c r="U34" s="43"/>
      <c r="V34" s="43"/>
      <c r="W34" s="44"/>
      <c r="X34" s="44"/>
    </row>
    <row r="35" spans="2:24" ht="12.75" customHeight="1" thickBot="1" x14ac:dyDescent="0.25">
      <c r="B35" s="1138"/>
      <c r="C35" s="567" t="s">
        <v>346</v>
      </c>
      <c r="D35" s="567" t="s">
        <v>345</v>
      </c>
      <c r="E35" s="567" t="s">
        <v>249</v>
      </c>
      <c r="F35" s="573" t="s">
        <v>153</v>
      </c>
      <c r="G35" s="578">
        <v>6637044</v>
      </c>
      <c r="H35" s="569">
        <v>316316</v>
      </c>
      <c r="I35" s="569">
        <v>135325</v>
      </c>
      <c r="J35" s="579">
        <f t="shared" si="0"/>
        <v>7088685</v>
      </c>
      <c r="K35" s="584">
        <f t="shared" si="1"/>
        <v>7287168.1800000006</v>
      </c>
      <c r="L35" s="1141"/>
      <c r="M35" s="34"/>
      <c r="N35" s="39"/>
      <c r="O35" s="39"/>
      <c r="P35" s="24"/>
      <c r="Q35" s="24"/>
      <c r="R35" s="24"/>
      <c r="S35" s="42"/>
      <c r="T35" s="42"/>
      <c r="U35" s="43"/>
      <c r="V35" s="43"/>
      <c r="W35" s="44"/>
      <c r="X35" s="44"/>
    </row>
    <row r="36" spans="2:24" ht="12.75" customHeight="1" thickBot="1" x14ac:dyDescent="0.25">
      <c r="B36" s="1138"/>
      <c r="C36" s="567" t="s">
        <v>348</v>
      </c>
      <c r="D36" s="567" t="s">
        <v>347</v>
      </c>
      <c r="E36" s="567" t="s">
        <v>249</v>
      </c>
      <c r="F36" s="573" t="s">
        <v>153</v>
      </c>
      <c r="G36" s="578"/>
      <c r="H36" s="569"/>
      <c r="I36" s="569"/>
      <c r="J36" s="579">
        <f t="shared" si="0"/>
        <v>0</v>
      </c>
      <c r="K36" s="584">
        <f t="shared" si="1"/>
        <v>0</v>
      </c>
      <c r="L36" s="1141"/>
      <c r="M36" s="34"/>
      <c r="N36" s="39"/>
      <c r="O36" s="39"/>
      <c r="P36" s="24"/>
      <c r="Q36" s="24"/>
      <c r="R36" s="24"/>
      <c r="S36" s="42"/>
      <c r="T36" s="42"/>
      <c r="U36" s="43"/>
      <c r="V36" s="43"/>
      <c r="W36" s="44"/>
      <c r="X36" s="44"/>
    </row>
    <row r="37" spans="2:24" ht="12.75" customHeight="1" thickBot="1" x14ac:dyDescent="0.25">
      <c r="B37" s="1138"/>
      <c r="C37" s="567" t="s">
        <v>349</v>
      </c>
      <c r="D37" s="567" t="s">
        <v>350</v>
      </c>
      <c r="E37" s="567" t="s">
        <v>249</v>
      </c>
      <c r="F37" s="573" t="s">
        <v>153</v>
      </c>
      <c r="G37" s="578">
        <v>6128748</v>
      </c>
      <c r="H37" s="569">
        <v>316316</v>
      </c>
      <c r="I37" s="569">
        <v>135325</v>
      </c>
      <c r="J37" s="579">
        <f t="shared" si="0"/>
        <v>6580389</v>
      </c>
      <c r="K37" s="584">
        <f t="shared" si="1"/>
        <v>6764639.892</v>
      </c>
      <c r="L37" s="1141"/>
      <c r="M37" s="34"/>
      <c r="N37" s="39"/>
      <c r="O37" s="39"/>
      <c r="P37" s="24"/>
      <c r="Q37" s="24"/>
      <c r="R37" s="24"/>
      <c r="S37" s="42"/>
      <c r="T37" s="42"/>
      <c r="U37" s="43"/>
      <c r="V37" s="43"/>
      <c r="W37" s="44"/>
      <c r="X37" s="44"/>
    </row>
    <row r="38" spans="2:24" ht="12.75" customHeight="1" thickBot="1" x14ac:dyDescent="0.25">
      <c r="B38" s="1138"/>
      <c r="C38" s="567" t="s">
        <v>351</v>
      </c>
      <c r="D38" s="567" t="s">
        <v>352</v>
      </c>
      <c r="E38" s="567" t="s">
        <v>249</v>
      </c>
      <c r="F38" s="573" t="s">
        <v>153</v>
      </c>
      <c r="G38" s="578">
        <v>6128748</v>
      </c>
      <c r="H38" s="569">
        <v>316316</v>
      </c>
      <c r="I38" s="569">
        <v>135325</v>
      </c>
      <c r="J38" s="579">
        <f>SUM(G38:I38)</f>
        <v>6580389</v>
      </c>
      <c r="K38" s="584">
        <f>+J38*(1+$L$7)</f>
        <v>6764639.892</v>
      </c>
      <c r="L38" s="1141"/>
      <c r="M38" s="34"/>
      <c r="N38" s="39"/>
      <c r="O38" s="39"/>
      <c r="P38" s="24"/>
      <c r="Q38" s="24"/>
      <c r="R38" s="24"/>
      <c r="S38" s="42"/>
      <c r="T38" s="42"/>
      <c r="U38" s="43"/>
      <c r="V38" s="43"/>
      <c r="W38" s="44"/>
      <c r="X38" s="44"/>
    </row>
    <row r="39" spans="2:24" ht="12.75" customHeight="1" thickBot="1" x14ac:dyDescent="0.25">
      <c r="B39" s="1138"/>
      <c r="C39" s="567" t="s">
        <v>353</v>
      </c>
      <c r="D39" s="567" t="s">
        <v>283</v>
      </c>
      <c r="E39" s="567" t="s">
        <v>249</v>
      </c>
      <c r="F39" s="573" t="s">
        <v>153</v>
      </c>
      <c r="G39" s="578">
        <v>6736979</v>
      </c>
      <c r="H39" s="569">
        <v>316316</v>
      </c>
      <c r="I39" s="569">
        <v>135325</v>
      </c>
      <c r="J39" s="579">
        <f>SUM(G39:I39)</f>
        <v>7188620</v>
      </c>
      <c r="K39" s="584">
        <f>+J39*(1+$L$7)</f>
        <v>7389901.3600000003</v>
      </c>
      <c r="L39" s="1141"/>
      <c r="M39" s="34"/>
      <c r="N39" s="39"/>
      <c r="O39" s="39"/>
      <c r="P39" s="24"/>
      <c r="Q39" s="24"/>
      <c r="R39" s="24"/>
      <c r="S39" s="42"/>
      <c r="T39" s="42"/>
      <c r="U39" s="43"/>
      <c r="V39" s="43"/>
      <c r="W39" s="44"/>
      <c r="X39" s="44"/>
    </row>
    <row r="40" spans="2:24" ht="12.75" customHeight="1" thickBot="1" x14ac:dyDescent="0.25">
      <c r="B40" s="1138"/>
      <c r="C40" s="567" t="s">
        <v>354</v>
      </c>
      <c r="D40" s="567" t="s">
        <v>280</v>
      </c>
      <c r="E40" s="567" t="s">
        <v>249</v>
      </c>
      <c r="F40" s="573" t="s">
        <v>153</v>
      </c>
      <c r="G40" s="578">
        <v>6637044</v>
      </c>
      <c r="H40" s="569">
        <v>316316</v>
      </c>
      <c r="I40" s="569">
        <v>135325</v>
      </c>
      <c r="J40" s="579">
        <f>SUM(G40:I40)</f>
        <v>7088685</v>
      </c>
      <c r="K40" s="584">
        <f>+J40*(1+$L$7)</f>
        <v>7287168.1800000006</v>
      </c>
      <c r="L40" s="1141"/>
      <c r="M40" s="34"/>
      <c r="N40" s="39"/>
      <c r="O40" s="39"/>
      <c r="P40" s="24"/>
      <c r="Q40" s="24"/>
      <c r="R40" s="24"/>
      <c r="S40" s="42"/>
      <c r="T40" s="42"/>
      <c r="U40" s="43"/>
      <c r="V40" s="43"/>
      <c r="W40" s="44"/>
      <c r="X40" s="44"/>
    </row>
    <row r="41" spans="2:24" ht="12.75" customHeight="1" thickBot="1" x14ac:dyDescent="0.25">
      <c r="B41" s="1138"/>
      <c r="C41" s="567" t="s">
        <v>355</v>
      </c>
      <c r="D41" s="567" t="s">
        <v>356</v>
      </c>
      <c r="E41" s="567" t="s">
        <v>249</v>
      </c>
      <c r="F41" s="573" t="s">
        <v>153</v>
      </c>
      <c r="G41" s="578">
        <v>6584916</v>
      </c>
      <c r="H41" s="569">
        <v>316316</v>
      </c>
      <c r="I41" s="569">
        <v>135325</v>
      </c>
      <c r="J41" s="579">
        <f>SUM(G41:I41)</f>
        <v>7036557</v>
      </c>
      <c r="K41" s="584">
        <f>+J41*(1+$L$7)</f>
        <v>7233580.5959999999</v>
      </c>
      <c r="L41" s="1141"/>
      <c r="M41" s="34"/>
      <c r="N41" s="39"/>
      <c r="O41" s="39"/>
      <c r="P41" s="24"/>
      <c r="Q41" s="24"/>
      <c r="R41" s="24"/>
      <c r="S41" s="42"/>
      <c r="T41" s="42"/>
      <c r="U41" s="43"/>
      <c r="V41" s="43"/>
      <c r="W41" s="44"/>
      <c r="X41" s="44"/>
    </row>
    <row r="42" spans="2:24" ht="12.75" customHeight="1" thickBot="1" x14ac:dyDescent="0.25">
      <c r="B42" s="1138"/>
      <c r="C42" s="567" t="s">
        <v>357</v>
      </c>
      <c r="D42" s="567" t="s">
        <v>358</v>
      </c>
      <c r="E42" s="567" t="s">
        <v>249</v>
      </c>
      <c r="F42" s="573" t="s">
        <v>153</v>
      </c>
      <c r="G42" s="578">
        <v>6128748</v>
      </c>
      <c r="H42" s="569">
        <v>316316</v>
      </c>
      <c r="I42" s="569">
        <v>135325</v>
      </c>
      <c r="J42" s="579">
        <f>SUM(G42:I42)</f>
        <v>6580389</v>
      </c>
      <c r="K42" s="584">
        <f>+J42*(1+$L$7)</f>
        <v>6764639.892</v>
      </c>
      <c r="L42" s="1141"/>
      <c r="M42" s="34"/>
      <c r="N42" s="39"/>
      <c r="O42" s="39"/>
      <c r="P42" s="24"/>
      <c r="Q42" s="24"/>
      <c r="R42" s="24"/>
      <c r="S42" s="42"/>
      <c r="T42" s="42"/>
      <c r="U42" s="43"/>
      <c r="V42" s="43"/>
      <c r="W42" s="44"/>
      <c r="X42" s="44"/>
    </row>
    <row r="43" spans="2:24" ht="12.75" customHeight="1" thickBot="1" x14ac:dyDescent="0.25">
      <c r="B43" s="1138"/>
      <c r="C43" s="567" t="s">
        <v>359</v>
      </c>
      <c r="D43" s="567" t="s">
        <v>360</v>
      </c>
      <c r="E43" s="567" t="s">
        <v>249</v>
      </c>
      <c r="F43" s="573" t="s">
        <v>153</v>
      </c>
      <c r="G43" s="578">
        <v>6128748</v>
      </c>
      <c r="H43" s="569">
        <v>316316</v>
      </c>
      <c r="I43" s="569">
        <v>135325</v>
      </c>
      <c r="J43" s="579">
        <f t="shared" si="0"/>
        <v>6580389</v>
      </c>
      <c r="K43" s="584">
        <f t="shared" si="1"/>
        <v>6764639.892</v>
      </c>
      <c r="L43" s="1141"/>
      <c r="M43" s="34"/>
      <c r="N43" s="39"/>
      <c r="O43" s="39"/>
      <c r="P43" s="24"/>
      <c r="Q43" s="24"/>
      <c r="R43" s="24"/>
      <c r="S43" s="42"/>
      <c r="T43" s="42"/>
      <c r="U43" s="43"/>
      <c r="V43" s="43"/>
      <c r="W43" s="44"/>
      <c r="X43" s="44"/>
    </row>
    <row r="44" spans="2:24" ht="12.75" customHeight="1" thickBot="1" x14ac:dyDescent="0.25">
      <c r="B44" s="1138"/>
      <c r="C44" s="567" t="s">
        <v>361</v>
      </c>
      <c r="D44" s="567" t="s">
        <v>347</v>
      </c>
      <c r="E44" s="567" t="s">
        <v>249</v>
      </c>
      <c r="F44" s="573" t="s">
        <v>153</v>
      </c>
      <c r="G44" s="578">
        <v>6128748</v>
      </c>
      <c r="H44" s="569">
        <v>316316</v>
      </c>
      <c r="I44" s="569">
        <v>135325</v>
      </c>
      <c r="J44" s="579">
        <f t="shared" si="0"/>
        <v>6580389</v>
      </c>
      <c r="K44" s="584">
        <f t="shared" si="1"/>
        <v>6764639.892</v>
      </c>
      <c r="L44" s="1141"/>
      <c r="M44" s="34"/>
      <c r="N44" s="39"/>
      <c r="O44" s="39"/>
      <c r="P44" s="24"/>
      <c r="Q44" s="24"/>
      <c r="R44" s="24"/>
      <c r="S44" s="42"/>
      <c r="T44" s="42"/>
      <c r="U44" s="43"/>
      <c r="V44" s="43"/>
      <c r="W44" s="44"/>
      <c r="X44" s="44"/>
    </row>
    <row r="45" spans="2:24" ht="12.75" customHeight="1" thickBot="1" x14ac:dyDescent="0.25">
      <c r="B45" s="1138"/>
      <c r="C45" s="567" t="s">
        <v>362</v>
      </c>
      <c r="D45" s="567" t="s">
        <v>363</v>
      </c>
      <c r="E45" s="567" t="s">
        <v>249</v>
      </c>
      <c r="F45" s="573" t="s">
        <v>153</v>
      </c>
      <c r="G45" s="578">
        <v>6736979</v>
      </c>
      <c r="H45" s="569">
        <v>316316</v>
      </c>
      <c r="I45" s="569">
        <v>135325</v>
      </c>
      <c r="J45" s="579">
        <f t="shared" si="0"/>
        <v>7188620</v>
      </c>
      <c r="K45" s="584">
        <f t="shared" si="1"/>
        <v>7389901.3600000003</v>
      </c>
      <c r="L45" s="1141"/>
      <c r="M45" s="34"/>
      <c r="N45" s="39"/>
      <c r="O45" s="39"/>
      <c r="P45" s="24"/>
      <c r="Q45" s="24"/>
      <c r="R45" s="24"/>
      <c r="S45" s="42"/>
      <c r="T45" s="42"/>
      <c r="U45" s="43"/>
      <c r="V45" s="43"/>
      <c r="W45" s="44"/>
      <c r="X45" s="44"/>
    </row>
    <row r="46" spans="2:24" ht="12.75" customHeight="1" thickBot="1" x14ac:dyDescent="0.25">
      <c r="B46" s="1138"/>
      <c r="C46" s="567" t="s">
        <v>364</v>
      </c>
      <c r="D46" s="567" t="s">
        <v>365</v>
      </c>
      <c r="E46" s="567" t="s">
        <v>253</v>
      </c>
      <c r="F46" s="573" t="s">
        <v>153</v>
      </c>
      <c r="G46" s="578">
        <v>3966024</v>
      </c>
      <c r="H46" s="569">
        <v>316316</v>
      </c>
      <c r="I46" s="569">
        <v>135325</v>
      </c>
      <c r="J46" s="579">
        <f t="shared" si="0"/>
        <v>4417665</v>
      </c>
      <c r="K46" s="584">
        <f t="shared" si="1"/>
        <v>4541359.62</v>
      </c>
      <c r="L46" s="1141"/>
      <c r="M46" s="34"/>
      <c r="N46" s="39"/>
      <c r="O46" s="39"/>
      <c r="P46" s="24"/>
      <c r="Q46" s="24"/>
      <c r="R46" s="24"/>
      <c r="S46" s="42"/>
      <c r="T46" s="42"/>
      <c r="U46" s="43"/>
      <c r="V46" s="43"/>
      <c r="W46" s="44"/>
      <c r="X46" s="44"/>
    </row>
    <row r="47" spans="2:24" ht="12.75" customHeight="1" thickBot="1" x14ac:dyDescent="0.25">
      <c r="B47" s="1138"/>
      <c r="C47" s="567" t="s">
        <v>366</v>
      </c>
      <c r="D47" s="567" t="s">
        <v>280</v>
      </c>
      <c r="E47" s="567" t="s">
        <v>253</v>
      </c>
      <c r="F47" s="573" t="s">
        <v>153</v>
      </c>
      <c r="G47" s="578">
        <v>4353250</v>
      </c>
      <c r="H47" s="569">
        <v>316316</v>
      </c>
      <c r="I47" s="569">
        <v>135325</v>
      </c>
      <c r="J47" s="579">
        <f t="shared" si="0"/>
        <v>4804891</v>
      </c>
      <c r="K47" s="584">
        <f t="shared" si="1"/>
        <v>4939427.9479999999</v>
      </c>
      <c r="L47" s="1141"/>
      <c r="M47" s="34"/>
      <c r="N47" s="39"/>
      <c r="O47" s="39"/>
      <c r="P47" s="24"/>
      <c r="Q47" s="24"/>
      <c r="R47" s="24"/>
      <c r="S47" s="42"/>
      <c r="T47" s="42"/>
      <c r="U47" s="43"/>
      <c r="V47" s="43"/>
      <c r="W47" s="44"/>
      <c r="X47" s="44"/>
    </row>
    <row r="48" spans="2:24" ht="12.75" customHeight="1" thickBot="1" x14ac:dyDescent="0.25">
      <c r="B48" s="1138"/>
      <c r="C48" s="567" t="s">
        <v>367</v>
      </c>
      <c r="D48" s="567" t="s">
        <v>368</v>
      </c>
      <c r="E48" s="567" t="s">
        <v>252</v>
      </c>
      <c r="F48" s="573" t="s">
        <v>153</v>
      </c>
      <c r="G48" s="578">
        <v>4482276</v>
      </c>
      <c r="H48" s="569">
        <v>316316</v>
      </c>
      <c r="I48" s="569">
        <v>135325</v>
      </c>
      <c r="J48" s="579">
        <f t="shared" si="0"/>
        <v>4933917</v>
      </c>
      <c r="K48" s="584">
        <f t="shared" si="1"/>
        <v>5072066.676</v>
      </c>
      <c r="L48" s="1141"/>
      <c r="M48" s="34"/>
      <c r="N48" s="39"/>
      <c r="O48" s="39"/>
      <c r="P48" s="24"/>
      <c r="Q48" s="24"/>
      <c r="R48" s="24"/>
      <c r="S48" s="42"/>
      <c r="T48" s="42"/>
      <c r="U48" s="43"/>
      <c r="V48" s="43"/>
      <c r="W48" s="44"/>
      <c r="X48" s="44"/>
    </row>
    <row r="49" spans="2:24" ht="12.75" customHeight="1" thickBot="1" x14ac:dyDescent="0.25">
      <c r="B49" s="1138"/>
      <c r="C49" s="567" t="s">
        <v>369</v>
      </c>
      <c r="D49" s="567" t="s">
        <v>370</v>
      </c>
      <c r="E49" s="567" t="s">
        <v>252</v>
      </c>
      <c r="F49" s="573" t="s">
        <v>153</v>
      </c>
      <c r="G49" s="578">
        <v>6833844</v>
      </c>
      <c r="H49" s="569">
        <v>316316</v>
      </c>
      <c r="I49" s="569">
        <v>135325</v>
      </c>
      <c r="J49" s="579">
        <f t="shared" si="0"/>
        <v>7285485</v>
      </c>
      <c r="K49" s="584">
        <f t="shared" si="1"/>
        <v>7489478.5800000001</v>
      </c>
      <c r="L49" s="1141"/>
      <c r="M49" s="34"/>
      <c r="N49" s="39"/>
      <c r="O49" s="39"/>
      <c r="P49" s="24"/>
      <c r="Q49" s="24"/>
      <c r="R49" s="24"/>
      <c r="S49" s="42"/>
      <c r="T49" s="42"/>
      <c r="U49" s="43"/>
      <c r="V49" s="43"/>
      <c r="W49" s="44"/>
      <c r="X49" s="44"/>
    </row>
    <row r="50" spans="2:24" ht="12.75" customHeight="1" thickBot="1" x14ac:dyDescent="0.25">
      <c r="B50" s="1139"/>
      <c r="C50" s="570" t="s">
        <v>371</v>
      </c>
      <c r="D50" s="570" t="s">
        <v>372</v>
      </c>
      <c r="E50" s="567" t="s">
        <v>252</v>
      </c>
      <c r="F50" s="573" t="s">
        <v>153</v>
      </c>
      <c r="G50" s="580">
        <v>4704168</v>
      </c>
      <c r="H50" s="569">
        <v>316316</v>
      </c>
      <c r="I50" s="569">
        <v>135325</v>
      </c>
      <c r="J50" s="581">
        <f t="shared" si="0"/>
        <v>5155809</v>
      </c>
      <c r="K50" s="585">
        <f t="shared" si="1"/>
        <v>5300171.6519999998</v>
      </c>
      <c r="L50" s="1142"/>
      <c r="M50" s="34"/>
      <c r="N50" s="39"/>
      <c r="O50" s="39"/>
      <c r="P50" s="39"/>
      <c r="Q50" s="39"/>
      <c r="R50" s="39"/>
      <c r="S50" s="42"/>
      <c r="T50" s="42"/>
      <c r="U50" s="43"/>
      <c r="V50" s="43"/>
      <c r="W50" s="44"/>
      <c r="X50" s="44"/>
    </row>
    <row r="51" spans="2:24" ht="12.75" customHeight="1" thickBot="1" x14ac:dyDescent="0.25">
      <c r="B51" s="1137" t="str">
        <f>+'B) Reajuste Tarifas y Ocupación'!A16</f>
        <v>Jardín Infantil Pecesitos de Colores</v>
      </c>
      <c r="C51" s="568" t="s">
        <v>373</v>
      </c>
      <c r="D51" s="568" t="s">
        <v>374</v>
      </c>
      <c r="E51" s="567" t="s">
        <v>249</v>
      </c>
      <c r="F51" s="573" t="s">
        <v>285</v>
      </c>
      <c r="G51" s="576">
        <v>4644900</v>
      </c>
      <c r="H51" s="569">
        <v>316316</v>
      </c>
      <c r="I51" s="569">
        <v>135325</v>
      </c>
      <c r="J51" s="577">
        <f t="shared" si="0"/>
        <v>5096541</v>
      </c>
      <c r="K51" s="583">
        <f t="shared" si="1"/>
        <v>5239244.148</v>
      </c>
      <c r="L51" s="1140">
        <f>SUM(K51:K56)</f>
        <v>5239244.148</v>
      </c>
      <c r="M51" s="34"/>
      <c r="N51" s="39"/>
      <c r="O51" s="39"/>
      <c r="P51" s="93"/>
      <c r="Q51" s="93"/>
      <c r="R51" s="93"/>
      <c r="T51" s="297"/>
      <c r="U51" s="297"/>
      <c r="V51" s="297"/>
      <c r="W51" s="297"/>
    </row>
    <row r="52" spans="2:24" ht="12.75" customHeight="1" thickBot="1" x14ac:dyDescent="0.25">
      <c r="B52" s="1138"/>
      <c r="C52" s="567"/>
      <c r="D52" s="567"/>
      <c r="E52" s="567"/>
      <c r="F52" s="573" t="s">
        <v>285</v>
      </c>
      <c r="G52" s="578"/>
      <c r="H52" s="569"/>
      <c r="I52" s="569"/>
      <c r="J52" s="579">
        <f t="shared" si="0"/>
        <v>0</v>
      </c>
      <c r="K52" s="584">
        <f t="shared" si="1"/>
        <v>0</v>
      </c>
      <c r="L52" s="1141"/>
      <c r="M52" s="34"/>
      <c r="N52" s="39"/>
      <c r="O52" s="39"/>
      <c r="P52" s="24"/>
      <c r="Q52" s="24"/>
      <c r="R52" s="24"/>
      <c r="S52" s="42"/>
      <c r="T52" s="42"/>
      <c r="U52" s="43"/>
      <c r="V52" s="43"/>
      <c r="W52" s="44"/>
      <c r="X52" s="44"/>
    </row>
    <row r="53" spans="2:24" ht="12.75" customHeight="1" x14ac:dyDescent="0.2">
      <c r="B53" s="1138"/>
      <c r="C53" s="567"/>
      <c r="D53" s="567"/>
      <c r="E53" s="567" t="s">
        <v>253</v>
      </c>
      <c r="F53" s="573" t="s">
        <v>285</v>
      </c>
      <c r="G53" s="578">
        <v>0</v>
      </c>
      <c r="H53" s="510">
        <v>0</v>
      </c>
      <c r="I53" s="510">
        <v>0</v>
      </c>
      <c r="J53" s="579">
        <f t="shared" si="0"/>
        <v>0</v>
      </c>
      <c r="K53" s="584">
        <f t="shared" si="1"/>
        <v>0</v>
      </c>
      <c r="L53" s="1141"/>
      <c r="M53" s="34"/>
      <c r="N53" s="39"/>
      <c r="O53" s="39"/>
      <c r="P53" s="24"/>
      <c r="Q53" s="24"/>
      <c r="R53" s="24"/>
      <c r="S53" s="42"/>
      <c r="T53" s="42"/>
      <c r="U53" s="43"/>
      <c r="V53" s="43"/>
      <c r="W53" s="44"/>
      <c r="X53" s="44"/>
    </row>
    <row r="54" spans="2:24" ht="12.75" customHeight="1" x14ac:dyDescent="0.2">
      <c r="B54" s="1138"/>
      <c r="C54" s="567"/>
      <c r="D54" s="567"/>
      <c r="E54" s="567"/>
      <c r="F54" s="574"/>
      <c r="G54" s="578">
        <v>0</v>
      </c>
      <c r="H54" s="510">
        <v>0</v>
      </c>
      <c r="I54" s="510">
        <v>0</v>
      </c>
      <c r="J54" s="579">
        <f t="shared" si="0"/>
        <v>0</v>
      </c>
      <c r="K54" s="584">
        <f t="shared" si="1"/>
        <v>0</v>
      </c>
      <c r="L54" s="1141"/>
      <c r="M54" s="34"/>
      <c r="N54" s="39"/>
      <c r="O54" s="39"/>
      <c r="P54" s="24"/>
      <c r="Q54" s="24"/>
      <c r="R54" s="24"/>
      <c r="S54" s="42"/>
      <c r="T54" s="42"/>
      <c r="U54" s="43"/>
      <c r="V54" s="43"/>
      <c r="W54" s="44"/>
      <c r="X54" s="44"/>
    </row>
    <row r="55" spans="2:24" ht="12.75" customHeight="1" x14ac:dyDescent="0.2">
      <c r="B55" s="1138"/>
      <c r="C55" s="567"/>
      <c r="D55" s="567"/>
      <c r="E55" s="567"/>
      <c r="F55" s="574"/>
      <c r="G55" s="578">
        <v>0</v>
      </c>
      <c r="H55" s="510">
        <v>0</v>
      </c>
      <c r="I55" s="510">
        <v>0</v>
      </c>
      <c r="J55" s="579">
        <f t="shared" si="0"/>
        <v>0</v>
      </c>
      <c r="K55" s="584">
        <f t="shared" si="1"/>
        <v>0</v>
      </c>
      <c r="L55" s="1141"/>
      <c r="M55" s="34"/>
      <c r="N55" s="39"/>
      <c r="O55" s="39"/>
      <c r="P55" s="24"/>
      <c r="Q55" s="24"/>
      <c r="R55" s="24"/>
      <c r="S55" s="42"/>
      <c r="T55" s="42"/>
      <c r="U55" s="43"/>
      <c r="V55" s="43"/>
      <c r="W55" s="44"/>
      <c r="X55" s="44"/>
    </row>
    <row r="56" spans="2:24" ht="12.75" customHeight="1" thickBot="1" x14ac:dyDescent="0.25">
      <c r="B56" s="1139"/>
      <c r="C56" s="570"/>
      <c r="D56" s="570"/>
      <c r="E56" s="570"/>
      <c r="F56" s="575"/>
      <c r="G56" s="580">
        <v>0</v>
      </c>
      <c r="H56" s="571">
        <v>0</v>
      </c>
      <c r="I56" s="571">
        <v>0</v>
      </c>
      <c r="J56" s="581">
        <f t="shared" si="0"/>
        <v>0</v>
      </c>
      <c r="K56" s="585">
        <f t="shared" si="1"/>
        <v>0</v>
      </c>
      <c r="L56" s="1142"/>
      <c r="M56" s="34"/>
      <c r="N56" s="39"/>
      <c r="O56" s="39"/>
      <c r="P56" s="24"/>
      <c r="Q56" s="24"/>
      <c r="R56" s="24"/>
      <c r="S56" s="42"/>
      <c r="T56" s="42"/>
      <c r="U56" s="43"/>
      <c r="V56" s="43"/>
      <c r="W56" s="44"/>
      <c r="X56" s="44"/>
    </row>
    <row r="57" spans="2:24" ht="13.5" thickBot="1" x14ac:dyDescent="0.25">
      <c r="B57" s="1137" t="str">
        <f>+'B) Reajuste Tarifas y Ocupación'!A17</f>
        <v>Jardín Infantil Caracolito de Mar</v>
      </c>
      <c r="C57" s="568" t="s">
        <v>377</v>
      </c>
      <c r="D57" s="568" t="s">
        <v>378</v>
      </c>
      <c r="E57" s="567" t="s">
        <v>249</v>
      </c>
      <c r="F57" s="573" t="s">
        <v>286</v>
      </c>
      <c r="G57" s="576">
        <v>6637044</v>
      </c>
      <c r="H57" s="569">
        <v>316316</v>
      </c>
      <c r="I57" s="569">
        <v>135325</v>
      </c>
      <c r="J57" s="577">
        <f t="shared" si="0"/>
        <v>7088685</v>
      </c>
      <c r="K57" s="583">
        <f t="shared" si="1"/>
        <v>7287168.1800000006</v>
      </c>
      <c r="L57" s="1140">
        <f>SUM(K57:K68)</f>
        <v>31252019.316000003</v>
      </c>
      <c r="M57" s="34"/>
      <c r="N57" s="39"/>
      <c r="O57" s="39"/>
      <c r="P57" s="93"/>
      <c r="Q57" s="93"/>
      <c r="R57" s="93"/>
      <c r="T57" s="297"/>
      <c r="U57" s="297"/>
      <c r="V57" s="297"/>
      <c r="W57" s="297"/>
    </row>
    <row r="58" spans="2:24" ht="13.5" thickBot="1" x14ac:dyDescent="0.25">
      <c r="B58" s="1138"/>
      <c r="C58" s="567" t="s">
        <v>379</v>
      </c>
      <c r="D58" s="567" t="s">
        <v>380</v>
      </c>
      <c r="E58" s="567" t="s">
        <v>249</v>
      </c>
      <c r="F58" s="573" t="s">
        <v>286</v>
      </c>
      <c r="G58" s="578">
        <v>6584916</v>
      </c>
      <c r="H58" s="569">
        <v>316316</v>
      </c>
      <c r="I58" s="569">
        <v>135325</v>
      </c>
      <c r="J58" s="579">
        <f t="shared" si="0"/>
        <v>7036557</v>
      </c>
      <c r="K58" s="584">
        <f t="shared" si="1"/>
        <v>7233580.5959999999</v>
      </c>
      <c r="L58" s="1141"/>
      <c r="M58" s="34"/>
      <c r="N58" s="39"/>
      <c r="O58" s="39"/>
      <c r="P58" s="24"/>
      <c r="Q58" s="24"/>
      <c r="R58" s="24"/>
      <c r="S58" s="42"/>
      <c r="T58" s="42"/>
      <c r="U58" s="43"/>
      <c r="V58" s="43"/>
      <c r="W58" s="44"/>
      <c r="X58" s="44"/>
    </row>
    <row r="59" spans="2:24" ht="13.5" thickBot="1" x14ac:dyDescent="0.25">
      <c r="B59" s="1138"/>
      <c r="C59" s="567" t="s">
        <v>381</v>
      </c>
      <c r="D59" s="567" t="s">
        <v>382</v>
      </c>
      <c r="E59" s="567" t="s">
        <v>249</v>
      </c>
      <c r="F59" s="573" t="s">
        <v>286</v>
      </c>
      <c r="G59" s="578">
        <v>6736980</v>
      </c>
      <c r="H59" s="569">
        <v>316316</v>
      </c>
      <c r="I59" s="569">
        <v>135325</v>
      </c>
      <c r="J59" s="579">
        <f t="shared" si="0"/>
        <v>7188621</v>
      </c>
      <c r="K59" s="584">
        <f t="shared" si="1"/>
        <v>7389902.3880000003</v>
      </c>
      <c r="L59" s="1141"/>
      <c r="M59" s="34"/>
      <c r="N59" s="39"/>
      <c r="O59" s="39"/>
      <c r="P59" s="24"/>
      <c r="Q59" s="24"/>
      <c r="R59" s="24"/>
      <c r="S59" s="42"/>
      <c r="T59" s="42"/>
      <c r="U59" s="43"/>
      <c r="V59" s="43"/>
      <c r="W59" s="44"/>
      <c r="X59" s="44"/>
    </row>
    <row r="60" spans="2:24" ht="13.5" thickBot="1" x14ac:dyDescent="0.25">
      <c r="B60" s="1138"/>
      <c r="C60" s="567" t="s">
        <v>406</v>
      </c>
      <c r="D60" s="567" t="s">
        <v>407</v>
      </c>
      <c r="E60" s="567" t="s">
        <v>252</v>
      </c>
      <c r="F60" s="573" t="s">
        <v>286</v>
      </c>
      <c r="G60" s="578">
        <v>4195956</v>
      </c>
      <c r="H60" s="569">
        <v>316316</v>
      </c>
      <c r="I60" s="569">
        <v>135325</v>
      </c>
      <c r="J60" s="579">
        <f t="shared" si="0"/>
        <v>4647597</v>
      </c>
      <c r="K60" s="584">
        <f t="shared" si="1"/>
        <v>4777729.716</v>
      </c>
      <c r="L60" s="1141"/>
      <c r="M60" s="34"/>
      <c r="N60" s="39"/>
      <c r="O60" s="39"/>
      <c r="P60" s="24"/>
      <c r="Q60" s="24"/>
      <c r="R60" s="24"/>
      <c r="S60" s="42"/>
      <c r="T60" s="42"/>
      <c r="U60" s="43"/>
      <c r="V60" s="43"/>
      <c r="W60" s="44"/>
      <c r="X60" s="44"/>
    </row>
    <row r="61" spans="2:24" x14ac:dyDescent="0.2">
      <c r="B61" s="1138"/>
      <c r="C61" s="567" t="s">
        <v>383</v>
      </c>
      <c r="D61" s="567" t="s">
        <v>257</v>
      </c>
      <c r="E61" s="567" t="s">
        <v>253</v>
      </c>
      <c r="F61" s="573" t="s">
        <v>286</v>
      </c>
      <c r="G61" s="578">
        <v>3987696</v>
      </c>
      <c r="H61" s="569">
        <v>316316</v>
      </c>
      <c r="I61" s="569">
        <v>135325</v>
      </c>
      <c r="J61" s="579">
        <f t="shared" si="0"/>
        <v>4439337</v>
      </c>
      <c r="K61" s="584">
        <f t="shared" si="1"/>
        <v>4563638.4359999998</v>
      </c>
      <c r="L61" s="1141"/>
      <c r="M61" s="34"/>
      <c r="N61" s="39"/>
      <c r="O61" s="39"/>
      <c r="P61" s="24"/>
      <c r="Q61" s="24"/>
      <c r="R61" s="24"/>
      <c r="S61" s="42"/>
      <c r="T61" s="42"/>
      <c r="U61" s="43"/>
      <c r="V61" s="43"/>
      <c r="W61" s="44"/>
      <c r="X61" s="44"/>
    </row>
    <row r="62" spans="2:24" x14ac:dyDescent="0.2">
      <c r="B62" s="1138"/>
      <c r="C62" s="567"/>
      <c r="D62" s="567"/>
      <c r="E62" s="567"/>
      <c r="F62" s="574"/>
      <c r="G62" s="578">
        <v>0</v>
      </c>
      <c r="H62" s="510">
        <v>0</v>
      </c>
      <c r="I62" s="510">
        <v>0</v>
      </c>
      <c r="J62" s="579">
        <f t="shared" si="0"/>
        <v>0</v>
      </c>
      <c r="K62" s="584">
        <f t="shared" si="1"/>
        <v>0</v>
      </c>
      <c r="L62" s="1141"/>
      <c r="M62" s="34"/>
      <c r="N62" s="39"/>
      <c r="O62" s="39"/>
      <c r="P62" s="24"/>
      <c r="Q62" s="24"/>
      <c r="R62" s="24"/>
      <c r="S62" s="42"/>
      <c r="T62" s="42"/>
      <c r="U62" s="43"/>
      <c r="V62" s="43"/>
      <c r="W62" s="44"/>
      <c r="X62" s="44"/>
    </row>
    <row r="63" spans="2:24" x14ac:dyDescent="0.2">
      <c r="B63" s="1138"/>
      <c r="C63" s="567"/>
      <c r="D63" s="567"/>
      <c r="E63" s="567"/>
      <c r="F63" s="574"/>
      <c r="G63" s="578">
        <v>0</v>
      </c>
      <c r="H63" s="510">
        <v>0</v>
      </c>
      <c r="I63" s="510">
        <v>0</v>
      </c>
      <c r="J63" s="579">
        <f t="shared" si="0"/>
        <v>0</v>
      </c>
      <c r="K63" s="584">
        <f t="shared" si="1"/>
        <v>0</v>
      </c>
      <c r="L63" s="1141"/>
      <c r="M63" s="34"/>
      <c r="N63" s="39"/>
      <c r="O63" s="39"/>
      <c r="P63" s="24"/>
      <c r="Q63" s="24"/>
      <c r="R63" s="24"/>
      <c r="S63" s="42"/>
      <c r="T63" s="42"/>
      <c r="U63" s="43"/>
      <c r="V63" s="43"/>
      <c r="W63" s="44"/>
      <c r="X63" s="44"/>
    </row>
    <row r="64" spans="2:24" x14ac:dyDescent="0.2">
      <c r="B64" s="1138"/>
      <c r="C64" s="567"/>
      <c r="D64" s="567"/>
      <c r="E64" s="567"/>
      <c r="F64" s="574"/>
      <c r="G64" s="578">
        <v>0</v>
      </c>
      <c r="H64" s="510">
        <v>0</v>
      </c>
      <c r="I64" s="510">
        <v>0</v>
      </c>
      <c r="J64" s="579">
        <f t="shared" si="0"/>
        <v>0</v>
      </c>
      <c r="K64" s="584">
        <f t="shared" si="1"/>
        <v>0</v>
      </c>
      <c r="L64" s="1141"/>
      <c r="M64" s="34"/>
      <c r="N64" s="39"/>
      <c r="O64" s="39"/>
      <c r="P64" s="24"/>
      <c r="Q64" s="24"/>
      <c r="R64" s="24"/>
      <c r="S64" s="42"/>
      <c r="T64" s="42"/>
      <c r="U64" s="43"/>
      <c r="V64" s="43"/>
      <c r="W64" s="44"/>
      <c r="X64" s="44"/>
    </row>
    <row r="65" spans="2:24" x14ac:dyDescent="0.2">
      <c r="B65" s="1138"/>
      <c r="C65" s="567"/>
      <c r="D65" s="567"/>
      <c r="E65" s="567"/>
      <c r="F65" s="574"/>
      <c r="G65" s="578">
        <v>0</v>
      </c>
      <c r="H65" s="510">
        <v>0</v>
      </c>
      <c r="I65" s="510">
        <v>0</v>
      </c>
      <c r="J65" s="579">
        <f t="shared" si="0"/>
        <v>0</v>
      </c>
      <c r="K65" s="584">
        <f t="shared" si="1"/>
        <v>0</v>
      </c>
      <c r="L65" s="1141"/>
      <c r="M65" s="34"/>
      <c r="N65" s="39"/>
      <c r="O65" s="39"/>
      <c r="P65" s="24"/>
      <c r="Q65" s="24"/>
      <c r="R65" s="24"/>
      <c r="S65" s="42"/>
      <c r="T65" s="42"/>
      <c r="U65" s="43"/>
      <c r="V65" s="43"/>
      <c r="W65" s="44"/>
      <c r="X65" s="44"/>
    </row>
    <row r="66" spans="2:24" x14ac:dyDescent="0.2">
      <c r="B66" s="1138"/>
      <c r="C66" s="567"/>
      <c r="D66" s="567"/>
      <c r="E66" s="567"/>
      <c r="F66" s="574"/>
      <c r="G66" s="578">
        <v>0</v>
      </c>
      <c r="H66" s="510">
        <v>0</v>
      </c>
      <c r="I66" s="510">
        <v>0</v>
      </c>
      <c r="J66" s="579">
        <f t="shared" si="0"/>
        <v>0</v>
      </c>
      <c r="K66" s="584">
        <f t="shared" si="1"/>
        <v>0</v>
      </c>
      <c r="L66" s="1141"/>
      <c r="M66" s="34"/>
      <c r="N66" s="39"/>
      <c r="O66" s="39"/>
      <c r="P66" s="24"/>
      <c r="Q66" s="24"/>
      <c r="R66" s="24"/>
      <c r="S66" s="42"/>
      <c r="T66" s="42"/>
      <c r="U66" s="43"/>
      <c r="V66" s="43"/>
      <c r="W66" s="44"/>
      <c r="X66" s="44"/>
    </row>
    <row r="67" spans="2:24" x14ac:dyDescent="0.2">
      <c r="B67" s="1138"/>
      <c r="C67" s="567"/>
      <c r="D67" s="567"/>
      <c r="E67" s="567"/>
      <c r="F67" s="574"/>
      <c r="G67" s="578">
        <v>0</v>
      </c>
      <c r="H67" s="510">
        <v>0</v>
      </c>
      <c r="I67" s="510">
        <v>0</v>
      </c>
      <c r="J67" s="579">
        <f t="shared" si="0"/>
        <v>0</v>
      </c>
      <c r="K67" s="584">
        <f t="shared" si="1"/>
        <v>0</v>
      </c>
      <c r="L67" s="1141"/>
      <c r="M67" s="34"/>
      <c r="N67" s="39"/>
      <c r="O67" s="39"/>
      <c r="P67" s="24"/>
      <c r="Q67" s="24"/>
      <c r="R67" s="24"/>
      <c r="S67" s="42"/>
      <c r="T67" s="42"/>
      <c r="U67" s="43"/>
      <c r="V67" s="43"/>
      <c r="W67" s="44"/>
      <c r="X67" s="44"/>
    </row>
    <row r="68" spans="2:24" ht="13.5" thickBot="1" x14ac:dyDescent="0.25">
      <c r="B68" s="1139"/>
      <c r="C68" s="570"/>
      <c r="D68" s="570"/>
      <c r="E68" s="570"/>
      <c r="F68" s="575"/>
      <c r="G68" s="580">
        <v>0</v>
      </c>
      <c r="H68" s="571">
        <v>0</v>
      </c>
      <c r="I68" s="571">
        <v>0</v>
      </c>
      <c r="J68" s="581">
        <f t="shared" si="0"/>
        <v>0</v>
      </c>
      <c r="K68" s="585">
        <f t="shared" si="1"/>
        <v>0</v>
      </c>
      <c r="L68" s="1142"/>
      <c r="M68" s="34"/>
      <c r="N68" s="39"/>
      <c r="O68" s="39"/>
      <c r="P68" s="24"/>
      <c r="Q68" s="24"/>
      <c r="R68" s="24"/>
      <c r="S68" s="42"/>
      <c r="T68" s="42"/>
      <c r="U68" s="43"/>
      <c r="V68" s="43"/>
      <c r="W68" s="44"/>
      <c r="X68" s="44"/>
    </row>
    <row r="69" spans="2:24" ht="15" x14ac:dyDescent="0.2">
      <c r="B69" s="1148" t="s">
        <v>117</v>
      </c>
      <c r="C69" s="1149" t="s">
        <v>74</v>
      </c>
      <c r="D69" s="1149" t="s">
        <v>75</v>
      </c>
      <c r="E69" s="1151" t="s">
        <v>3</v>
      </c>
      <c r="F69" s="1153" t="s">
        <v>83</v>
      </c>
      <c r="G69" s="1143" t="s">
        <v>164</v>
      </c>
      <c r="H69" s="1144"/>
      <c r="I69" s="1144"/>
      <c r="J69" s="1145"/>
      <c r="K69" s="1146" t="s">
        <v>166</v>
      </c>
      <c r="L69" s="1147" t="s">
        <v>118</v>
      </c>
      <c r="O69" s="32"/>
      <c r="P69" s="32"/>
      <c r="Q69" s="32"/>
      <c r="R69" s="32"/>
      <c r="S69" s="32"/>
      <c r="T69" s="32"/>
    </row>
    <row r="70" spans="2:24" ht="39" thickBot="1" x14ac:dyDescent="0.25">
      <c r="B70" s="1148"/>
      <c r="C70" s="1150"/>
      <c r="D70" s="1150"/>
      <c r="E70" s="1152"/>
      <c r="F70" s="1154"/>
      <c r="G70" s="582" t="s">
        <v>119</v>
      </c>
      <c r="H70" s="572" t="s">
        <v>120</v>
      </c>
      <c r="I70" s="572" t="s">
        <v>121</v>
      </c>
      <c r="J70" s="566" t="s">
        <v>165</v>
      </c>
      <c r="K70" s="1146"/>
      <c r="L70" s="1147"/>
      <c r="M70" s="34"/>
      <c r="N70" s="92"/>
      <c r="O70" s="92"/>
      <c r="P70" s="24"/>
      <c r="Q70" s="24"/>
      <c r="R70" s="24"/>
      <c r="S70" s="34"/>
      <c r="T70" s="1160"/>
      <c r="U70" s="1160"/>
      <c r="V70" s="1160"/>
      <c r="W70" s="1160"/>
      <c r="X70" s="34"/>
    </row>
    <row r="71" spans="2:24" ht="13.5" thickBot="1" x14ac:dyDescent="0.25">
      <c r="B71" s="1137" t="str">
        <f>+'A) Resumen Ingresos y Egresos'!A13</f>
        <v>Sala Cuna Caracolito de Mar Diurna</v>
      </c>
      <c r="C71" s="568" t="s">
        <v>386</v>
      </c>
      <c r="D71" s="568" t="s">
        <v>387</v>
      </c>
      <c r="E71" s="568" t="s">
        <v>251</v>
      </c>
      <c r="F71" s="573" t="s">
        <v>287</v>
      </c>
      <c r="G71" s="576">
        <f>698117*12</f>
        <v>8377404</v>
      </c>
      <c r="H71" s="569">
        <v>316316</v>
      </c>
      <c r="I71" s="569">
        <v>135325</v>
      </c>
      <c r="J71" s="577">
        <f t="shared" ref="J71:J128" si="4">SUM(G71:I71)</f>
        <v>8829045</v>
      </c>
      <c r="K71" s="583">
        <f t="shared" ref="K71:K85" si="5">+J71*(1+$L$7)</f>
        <v>9076258.2599999998</v>
      </c>
      <c r="L71" s="1140">
        <f>SUM(K71:K85)</f>
        <v>98298801.256000012</v>
      </c>
      <c r="M71" s="34"/>
      <c r="N71" s="39"/>
      <c r="O71" s="39"/>
      <c r="P71" s="24"/>
      <c r="Q71" s="24"/>
      <c r="R71" s="24"/>
      <c r="S71" s="42"/>
      <c r="T71" s="42"/>
      <c r="U71" s="43"/>
      <c r="V71" s="43"/>
      <c r="W71" s="44"/>
      <c r="X71" s="44"/>
    </row>
    <row r="72" spans="2:24" ht="13.5" thickBot="1" x14ac:dyDescent="0.25">
      <c r="B72" s="1138"/>
      <c r="C72" s="567" t="s">
        <v>388</v>
      </c>
      <c r="D72" s="567" t="s">
        <v>266</v>
      </c>
      <c r="E72" s="568" t="s">
        <v>251</v>
      </c>
      <c r="F72" s="573" t="s">
        <v>287</v>
      </c>
      <c r="G72" s="578">
        <f>732496*12</f>
        <v>8789952</v>
      </c>
      <c r="H72" s="569">
        <v>316316</v>
      </c>
      <c r="I72" s="569">
        <v>135325</v>
      </c>
      <c r="J72" s="579">
        <f t="shared" si="4"/>
        <v>9241593</v>
      </c>
      <c r="K72" s="584">
        <f t="shared" si="5"/>
        <v>9500357.6040000003</v>
      </c>
      <c r="L72" s="1141"/>
      <c r="M72" s="34"/>
      <c r="N72" s="39"/>
      <c r="O72" s="39"/>
      <c r="P72" s="39"/>
      <c r="Q72" s="39"/>
      <c r="R72" s="39"/>
      <c r="S72" s="42"/>
      <c r="T72" s="42"/>
      <c r="U72" s="43"/>
      <c r="V72" s="43"/>
      <c r="W72" s="44"/>
      <c r="X72" s="44"/>
    </row>
    <row r="73" spans="2:24" ht="13.5" thickBot="1" x14ac:dyDescent="0.25">
      <c r="B73" s="1138"/>
      <c r="C73" s="567" t="s">
        <v>389</v>
      </c>
      <c r="D73" s="567" t="s">
        <v>390</v>
      </c>
      <c r="E73" s="568" t="s">
        <v>251</v>
      </c>
      <c r="F73" s="573" t="s">
        <v>287</v>
      </c>
      <c r="G73" s="578">
        <f>751625*12</f>
        <v>9019500</v>
      </c>
      <c r="H73" s="569">
        <v>316316</v>
      </c>
      <c r="I73" s="569">
        <v>135325</v>
      </c>
      <c r="J73" s="579">
        <f t="shared" si="4"/>
        <v>9471141</v>
      </c>
      <c r="K73" s="584">
        <f t="shared" si="5"/>
        <v>9736332.9480000008</v>
      </c>
      <c r="L73" s="1141"/>
      <c r="M73" s="34"/>
      <c r="N73" s="39"/>
      <c r="O73" s="39"/>
      <c r="P73" s="93"/>
      <c r="Q73" s="93"/>
      <c r="R73" s="93"/>
      <c r="T73" s="297"/>
      <c r="U73" s="297"/>
      <c r="V73" s="297"/>
      <c r="W73" s="297"/>
    </row>
    <row r="74" spans="2:24" ht="13.5" thickBot="1" x14ac:dyDescent="0.25">
      <c r="B74" s="1138"/>
      <c r="C74" s="567" t="s">
        <v>391</v>
      </c>
      <c r="D74" s="567" t="s">
        <v>257</v>
      </c>
      <c r="E74" s="567" t="s">
        <v>249</v>
      </c>
      <c r="F74" s="573" t="s">
        <v>287</v>
      </c>
      <c r="G74" s="578">
        <v>6736980</v>
      </c>
      <c r="H74" s="569">
        <v>316316</v>
      </c>
      <c r="I74" s="569">
        <v>135325</v>
      </c>
      <c r="J74" s="579">
        <f t="shared" si="4"/>
        <v>7188621</v>
      </c>
      <c r="K74" s="584">
        <f t="shared" si="5"/>
        <v>7389902.3880000003</v>
      </c>
      <c r="L74" s="1141"/>
      <c r="M74" s="34"/>
      <c r="N74" s="39"/>
      <c r="O74" s="39"/>
      <c r="P74" s="24"/>
      <c r="Q74" s="24"/>
      <c r="R74" s="24"/>
      <c r="S74" s="42"/>
      <c r="T74" s="42"/>
      <c r="U74" s="43"/>
      <c r="V74" s="43"/>
      <c r="W74" s="44"/>
      <c r="X74" s="44"/>
    </row>
    <row r="75" spans="2:24" ht="13.5" thickBot="1" x14ac:dyDescent="0.25">
      <c r="B75" s="1138"/>
      <c r="C75" s="567" t="s">
        <v>392</v>
      </c>
      <c r="D75" s="567" t="s">
        <v>393</v>
      </c>
      <c r="E75" s="567" t="s">
        <v>249</v>
      </c>
      <c r="F75" s="573" t="s">
        <v>287</v>
      </c>
      <c r="G75" s="578">
        <v>6736980</v>
      </c>
      <c r="H75" s="569">
        <v>316316</v>
      </c>
      <c r="I75" s="569">
        <v>135325</v>
      </c>
      <c r="J75" s="579">
        <f t="shared" si="4"/>
        <v>7188621</v>
      </c>
      <c r="K75" s="584">
        <f t="shared" si="5"/>
        <v>7389902.3880000003</v>
      </c>
      <c r="L75" s="1141"/>
      <c r="M75" s="34"/>
      <c r="N75" s="39"/>
      <c r="O75" s="39"/>
      <c r="P75" s="24"/>
      <c r="Q75" s="24"/>
      <c r="R75" s="24"/>
      <c r="S75" s="42"/>
      <c r="T75" s="42"/>
      <c r="U75" s="43"/>
      <c r="V75" s="43"/>
      <c r="W75" s="44"/>
      <c r="X75" s="44"/>
    </row>
    <row r="76" spans="2:24" ht="13.5" thickBot="1" x14ac:dyDescent="0.25">
      <c r="B76" s="1138"/>
      <c r="C76" s="567" t="s">
        <v>394</v>
      </c>
      <c r="D76" s="567" t="s">
        <v>395</v>
      </c>
      <c r="E76" s="567" t="s">
        <v>249</v>
      </c>
      <c r="F76" s="573" t="s">
        <v>287</v>
      </c>
      <c r="G76" s="578">
        <v>6587076</v>
      </c>
      <c r="H76" s="569">
        <v>316316</v>
      </c>
      <c r="I76" s="569">
        <v>135325</v>
      </c>
      <c r="J76" s="579">
        <f t="shared" si="4"/>
        <v>7038717</v>
      </c>
      <c r="K76" s="584">
        <f t="shared" si="5"/>
        <v>7235801.0760000004</v>
      </c>
      <c r="L76" s="1141"/>
      <c r="M76" s="34"/>
      <c r="N76" s="39"/>
      <c r="O76" s="39"/>
      <c r="P76" s="24"/>
      <c r="Q76" s="24"/>
      <c r="R76" s="24"/>
      <c r="S76" s="42"/>
      <c r="T76" s="42"/>
      <c r="U76" s="43"/>
      <c r="V76" s="43"/>
      <c r="W76" s="44"/>
      <c r="X76" s="44"/>
    </row>
    <row r="77" spans="2:24" ht="13.5" thickBot="1" x14ac:dyDescent="0.25">
      <c r="B77" s="1138"/>
      <c r="C77" s="567" t="s">
        <v>396</v>
      </c>
      <c r="D77" s="567" t="s">
        <v>397</v>
      </c>
      <c r="E77" s="567" t="s">
        <v>249</v>
      </c>
      <c r="F77" s="573" t="s">
        <v>287</v>
      </c>
      <c r="G77" s="578">
        <v>6128729</v>
      </c>
      <c r="H77" s="569">
        <v>316316</v>
      </c>
      <c r="I77" s="569">
        <v>135325</v>
      </c>
      <c r="J77" s="579">
        <f t="shared" si="4"/>
        <v>6580370</v>
      </c>
      <c r="K77" s="584">
        <f t="shared" si="5"/>
        <v>6764620.3600000003</v>
      </c>
      <c r="L77" s="1141"/>
      <c r="M77" s="34"/>
      <c r="N77" s="39"/>
      <c r="O77" s="39"/>
      <c r="P77" s="24"/>
      <c r="Q77" s="24"/>
      <c r="R77" s="24"/>
      <c r="S77" s="42"/>
      <c r="T77" s="42"/>
      <c r="U77" s="43"/>
      <c r="V77" s="43"/>
      <c r="W77" s="44"/>
      <c r="X77" s="44"/>
    </row>
    <row r="78" spans="2:24" ht="13.5" thickBot="1" x14ac:dyDescent="0.25">
      <c r="B78" s="1138"/>
      <c r="C78" s="567" t="s">
        <v>398</v>
      </c>
      <c r="D78" s="567" t="s">
        <v>399</v>
      </c>
      <c r="E78" s="567" t="s">
        <v>249</v>
      </c>
      <c r="F78" s="573" t="s">
        <v>287</v>
      </c>
      <c r="G78" s="578">
        <v>6736980</v>
      </c>
      <c r="H78" s="569">
        <v>316316</v>
      </c>
      <c r="I78" s="569">
        <v>135325</v>
      </c>
      <c r="J78" s="579">
        <f t="shared" si="4"/>
        <v>7188621</v>
      </c>
      <c r="K78" s="584">
        <f t="shared" si="5"/>
        <v>7389902.3880000003</v>
      </c>
      <c r="L78" s="1141"/>
      <c r="M78" s="34"/>
      <c r="N78" s="39"/>
      <c r="O78" s="39"/>
      <c r="P78" s="24"/>
      <c r="Q78" s="24"/>
      <c r="R78" s="24"/>
      <c r="S78" s="42"/>
      <c r="T78" s="42"/>
      <c r="U78" s="43"/>
      <c r="V78" s="43"/>
      <c r="W78" s="44"/>
      <c r="X78" s="44"/>
    </row>
    <row r="79" spans="2:24" ht="13.5" thickBot="1" x14ac:dyDescent="0.25">
      <c r="B79" s="1138"/>
      <c r="C79" s="567" t="s">
        <v>400</v>
      </c>
      <c r="D79" s="567" t="s">
        <v>401</v>
      </c>
      <c r="E79" s="567" t="s">
        <v>249</v>
      </c>
      <c r="F79" s="573" t="s">
        <v>287</v>
      </c>
      <c r="G79" s="578">
        <v>6637044</v>
      </c>
      <c r="H79" s="569">
        <v>316316</v>
      </c>
      <c r="I79" s="569">
        <v>135325</v>
      </c>
      <c r="J79" s="579">
        <f t="shared" si="4"/>
        <v>7088685</v>
      </c>
      <c r="K79" s="584">
        <f t="shared" si="5"/>
        <v>7287168.1800000006</v>
      </c>
      <c r="L79" s="1141"/>
      <c r="M79" s="34"/>
      <c r="N79" s="39"/>
      <c r="O79" s="39"/>
      <c r="P79" s="24"/>
      <c r="Q79" s="24"/>
      <c r="R79" s="24"/>
      <c r="S79" s="42"/>
      <c r="T79" s="42"/>
      <c r="U79" s="43"/>
      <c r="V79" s="43"/>
      <c r="W79" s="44"/>
      <c r="X79" s="44"/>
    </row>
    <row r="80" spans="2:24" ht="13.5" thickBot="1" x14ac:dyDescent="0.25">
      <c r="B80" s="1138"/>
      <c r="C80" s="567" t="s">
        <v>402</v>
      </c>
      <c r="D80" s="567" t="s">
        <v>403</v>
      </c>
      <c r="E80" s="567" t="s">
        <v>249</v>
      </c>
      <c r="F80" s="573" t="s">
        <v>287</v>
      </c>
      <c r="G80" s="578">
        <v>7751748</v>
      </c>
      <c r="H80" s="569">
        <v>316316</v>
      </c>
      <c r="I80" s="569">
        <v>135325</v>
      </c>
      <c r="J80" s="579">
        <f t="shared" si="4"/>
        <v>8203389</v>
      </c>
      <c r="K80" s="584">
        <f t="shared" si="5"/>
        <v>8433083.8920000009</v>
      </c>
      <c r="L80" s="1141"/>
      <c r="M80" s="34"/>
      <c r="N80" s="39"/>
      <c r="O80" s="39"/>
      <c r="P80" s="24"/>
      <c r="Q80" s="24"/>
      <c r="R80" s="24"/>
      <c r="S80" s="42"/>
      <c r="T80" s="42"/>
      <c r="U80" s="43"/>
      <c r="V80" s="43"/>
      <c r="W80" s="44"/>
      <c r="X80" s="44"/>
    </row>
    <row r="81" spans="2:24" ht="13.5" thickBot="1" x14ac:dyDescent="0.25">
      <c r="B81" s="1138"/>
      <c r="C81" s="567" t="s">
        <v>405</v>
      </c>
      <c r="D81" s="567" t="s">
        <v>271</v>
      </c>
      <c r="E81" s="567" t="s">
        <v>252</v>
      </c>
      <c r="F81" s="573" t="s">
        <v>287</v>
      </c>
      <c r="G81" s="578">
        <v>7777704</v>
      </c>
      <c r="H81" s="569">
        <v>316316</v>
      </c>
      <c r="I81" s="569">
        <v>135325</v>
      </c>
      <c r="J81" s="579">
        <f t="shared" si="4"/>
        <v>8229345</v>
      </c>
      <c r="K81" s="584">
        <f t="shared" si="5"/>
        <v>8459766.6600000001</v>
      </c>
      <c r="L81" s="1141"/>
      <c r="M81" s="34"/>
      <c r="N81" s="39"/>
      <c r="O81" s="39"/>
      <c r="P81" s="24"/>
      <c r="Q81" s="24"/>
      <c r="R81" s="24"/>
      <c r="S81" s="42"/>
      <c r="T81" s="42"/>
      <c r="U81" s="43"/>
      <c r="V81" s="43"/>
      <c r="W81" s="44"/>
      <c r="X81" s="44"/>
    </row>
    <row r="82" spans="2:24" ht="13.5" thickBot="1" x14ac:dyDescent="0.25">
      <c r="B82" s="1138"/>
      <c r="C82" s="567" t="s">
        <v>384</v>
      </c>
      <c r="D82" s="567" t="s">
        <v>385</v>
      </c>
      <c r="E82" s="567" t="s">
        <v>252</v>
      </c>
      <c r="F82" s="573" t="s">
        <v>287</v>
      </c>
      <c r="G82" s="578">
        <v>4482276</v>
      </c>
      <c r="H82" s="569">
        <v>316316</v>
      </c>
      <c r="I82" s="569">
        <v>135325</v>
      </c>
      <c r="J82" s="579">
        <f t="shared" si="4"/>
        <v>4933917</v>
      </c>
      <c r="K82" s="584">
        <f t="shared" si="5"/>
        <v>5072066.676</v>
      </c>
      <c r="L82" s="1141"/>
      <c r="M82" s="34"/>
      <c r="N82" s="39"/>
      <c r="O82" s="39"/>
      <c r="P82" s="24"/>
      <c r="Q82" s="24"/>
      <c r="R82" s="24"/>
      <c r="S82" s="42"/>
      <c r="T82" s="42"/>
      <c r="U82" s="43"/>
      <c r="V82" s="43"/>
      <c r="W82" s="44"/>
      <c r="X82" s="44"/>
    </row>
    <row r="83" spans="2:24" ht="13.5" thickBot="1" x14ac:dyDescent="0.25">
      <c r="B83" s="1138"/>
      <c r="C83" s="570" t="s">
        <v>408</v>
      </c>
      <c r="D83" s="570" t="s">
        <v>409</v>
      </c>
      <c r="E83" s="567" t="s">
        <v>253</v>
      </c>
      <c r="F83" s="573" t="s">
        <v>287</v>
      </c>
      <c r="G83" s="578">
        <v>3987696</v>
      </c>
      <c r="H83" s="569">
        <v>316316</v>
      </c>
      <c r="I83" s="569">
        <v>135325</v>
      </c>
      <c r="J83" s="579">
        <f t="shared" si="4"/>
        <v>4439337</v>
      </c>
      <c r="K83" s="584">
        <f t="shared" si="5"/>
        <v>4563638.4359999998</v>
      </c>
      <c r="L83" s="1141"/>
      <c r="M83" s="34"/>
      <c r="N83" s="39"/>
      <c r="O83" s="39"/>
      <c r="P83" s="24"/>
      <c r="Q83" s="24"/>
      <c r="R83" s="24"/>
      <c r="S83" s="42"/>
      <c r="T83" s="42"/>
      <c r="U83" s="43"/>
      <c r="V83" s="43"/>
      <c r="W83" s="44"/>
      <c r="X83" s="44"/>
    </row>
    <row r="84" spans="2:24" ht="13.5" thickBot="1" x14ac:dyDescent="0.25">
      <c r="B84" s="1138"/>
      <c r="C84" s="567"/>
      <c r="D84" s="567"/>
      <c r="E84" s="567"/>
      <c r="F84" s="573"/>
      <c r="G84" s="578">
        <v>0</v>
      </c>
      <c r="H84" s="578">
        <v>0</v>
      </c>
      <c r="I84" s="578">
        <v>0</v>
      </c>
      <c r="J84" s="579">
        <f t="shared" si="4"/>
        <v>0</v>
      </c>
      <c r="K84" s="584">
        <f t="shared" si="5"/>
        <v>0</v>
      </c>
      <c r="L84" s="1141"/>
      <c r="M84" s="34"/>
      <c r="N84" s="39"/>
      <c r="O84" s="39"/>
      <c r="P84" s="24"/>
      <c r="Q84" s="24"/>
      <c r="R84" s="24"/>
      <c r="S84" s="42"/>
      <c r="T84" s="42"/>
      <c r="U84" s="43"/>
      <c r="V84" s="43"/>
      <c r="W84" s="44"/>
      <c r="X84" s="44"/>
    </row>
    <row r="85" spans="2:24" ht="13.5" thickBot="1" x14ac:dyDescent="0.25">
      <c r="B85" s="1139"/>
      <c r="C85" s="570"/>
      <c r="D85" s="570"/>
      <c r="E85" s="567"/>
      <c r="F85" s="573"/>
      <c r="G85" s="578">
        <v>0</v>
      </c>
      <c r="H85" s="578">
        <v>0</v>
      </c>
      <c r="I85" s="578">
        <v>0</v>
      </c>
      <c r="J85" s="581">
        <f t="shared" si="4"/>
        <v>0</v>
      </c>
      <c r="K85" s="585">
        <f t="shared" si="5"/>
        <v>0</v>
      </c>
      <c r="L85" s="1142"/>
      <c r="M85" s="34"/>
      <c r="N85" s="39"/>
      <c r="O85" s="39"/>
      <c r="P85" s="24"/>
      <c r="Q85" s="24"/>
      <c r="R85" s="24"/>
      <c r="S85" s="42"/>
      <c r="T85" s="42"/>
      <c r="U85" s="43"/>
      <c r="V85" s="43"/>
      <c r="W85" s="44"/>
      <c r="X85" s="44"/>
    </row>
    <row r="86" spans="2:24" ht="13.5" thickBot="1" x14ac:dyDescent="0.25">
      <c r="B86" s="1137" t="str">
        <f>+'A) Resumen Ingresos y Egresos'!A14</f>
        <v>Sala Cuna Caracolito de Mar Nocturna</v>
      </c>
      <c r="C86" s="567" t="s">
        <v>261</v>
      </c>
      <c r="D86" s="567" t="s">
        <v>262</v>
      </c>
      <c r="E86" s="567" t="s">
        <v>249</v>
      </c>
      <c r="F86" s="573" t="s">
        <v>287</v>
      </c>
      <c r="G86" s="578">
        <v>6568332</v>
      </c>
      <c r="H86" s="569">
        <v>316316</v>
      </c>
      <c r="I86" s="569">
        <v>135325</v>
      </c>
      <c r="J86" s="577">
        <f t="shared" ref="J86:J100" si="6">SUM(G86:I86)</f>
        <v>7019973</v>
      </c>
      <c r="K86" s="583">
        <f t="shared" ref="K86:K100" si="7">+J86*(1+$L$7)</f>
        <v>7216532.2439999999</v>
      </c>
      <c r="L86" s="1140">
        <f>SUM(K86:K100)</f>
        <v>16863971.976</v>
      </c>
      <c r="M86" s="34"/>
      <c r="N86" s="39"/>
      <c r="O86" s="39"/>
      <c r="P86" s="24"/>
      <c r="Q86" s="24"/>
      <c r="R86" s="24"/>
      <c r="S86" s="42"/>
      <c r="T86" s="42"/>
      <c r="U86" s="43"/>
      <c r="V86" s="43"/>
      <c r="W86" s="44"/>
      <c r="X86" s="44"/>
    </row>
    <row r="87" spans="2:24" ht="12.75" customHeight="1" x14ac:dyDescent="0.2">
      <c r="B87" s="1138"/>
      <c r="C87" s="567" t="s">
        <v>404</v>
      </c>
      <c r="D87" s="567" t="s">
        <v>283</v>
      </c>
      <c r="E87" s="567" t="s">
        <v>249</v>
      </c>
      <c r="F87" s="573" t="s">
        <v>287</v>
      </c>
      <c r="G87" s="578">
        <v>8933028</v>
      </c>
      <c r="H87" s="569">
        <v>316316</v>
      </c>
      <c r="I87" s="569">
        <v>135325</v>
      </c>
      <c r="J87" s="579">
        <f t="shared" si="6"/>
        <v>9384669</v>
      </c>
      <c r="K87" s="584">
        <f t="shared" si="7"/>
        <v>9647439.7320000008</v>
      </c>
      <c r="L87" s="1141"/>
      <c r="M87" s="34"/>
      <c r="N87" s="39"/>
      <c r="O87" s="39"/>
      <c r="P87" s="39"/>
      <c r="Q87" s="39"/>
      <c r="R87" s="39"/>
      <c r="S87" s="42"/>
      <c r="T87" s="42"/>
      <c r="U87" s="43"/>
      <c r="V87" s="43"/>
      <c r="W87" s="44"/>
      <c r="X87" s="44"/>
    </row>
    <row r="88" spans="2:24" ht="12.75" customHeight="1" x14ac:dyDescent="0.2">
      <c r="B88" s="1138"/>
      <c r="C88" s="567"/>
      <c r="D88" s="567"/>
      <c r="E88" s="567"/>
      <c r="F88" s="574"/>
      <c r="G88" s="578">
        <v>0</v>
      </c>
      <c r="H88" s="510">
        <v>0</v>
      </c>
      <c r="I88" s="510">
        <v>0</v>
      </c>
      <c r="J88" s="579">
        <f t="shared" si="6"/>
        <v>0</v>
      </c>
      <c r="K88" s="584">
        <f t="shared" si="7"/>
        <v>0</v>
      </c>
      <c r="L88" s="1141"/>
      <c r="M88" s="34"/>
      <c r="N88" s="39"/>
      <c r="O88" s="39"/>
      <c r="P88" s="93"/>
      <c r="Q88" s="93"/>
      <c r="R88" s="93"/>
      <c r="T88" s="297"/>
      <c r="U88" s="297"/>
      <c r="V88" s="297"/>
      <c r="W88" s="297"/>
    </row>
    <row r="89" spans="2:24" ht="12.75" customHeight="1" x14ac:dyDescent="0.2">
      <c r="B89" s="1138"/>
      <c r="C89" s="567"/>
      <c r="D89" s="567"/>
      <c r="E89" s="567"/>
      <c r="F89" s="574"/>
      <c r="G89" s="578">
        <v>0</v>
      </c>
      <c r="H89" s="510">
        <v>0</v>
      </c>
      <c r="I89" s="510">
        <v>0</v>
      </c>
      <c r="J89" s="579">
        <f t="shared" si="6"/>
        <v>0</v>
      </c>
      <c r="K89" s="584">
        <f t="shared" si="7"/>
        <v>0</v>
      </c>
      <c r="L89" s="1141"/>
      <c r="M89" s="34"/>
      <c r="N89" s="39"/>
      <c r="O89" s="39"/>
      <c r="P89" s="24"/>
      <c r="Q89" s="24"/>
      <c r="R89" s="24"/>
      <c r="S89" s="42"/>
      <c r="T89" s="42"/>
      <c r="U89" s="43"/>
      <c r="V89" s="43"/>
      <c r="W89" s="44"/>
      <c r="X89" s="44"/>
    </row>
    <row r="90" spans="2:24" ht="12.75" customHeight="1" x14ac:dyDescent="0.2">
      <c r="B90" s="1138"/>
      <c r="C90" s="567"/>
      <c r="D90" s="567"/>
      <c r="E90" s="567"/>
      <c r="F90" s="574"/>
      <c r="G90" s="578">
        <v>0</v>
      </c>
      <c r="H90" s="510">
        <v>0</v>
      </c>
      <c r="I90" s="510">
        <v>0</v>
      </c>
      <c r="J90" s="579">
        <f t="shared" si="6"/>
        <v>0</v>
      </c>
      <c r="K90" s="584">
        <f t="shared" si="7"/>
        <v>0</v>
      </c>
      <c r="L90" s="1141"/>
      <c r="M90" s="34"/>
      <c r="N90" s="39"/>
      <c r="O90" s="39"/>
      <c r="P90" s="24"/>
      <c r="Q90" s="24"/>
      <c r="R90" s="24"/>
      <c r="S90" s="42"/>
      <c r="T90" s="42"/>
      <c r="U90" s="43"/>
      <c r="V90" s="43"/>
      <c r="W90" s="44"/>
      <c r="X90" s="44"/>
    </row>
    <row r="91" spans="2:24" ht="12.75" customHeight="1" x14ac:dyDescent="0.2">
      <c r="B91" s="1138"/>
      <c r="C91" s="567"/>
      <c r="D91" s="567"/>
      <c r="E91" s="567"/>
      <c r="F91" s="574"/>
      <c r="G91" s="578">
        <v>0</v>
      </c>
      <c r="H91" s="510">
        <v>0</v>
      </c>
      <c r="I91" s="510">
        <v>0</v>
      </c>
      <c r="J91" s="579">
        <f t="shared" si="6"/>
        <v>0</v>
      </c>
      <c r="K91" s="584">
        <f t="shared" si="7"/>
        <v>0</v>
      </c>
      <c r="L91" s="1141"/>
      <c r="M91" s="34"/>
      <c r="N91" s="39"/>
      <c r="O91" s="39"/>
      <c r="P91" s="24"/>
      <c r="Q91" s="24"/>
      <c r="R91" s="24"/>
      <c r="S91" s="42"/>
      <c r="T91" s="42"/>
      <c r="U91" s="43"/>
      <c r="V91" s="43"/>
      <c r="W91" s="44"/>
      <c r="X91" s="44"/>
    </row>
    <row r="92" spans="2:24" ht="12.75" customHeight="1" x14ac:dyDescent="0.2">
      <c r="B92" s="1138"/>
      <c r="C92" s="567"/>
      <c r="D92" s="567"/>
      <c r="E92" s="567"/>
      <c r="F92" s="574"/>
      <c r="G92" s="578">
        <v>0</v>
      </c>
      <c r="H92" s="510">
        <v>0</v>
      </c>
      <c r="I92" s="510">
        <v>0</v>
      </c>
      <c r="J92" s="579">
        <f t="shared" si="6"/>
        <v>0</v>
      </c>
      <c r="K92" s="584">
        <f t="shared" si="7"/>
        <v>0</v>
      </c>
      <c r="L92" s="1141"/>
      <c r="M92" s="34"/>
      <c r="N92" s="39"/>
      <c r="O92" s="39"/>
      <c r="P92" s="24"/>
      <c r="Q92" s="24"/>
      <c r="R92" s="24"/>
      <c r="S92" s="42"/>
      <c r="T92" s="42"/>
      <c r="U92" s="43"/>
      <c r="V92" s="43"/>
      <c r="W92" s="44"/>
      <c r="X92" s="44"/>
    </row>
    <row r="93" spans="2:24" ht="12.75" customHeight="1" x14ac:dyDescent="0.2">
      <c r="B93" s="1138"/>
      <c r="C93" s="567"/>
      <c r="D93" s="567"/>
      <c r="E93" s="567"/>
      <c r="F93" s="574"/>
      <c r="G93" s="578">
        <v>0</v>
      </c>
      <c r="H93" s="510">
        <v>0</v>
      </c>
      <c r="I93" s="510">
        <v>0</v>
      </c>
      <c r="J93" s="579">
        <f t="shared" si="6"/>
        <v>0</v>
      </c>
      <c r="K93" s="584">
        <f t="shared" si="7"/>
        <v>0</v>
      </c>
      <c r="L93" s="1141"/>
      <c r="M93" s="34"/>
      <c r="N93" s="39"/>
      <c r="O93" s="39"/>
      <c r="P93" s="24"/>
      <c r="Q93" s="24"/>
      <c r="R93" s="24"/>
      <c r="S93" s="42"/>
      <c r="T93" s="42"/>
      <c r="U93" s="43"/>
      <c r="V93" s="43"/>
      <c r="W93" s="44"/>
      <c r="X93" s="44"/>
    </row>
    <row r="94" spans="2:24" x14ac:dyDescent="0.2">
      <c r="B94" s="1138"/>
      <c r="C94" s="567"/>
      <c r="D94" s="567"/>
      <c r="E94" s="567"/>
      <c r="F94" s="574"/>
      <c r="G94" s="578">
        <v>0</v>
      </c>
      <c r="H94" s="510">
        <v>0</v>
      </c>
      <c r="I94" s="510">
        <v>0</v>
      </c>
      <c r="J94" s="579">
        <f t="shared" si="6"/>
        <v>0</v>
      </c>
      <c r="K94" s="584">
        <f t="shared" si="7"/>
        <v>0</v>
      </c>
      <c r="L94" s="1141"/>
      <c r="M94" s="34"/>
      <c r="N94" s="39"/>
      <c r="O94" s="39"/>
      <c r="P94" s="24"/>
      <c r="Q94" s="24"/>
      <c r="R94" s="24"/>
      <c r="S94" s="42"/>
      <c r="T94" s="42"/>
      <c r="U94" s="43"/>
      <c r="V94" s="43"/>
      <c r="W94" s="44"/>
      <c r="X94" s="44"/>
    </row>
    <row r="95" spans="2:24" ht="12.75" customHeight="1" x14ac:dyDescent="0.2">
      <c r="B95" s="1138"/>
      <c r="C95" s="567"/>
      <c r="D95" s="567"/>
      <c r="E95" s="567"/>
      <c r="F95" s="574"/>
      <c r="G95" s="578">
        <v>0</v>
      </c>
      <c r="H95" s="510">
        <v>0</v>
      </c>
      <c r="I95" s="510">
        <v>0</v>
      </c>
      <c r="J95" s="579">
        <f t="shared" si="6"/>
        <v>0</v>
      </c>
      <c r="K95" s="584">
        <f t="shared" si="7"/>
        <v>0</v>
      </c>
      <c r="L95" s="1141"/>
      <c r="M95" s="34"/>
      <c r="N95" s="39"/>
      <c r="O95" s="39"/>
      <c r="P95" s="24"/>
      <c r="Q95" s="24"/>
      <c r="R95" s="24"/>
      <c r="S95" s="42"/>
      <c r="T95" s="42"/>
      <c r="U95" s="43"/>
      <c r="V95" s="43"/>
      <c r="W95" s="44"/>
      <c r="X95" s="44"/>
    </row>
    <row r="96" spans="2:24" ht="12.75" customHeight="1" x14ac:dyDescent="0.2">
      <c r="B96" s="1138"/>
      <c r="C96" s="567"/>
      <c r="D96" s="567"/>
      <c r="E96" s="567"/>
      <c r="F96" s="574"/>
      <c r="G96" s="578">
        <v>0</v>
      </c>
      <c r="H96" s="510">
        <v>0</v>
      </c>
      <c r="I96" s="510">
        <v>0</v>
      </c>
      <c r="J96" s="579">
        <f t="shared" si="6"/>
        <v>0</v>
      </c>
      <c r="K96" s="584">
        <f t="shared" si="7"/>
        <v>0</v>
      </c>
      <c r="L96" s="1141"/>
      <c r="M96" s="34"/>
      <c r="N96" s="39"/>
      <c r="O96" s="39"/>
      <c r="P96" s="24"/>
      <c r="Q96" s="24"/>
      <c r="R96" s="24"/>
      <c r="S96" s="42"/>
      <c r="T96" s="42"/>
      <c r="U96" s="43"/>
      <c r="V96" s="43"/>
      <c r="W96" s="44"/>
      <c r="X96" s="44"/>
    </row>
    <row r="97" spans="2:24" ht="13.5" customHeight="1" x14ac:dyDescent="0.2">
      <c r="B97" s="1138"/>
      <c r="C97" s="567"/>
      <c r="D97" s="567"/>
      <c r="E97" s="567"/>
      <c r="F97" s="574"/>
      <c r="G97" s="578">
        <v>0</v>
      </c>
      <c r="H97" s="510">
        <v>0</v>
      </c>
      <c r="I97" s="510">
        <v>0</v>
      </c>
      <c r="J97" s="579">
        <f t="shared" si="6"/>
        <v>0</v>
      </c>
      <c r="K97" s="584">
        <f t="shared" si="7"/>
        <v>0</v>
      </c>
      <c r="L97" s="1141"/>
      <c r="M97" s="34"/>
      <c r="N97" s="39"/>
      <c r="O97" s="39"/>
      <c r="P97" s="24"/>
      <c r="Q97" s="24"/>
      <c r="R97" s="24"/>
      <c r="S97" s="42"/>
      <c r="T97" s="42"/>
      <c r="U97" s="43"/>
      <c r="V97" s="43"/>
      <c r="W97" s="44"/>
      <c r="X97" s="44"/>
    </row>
    <row r="98" spans="2:24" ht="12.75" customHeight="1" x14ac:dyDescent="0.2">
      <c r="B98" s="1138"/>
      <c r="C98" s="567"/>
      <c r="D98" s="567"/>
      <c r="E98" s="567"/>
      <c r="F98" s="574"/>
      <c r="G98" s="578">
        <v>0</v>
      </c>
      <c r="H98" s="510">
        <v>0</v>
      </c>
      <c r="I98" s="510">
        <v>0</v>
      </c>
      <c r="J98" s="579">
        <f t="shared" si="6"/>
        <v>0</v>
      </c>
      <c r="K98" s="584">
        <f t="shared" si="7"/>
        <v>0</v>
      </c>
      <c r="L98" s="1141"/>
      <c r="M98" s="34"/>
      <c r="N98" s="39"/>
      <c r="O98" s="39"/>
      <c r="P98" s="24"/>
      <c r="Q98" s="24"/>
      <c r="R98" s="24"/>
      <c r="S98" s="42"/>
      <c r="T98" s="42"/>
      <c r="U98" s="43"/>
      <c r="V98" s="43"/>
      <c r="W98" s="44"/>
      <c r="X98" s="44"/>
    </row>
    <row r="99" spans="2:24" ht="13.5" customHeight="1" x14ac:dyDescent="0.2">
      <c r="B99" s="1138"/>
      <c r="C99" s="567"/>
      <c r="D99" s="567"/>
      <c r="E99" s="567"/>
      <c r="F99" s="574"/>
      <c r="G99" s="578">
        <v>0</v>
      </c>
      <c r="H99" s="510">
        <v>0</v>
      </c>
      <c r="I99" s="510">
        <v>0</v>
      </c>
      <c r="J99" s="579">
        <f t="shared" si="6"/>
        <v>0</v>
      </c>
      <c r="K99" s="584">
        <f t="shared" si="7"/>
        <v>0</v>
      </c>
      <c r="L99" s="1141"/>
      <c r="M99" s="34"/>
      <c r="N99" s="39"/>
      <c r="O99" s="39"/>
      <c r="P99" s="24"/>
      <c r="Q99" s="24"/>
      <c r="R99" s="24"/>
      <c r="S99" s="42"/>
      <c r="T99" s="42"/>
      <c r="U99" s="43"/>
      <c r="V99" s="43"/>
      <c r="W99" s="44"/>
      <c r="X99" s="44"/>
    </row>
    <row r="100" spans="2:24" ht="13.5" customHeight="1" thickBot="1" x14ac:dyDescent="0.25">
      <c r="B100" s="1138"/>
      <c r="C100" s="759"/>
      <c r="D100" s="759"/>
      <c r="E100" s="759"/>
      <c r="F100" s="760"/>
      <c r="G100" s="755">
        <v>0</v>
      </c>
      <c r="H100" s="756">
        <v>0</v>
      </c>
      <c r="I100" s="756">
        <v>0</v>
      </c>
      <c r="J100" s="757">
        <f t="shared" si="6"/>
        <v>0</v>
      </c>
      <c r="K100" s="758">
        <f t="shared" si="7"/>
        <v>0</v>
      </c>
      <c r="L100" s="1165"/>
      <c r="M100" s="34"/>
      <c r="N100" s="39"/>
      <c r="O100" s="39"/>
      <c r="P100" s="24"/>
      <c r="Q100" s="24"/>
      <c r="R100" s="24"/>
      <c r="S100" s="42"/>
      <c r="T100" s="42"/>
      <c r="U100" s="43"/>
      <c r="V100" s="43"/>
      <c r="W100" s="44"/>
      <c r="X100" s="44"/>
    </row>
    <row r="101" spans="2:24" ht="13.5" thickBot="1" x14ac:dyDescent="0.25">
      <c r="B101" s="1137" t="str">
        <f>+'A) Resumen Ingresos y Egresos'!A15</f>
        <v>Sala Cuna Mar Azul Diurna</v>
      </c>
      <c r="C101" s="568" t="s">
        <v>410</v>
      </c>
      <c r="D101" s="568" t="s">
        <v>411</v>
      </c>
      <c r="E101" s="568" t="s">
        <v>288</v>
      </c>
      <c r="F101" s="761" t="s">
        <v>455</v>
      </c>
      <c r="G101" s="762">
        <f>732496*12</f>
        <v>8789952</v>
      </c>
      <c r="H101" s="569">
        <v>316316</v>
      </c>
      <c r="I101" s="569">
        <v>135325</v>
      </c>
      <c r="J101" s="577">
        <f t="shared" si="4"/>
        <v>9241593</v>
      </c>
      <c r="K101" s="734">
        <f>+J101*(1+$L$7)</f>
        <v>9500357.6040000003</v>
      </c>
      <c r="L101" s="1166">
        <f>SUM(K101:K128)</f>
        <v>151201598.47600001</v>
      </c>
      <c r="M101" s="34"/>
      <c r="N101" s="39"/>
      <c r="O101" s="39"/>
      <c r="P101" s="24"/>
      <c r="Q101" s="24"/>
      <c r="R101" s="24"/>
      <c r="S101" s="42"/>
      <c r="T101" s="42"/>
      <c r="U101" s="43"/>
      <c r="V101" s="43"/>
      <c r="W101" s="44"/>
      <c r="X101" s="44"/>
    </row>
    <row r="102" spans="2:24" ht="13.5" thickBot="1" x14ac:dyDescent="0.25">
      <c r="B102" s="1138"/>
      <c r="C102" s="736" t="s">
        <v>342</v>
      </c>
      <c r="D102" s="736" t="s">
        <v>412</v>
      </c>
      <c r="E102" s="568" t="s">
        <v>288</v>
      </c>
      <c r="F102" s="761" t="s">
        <v>455</v>
      </c>
      <c r="G102" s="578">
        <f>751625*12</f>
        <v>9019500</v>
      </c>
      <c r="H102" s="569">
        <v>316316</v>
      </c>
      <c r="I102" s="569">
        <v>135325</v>
      </c>
      <c r="J102" s="579">
        <f t="shared" ref="J102:J115" si="8">SUM(G102:I102)</f>
        <v>9471141</v>
      </c>
      <c r="K102" s="740">
        <f t="shared" ref="K102:K115" si="9">+J102*(1+$L$7)</f>
        <v>9736332.9480000008</v>
      </c>
      <c r="L102" s="1167"/>
      <c r="M102" s="34"/>
      <c r="N102" s="39"/>
      <c r="O102" s="39"/>
      <c r="P102" s="24"/>
      <c r="Q102" s="24"/>
      <c r="R102" s="24"/>
      <c r="S102" s="42"/>
      <c r="T102" s="42"/>
      <c r="U102" s="43"/>
      <c r="V102" s="43"/>
      <c r="W102" s="44"/>
      <c r="X102" s="44"/>
    </row>
    <row r="103" spans="2:24" ht="13.5" thickBot="1" x14ac:dyDescent="0.25">
      <c r="B103" s="1138"/>
      <c r="C103" s="736" t="s">
        <v>413</v>
      </c>
      <c r="D103" s="736" t="s">
        <v>414</v>
      </c>
      <c r="E103" s="568" t="s">
        <v>288</v>
      </c>
      <c r="F103" s="761" t="s">
        <v>455</v>
      </c>
      <c r="G103" s="578">
        <f>732495*12</f>
        <v>8789940</v>
      </c>
      <c r="H103" s="569">
        <v>316316</v>
      </c>
      <c r="I103" s="569">
        <v>135325</v>
      </c>
      <c r="J103" s="579">
        <f t="shared" si="8"/>
        <v>9241581</v>
      </c>
      <c r="K103" s="740">
        <f t="shared" si="9"/>
        <v>9500345.2680000011</v>
      </c>
      <c r="L103" s="1167"/>
      <c r="M103" s="34"/>
      <c r="N103" s="39"/>
      <c r="O103" s="39"/>
      <c r="P103" s="24"/>
      <c r="Q103" s="24"/>
      <c r="R103" s="24"/>
      <c r="S103" s="42"/>
      <c r="T103" s="42"/>
      <c r="U103" s="43"/>
      <c r="V103" s="43"/>
      <c r="W103" s="44"/>
      <c r="X103" s="44"/>
    </row>
    <row r="104" spans="2:24" ht="13.5" thickBot="1" x14ac:dyDescent="0.25">
      <c r="B104" s="1138"/>
      <c r="C104" s="736" t="s">
        <v>256</v>
      </c>
      <c r="D104" s="736" t="s">
        <v>415</v>
      </c>
      <c r="E104" s="568" t="s">
        <v>288</v>
      </c>
      <c r="F104" s="761" t="s">
        <v>455</v>
      </c>
      <c r="G104" s="578">
        <f>751625*12</f>
        <v>9019500</v>
      </c>
      <c r="H104" s="569">
        <v>316316</v>
      </c>
      <c r="I104" s="569">
        <v>135325</v>
      </c>
      <c r="J104" s="579">
        <f t="shared" si="8"/>
        <v>9471141</v>
      </c>
      <c r="K104" s="740">
        <f t="shared" si="9"/>
        <v>9736332.9480000008</v>
      </c>
      <c r="L104" s="1167"/>
      <c r="M104" s="34"/>
      <c r="N104" s="39"/>
      <c r="O104" s="39"/>
      <c r="P104" s="24"/>
      <c r="Q104" s="24"/>
      <c r="R104" s="24"/>
      <c r="S104" s="42"/>
      <c r="T104" s="42"/>
      <c r="U104" s="43"/>
      <c r="V104" s="43"/>
      <c r="W104" s="44"/>
      <c r="X104" s="44"/>
    </row>
    <row r="105" spans="2:24" ht="13.5" thickBot="1" x14ac:dyDescent="0.25">
      <c r="B105" s="1138"/>
      <c r="C105" s="736" t="s">
        <v>424</v>
      </c>
      <c r="D105" s="736" t="s">
        <v>425</v>
      </c>
      <c r="E105" s="568" t="s">
        <v>249</v>
      </c>
      <c r="F105" s="761" t="s">
        <v>455</v>
      </c>
      <c r="G105" s="578">
        <v>6432864</v>
      </c>
      <c r="H105" s="569">
        <v>316316</v>
      </c>
      <c r="I105" s="569">
        <v>135325</v>
      </c>
      <c r="J105" s="579">
        <f t="shared" si="8"/>
        <v>6884505</v>
      </c>
      <c r="K105" s="740">
        <f t="shared" si="9"/>
        <v>7077271.1400000006</v>
      </c>
      <c r="L105" s="1167"/>
      <c r="M105" s="34"/>
      <c r="N105" s="39"/>
      <c r="O105" s="39"/>
      <c r="P105" s="24"/>
      <c r="Q105" s="24"/>
      <c r="R105" s="24"/>
      <c r="S105" s="42"/>
      <c r="T105" s="42"/>
      <c r="U105" s="43"/>
      <c r="V105" s="43"/>
      <c r="W105" s="44"/>
      <c r="X105" s="44"/>
    </row>
    <row r="106" spans="2:24" ht="13.5" thickBot="1" x14ac:dyDescent="0.25">
      <c r="B106" s="1138"/>
      <c r="C106" s="736" t="s">
        <v>265</v>
      </c>
      <c r="D106" s="736" t="s">
        <v>426</v>
      </c>
      <c r="E106" s="568" t="s">
        <v>249</v>
      </c>
      <c r="F106" s="761" t="s">
        <v>455</v>
      </c>
      <c r="G106" s="578">
        <v>6736983</v>
      </c>
      <c r="H106" s="569">
        <v>316316</v>
      </c>
      <c r="I106" s="569">
        <v>135325</v>
      </c>
      <c r="J106" s="579">
        <f t="shared" si="8"/>
        <v>7188624</v>
      </c>
      <c r="K106" s="740">
        <f t="shared" si="9"/>
        <v>7389905.4720000001</v>
      </c>
      <c r="L106" s="1167"/>
      <c r="M106" s="34"/>
      <c r="N106" s="39"/>
      <c r="O106" s="39"/>
      <c r="P106" s="24"/>
      <c r="Q106" s="24"/>
      <c r="R106" s="24"/>
      <c r="S106" s="42"/>
      <c r="T106" s="42"/>
      <c r="U106" s="43"/>
      <c r="V106" s="43"/>
      <c r="W106" s="44"/>
      <c r="X106" s="44"/>
    </row>
    <row r="107" spans="2:24" ht="13.5" thickBot="1" x14ac:dyDescent="0.25">
      <c r="B107" s="1138"/>
      <c r="C107" s="736" t="s">
        <v>427</v>
      </c>
      <c r="D107" s="736" t="s">
        <v>428</v>
      </c>
      <c r="E107" s="568" t="s">
        <v>249</v>
      </c>
      <c r="F107" s="761" t="s">
        <v>455</v>
      </c>
      <c r="G107" s="578">
        <v>6637039</v>
      </c>
      <c r="H107" s="569">
        <v>316316</v>
      </c>
      <c r="I107" s="569">
        <v>135325</v>
      </c>
      <c r="J107" s="579">
        <f t="shared" si="8"/>
        <v>7088680</v>
      </c>
      <c r="K107" s="740">
        <f t="shared" si="9"/>
        <v>7287163.04</v>
      </c>
      <c r="L107" s="1167"/>
      <c r="M107" s="34"/>
      <c r="N107" s="39"/>
      <c r="O107" s="39"/>
      <c r="P107" s="24"/>
      <c r="Q107" s="24"/>
      <c r="R107" s="24"/>
      <c r="S107" s="42"/>
      <c r="T107" s="42"/>
      <c r="U107" s="43"/>
      <c r="V107" s="43"/>
      <c r="W107" s="44"/>
      <c r="X107" s="44"/>
    </row>
    <row r="108" spans="2:24" ht="13.5" thickBot="1" x14ac:dyDescent="0.25">
      <c r="B108" s="1138"/>
      <c r="C108" s="736" t="s">
        <v>429</v>
      </c>
      <c r="D108" s="736" t="s">
        <v>430</v>
      </c>
      <c r="E108" s="568" t="s">
        <v>249</v>
      </c>
      <c r="F108" s="761" t="s">
        <v>455</v>
      </c>
      <c r="G108" s="578">
        <v>6432864</v>
      </c>
      <c r="H108" s="569">
        <v>316316</v>
      </c>
      <c r="I108" s="569">
        <v>135325</v>
      </c>
      <c r="J108" s="579">
        <f t="shared" si="8"/>
        <v>6884505</v>
      </c>
      <c r="K108" s="740">
        <f t="shared" si="9"/>
        <v>7077271.1400000006</v>
      </c>
      <c r="L108" s="1167"/>
      <c r="M108" s="34"/>
      <c r="N108" s="39"/>
      <c r="O108" s="39"/>
      <c r="P108" s="24"/>
      <c r="Q108" s="24"/>
      <c r="R108" s="24"/>
      <c r="S108" s="42"/>
      <c r="T108" s="42"/>
      <c r="U108" s="43"/>
      <c r="V108" s="43"/>
      <c r="W108" s="44"/>
      <c r="X108" s="44"/>
    </row>
    <row r="109" spans="2:24" ht="13.5" thickBot="1" x14ac:dyDescent="0.25">
      <c r="B109" s="1138"/>
      <c r="C109" s="736" t="s">
        <v>431</v>
      </c>
      <c r="D109" s="736" t="s">
        <v>432</v>
      </c>
      <c r="E109" s="568" t="s">
        <v>249</v>
      </c>
      <c r="F109" s="761" t="s">
        <v>455</v>
      </c>
      <c r="G109" s="578">
        <v>6584916</v>
      </c>
      <c r="H109" s="569">
        <v>316316</v>
      </c>
      <c r="I109" s="569">
        <v>135325</v>
      </c>
      <c r="J109" s="579">
        <f t="shared" si="8"/>
        <v>7036557</v>
      </c>
      <c r="K109" s="740">
        <f t="shared" si="9"/>
        <v>7233580.5959999999</v>
      </c>
      <c r="L109" s="1167"/>
      <c r="M109" s="34"/>
      <c r="N109" s="39"/>
      <c r="O109" s="39"/>
      <c r="P109" s="24"/>
      <c r="Q109" s="24"/>
      <c r="R109" s="24"/>
      <c r="S109" s="42"/>
      <c r="T109" s="42"/>
      <c r="U109" s="43"/>
      <c r="V109" s="43"/>
      <c r="W109" s="44"/>
      <c r="X109" s="44"/>
    </row>
    <row r="110" spans="2:24" ht="13.5" thickBot="1" x14ac:dyDescent="0.25">
      <c r="B110" s="1138"/>
      <c r="C110" s="736" t="s">
        <v>433</v>
      </c>
      <c r="D110" s="736" t="s">
        <v>434</v>
      </c>
      <c r="E110" s="568" t="s">
        <v>249</v>
      </c>
      <c r="F110" s="761" t="s">
        <v>455</v>
      </c>
      <c r="G110" s="578">
        <v>6584916</v>
      </c>
      <c r="H110" s="569">
        <v>316316</v>
      </c>
      <c r="I110" s="569">
        <v>135325</v>
      </c>
      <c r="J110" s="579">
        <f t="shared" si="8"/>
        <v>7036557</v>
      </c>
      <c r="K110" s="740">
        <f t="shared" si="9"/>
        <v>7233580.5959999999</v>
      </c>
      <c r="L110" s="1167"/>
      <c r="M110" s="34"/>
      <c r="N110" s="39"/>
      <c r="O110" s="39"/>
      <c r="P110" s="24"/>
      <c r="Q110" s="24"/>
      <c r="R110" s="24"/>
      <c r="S110" s="42"/>
      <c r="T110" s="42"/>
      <c r="U110" s="43"/>
      <c r="V110" s="43"/>
      <c r="W110" s="44"/>
      <c r="X110" s="44"/>
    </row>
    <row r="111" spans="2:24" ht="13.5" thickBot="1" x14ac:dyDescent="0.25">
      <c r="B111" s="1138"/>
      <c r="C111" s="736" t="s">
        <v>435</v>
      </c>
      <c r="D111" s="736" t="s">
        <v>411</v>
      </c>
      <c r="E111" s="568" t="s">
        <v>249</v>
      </c>
      <c r="F111" s="761" t="s">
        <v>455</v>
      </c>
      <c r="G111" s="578">
        <v>6162756</v>
      </c>
      <c r="H111" s="569">
        <v>316316</v>
      </c>
      <c r="I111" s="569">
        <v>135325</v>
      </c>
      <c r="J111" s="579">
        <f t="shared" si="8"/>
        <v>6614397</v>
      </c>
      <c r="K111" s="740">
        <f t="shared" si="9"/>
        <v>6799600.1160000004</v>
      </c>
      <c r="L111" s="1167"/>
      <c r="M111" s="34"/>
      <c r="N111" s="39"/>
      <c r="O111" s="39"/>
      <c r="P111" s="24"/>
      <c r="Q111" s="24"/>
      <c r="R111" s="24"/>
      <c r="S111" s="42"/>
      <c r="T111" s="42"/>
      <c r="U111" s="43"/>
      <c r="V111" s="43"/>
      <c r="W111" s="44"/>
      <c r="X111" s="44"/>
    </row>
    <row r="112" spans="2:24" ht="13.5" thickBot="1" x14ac:dyDescent="0.25">
      <c r="B112" s="1138"/>
      <c r="C112" s="736" t="s">
        <v>436</v>
      </c>
      <c r="D112" s="736" t="s">
        <v>437</v>
      </c>
      <c r="E112" s="568" t="s">
        <v>249</v>
      </c>
      <c r="F112" s="761" t="s">
        <v>455</v>
      </c>
      <c r="G112" s="578">
        <v>6128748</v>
      </c>
      <c r="H112" s="569">
        <v>316316</v>
      </c>
      <c r="I112" s="569">
        <v>135325</v>
      </c>
      <c r="J112" s="579">
        <f t="shared" si="8"/>
        <v>6580389</v>
      </c>
      <c r="K112" s="740">
        <f t="shared" si="9"/>
        <v>6764639.892</v>
      </c>
      <c r="L112" s="1167"/>
      <c r="M112" s="34"/>
      <c r="N112" s="39"/>
      <c r="O112" s="39"/>
      <c r="P112" s="24"/>
      <c r="Q112" s="24"/>
      <c r="R112" s="24"/>
      <c r="S112" s="42"/>
      <c r="T112" s="42"/>
      <c r="U112" s="43"/>
      <c r="V112" s="43"/>
      <c r="W112" s="44"/>
      <c r="X112" s="44"/>
    </row>
    <row r="113" spans="2:24" ht="13.5" thickBot="1" x14ac:dyDescent="0.25">
      <c r="B113" s="1138"/>
      <c r="C113" s="736" t="s">
        <v>438</v>
      </c>
      <c r="D113" s="736" t="s">
        <v>439</v>
      </c>
      <c r="E113" s="568" t="s">
        <v>249</v>
      </c>
      <c r="F113" s="761" t="s">
        <v>455</v>
      </c>
      <c r="G113" s="578">
        <v>6491508</v>
      </c>
      <c r="H113" s="569">
        <v>316316</v>
      </c>
      <c r="I113" s="569">
        <v>135325</v>
      </c>
      <c r="J113" s="579">
        <f t="shared" si="8"/>
        <v>6943149</v>
      </c>
      <c r="K113" s="740">
        <f t="shared" si="9"/>
        <v>7137557.1720000003</v>
      </c>
      <c r="L113" s="1167"/>
      <c r="M113" s="34"/>
      <c r="N113" s="39"/>
      <c r="O113" s="39"/>
      <c r="P113" s="24"/>
      <c r="Q113" s="24"/>
      <c r="R113" s="24"/>
      <c r="S113" s="42"/>
      <c r="T113" s="42"/>
      <c r="U113" s="43"/>
      <c r="V113" s="43"/>
      <c r="W113" s="44"/>
      <c r="X113" s="44"/>
    </row>
    <row r="114" spans="2:24" ht="13.5" thickBot="1" x14ac:dyDescent="0.25">
      <c r="B114" s="1138"/>
      <c r="C114" s="736" t="s">
        <v>440</v>
      </c>
      <c r="D114" s="736" t="s">
        <v>437</v>
      </c>
      <c r="E114" s="568" t="s">
        <v>249</v>
      </c>
      <c r="F114" s="761" t="s">
        <v>455</v>
      </c>
      <c r="G114" s="578">
        <v>6162770</v>
      </c>
      <c r="H114" s="569">
        <v>316316</v>
      </c>
      <c r="I114" s="569">
        <v>135325</v>
      </c>
      <c r="J114" s="579">
        <f t="shared" si="8"/>
        <v>6614411</v>
      </c>
      <c r="K114" s="740">
        <f t="shared" si="9"/>
        <v>6799614.5080000004</v>
      </c>
      <c r="L114" s="1167"/>
      <c r="M114" s="34"/>
      <c r="N114" s="39"/>
      <c r="O114" s="39"/>
      <c r="P114" s="24"/>
      <c r="Q114" s="24"/>
      <c r="R114" s="24"/>
      <c r="S114" s="42"/>
      <c r="T114" s="42"/>
      <c r="U114" s="43"/>
      <c r="V114" s="43"/>
      <c r="W114" s="44"/>
      <c r="X114" s="44"/>
    </row>
    <row r="115" spans="2:24" ht="12.75" customHeight="1" thickBot="1" x14ac:dyDescent="0.25">
      <c r="B115" s="1138"/>
      <c r="C115" s="567" t="s">
        <v>443</v>
      </c>
      <c r="D115" s="567" t="s">
        <v>442</v>
      </c>
      <c r="E115" s="568" t="s">
        <v>249</v>
      </c>
      <c r="F115" s="761" t="s">
        <v>455</v>
      </c>
      <c r="G115" s="578">
        <v>6162756</v>
      </c>
      <c r="H115" s="569">
        <v>316316</v>
      </c>
      <c r="I115" s="569">
        <v>135325</v>
      </c>
      <c r="J115" s="579">
        <f t="shared" si="8"/>
        <v>6614397</v>
      </c>
      <c r="K115" s="740">
        <f t="shared" si="9"/>
        <v>6799600.1160000004</v>
      </c>
      <c r="L115" s="1167"/>
      <c r="M115" s="34"/>
      <c r="N115" s="39"/>
      <c r="O115" s="39"/>
      <c r="P115" s="39"/>
      <c r="Q115" s="39"/>
      <c r="R115" s="39"/>
      <c r="S115" s="42"/>
      <c r="T115" s="42"/>
      <c r="U115" s="43"/>
      <c r="V115" s="43"/>
      <c r="W115" s="44"/>
      <c r="X115" s="44"/>
    </row>
    <row r="116" spans="2:24" ht="12.75" customHeight="1" thickBot="1" x14ac:dyDescent="0.25">
      <c r="B116" s="1138"/>
      <c r="C116" s="567" t="s">
        <v>441</v>
      </c>
      <c r="D116" s="567" t="s">
        <v>352</v>
      </c>
      <c r="E116" s="568" t="s">
        <v>249</v>
      </c>
      <c r="F116" s="761" t="s">
        <v>455</v>
      </c>
      <c r="G116" s="578"/>
      <c r="H116" s="569"/>
      <c r="I116" s="569"/>
      <c r="J116" s="579">
        <f t="shared" si="4"/>
        <v>0</v>
      </c>
      <c r="K116" s="740">
        <f t="shared" ref="K116:K128" si="10">+J116*(1+$L$7)</f>
        <v>0</v>
      </c>
      <c r="L116" s="1167"/>
      <c r="M116" s="34"/>
      <c r="N116" s="39"/>
      <c r="O116" s="39"/>
      <c r="P116" s="93"/>
      <c r="Q116" s="93"/>
      <c r="R116" s="93"/>
      <c r="T116" s="297"/>
      <c r="U116" s="297"/>
      <c r="V116" s="297"/>
      <c r="W116" s="297"/>
    </row>
    <row r="117" spans="2:24" ht="12.75" customHeight="1" thickBot="1" x14ac:dyDescent="0.25">
      <c r="B117" s="1138"/>
      <c r="C117" s="567" t="s">
        <v>444</v>
      </c>
      <c r="D117" s="567" t="s">
        <v>352</v>
      </c>
      <c r="E117" s="568" t="s">
        <v>249</v>
      </c>
      <c r="F117" s="761" t="s">
        <v>455</v>
      </c>
      <c r="G117" s="578">
        <v>6432867</v>
      </c>
      <c r="H117" s="569">
        <v>316316</v>
      </c>
      <c r="I117" s="569">
        <v>135325</v>
      </c>
      <c r="J117" s="579">
        <f t="shared" si="4"/>
        <v>6884508</v>
      </c>
      <c r="K117" s="740">
        <f t="shared" si="10"/>
        <v>7077274.2240000004</v>
      </c>
      <c r="L117" s="1167"/>
      <c r="M117" s="34"/>
      <c r="N117" s="39"/>
      <c r="O117" s="39"/>
      <c r="P117" s="24"/>
      <c r="Q117" s="24"/>
      <c r="R117" s="24"/>
      <c r="S117" s="42"/>
      <c r="T117" s="42"/>
      <c r="U117" s="43"/>
      <c r="V117" s="43"/>
      <c r="W117" s="44"/>
      <c r="X117" s="44"/>
    </row>
    <row r="118" spans="2:24" ht="12.75" customHeight="1" thickBot="1" x14ac:dyDescent="0.25">
      <c r="B118" s="1138"/>
      <c r="C118" s="567"/>
      <c r="D118" s="567"/>
      <c r="E118" s="568"/>
      <c r="F118" s="574"/>
      <c r="G118" s="578">
        <v>0</v>
      </c>
      <c r="H118" s="510">
        <v>0</v>
      </c>
      <c r="I118" s="510">
        <v>0</v>
      </c>
      <c r="J118" s="579">
        <f t="shared" si="4"/>
        <v>0</v>
      </c>
      <c r="K118" s="740">
        <f t="shared" si="10"/>
        <v>0</v>
      </c>
      <c r="L118" s="1167"/>
      <c r="M118" s="34"/>
      <c r="N118" s="39"/>
      <c r="O118" s="39"/>
      <c r="P118" s="24"/>
      <c r="Q118" s="24"/>
      <c r="R118" s="24"/>
      <c r="S118" s="42"/>
      <c r="T118" s="42"/>
      <c r="U118" s="43"/>
      <c r="V118" s="43"/>
      <c r="W118" s="44"/>
      <c r="X118" s="44"/>
    </row>
    <row r="119" spans="2:24" ht="12.75" customHeight="1" thickBot="1" x14ac:dyDescent="0.25">
      <c r="B119" s="1138"/>
      <c r="C119" s="567"/>
      <c r="D119" s="567"/>
      <c r="E119" s="568"/>
      <c r="F119" s="574"/>
      <c r="G119" s="578">
        <v>0</v>
      </c>
      <c r="H119" s="510">
        <v>0</v>
      </c>
      <c r="I119" s="510">
        <v>0</v>
      </c>
      <c r="J119" s="579">
        <f t="shared" si="4"/>
        <v>0</v>
      </c>
      <c r="K119" s="740">
        <f t="shared" si="10"/>
        <v>0</v>
      </c>
      <c r="L119" s="1167"/>
      <c r="M119" s="34"/>
      <c r="N119" s="39"/>
      <c r="O119" s="39"/>
      <c r="P119" s="24"/>
      <c r="Q119" s="24"/>
      <c r="R119" s="24"/>
      <c r="S119" s="42"/>
      <c r="T119" s="42"/>
      <c r="U119" s="43"/>
      <c r="V119" s="43"/>
      <c r="W119" s="44"/>
      <c r="X119" s="44"/>
    </row>
    <row r="120" spans="2:24" ht="12.75" customHeight="1" thickBot="1" x14ac:dyDescent="0.25">
      <c r="B120" s="1138"/>
      <c r="C120" s="567" t="s">
        <v>416</v>
      </c>
      <c r="D120" s="567" t="s">
        <v>417</v>
      </c>
      <c r="E120" s="567" t="s">
        <v>252</v>
      </c>
      <c r="F120" s="761" t="s">
        <v>455</v>
      </c>
      <c r="G120" s="578">
        <v>5213332</v>
      </c>
      <c r="H120" s="569">
        <v>316316</v>
      </c>
      <c r="I120" s="569">
        <v>135325</v>
      </c>
      <c r="J120" s="579">
        <f t="shared" si="4"/>
        <v>5664973</v>
      </c>
      <c r="K120" s="740">
        <f t="shared" si="10"/>
        <v>5823592.2439999999</v>
      </c>
      <c r="L120" s="1167"/>
      <c r="M120" s="34"/>
      <c r="N120" s="39"/>
      <c r="O120" s="39"/>
      <c r="P120" s="24"/>
      <c r="Q120" s="24"/>
      <c r="R120" s="24"/>
      <c r="S120" s="42"/>
      <c r="T120" s="42"/>
      <c r="U120" s="43"/>
      <c r="V120" s="43"/>
      <c r="W120" s="44"/>
      <c r="X120" s="44"/>
    </row>
    <row r="121" spans="2:24" ht="12.75" customHeight="1" thickBot="1" x14ac:dyDescent="0.25">
      <c r="B121" s="1138"/>
      <c r="C121" s="567" t="s">
        <v>418</v>
      </c>
      <c r="D121" s="567" t="s">
        <v>419</v>
      </c>
      <c r="E121" s="567" t="s">
        <v>252</v>
      </c>
      <c r="F121" s="761" t="s">
        <v>455</v>
      </c>
      <c r="G121" s="578">
        <v>6833843</v>
      </c>
      <c r="H121" s="569">
        <v>316316</v>
      </c>
      <c r="I121" s="569">
        <v>135325</v>
      </c>
      <c r="J121" s="579">
        <f t="shared" si="4"/>
        <v>7285484</v>
      </c>
      <c r="K121" s="740">
        <f t="shared" si="10"/>
        <v>7489477.5520000001</v>
      </c>
      <c r="L121" s="1167"/>
      <c r="M121" s="34"/>
      <c r="N121" s="39"/>
      <c r="O121" s="39"/>
      <c r="P121" s="24"/>
      <c r="Q121" s="24"/>
      <c r="R121" s="24"/>
      <c r="S121" s="42"/>
      <c r="T121" s="42"/>
      <c r="U121" s="43"/>
      <c r="V121" s="43"/>
      <c r="W121" s="44"/>
      <c r="X121" s="44"/>
    </row>
    <row r="122" spans="2:24" ht="13.5" thickBot="1" x14ac:dyDescent="0.25">
      <c r="B122" s="1138"/>
      <c r="C122" s="567" t="s">
        <v>420</v>
      </c>
      <c r="D122" s="567" t="s">
        <v>365</v>
      </c>
      <c r="E122" s="567" t="s">
        <v>252</v>
      </c>
      <c r="F122" s="761" t="s">
        <v>455</v>
      </c>
      <c r="G122" s="578">
        <v>5072220</v>
      </c>
      <c r="H122" s="569">
        <v>316316</v>
      </c>
      <c r="I122" s="569">
        <v>135325</v>
      </c>
      <c r="J122" s="579">
        <f t="shared" si="4"/>
        <v>5523861</v>
      </c>
      <c r="K122" s="740">
        <f t="shared" si="10"/>
        <v>5678529.108</v>
      </c>
      <c r="L122" s="1167"/>
      <c r="M122" s="34"/>
      <c r="N122" s="39"/>
      <c r="O122" s="39"/>
      <c r="P122" s="24"/>
      <c r="Q122" s="24"/>
      <c r="R122" s="24"/>
      <c r="S122" s="42"/>
      <c r="T122" s="42"/>
      <c r="U122" s="43"/>
      <c r="V122" s="43"/>
      <c r="W122" s="44"/>
      <c r="X122" s="44"/>
    </row>
    <row r="123" spans="2:24" ht="12.75" customHeight="1" thickBot="1" x14ac:dyDescent="0.25">
      <c r="B123" s="1138"/>
      <c r="C123" s="567" t="s">
        <v>421</v>
      </c>
      <c r="D123" s="567" t="s">
        <v>422</v>
      </c>
      <c r="E123" s="567" t="s">
        <v>253</v>
      </c>
      <c r="F123" s="761" t="s">
        <v>455</v>
      </c>
      <c r="G123" s="578">
        <v>4085310</v>
      </c>
      <c r="H123" s="569">
        <v>316316</v>
      </c>
      <c r="I123" s="569">
        <v>135325</v>
      </c>
      <c r="J123" s="579">
        <f t="shared" si="4"/>
        <v>4536951</v>
      </c>
      <c r="K123" s="740">
        <f t="shared" si="10"/>
        <v>4663985.6280000005</v>
      </c>
      <c r="L123" s="1167"/>
      <c r="M123" s="34"/>
      <c r="N123" s="39"/>
      <c r="O123" s="39"/>
      <c r="P123" s="24"/>
      <c r="Q123" s="24"/>
      <c r="R123" s="24"/>
      <c r="S123" s="42"/>
      <c r="T123" s="42"/>
      <c r="U123" s="43"/>
      <c r="V123" s="43"/>
      <c r="W123" s="44"/>
      <c r="X123" s="44"/>
    </row>
    <row r="124" spans="2:24" ht="12.75" customHeight="1" x14ac:dyDescent="0.2">
      <c r="B124" s="1138"/>
      <c r="C124" s="567" t="s">
        <v>423</v>
      </c>
      <c r="D124" s="567" t="s">
        <v>393</v>
      </c>
      <c r="E124" s="567" t="s">
        <v>253</v>
      </c>
      <c r="F124" s="761" t="s">
        <v>455</v>
      </c>
      <c r="G124" s="578">
        <v>3824222</v>
      </c>
      <c r="H124" s="569">
        <v>316316</v>
      </c>
      <c r="I124" s="569">
        <v>135325</v>
      </c>
      <c r="J124" s="579">
        <f t="shared" si="4"/>
        <v>4275863</v>
      </c>
      <c r="K124" s="740">
        <f t="shared" si="10"/>
        <v>4395587.1639999999</v>
      </c>
      <c r="L124" s="1167"/>
      <c r="M124" s="34"/>
      <c r="N124" s="39"/>
      <c r="O124" s="39"/>
      <c r="P124" s="24"/>
      <c r="Q124" s="24"/>
      <c r="R124" s="24"/>
      <c r="S124" s="42"/>
      <c r="T124" s="42"/>
      <c r="U124" s="43"/>
      <c r="V124" s="43"/>
      <c r="W124" s="44"/>
      <c r="X124" s="44"/>
    </row>
    <row r="125" spans="2:24" ht="13.5" customHeight="1" x14ac:dyDescent="0.2">
      <c r="B125" s="1138"/>
      <c r="C125" s="567"/>
      <c r="D125" s="567"/>
      <c r="E125" s="567"/>
      <c r="F125" s="574"/>
      <c r="G125" s="578">
        <v>0</v>
      </c>
      <c r="H125" s="510">
        <v>0</v>
      </c>
      <c r="I125" s="510">
        <v>0</v>
      </c>
      <c r="J125" s="579">
        <f t="shared" si="4"/>
        <v>0</v>
      </c>
      <c r="K125" s="740">
        <f t="shared" si="10"/>
        <v>0</v>
      </c>
      <c r="L125" s="1167"/>
      <c r="M125" s="34"/>
      <c r="N125" s="39"/>
      <c r="O125" s="39"/>
      <c r="P125" s="24"/>
      <c r="Q125" s="24"/>
      <c r="R125" s="24"/>
      <c r="S125" s="42"/>
      <c r="T125" s="42"/>
      <c r="U125" s="43"/>
      <c r="V125" s="43"/>
      <c r="W125" s="44"/>
      <c r="X125" s="44"/>
    </row>
    <row r="126" spans="2:24" ht="12.75" customHeight="1" x14ac:dyDescent="0.2">
      <c r="B126" s="1138"/>
      <c r="C126" s="567"/>
      <c r="D126" s="567"/>
      <c r="E126" s="567"/>
      <c r="F126" s="574"/>
      <c r="G126" s="578">
        <v>0</v>
      </c>
      <c r="H126" s="510">
        <v>0</v>
      </c>
      <c r="I126" s="510">
        <v>0</v>
      </c>
      <c r="J126" s="579">
        <f t="shared" si="4"/>
        <v>0</v>
      </c>
      <c r="K126" s="740">
        <f t="shared" si="10"/>
        <v>0</v>
      </c>
      <c r="L126" s="1167"/>
      <c r="M126" s="34"/>
      <c r="N126" s="39"/>
      <c r="O126" s="39"/>
      <c r="P126" s="24"/>
      <c r="Q126" s="24"/>
      <c r="R126" s="24"/>
      <c r="S126" s="42"/>
      <c r="T126" s="42"/>
      <c r="U126" s="43"/>
      <c r="V126" s="43"/>
      <c r="W126" s="44"/>
      <c r="X126" s="44"/>
    </row>
    <row r="127" spans="2:24" ht="13.5" customHeight="1" x14ac:dyDescent="0.2">
      <c r="B127" s="1138"/>
      <c r="C127" s="567"/>
      <c r="D127" s="567"/>
      <c r="E127" s="567"/>
      <c r="F127" s="574"/>
      <c r="G127" s="578">
        <v>0</v>
      </c>
      <c r="H127" s="510">
        <v>0</v>
      </c>
      <c r="I127" s="510">
        <v>0</v>
      </c>
      <c r="J127" s="579">
        <f t="shared" si="4"/>
        <v>0</v>
      </c>
      <c r="K127" s="740">
        <f t="shared" si="10"/>
        <v>0</v>
      </c>
      <c r="L127" s="1167"/>
      <c r="M127" s="34"/>
      <c r="N127" s="39"/>
      <c r="O127" s="39"/>
      <c r="P127" s="24"/>
      <c r="Q127" s="24"/>
      <c r="R127" s="24"/>
      <c r="S127" s="42"/>
      <c r="T127" s="42"/>
      <c r="U127" s="43"/>
      <c r="V127" s="43"/>
      <c r="W127" s="44"/>
      <c r="X127" s="44"/>
    </row>
    <row r="128" spans="2:24" ht="13.5" customHeight="1" thickBot="1" x14ac:dyDescent="0.25">
      <c r="B128" s="1139"/>
      <c r="C128" s="570"/>
      <c r="D128" s="570"/>
      <c r="E128" s="570"/>
      <c r="F128" s="575"/>
      <c r="G128" s="580">
        <v>0</v>
      </c>
      <c r="H128" s="571">
        <v>0</v>
      </c>
      <c r="I128" s="571">
        <v>0</v>
      </c>
      <c r="J128" s="581">
        <f t="shared" si="4"/>
        <v>0</v>
      </c>
      <c r="K128" s="748">
        <f t="shared" si="10"/>
        <v>0</v>
      </c>
      <c r="L128" s="1168"/>
      <c r="M128" s="34"/>
      <c r="N128" s="39"/>
      <c r="O128" s="39"/>
      <c r="P128" s="24"/>
      <c r="Q128" s="24"/>
      <c r="R128" s="24"/>
      <c r="S128" s="42"/>
      <c r="T128" s="42"/>
      <c r="U128" s="43"/>
      <c r="V128" s="43"/>
      <c r="W128" s="44"/>
      <c r="X128" s="44"/>
    </row>
    <row r="129" spans="2:24" ht="13.5" thickBot="1" x14ac:dyDescent="0.25">
      <c r="B129" s="1137" t="str">
        <f>+'A) Resumen Ingresos y Egresos'!A16</f>
        <v>Sala Cuna Mar Azul Nocturna</v>
      </c>
      <c r="C129" s="568" t="s">
        <v>256</v>
      </c>
      <c r="D129" s="568" t="s">
        <v>283</v>
      </c>
      <c r="E129" s="568" t="s">
        <v>288</v>
      </c>
      <c r="F129" s="761" t="s">
        <v>455</v>
      </c>
      <c r="G129" s="578"/>
      <c r="H129" s="578">
        <v>0</v>
      </c>
      <c r="I129" s="578">
        <v>0</v>
      </c>
      <c r="J129" s="577">
        <f t="shared" ref="J129:J143" si="11">SUM(G129:I129)</f>
        <v>0</v>
      </c>
      <c r="K129" s="583">
        <f t="shared" ref="K129:K143" si="12">+J129*(1+$L$7)</f>
        <v>0</v>
      </c>
      <c r="L129" s="1140">
        <f>SUM(K129:K143)</f>
        <v>47551188.560000002</v>
      </c>
      <c r="M129" s="34"/>
      <c r="N129" s="39"/>
      <c r="O129" s="39"/>
      <c r="P129" s="24"/>
      <c r="Q129" s="24"/>
      <c r="R129" s="24"/>
      <c r="S129" s="42"/>
      <c r="T129" s="42"/>
      <c r="U129" s="43"/>
      <c r="V129" s="43"/>
      <c r="W129" s="44"/>
      <c r="X129" s="44"/>
    </row>
    <row r="130" spans="2:24" ht="12.75" customHeight="1" thickBot="1" x14ac:dyDescent="0.25">
      <c r="B130" s="1138"/>
      <c r="C130" s="567" t="s">
        <v>445</v>
      </c>
      <c r="D130" s="567" t="s">
        <v>446</v>
      </c>
      <c r="E130" s="567" t="s">
        <v>249</v>
      </c>
      <c r="F130" s="761" t="s">
        <v>455</v>
      </c>
      <c r="G130" s="578">
        <v>6775320</v>
      </c>
      <c r="H130" s="569">
        <v>316316</v>
      </c>
      <c r="I130" s="569">
        <v>135325</v>
      </c>
      <c r="J130" s="579">
        <f t="shared" si="11"/>
        <v>7226961</v>
      </c>
      <c r="K130" s="584">
        <f t="shared" si="12"/>
        <v>7429315.9079999998</v>
      </c>
      <c r="L130" s="1141"/>
      <c r="M130" s="34"/>
      <c r="N130" s="39"/>
      <c r="O130" s="39"/>
      <c r="P130" s="39"/>
      <c r="Q130" s="39"/>
      <c r="R130" s="39"/>
      <c r="S130" s="42"/>
      <c r="T130" s="42"/>
      <c r="U130" s="43"/>
      <c r="V130" s="43"/>
      <c r="W130" s="44"/>
      <c r="X130" s="44"/>
    </row>
    <row r="131" spans="2:24" ht="12.75" customHeight="1" thickBot="1" x14ac:dyDescent="0.25">
      <c r="B131" s="1138"/>
      <c r="C131" s="567" t="s">
        <v>447</v>
      </c>
      <c r="D131" s="567" t="s">
        <v>343</v>
      </c>
      <c r="E131" s="567" t="s">
        <v>249</v>
      </c>
      <c r="F131" s="761" t="s">
        <v>455</v>
      </c>
      <c r="G131" s="578">
        <v>6905232</v>
      </c>
      <c r="H131" s="569">
        <v>316316</v>
      </c>
      <c r="I131" s="569">
        <v>135325</v>
      </c>
      <c r="J131" s="579">
        <f t="shared" si="11"/>
        <v>7356873</v>
      </c>
      <c r="K131" s="584">
        <f t="shared" si="12"/>
        <v>7562865.4440000001</v>
      </c>
      <c r="L131" s="1141"/>
      <c r="M131" s="34"/>
      <c r="N131" s="39"/>
      <c r="O131" s="39"/>
      <c r="P131" s="93"/>
      <c r="Q131" s="93"/>
      <c r="R131" s="93"/>
      <c r="T131" s="297"/>
      <c r="U131" s="297"/>
      <c r="V131" s="297"/>
      <c r="W131" s="297"/>
    </row>
    <row r="132" spans="2:24" ht="12.75" customHeight="1" thickBot="1" x14ac:dyDescent="0.25">
      <c r="B132" s="1138"/>
      <c r="C132" s="567" t="s">
        <v>448</v>
      </c>
      <c r="D132" s="567" t="s">
        <v>449</v>
      </c>
      <c r="E132" s="567" t="s">
        <v>249</v>
      </c>
      <c r="F132" s="761" t="s">
        <v>455</v>
      </c>
      <c r="G132" s="578">
        <v>9148572</v>
      </c>
      <c r="H132" s="569">
        <v>316316</v>
      </c>
      <c r="I132" s="569">
        <v>135325</v>
      </c>
      <c r="J132" s="579">
        <f t="shared" si="11"/>
        <v>9600213</v>
      </c>
      <c r="K132" s="584">
        <f t="shared" si="12"/>
        <v>9869018.9639999997</v>
      </c>
      <c r="L132" s="1141"/>
      <c r="M132" s="34"/>
      <c r="N132" s="39"/>
      <c r="O132" s="39"/>
      <c r="P132" s="24"/>
      <c r="Q132" s="24"/>
      <c r="R132" s="24"/>
      <c r="S132" s="42"/>
      <c r="T132" s="42"/>
      <c r="U132" s="43"/>
      <c r="V132" s="43"/>
      <c r="W132" s="44"/>
      <c r="X132" s="44"/>
    </row>
    <row r="133" spans="2:24" ht="12.75" customHeight="1" thickBot="1" x14ac:dyDescent="0.25">
      <c r="B133" s="1138"/>
      <c r="C133" s="567" t="s">
        <v>450</v>
      </c>
      <c r="D133" s="567" t="s">
        <v>451</v>
      </c>
      <c r="E133" s="567" t="s">
        <v>249</v>
      </c>
      <c r="F133" s="761" t="s">
        <v>455</v>
      </c>
      <c r="G133" s="578">
        <v>8002750</v>
      </c>
      <c r="H133" s="569">
        <v>316316</v>
      </c>
      <c r="I133" s="569">
        <v>135325</v>
      </c>
      <c r="J133" s="579">
        <f t="shared" si="11"/>
        <v>8454391</v>
      </c>
      <c r="K133" s="584">
        <f t="shared" si="12"/>
        <v>8691113.9480000008</v>
      </c>
      <c r="L133" s="1141"/>
      <c r="M133" s="34"/>
      <c r="N133" s="39"/>
      <c r="O133" s="39"/>
      <c r="P133" s="24"/>
      <c r="Q133" s="24"/>
      <c r="R133" s="24"/>
      <c r="S133" s="42"/>
      <c r="T133" s="42"/>
      <c r="U133" s="43"/>
      <c r="V133" s="43"/>
      <c r="W133" s="44"/>
      <c r="X133" s="44"/>
    </row>
    <row r="134" spans="2:24" ht="12.75" customHeight="1" thickBot="1" x14ac:dyDescent="0.25">
      <c r="B134" s="1138"/>
      <c r="C134" s="567" t="s">
        <v>452</v>
      </c>
      <c r="D134" s="567" t="s">
        <v>387</v>
      </c>
      <c r="E134" s="567" t="s">
        <v>249</v>
      </c>
      <c r="F134" s="761" t="s">
        <v>455</v>
      </c>
      <c r="G134" s="578">
        <v>6432864</v>
      </c>
      <c r="H134" s="569">
        <v>316316</v>
      </c>
      <c r="I134" s="569">
        <v>135325</v>
      </c>
      <c r="J134" s="579">
        <f t="shared" si="11"/>
        <v>6884505</v>
      </c>
      <c r="K134" s="584">
        <f t="shared" si="12"/>
        <v>7077271.1400000006</v>
      </c>
      <c r="L134" s="1141"/>
      <c r="M134" s="34"/>
      <c r="N134" s="39"/>
      <c r="O134" s="39"/>
      <c r="P134" s="24"/>
      <c r="Q134" s="24"/>
      <c r="R134" s="24"/>
      <c r="S134" s="42"/>
      <c r="T134" s="42"/>
      <c r="U134" s="43"/>
      <c r="V134" s="43"/>
      <c r="W134" s="44"/>
      <c r="X134" s="44"/>
    </row>
    <row r="135" spans="2:24" ht="12.75" customHeight="1" x14ac:dyDescent="0.2">
      <c r="B135" s="1138"/>
      <c r="C135" s="567" t="s">
        <v>453</v>
      </c>
      <c r="D135" s="567" t="s">
        <v>454</v>
      </c>
      <c r="E135" s="567" t="s">
        <v>249</v>
      </c>
      <c r="F135" s="761" t="s">
        <v>455</v>
      </c>
      <c r="G135" s="578">
        <v>6281436</v>
      </c>
      <c r="H135" s="569">
        <v>316316</v>
      </c>
      <c r="I135" s="569">
        <v>135325</v>
      </c>
      <c r="J135" s="579">
        <f t="shared" si="11"/>
        <v>6733077</v>
      </c>
      <c r="K135" s="584">
        <f t="shared" si="12"/>
        <v>6921603.1560000004</v>
      </c>
      <c r="L135" s="1141"/>
      <c r="M135" s="34"/>
      <c r="N135" s="39"/>
      <c r="O135" s="39"/>
      <c r="P135" s="24"/>
      <c r="Q135" s="24"/>
      <c r="R135" s="24"/>
      <c r="S135" s="42"/>
      <c r="T135" s="42"/>
      <c r="U135" s="43"/>
      <c r="V135" s="43"/>
      <c r="W135" s="44"/>
      <c r="X135" s="44"/>
    </row>
    <row r="136" spans="2:24" ht="12.75" customHeight="1" x14ac:dyDescent="0.2">
      <c r="B136" s="1138"/>
      <c r="C136" s="567"/>
      <c r="D136" s="567"/>
      <c r="E136" s="567"/>
      <c r="F136" s="574"/>
      <c r="G136" s="578">
        <v>0</v>
      </c>
      <c r="H136" s="510">
        <v>0</v>
      </c>
      <c r="I136" s="510">
        <v>0</v>
      </c>
      <c r="J136" s="579">
        <f t="shared" si="11"/>
        <v>0</v>
      </c>
      <c r="K136" s="584">
        <f t="shared" si="12"/>
        <v>0</v>
      </c>
      <c r="L136" s="1141"/>
      <c r="M136" s="34"/>
      <c r="N136" s="39"/>
      <c r="O136" s="39"/>
      <c r="P136" s="24"/>
      <c r="Q136" s="24"/>
      <c r="R136" s="24"/>
      <c r="S136" s="42"/>
      <c r="T136" s="42"/>
      <c r="U136" s="43"/>
      <c r="V136" s="43"/>
      <c r="W136" s="44"/>
      <c r="X136" s="44"/>
    </row>
    <row r="137" spans="2:24" x14ac:dyDescent="0.2">
      <c r="B137" s="1138"/>
      <c r="C137" s="567"/>
      <c r="D137" s="567"/>
      <c r="E137" s="567"/>
      <c r="F137" s="574"/>
      <c r="G137" s="578">
        <v>0</v>
      </c>
      <c r="H137" s="510">
        <v>0</v>
      </c>
      <c r="I137" s="510">
        <v>0</v>
      </c>
      <c r="J137" s="579">
        <f t="shared" si="11"/>
        <v>0</v>
      </c>
      <c r="K137" s="584">
        <f t="shared" si="12"/>
        <v>0</v>
      </c>
      <c r="L137" s="1141"/>
      <c r="M137" s="34"/>
      <c r="N137" s="39"/>
      <c r="O137" s="39"/>
      <c r="P137" s="24"/>
      <c r="Q137" s="24"/>
      <c r="R137" s="24"/>
      <c r="S137" s="42"/>
      <c r="T137" s="42"/>
      <c r="U137" s="43"/>
      <c r="V137" s="43"/>
      <c r="W137" s="44"/>
      <c r="X137" s="44"/>
    </row>
    <row r="138" spans="2:24" ht="12.75" customHeight="1" x14ac:dyDescent="0.2">
      <c r="B138" s="1138"/>
      <c r="C138" s="567"/>
      <c r="D138" s="567"/>
      <c r="E138" s="567"/>
      <c r="F138" s="574"/>
      <c r="G138" s="578">
        <v>0</v>
      </c>
      <c r="H138" s="510">
        <v>0</v>
      </c>
      <c r="I138" s="510">
        <v>0</v>
      </c>
      <c r="J138" s="579">
        <f t="shared" si="11"/>
        <v>0</v>
      </c>
      <c r="K138" s="584">
        <f t="shared" si="12"/>
        <v>0</v>
      </c>
      <c r="L138" s="1141"/>
      <c r="M138" s="34"/>
      <c r="N138" s="39"/>
      <c r="O138" s="39"/>
      <c r="P138" s="24"/>
      <c r="Q138" s="24"/>
      <c r="R138" s="24"/>
      <c r="S138" s="42"/>
      <c r="T138" s="42"/>
      <c r="U138" s="43"/>
      <c r="V138" s="43"/>
      <c r="W138" s="44"/>
      <c r="X138" s="44"/>
    </row>
    <row r="139" spans="2:24" ht="12.75" customHeight="1" x14ac:dyDescent="0.2">
      <c r="B139" s="1138"/>
      <c r="C139" s="567"/>
      <c r="D139" s="567"/>
      <c r="E139" s="567"/>
      <c r="F139" s="574"/>
      <c r="G139" s="578">
        <v>0</v>
      </c>
      <c r="H139" s="510">
        <v>0</v>
      </c>
      <c r="I139" s="510">
        <v>0</v>
      </c>
      <c r="J139" s="579">
        <f t="shared" si="11"/>
        <v>0</v>
      </c>
      <c r="K139" s="584">
        <f t="shared" si="12"/>
        <v>0</v>
      </c>
      <c r="L139" s="1141"/>
      <c r="M139" s="34"/>
      <c r="N139" s="39"/>
      <c r="O139" s="39"/>
      <c r="P139" s="24"/>
      <c r="Q139" s="24"/>
      <c r="R139" s="24"/>
      <c r="S139" s="42"/>
      <c r="T139" s="42"/>
      <c r="U139" s="43"/>
      <c r="V139" s="43"/>
      <c r="W139" s="44"/>
      <c r="X139" s="44"/>
    </row>
    <row r="140" spans="2:24" ht="13.5" customHeight="1" x14ac:dyDescent="0.2">
      <c r="B140" s="1138"/>
      <c r="C140" s="567"/>
      <c r="D140" s="567"/>
      <c r="E140" s="567"/>
      <c r="F140" s="574"/>
      <c r="G140" s="578">
        <v>0</v>
      </c>
      <c r="H140" s="510">
        <v>0</v>
      </c>
      <c r="I140" s="510">
        <v>0</v>
      </c>
      <c r="J140" s="579">
        <f t="shared" si="11"/>
        <v>0</v>
      </c>
      <c r="K140" s="584">
        <f t="shared" si="12"/>
        <v>0</v>
      </c>
      <c r="L140" s="1141"/>
      <c r="M140" s="34"/>
      <c r="N140" s="39"/>
      <c r="O140" s="39"/>
      <c r="P140" s="24"/>
      <c r="Q140" s="24"/>
      <c r="R140" s="24"/>
      <c r="S140" s="42"/>
      <c r="T140" s="42"/>
      <c r="U140" s="43"/>
      <c r="V140" s="43"/>
      <c r="W140" s="44"/>
      <c r="X140" s="44"/>
    </row>
    <row r="141" spans="2:24" ht="12.75" customHeight="1" x14ac:dyDescent="0.2">
      <c r="B141" s="1138"/>
      <c r="C141" s="567"/>
      <c r="D141" s="567"/>
      <c r="E141" s="567"/>
      <c r="F141" s="574"/>
      <c r="G141" s="578">
        <v>0</v>
      </c>
      <c r="H141" s="510">
        <v>0</v>
      </c>
      <c r="I141" s="510">
        <v>0</v>
      </c>
      <c r="J141" s="579">
        <f t="shared" si="11"/>
        <v>0</v>
      </c>
      <c r="K141" s="584">
        <f t="shared" si="12"/>
        <v>0</v>
      </c>
      <c r="L141" s="1141"/>
      <c r="M141" s="34"/>
      <c r="N141" s="39"/>
      <c r="O141" s="39"/>
      <c r="P141" s="24"/>
      <c r="Q141" s="24"/>
      <c r="R141" s="24"/>
      <c r="S141" s="42"/>
      <c r="T141" s="42"/>
      <c r="U141" s="43"/>
      <c r="V141" s="43"/>
      <c r="W141" s="44"/>
      <c r="X141" s="44"/>
    </row>
    <row r="142" spans="2:24" ht="13.5" customHeight="1" x14ac:dyDescent="0.2">
      <c r="B142" s="1138"/>
      <c r="C142" s="567"/>
      <c r="D142" s="567"/>
      <c r="E142" s="567"/>
      <c r="F142" s="574"/>
      <c r="G142" s="578">
        <v>0</v>
      </c>
      <c r="H142" s="510">
        <v>0</v>
      </c>
      <c r="I142" s="510">
        <v>0</v>
      </c>
      <c r="J142" s="579">
        <f t="shared" si="11"/>
        <v>0</v>
      </c>
      <c r="K142" s="584">
        <f t="shared" si="12"/>
        <v>0</v>
      </c>
      <c r="L142" s="1141"/>
      <c r="M142" s="34"/>
      <c r="N142" s="39"/>
      <c r="O142" s="39"/>
      <c r="P142" s="24"/>
      <c r="Q142" s="24"/>
      <c r="R142" s="24"/>
      <c r="S142" s="42"/>
      <c r="T142" s="42"/>
      <c r="U142" s="43"/>
      <c r="V142" s="43"/>
      <c r="W142" s="44"/>
      <c r="X142" s="44"/>
    </row>
    <row r="143" spans="2:24" ht="13.5" customHeight="1" thickBot="1" x14ac:dyDescent="0.25">
      <c r="B143" s="1139"/>
      <c r="C143" s="570"/>
      <c r="D143" s="570"/>
      <c r="E143" s="570"/>
      <c r="F143" s="575"/>
      <c r="G143" s="580">
        <v>0</v>
      </c>
      <c r="H143" s="571">
        <v>0</v>
      </c>
      <c r="I143" s="571">
        <v>0</v>
      </c>
      <c r="J143" s="581">
        <f t="shared" si="11"/>
        <v>0</v>
      </c>
      <c r="K143" s="585">
        <f t="shared" si="12"/>
        <v>0</v>
      </c>
      <c r="L143" s="1142"/>
      <c r="M143" s="34"/>
      <c r="N143" s="39"/>
      <c r="O143" s="39"/>
      <c r="P143" s="24"/>
      <c r="Q143" s="24"/>
      <c r="R143" s="24"/>
      <c r="S143" s="42"/>
      <c r="T143" s="42"/>
      <c r="U143" s="43"/>
      <c r="V143" s="43"/>
      <c r="W143" s="44"/>
      <c r="X143" s="44"/>
    </row>
    <row r="144" spans="2:24" ht="16.5" thickBot="1" x14ac:dyDescent="0.25">
      <c r="B144" s="31"/>
      <c r="C144" s="59"/>
      <c r="D144" s="59"/>
      <c r="E144" s="60"/>
      <c r="F144" s="60"/>
      <c r="G144" s="60"/>
      <c r="H144" s="60"/>
      <c r="I144" s="60"/>
      <c r="J144" s="45"/>
      <c r="K144" s="586" t="s">
        <v>97</v>
      </c>
      <c r="L144" s="587">
        <f>SUM(L11:L143)</f>
        <v>601963403.36400008</v>
      </c>
      <c r="M144" s="32"/>
      <c r="N144" s="32"/>
      <c r="O144" s="32"/>
      <c r="P144" s="39"/>
      <c r="Q144" s="39"/>
      <c r="R144" s="39"/>
      <c r="S144" s="42"/>
      <c r="T144" s="42"/>
      <c r="U144" s="43"/>
      <c r="V144" s="43"/>
      <c r="W144" s="44"/>
      <c r="X144" s="44"/>
    </row>
    <row r="145" spans="2:24" x14ac:dyDescent="0.2">
      <c r="B145" s="31"/>
      <c r="C145" s="59"/>
      <c r="D145" s="59"/>
      <c r="E145" s="60"/>
      <c r="F145" s="60"/>
      <c r="G145" s="60"/>
      <c r="H145" s="60"/>
      <c r="I145" s="60"/>
      <c r="J145" s="45"/>
      <c r="K145" s="45"/>
      <c r="L145" s="45"/>
      <c r="M145" s="32"/>
      <c r="N145" s="32"/>
      <c r="O145" s="32"/>
      <c r="P145" s="39"/>
      <c r="Q145" s="39"/>
      <c r="R145" s="39"/>
      <c r="S145" s="42"/>
      <c r="T145" s="42"/>
      <c r="U145" s="43"/>
      <c r="V145" s="43"/>
      <c r="W145" s="44"/>
      <c r="X145" s="44"/>
    </row>
    <row r="146" spans="2:24" x14ac:dyDescent="0.2">
      <c r="B146" s="31"/>
      <c r="C146" s="31"/>
      <c r="D146" s="31"/>
      <c r="E146" s="31"/>
      <c r="F146" s="31"/>
      <c r="G146" s="31"/>
      <c r="H146" s="31"/>
      <c r="I146" s="31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3"/>
      <c r="V146" s="43"/>
      <c r="W146" s="44"/>
      <c r="X146" s="44"/>
    </row>
    <row r="147" spans="2:24" x14ac:dyDescent="0.2">
      <c r="B147" s="31"/>
      <c r="C147" s="31"/>
      <c r="D147" s="31"/>
      <c r="E147" s="31"/>
      <c r="F147" s="31"/>
      <c r="G147" s="31"/>
      <c r="H147" s="31"/>
      <c r="I147" s="31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3"/>
      <c r="V147" s="43"/>
      <c r="W147" s="44"/>
      <c r="X147" s="44"/>
    </row>
    <row r="148" spans="2:24" x14ac:dyDescent="0.2">
      <c r="B148" s="31"/>
      <c r="C148" s="31"/>
      <c r="D148" s="31"/>
      <c r="E148" s="31"/>
      <c r="F148" s="31"/>
      <c r="G148" s="31"/>
      <c r="H148" s="31"/>
      <c r="I148" s="31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3"/>
      <c r="V148" s="43"/>
      <c r="W148" s="44"/>
      <c r="X148" s="44"/>
    </row>
    <row r="149" spans="2:24" x14ac:dyDescent="0.2">
      <c r="B149" s="31"/>
      <c r="C149" s="31"/>
      <c r="D149" s="31"/>
      <c r="E149" s="31"/>
      <c r="F149" s="31"/>
      <c r="G149" s="31"/>
      <c r="H149" s="31"/>
      <c r="I149" s="31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3"/>
      <c r="V149" s="43"/>
      <c r="W149" s="44"/>
      <c r="X149" s="44"/>
    </row>
    <row r="150" spans="2:24" x14ac:dyDescent="0.2">
      <c r="B150" s="31"/>
      <c r="C150" s="31"/>
      <c r="D150" s="31"/>
      <c r="E150" s="31"/>
      <c r="F150" s="31"/>
      <c r="G150" s="31"/>
      <c r="H150" s="31"/>
      <c r="I150" s="31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3"/>
      <c r="V150" s="43"/>
      <c r="W150" s="44"/>
      <c r="X150" s="44"/>
    </row>
    <row r="151" spans="2:24" x14ac:dyDescent="0.2">
      <c r="B151" s="31"/>
      <c r="C151" s="31"/>
      <c r="D151" s="31"/>
      <c r="E151" s="31"/>
      <c r="F151" s="31"/>
      <c r="G151" s="31"/>
      <c r="H151" s="31"/>
      <c r="I151" s="31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3"/>
      <c r="V151" s="43"/>
      <c r="W151" s="44"/>
      <c r="X151" s="44"/>
    </row>
  </sheetData>
  <sheetProtection password="9C6E" sheet="1" objects="1" scenarios="1"/>
  <mergeCells count="35">
    <mergeCell ref="B86:B100"/>
    <mergeCell ref="L86:L100"/>
    <mergeCell ref="B129:B143"/>
    <mergeCell ref="L129:L143"/>
    <mergeCell ref="T70:W70"/>
    <mergeCell ref="B101:B128"/>
    <mergeCell ref="L101:L128"/>
    <mergeCell ref="B71:B85"/>
    <mergeCell ref="L71:L85"/>
    <mergeCell ref="B7:E7"/>
    <mergeCell ref="B9:B10"/>
    <mergeCell ref="C9:C10"/>
    <mergeCell ref="D9:D10"/>
    <mergeCell ref="E9:E10"/>
    <mergeCell ref="G9:J9"/>
    <mergeCell ref="K9:K10"/>
    <mergeCell ref="L9:L10"/>
    <mergeCell ref="T10:W10"/>
    <mergeCell ref="B11:B31"/>
    <mergeCell ref="L11:L31"/>
    <mergeCell ref="F9:F10"/>
    <mergeCell ref="B32:B50"/>
    <mergeCell ref="L32:L50"/>
    <mergeCell ref="B51:B56"/>
    <mergeCell ref="G69:J69"/>
    <mergeCell ref="K69:K70"/>
    <mergeCell ref="L69:L70"/>
    <mergeCell ref="L51:L56"/>
    <mergeCell ref="B57:B68"/>
    <mergeCell ref="L57:L68"/>
    <mergeCell ref="B69:B70"/>
    <mergeCell ref="C69:C70"/>
    <mergeCell ref="D69:D70"/>
    <mergeCell ref="E69:E70"/>
    <mergeCell ref="F69:F7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31"/>
  <sheetViews>
    <sheetView showGridLines="0" topLeftCell="C1" zoomScale="80" zoomScaleNormal="80" workbookViewId="0">
      <selection activeCell="N19" sqref="N19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58"/>
      <c r="C1" s="58"/>
      <c r="D1" s="58" t="s">
        <v>245</v>
      </c>
      <c r="E1" s="58"/>
      <c r="F1" s="58"/>
      <c r="G1" s="58"/>
      <c r="H1" s="58"/>
      <c r="I1" s="58"/>
      <c r="J1" s="58"/>
      <c r="K1" s="58"/>
      <c r="L1" s="58"/>
      <c r="M1" s="58"/>
      <c r="N1" s="58"/>
      <c r="P1" s="58"/>
    </row>
    <row r="2" spans="1:19" x14ac:dyDescent="0.2">
      <c r="B2" s="58"/>
      <c r="C2" s="58"/>
      <c r="D2" s="58" t="s">
        <v>237</v>
      </c>
      <c r="E2" s="58"/>
      <c r="F2" s="58"/>
      <c r="G2" s="58"/>
      <c r="H2" s="58"/>
      <c r="I2" s="58"/>
      <c r="J2" s="58"/>
      <c r="K2" s="58"/>
      <c r="L2" s="58"/>
      <c r="M2" s="58"/>
      <c r="N2" s="58"/>
      <c r="P2" s="58"/>
    </row>
    <row r="3" spans="1:19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P3" s="17"/>
    </row>
    <row r="4" spans="1:19" ht="18.75" customHeight="1" x14ac:dyDescent="0.2">
      <c r="C4" s="22" t="s">
        <v>0</v>
      </c>
      <c r="D4" s="1181" t="str">
        <f>+'B) Reajuste Tarifas y Ocupación'!F5</f>
        <v>(DEPTO./DELEG.)</v>
      </c>
      <c r="E4" s="939"/>
      <c r="F4" s="1182"/>
      <c r="G4" s="626"/>
      <c r="H4" s="626"/>
      <c r="I4" s="626"/>
      <c r="J4" s="626"/>
      <c r="K4" s="626"/>
      <c r="L4" s="626"/>
      <c r="N4" s="626"/>
      <c r="P4" s="626"/>
    </row>
    <row r="5" spans="1:19" x14ac:dyDescent="0.2">
      <c r="A5" s="9"/>
      <c r="B5" s="23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P5" s="626"/>
    </row>
    <row r="6" spans="1:19" x14ac:dyDescent="0.2">
      <c r="A6" s="9"/>
      <c r="B6" s="23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P6" s="626"/>
    </row>
    <row r="7" spans="1:19" ht="12.75" customHeight="1" x14ac:dyDescent="0.2">
      <c r="A7" s="1196" t="s">
        <v>134</v>
      </c>
      <c r="B7" s="1197"/>
      <c r="C7" s="1197"/>
      <c r="D7" s="1197"/>
      <c r="E7" s="1197"/>
      <c r="F7" s="1197"/>
      <c r="G7" s="1197"/>
      <c r="H7" s="1197"/>
      <c r="I7" s="1197"/>
      <c r="J7" s="1197"/>
      <c r="K7" s="1197"/>
      <c r="L7" s="1197"/>
      <c r="M7" s="1197"/>
      <c r="N7" s="1197"/>
      <c r="O7" s="1198"/>
      <c r="P7" s="112"/>
    </row>
    <row r="8" spans="1:19" x14ac:dyDescent="0.2">
      <c r="A8" s="1199"/>
      <c r="B8" s="1200"/>
      <c r="C8" s="1200"/>
      <c r="D8" s="1200"/>
      <c r="E8" s="1200"/>
      <c r="F8" s="1200"/>
      <c r="G8" s="1200"/>
      <c r="H8" s="1200"/>
      <c r="I8" s="1200"/>
      <c r="J8" s="1200"/>
      <c r="K8" s="1200"/>
      <c r="L8" s="1200"/>
      <c r="M8" s="1200"/>
      <c r="N8" s="1200"/>
      <c r="O8" s="1201"/>
      <c r="P8" s="112"/>
    </row>
    <row r="9" spans="1:19" x14ac:dyDescent="0.2">
      <c r="A9" s="1202"/>
      <c r="B9" s="1203"/>
      <c r="C9" s="1203"/>
      <c r="D9" s="1203"/>
      <c r="E9" s="1203"/>
      <c r="F9" s="1203"/>
      <c r="G9" s="1203"/>
      <c r="H9" s="1203"/>
      <c r="I9" s="1203"/>
      <c r="J9" s="1203"/>
      <c r="K9" s="1203"/>
      <c r="L9" s="1203"/>
      <c r="M9" s="1203"/>
      <c r="N9" s="1203"/>
      <c r="O9" s="1204"/>
      <c r="P9" s="112"/>
    </row>
    <row r="10" spans="1:19" x14ac:dyDescent="0.2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</row>
    <row r="11" spans="1:19" x14ac:dyDescent="0.2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</row>
    <row r="12" spans="1:19" ht="15.75" x14ac:dyDescent="0.2">
      <c r="A12" s="1136" t="s">
        <v>188</v>
      </c>
      <c r="B12" s="1136"/>
      <c r="C12" s="1136"/>
      <c r="D12" s="1136"/>
      <c r="E12" s="627"/>
      <c r="F12" s="86"/>
      <c r="G12" s="86"/>
      <c r="H12" s="86"/>
      <c r="I12" s="85"/>
      <c r="J12" s="85"/>
      <c r="K12" s="86"/>
      <c r="L12" s="86"/>
      <c r="M12" s="86"/>
      <c r="N12" s="86"/>
      <c r="O12" s="86"/>
      <c r="P12" s="86"/>
    </row>
    <row r="13" spans="1:19" ht="13.5" thickBot="1" x14ac:dyDescent="0.25">
      <c r="A13" s="9"/>
      <c r="B13" s="23"/>
      <c r="C13" s="62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P13" s="626"/>
    </row>
    <row r="14" spans="1:19" ht="20.25" customHeight="1" x14ac:dyDescent="0.2">
      <c r="A14" s="1177" t="s">
        <v>141</v>
      </c>
      <c r="B14" s="1186" t="s">
        <v>5</v>
      </c>
      <c r="C14" s="1190" t="s">
        <v>145</v>
      </c>
      <c r="D14" s="1191"/>
      <c r="E14" s="1191"/>
      <c r="F14" s="1191"/>
      <c r="G14" s="1192"/>
      <c r="H14" s="1193" t="s">
        <v>169</v>
      </c>
      <c r="I14" s="1194"/>
      <c r="J14" s="1194"/>
      <c r="K14" s="1194"/>
      <c r="L14" s="1195"/>
      <c r="M14" s="1188" t="s">
        <v>113</v>
      </c>
      <c r="N14" s="1189"/>
      <c r="O14" s="1183" t="s">
        <v>114</v>
      </c>
      <c r="P14" s="1184"/>
      <c r="Q14" s="1179" t="s">
        <v>135</v>
      </c>
    </row>
    <row r="15" spans="1:19" ht="51.75" thickBot="1" x14ac:dyDescent="0.25">
      <c r="A15" s="1185"/>
      <c r="B15" s="1187"/>
      <c r="C15" s="426" t="s">
        <v>89</v>
      </c>
      <c r="D15" s="427" t="s">
        <v>143</v>
      </c>
      <c r="E15" s="427" t="s">
        <v>144</v>
      </c>
      <c r="F15" s="427" t="s">
        <v>90</v>
      </c>
      <c r="G15" s="428" t="s">
        <v>91</v>
      </c>
      <c r="H15" s="434" t="s">
        <v>89</v>
      </c>
      <c r="I15" s="435" t="s">
        <v>143</v>
      </c>
      <c r="J15" s="435" t="s">
        <v>144</v>
      </c>
      <c r="K15" s="435" t="s">
        <v>90</v>
      </c>
      <c r="L15" s="436" t="s">
        <v>91</v>
      </c>
      <c r="M15" s="596" t="s">
        <v>72</v>
      </c>
      <c r="N15" s="603" t="s">
        <v>87</v>
      </c>
      <c r="O15" s="593" t="s">
        <v>72</v>
      </c>
      <c r="P15" s="603" t="s">
        <v>87</v>
      </c>
      <c r="Q15" s="1180"/>
    </row>
    <row r="16" spans="1:19" ht="12.75" customHeight="1" x14ac:dyDescent="0.2">
      <c r="A16" s="1169" t="str">
        <f>'B) Reajuste Tarifas y Ocupación'!A12</f>
        <v>Jardín Infantil Lobito Marino</v>
      </c>
      <c r="B16" s="429" t="str">
        <f>+'B) Reajuste Tarifas y Ocupación'!B12</f>
        <v>Media jornada</v>
      </c>
      <c r="C16" s="336">
        <f>+'B) Reajuste Tarifas y Ocupación'!M12</f>
        <v>79200</v>
      </c>
      <c r="D16" s="337">
        <f>+'B) Reajuste Tarifas y Ocupación'!N12</f>
        <v>95100</v>
      </c>
      <c r="E16" s="337">
        <f>+'B) Reajuste Tarifas y Ocupación'!O12</f>
        <v>95100</v>
      </c>
      <c r="F16" s="337">
        <f>+'B) Reajuste Tarifas y Ocupación'!P12</f>
        <v>106200</v>
      </c>
      <c r="G16" s="342">
        <f>+'B) Reajuste Tarifas y Ocupación'!Q12</f>
        <v>156200</v>
      </c>
      <c r="H16" s="437">
        <f>IFERROR(C16/$Q16,0)</f>
        <v>0.56571428571428573</v>
      </c>
      <c r="I16" s="438">
        <f>IFERROR(D16/$Q16,0)</f>
        <v>0.67928571428571427</v>
      </c>
      <c r="J16" s="438">
        <f>IFERROR(E16/$Q16,0)</f>
        <v>0.67928571428571427</v>
      </c>
      <c r="K16" s="438">
        <f>IFERROR(F16/$Q16,0)</f>
        <v>0.75857142857142856</v>
      </c>
      <c r="L16" s="439">
        <f>IFERROR(G16/$Q16,0)</f>
        <v>1.1157142857142857</v>
      </c>
      <c r="M16" s="604" t="s">
        <v>328</v>
      </c>
      <c r="N16" s="589">
        <v>150000</v>
      </c>
      <c r="O16" s="413" t="s">
        <v>330</v>
      </c>
      <c r="P16" s="589">
        <v>130000</v>
      </c>
      <c r="Q16" s="430">
        <f>AVERAGE(N16,P16)</f>
        <v>140000</v>
      </c>
      <c r="R16" s="24"/>
      <c r="S16" s="25"/>
    </row>
    <row r="17" spans="1:19" ht="13.5" thickBot="1" x14ac:dyDescent="0.25">
      <c r="A17" s="1169"/>
      <c r="B17" s="429" t="str">
        <f>+'B) Reajuste Tarifas y Ocupación'!B13</f>
        <v>Jornada completa</v>
      </c>
      <c r="C17" s="383">
        <f>+'B) Reajuste Tarifas y Ocupación'!M13</f>
        <v>129400</v>
      </c>
      <c r="D17" s="425">
        <f>+'B) Reajuste Tarifas y Ocupación'!N13</f>
        <v>155300</v>
      </c>
      <c r="E17" s="425">
        <f>+'B) Reajuste Tarifas y Ocupación'!O13</f>
        <v>155300</v>
      </c>
      <c r="F17" s="425">
        <f>+'B) Reajuste Tarifas y Ocupación'!P13</f>
        <v>218400</v>
      </c>
      <c r="G17" s="433">
        <f>+'B) Reajuste Tarifas y Ocupación'!Q13</f>
        <v>325800</v>
      </c>
      <c r="H17" s="605">
        <f t="shared" ref="H17:H22" si="0">IFERROR(C17/$Q17,0)</f>
        <v>0.44620689655172413</v>
      </c>
      <c r="I17" s="606">
        <f t="shared" ref="I17:I22" si="1">IFERROR(D17/$Q17,0)</f>
        <v>0.53551724137931034</v>
      </c>
      <c r="J17" s="606">
        <f t="shared" ref="J17:J22" si="2">IFERROR(E17/$Q17,0)</f>
        <v>0.53551724137931034</v>
      </c>
      <c r="K17" s="606">
        <f t="shared" ref="K17:K22" si="3">IFERROR(F17/$Q17,0)</f>
        <v>0.75310344827586206</v>
      </c>
      <c r="L17" s="607">
        <f t="shared" ref="L17:L22" si="4">IFERROR(G17/$Q17,0)</f>
        <v>1.123448275862069</v>
      </c>
      <c r="M17" s="715" t="s">
        <v>329</v>
      </c>
      <c r="N17" s="716">
        <v>310000</v>
      </c>
      <c r="O17" s="715" t="s">
        <v>330</v>
      </c>
      <c r="P17" s="716">
        <v>270000</v>
      </c>
      <c r="Q17" s="717">
        <f t="shared" ref="Q17:Q22" si="5">AVERAGE(N17,P17)</f>
        <v>290000</v>
      </c>
      <c r="R17" s="24"/>
      <c r="S17" s="25"/>
    </row>
    <row r="18" spans="1:19" ht="12.75" customHeight="1" x14ac:dyDescent="0.2">
      <c r="A18" s="1170" t="str">
        <f>'B) Reajuste Tarifas y Ocupación'!A14</f>
        <v>Jardín Infantil Los Delfines</v>
      </c>
      <c r="B18" s="411" t="str">
        <f>+'B) Reajuste Tarifas y Ocupación'!B14</f>
        <v>Media jornada</v>
      </c>
      <c r="C18" s="336">
        <f>+'B) Reajuste Tarifas y Ocupación'!M14</f>
        <v>79200</v>
      </c>
      <c r="D18" s="337">
        <f>+'B) Reajuste Tarifas y Ocupación'!N14</f>
        <v>95100</v>
      </c>
      <c r="E18" s="337">
        <f>+'B) Reajuste Tarifas y Ocupación'!O14</f>
        <v>95100</v>
      </c>
      <c r="F18" s="337">
        <f>+'B) Reajuste Tarifas y Ocupación'!P14</f>
        <v>106200</v>
      </c>
      <c r="G18" s="342">
        <f>+'B) Reajuste Tarifas y Ocupación'!Q14</f>
        <v>156200</v>
      </c>
      <c r="H18" s="437">
        <f t="shared" si="0"/>
        <v>0.56571428571428573</v>
      </c>
      <c r="I18" s="438">
        <f t="shared" si="1"/>
        <v>0.67928571428571427</v>
      </c>
      <c r="J18" s="438">
        <f t="shared" si="2"/>
        <v>0.67928571428571427</v>
      </c>
      <c r="K18" s="438">
        <f t="shared" si="3"/>
        <v>0.75857142857142856</v>
      </c>
      <c r="L18" s="439">
        <f t="shared" si="4"/>
        <v>1.1157142857142857</v>
      </c>
      <c r="M18" s="604" t="s">
        <v>328</v>
      </c>
      <c r="N18" s="589">
        <v>150000</v>
      </c>
      <c r="O18" s="413" t="s">
        <v>330</v>
      </c>
      <c r="P18" s="589">
        <v>130000</v>
      </c>
      <c r="Q18" s="414">
        <f t="shared" si="5"/>
        <v>140000</v>
      </c>
    </row>
    <row r="19" spans="1:19" ht="12.75" customHeight="1" thickBot="1" x14ac:dyDescent="0.25">
      <c r="A19" s="1169"/>
      <c r="B19" s="429" t="str">
        <f>+'B) Reajuste Tarifas y Ocupación'!B15</f>
        <v>Jornada completa</v>
      </c>
      <c r="C19" s="383">
        <f>+'B) Reajuste Tarifas y Ocupación'!M15</f>
        <v>129400</v>
      </c>
      <c r="D19" s="425">
        <f>+'B) Reajuste Tarifas y Ocupación'!N15</f>
        <v>155300</v>
      </c>
      <c r="E19" s="425">
        <f>+'B) Reajuste Tarifas y Ocupación'!O15</f>
        <v>155300</v>
      </c>
      <c r="F19" s="425">
        <f>+'B) Reajuste Tarifas y Ocupación'!P15</f>
        <v>218400</v>
      </c>
      <c r="G19" s="433">
        <f>+'B) Reajuste Tarifas y Ocupación'!Q15</f>
        <v>325800</v>
      </c>
      <c r="H19" s="605">
        <f t="shared" si="0"/>
        <v>0.44620689655172413</v>
      </c>
      <c r="I19" s="606">
        <f t="shared" si="1"/>
        <v>0.53551724137931034</v>
      </c>
      <c r="J19" s="606">
        <f t="shared" si="2"/>
        <v>0.53551724137931034</v>
      </c>
      <c r="K19" s="606">
        <f t="shared" si="3"/>
        <v>0.75310344827586206</v>
      </c>
      <c r="L19" s="607">
        <f t="shared" si="4"/>
        <v>1.123448275862069</v>
      </c>
      <c r="M19" s="715" t="s">
        <v>329</v>
      </c>
      <c r="N19" s="716">
        <v>310000</v>
      </c>
      <c r="O19" s="715" t="s">
        <v>330</v>
      </c>
      <c r="P19" s="716">
        <v>270000</v>
      </c>
      <c r="Q19" s="720">
        <f t="shared" si="5"/>
        <v>290000</v>
      </c>
    </row>
    <row r="20" spans="1:19" ht="27" customHeight="1" thickBot="1" x14ac:dyDescent="0.25">
      <c r="A20" s="628" t="str">
        <f>'B) Reajuste Tarifas y Ocupación'!A16</f>
        <v>Jardín Infantil Pecesitos de Colores</v>
      </c>
      <c r="B20" s="411" t="str">
        <f>+'B) Reajuste Tarifas y Ocupación'!B16</f>
        <v>Media jornada</v>
      </c>
      <c r="C20" s="348">
        <f>+'B) Reajuste Tarifas y Ocupación'!M16</f>
        <v>31800</v>
      </c>
      <c r="D20" s="349">
        <f>+'B) Reajuste Tarifas y Ocupación'!N16</f>
        <v>38200</v>
      </c>
      <c r="E20" s="349">
        <f>+'B) Reajuste Tarifas y Ocupación'!O16</f>
        <v>38200</v>
      </c>
      <c r="F20" s="349">
        <f>+'B) Reajuste Tarifas y Ocupación'!P16</f>
        <v>40000</v>
      </c>
      <c r="G20" s="350">
        <f>+'B) Reajuste Tarifas y Ocupación'!Q16</f>
        <v>47800</v>
      </c>
      <c r="H20" s="611">
        <f t="shared" si="0"/>
        <v>0</v>
      </c>
      <c r="I20" s="442">
        <f t="shared" si="1"/>
        <v>0</v>
      </c>
      <c r="J20" s="442">
        <f t="shared" si="2"/>
        <v>0</v>
      </c>
      <c r="K20" s="442">
        <f t="shared" si="3"/>
        <v>0</v>
      </c>
      <c r="L20" s="443">
        <f t="shared" si="4"/>
        <v>0</v>
      </c>
      <c r="M20" s="721" t="s">
        <v>73</v>
      </c>
      <c r="N20" s="722">
        <v>0</v>
      </c>
      <c r="O20" s="723" t="s">
        <v>73</v>
      </c>
      <c r="P20" s="722">
        <v>0</v>
      </c>
      <c r="Q20" s="724">
        <f t="shared" si="5"/>
        <v>0</v>
      </c>
    </row>
    <row r="21" spans="1:19" ht="12.75" customHeight="1" thickBot="1" x14ac:dyDescent="0.25">
      <c r="A21" s="1170" t="str">
        <f>'B) Reajuste Tarifas y Ocupación'!A17</f>
        <v>Jardín Infantil Caracolito de Mar</v>
      </c>
      <c r="B21" s="411" t="str">
        <f>+'B) Reajuste Tarifas y Ocupación'!B17</f>
        <v>Media jornada</v>
      </c>
      <c r="C21" s="336">
        <f>+'B) Reajuste Tarifas y Ocupación'!M17</f>
        <v>79200</v>
      </c>
      <c r="D21" s="337">
        <f>+'B) Reajuste Tarifas y Ocupación'!N17</f>
        <v>95100</v>
      </c>
      <c r="E21" s="337">
        <f>+'B) Reajuste Tarifas y Ocupación'!O17</f>
        <v>95100</v>
      </c>
      <c r="F21" s="337">
        <f>+'B) Reajuste Tarifas y Ocupación'!P17</f>
        <v>106200</v>
      </c>
      <c r="G21" s="342">
        <f>+'B) Reajuste Tarifas y Ocupación'!Q17</f>
        <v>156200</v>
      </c>
      <c r="H21" s="608">
        <f t="shared" si="0"/>
        <v>0.56571428571428573</v>
      </c>
      <c r="I21" s="609">
        <f t="shared" si="1"/>
        <v>0.67928571428571427</v>
      </c>
      <c r="J21" s="609">
        <f t="shared" si="2"/>
        <v>0.67928571428571427</v>
      </c>
      <c r="K21" s="609">
        <f t="shared" si="3"/>
        <v>0.75857142857142856</v>
      </c>
      <c r="L21" s="610">
        <f t="shared" si="4"/>
        <v>1.1157142857142857</v>
      </c>
      <c r="M21" s="604" t="s">
        <v>328</v>
      </c>
      <c r="N21" s="589">
        <v>150000</v>
      </c>
      <c r="O21" s="413" t="s">
        <v>330</v>
      </c>
      <c r="P21" s="589">
        <v>130000</v>
      </c>
      <c r="Q21" s="718">
        <f t="shared" si="5"/>
        <v>140000</v>
      </c>
    </row>
    <row r="22" spans="1:19" ht="12.75" customHeight="1" thickBot="1" x14ac:dyDescent="0.25">
      <c r="A22" s="1171"/>
      <c r="B22" s="431" t="str">
        <f>+'B) Reajuste Tarifas y Ocupación'!B18</f>
        <v>Jornada completa</v>
      </c>
      <c r="C22" s="383">
        <f>+'B) Reajuste Tarifas y Ocupación'!M18</f>
        <v>129400</v>
      </c>
      <c r="D22" s="425">
        <f>+'B) Reajuste Tarifas y Ocupación'!N18</f>
        <v>155300</v>
      </c>
      <c r="E22" s="425">
        <f>+'B) Reajuste Tarifas y Ocupación'!O18</f>
        <v>155300</v>
      </c>
      <c r="F22" s="425">
        <f>+'B) Reajuste Tarifas y Ocupación'!P18</f>
        <v>218400</v>
      </c>
      <c r="G22" s="433">
        <f>+'B) Reajuste Tarifas y Ocupación'!Q18</f>
        <v>325800</v>
      </c>
      <c r="H22" s="605">
        <f t="shared" si="0"/>
        <v>0.44620689655172413</v>
      </c>
      <c r="I22" s="606">
        <f t="shared" si="1"/>
        <v>0.53551724137931034</v>
      </c>
      <c r="J22" s="606">
        <f t="shared" si="2"/>
        <v>0.53551724137931034</v>
      </c>
      <c r="K22" s="606">
        <f t="shared" si="3"/>
        <v>0.75310344827586206</v>
      </c>
      <c r="L22" s="607">
        <f t="shared" si="4"/>
        <v>1.123448275862069</v>
      </c>
      <c r="M22" s="604" t="s">
        <v>328</v>
      </c>
      <c r="N22" s="716">
        <v>310000</v>
      </c>
      <c r="O22" s="413" t="s">
        <v>330</v>
      </c>
      <c r="P22" s="716">
        <v>270000</v>
      </c>
      <c r="Q22" s="432">
        <f t="shared" si="5"/>
        <v>290000</v>
      </c>
    </row>
    <row r="23" spans="1:19" ht="12.75" customHeight="1" thickBot="1" x14ac:dyDescent="0.25">
      <c r="A23" s="10"/>
      <c r="M23" s="10"/>
      <c r="O23" s="10"/>
      <c r="Q23" s="10"/>
    </row>
    <row r="24" spans="1:19" ht="20.25" customHeight="1" x14ac:dyDescent="0.2">
      <c r="A24" s="1177" t="s">
        <v>142</v>
      </c>
      <c r="B24" s="1186" t="s">
        <v>5</v>
      </c>
      <c r="C24" s="1190" t="s">
        <v>145</v>
      </c>
      <c r="D24" s="1191"/>
      <c r="E24" s="1191"/>
      <c r="F24" s="1191"/>
      <c r="G24" s="1192"/>
      <c r="H24" s="1193" t="s">
        <v>169</v>
      </c>
      <c r="I24" s="1194"/>
      <c r="J24" s="1194"/>
      <c r="K24" s="1194"/>
      <c r="L24" s="1195"/>
      <c r="M24" s="1208" t="s">
        <v>113</v>
      </c>
      <c r="N24" s="1209"/>
      <c r="O24" s="1210" t="s">
        <v>114</v>
      </c>
      <c r="P24" s="1209"/>
      <c r="Q24" s="1205" t="s">
        <v>135</v>
      </c>
    </row>
    <row r="25" spans="1:19" ht="51.75" thickBot="1" x14ac:dyDescent="0.25">
      <c r="A25" s="1178"/>
      <c r="B25" s="1207"/>
      <c r="C25" s="415" t="s">
        <v>89</v>
      </c>
      <c r="D25" s="416" t="s">
        <v>143</v>
      </c>
      <c r="E25" s="416" t="s">
        <v>144</v>
      </c>
      <c r="F25" s="416" t="s">
        <v>90</v>
      </c>
      <c r="G25" s="417" t="s">
        <v>91</v>
      </c>
      <c r="H25" s="449" t="s">
        <v>89</v>
      </c>
      <c r="I25" s="450" t="s">
        <v>143</v>
      </c>
      <c r="J25" s="446" t="s">
        <v>144</v>
      </c>
      <c r="K25" s="450" t="s">
        <v>90</v>
      </c>
      <c r="L25" s="597" t="s">
        <v>91</v>
      </c>
      <c r="M25" s="725" t="s">
        <v>72</v>
      </c>
      <c r="N25" s="566" t="s">
        <v>87</v>
      </c>
      <c r="O25" s="726" t="s">
        <v>72</v>
      </c>
      <c r="P25" s="566" t="s">
        <v>87</v>
      </c>
      <c r="Q25" s="1206"/>
    </row>
    <row r="26" spans="1:19" ht="12.75" customHeight="1" x14ac:dyDescent="0.2">
      <c r="A26" s="1170" t="str">
        <f>'B) Reajuste Tarifas y Ocupación'!A22</f>
        <v>Sala Cuna Caracolito de Mar</v>
      </c>
      <c r="B26" s="411" t="str">
        <f>+'B) Reajuste Tarifas y Ocupación'!B22</f>
        <v>Diurna</v>
      </c>
      <c r="C26" s="336">
        <f>+'B) Reajuste Tarifas y Ocupación'!M22</f>
        <v>323800</v>
      </c>
      <c r="D26" s="337">
        <f>+'B) Reajuste Tarifas y Ocupación'!N22</f>
        <v>388500</v>
      </c>
      <c r="E26" s="337">
        <f>+'B) Reajuste Tarifas y Ocupación'!O22</f>
        <v>388500</v>
      </c>
      <c r="F26" s="337">
        <f>+'B) Reajuste Tarifas y Ocupación'!P22</f>
        <v>381600</v>
      </c>
      <c r="G26" s="342">
        <f>+'B) Reajuste Tarifas y Ocupación'!Q22</f>
        <v>445200</v>
      </c>
      <c r="H26" s="437">
        <f t="shared" ref="H26:L31" si="6">IFERROR(C26/$Q26,0)</f>
        <v>1.1070085470085471</v>
      </c>
      <c r="I26" s="438">
        <f t="shared" si="6"/>
        <v>1.3282051282051281</v>
      </c>
      <c r="J26" s="438">
        <f t="shared" si="6"/>
        <v>1.3282051282051281</v>
      </c>
      <c r="K26" s="438">
        <f t="shared" si="6"/>
        <v>1.3046153846153845</v>
      </c>
      <c r="L26" s="598">
        <f t="shared" si="6"/>
        <v>1.5220512820512822</v>
      </c>
      <c r="M26" s="719" t="s">
        <v>504</v>
      </c>
      <c r="N26" s="589">
        <v>295000</v>
      </c>
      <c r="O26" s="604" t="s">
        <v>505</v>
      </c>
      <c r="P26" s="589">
        <v>290000</v>
      </c>
      <c r="Q26" s="414">
        <f t="shared" ref="Q26:Q31" si="7">AVERAGE(N26,P26)</f>
        <v>292500</v>
      </c>
    </row>
    <row r="27" spans="1:19" ht="12.75" customHeight="1" thickBot="1" x14ac:dyDescent="0.25">
      <c r="A27" s="1172"/>
      <c r="B27" s="410" t="str">
        <f>+'B) Reajuste Tarifas y Ocupación'!B23</f>
        <v>Nocturna</v>
      </c>
      <c r="C27" s="418">
        <f>+'B) Reajuste Tarifas y Ocupación'!M23</f>
        <v>263900</v>
      </c>
      <c r="D27" s="419">
        <f>+'B) Reajuste Tarifas y Ocupación'!N23</f>
        <v>0</v>
      </c>
      <c r="E27" s="419">
        <f>+'B) Reajuste Tarifas y Ocupación'!O23</f>
        <v>0</v>
      </c>
      <c r="F27" s="419">
        <f>+'B) Reajuste Tarifas y Ocupación'!P23</f>
        <v>0</v>
      </c>
      <c r="G27" s="444">
        <f>+'B) Reajuste Tarifas y Ocupación'!Q23</f>
        <v>0</v>
      </c>
      <c r="H27" s="448">
        <f t="shared" si="6"/>
        <v>0</v>
      </c>
      <c r="I27" s="447">
        <f t="shared" si="6"/>
        <v>0</v>
      </c>
      <c r="J27" s="447">
        <f t="shared" si="6"/>
        <v>0</v>
      </c>
      <c r="K27" s="447">
        <f t="shared" si="6"/>
        <v>0</v>
      </c>
      <c r="L27" s="599">
        <f t="shared" si="6"/>
        <v>0</v>
      </c>
      <c r="M27" s="590"/>
      <c r="N27" s="591">
        <v>0</v>
      </c>
      <c r="O27" s="594"/>
      <c r="P27" s="591">
        <v>0</v>
      </c>
      <c r="Q27" s="727">
        <f t="shared" si="7"/>
        <v>0</v>
      </c>
    </row>
    <row r="28" spans="1:19" ht="12.75" customHeight="1" thickBot="1" x14ac:dyDescent="0.25">
      <c r="A28" s="1173"/>
      <c r="B28" s="420" t="str">
        <f>+'B) Reajuste Tarifas y Ocupación'!B24</f>
        <v>Media Jornada</v>
      </c>
      <c r="C28" s="421">
        <f>+'B) Reajuste Tarifas y Ocupación'!M24</f>
        <v>179900</v>
      </c>
      <c r="D28" s="422">
        <f>+'B) Reajuste Tarifas y Ocupación'!N24</f>
        <v>0</v>
      </c>
      <c r="E28" s="422">
        <f>+'B) Reajuste Tarifas y Ocupación'!O24</f>
        <v>0</v>
      </c>
      <c r="F28" s="422">
        <f>+'B) Reajuste Tarifas y Ocupación'!P24</f>
        <v>0</v>
      </c>
      <c r="G28" s="445">
        <f>+'B) Reajuste Tarifas y Ocupación'!Q24</f>
        <v>0</v>
      </c>
      <c r="H28" s="440">
        <f t="shared" si="6"/>
        <v>1.1070769230769231</v>
      </c>
      <c r="I28" s="441">
        <f t="shared" si="6"/>
        <v>0</v>
      </c>
      <c r="J28" s="441">
        <f t="shared" si="6"/>
        <v>0</v>
      </c>
      <c r="K28" s="441">
        <f t="shared" si="6"/>
        <v>0</v>
      </c>
      <c r="L28" s="588">
        <f t="shared" si="6"/>
        <v>0</v>
      </c>
      <c r="M28" s="719" t="s">
        <v>504</v>
      </c>
      <c r="N28" s="592">
        <v>150000</v>
      </c>
      <c r="O28" s="604" t="s">
        <v>505</v>
      </c>
      <c r="P28" s="592">
        <v>175000</v>
      </c>
      <c r="Q28" s="720">
        <f t="shared" si="7"/>
        <v>162500</v>
      </c>
    </row>
    <row r="29" spans="1:19" ht="12.75" customHeight="1" x14ac:dyDescent="0.2">
      <c r="A29" s="1174" t="str">
        <f>'B) Reajuste Tarifas y Ocupación'!A25</f>
        <v>Sala Cuna Mar Azúl</v>
      </c>
      <c r="B29" s="412" t="str">
        <f>+'B) Reajuste Tarifas y Ocupación'!B25</f>
        <v>Diurna</v>
      </c>
      <c r="C29" s="336">
        <f>+'B) Reajuste Tarifas y Ocupación'!M25</f>
        <v>309500</v>
      </c>
      <c r="D29" s="337">
        <f>+'B) Reajuste Tarifas y Ocupación'!N25</f>
        <v>371400</v>
      </c>
      <c r="E29" s="337">
        <f>+'B) Reajuste Tarifas y Ocupación'!O25</f>
        <v>371400</v>
      </c>
      <c r="F29" s="337">
        <f>+'B) Reajuste Tarifas y Ocupación'!P25</f>
        <v>372200</v>
      </c>
      <c r="G29" s="342">
        <f>+'B) Reajuste Tarifas y Ocupación'!Q25</f>
        <v>434100</v>
      </c>
      <c r="H29" s="437">
        <f t="shared" si="6"/>
        <v>1.0581196581196581</v>
      </c>
      <c r="I29" s="438">
        <f t="shared" si="6"/>
        <v>1.2697435897435898</v>
      </c>
      <c r="J29" s="438">
        <f t="shared" si="6"/>
        <v>1.2697435897435898</v>
      </c>
      <c r="K29" s="438">
        <f t="shared" si="6"/>
        <v>1.2724786324786326</v>
      </c>
      <c r="L29" s="598">
        <f t="shared" si="6"/>
        <v>1.484102564102564</v>
      </c>
      <c r="M29" s="719" t="s">
        <v>504</v>
      </c>
      <c r="N29" s="602">
        <v>295000</v>
      </c>
      <c r="O29" s="604" t="s">
        <v>505</v>
      </c>
      <c r="P29" s="589">
        <v>290000</v>
      </c>
      <c r="Q29" s="718">
        <f t="shared" si="7"/>
        <v>292500</v>
      </c>
    </row>
    <row r="30" spans="1:19" ht="12.75" customHeight="1" thickBot="1" x14ac:dyDescent="0.25">
      <c r="A30" s="1175"/>
      <c r="B30" s="410" t="str">
        <f>+'B) Reajuste Tarifas y Ocupación'!B26</f>
        <v>Nocturna</v>
      </c>
      <c r="C30" s="418">
        <f>+'B) Reajuste Tarifas y Ocupación'!M26</f>
        <v>252200</v>
      </c>
      <c r="D30" s="423">
        <f>+'B) Reajuste Tarifas y Ocupación'!N26</f>
        <v>0</v>
      </c>
      <c r="E30" s="423">
        <f>+'B) Reajuste Tarifas y Ocupación'!O26</f>
        <v>0</v>
      </c>
      <c r="F30" s="423">
        <f>+'B) Reajuste Tarifas y Ocupación'!P26</f>
        <v>0</v>
      </c>
      <c r="G30" s="444">
        <f>+'B) Reajuste Tarifas y Ocupación'!Q26</f>
        <v>0</v>
      </c>
      <c r="H30" s="448">
        <f t="shared" si="6"/>
        <v>0</v>
      </c>
      <c r="I30" s="447">
        <f t="shared" si="6"/>
        <v>0</v>
      </c>
      <c r="J30" s="447">
        <f t="shared" si="6"/>
        <v>0</v>
      </c>
      <c r="K30" s="447">
        <f t="shared" si="6"/>
        <v>0</v>
      </c>
      <c r="L30" s="599">
        <f t="shared" si="6"/>
        <v>0</v>
      </c>
      <c r="M30" s="590"/>
      <c r="N30" s="591">
        <v>0</v>
      </c>
      <c r="O30" s="594"/>
      <c r="P30" s="591">
        <v>0</v>
      </c>
      <c r="Q30" s="600">
        <f t="shared" si="7"/>
        <v>0</v>
      </c>
    </row>
    <row r="31" spans="1:19" ht="12.75" customHeight="1" thickBot="1" x14ac:dyDescent="0.25">
      <c r="A31" s="1176"/>
      <c r="B31" s="424" t="str">
        <f>+'B) Reajuste Tarifas y Ocupación'!B27</f>
        <v>Media Jornada</v>
      </c>
      <c r="C31" s="383">
        <f>+'B) Reajuste Tarifas y Ocupación'!M27</f>
        <v>172000</v>
      </c>
      <c r="D31" s="425">
        <f>+'B) Reajuste Tarifas y Ocupación'!N27</f>
        <v>0</v>
      </c>
      <c r="E31" s="425">
        <f>+'B) Reajuste Tarifas y Ocupación'!O27</f>
        <v>0</v>
      </c>
      <c r="F31" s="425">
        <f>+'B) Reajuste Tarifas y Ocupación'!P27</f>
        <v>0</v>
      </c>
      <c r="G31" s="433">
        <f>+'B) Reajuste Tarifas y Ocupación'!Q27</f>
        <v>0</v>
      </c>
      <c r="H31" s="440">
        <f t="shared" si="6"/>
        <v>1.0584615384615386</v>
      </c>
      <c r="I31" s="441">
        <f t="shared" si="6"/>
        <v>0</v>
      </c>
      <c r="J31" s="441">
        <f t="shared" si="6"/>
        <v>0</v>
      </c>
      <c r="K31" s="441">
        <f t="shared" si="6"/>
        <v>0</v>
      </c>
      <c r="L31" s="588">
        <f t="shared" si="6"/>
        <v>0</v>
      </c>
      <c r="M31" s="719" t="s">
        <v>504</v>
      </c>
      <c r="N31" s="592">
        <v>150000</v>
      </c>
      <c r="O31" s="604" t="s">
        <v>505</v>
      </c>
      <c r="P31" s="592">
        <v>175000</v>
      </c>
      <c r="Q31" s="601">
        <f t="shared" si="7"/>
        <v>162500</v>
      </c>
    </row>
  </sheetData>
  <sheetProtection password="9C6E" sheet="1" objects="1" scenarios="1"/>
  <mergeCells count="22">
    <mergeCell ref="Q24:Q25"/>
    <mergeCell ref="B24:B25"/>
    <mergeCell ref="C24:G24"/>
    <mergeCell ref="H24:L24"/>
    <mergeCell ref="M24:N24"/>
    <mergeCell ref="O24:P24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  <mergeCell ref="A16:A17"/>
    <mergeCell ref="A18:A19"/>
    <mergeCell ref="A21:A22"/>
    <mergeCell ref="A26:A28"/>
    <mergeCell ref="A29:A31"/>
    <mergeCell ref="A24:A25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320 Carolina Vera</cp:lastModifiedBy>
  <cp:lastPrinted>2017-09-14T16:34:08Z</cp:lastPrinted>
  <dcterms:created xsi:type="dcterms:W3CDTF">2017-05-11T00:45:10Z</dcterms:created>
  <dcterms:modified xsi:type="dcterms:W3CDTF">2019-12-20T14:25:53Z</dcterms:modified>
</cp:coreProperties>
</file>