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showInkAnnotation="0"/>
  <mc:AlternateContent xmlns:mc="http://schemas.openxmlformats.org/markup-compatibility/2006">
    <mc:Choice Requires="x15">
      <x15ac:absPath xmlns:x15ac="http://schemas.microsoft.com/office/spreadsheetml/2010/11/ac" url="Z:\900 PUBLICO\EDUCACIONAL 2020\"/>
    </mc:Choice>
  </mc:AlternateContent>
  <xr:revisionPtr revIDLastSave="0" documentId="8_{CCD5D2CE-5001-4C2C-9AAF-349EFBD7B308}" xr6:coauthVersionLast="43" xr6:coauthVersionMax="43" xr10:uidLastSave="{00000000-0000-0000-0000-000000000000}"/>
  <workbookProtection workbookPassword="9C6E" lockStructure="1"/>
  <bookViews>
    <workbookView xWindow="-120" yWindow="-120" windowWidth="29040" windowHeight="15840" tabRatio="929" firstSheet="2" activeTab="3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</sheets>
  <definedNames>
    <definedName name="__xlnm_Print_Area">'A) Resumen Ingresos y Egresos'!$A$1:$N$28</definedName>
    <definedName name="__xlnm_Print_Area_1">'C) Costos Directos'!$A$1:$H$38</definedName>
    <definedName name="__xlnm_Print_Area_2">'E) Resumen Tarifado '!$A$4:$G$12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Egresos'!$A$1:$N$28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4" i="7" l="1"/>
  <c r="N13" i="7"/>
  <c r="N12" i="7"/>
  <c r="E101" i="9" l="1"/>
  <c r="F108" i="9" s="1"/>
  <c r="E100" i="9"/>
  <c r="G100" i="9" s="1"/>
  <c r="F100" i="9" l="1"/>
  <c r="H100" i="9" s="1"/>
  <c r="F101" i="9"/>
  <c r="E108" i="9"/>
  <c r="G101" i="9"/>
  <c r="I95" i="9"/>
  <c r="K95" i="9" s="1"/>
  <c r="G94" i="9"/>
  <c r="G96" i="9" s="1"/>
  <c r="E109" i="9" l="1"/>
  <c r="H101" i="9"/>
  <c r="H103" i="9" s="1"/>
  <c r="F109" i="9"/>
  <c r="F51" i="9"/>
  <c r="F52" i="9"/>
  <c r="F53" i="9"/>
  <c r="F50" i="9"/>
  <c r="E61" i="9"/>
  <c r="I20" i="9"/>
  <c r="F55" i="9" l="1"/>
  <c r="P17" i="9"/>
  <c r="G17" i="9"/>
  <c r="O14" i="9"/>
  <c r="O13" i="9"/>
  <c r="O12" i="9"/>
  <c r="O11" i="9"/>
  <c r="O10" i="9"/>
  <c r="O9" i="9"/>
  <c r="I17" i="9" l="1"/>
  <c r="H16" i="12"/>
  <c r="H15" i="12"/>
  <c r="H14" i="12"/>
  <c r="H13" i="12"/>
  <c r="H12" i="12"/>
  <c r="H11" i="12"/>
  <c r="E82" i="9" l="1"/>
  <c r="F82" i="9" s="1"/>
  <c r="E79" i="9" l="1"/>
  <c r="F79" i="9" s="1"/>
  <c r="E77" i="9" l="1"/>
  <c r="F77" i="9" s="1"/>
  <c r="E89" i="9" l="1"/>
  <c r="F89" i="9" s="1"/>
  <c r="E88" i="9"/>
  <c r="F88" i="9" s="1"/>
  <c r="E87" i="9"/>
  <c r="F87" i="9" s="1"/>
  <c r="E86" i="9"/>
  <c r="F86" i="9" s="1"/>
  <c r="E85" i="9"/>
  <c r="F85" i="9" s="1"/>
  <c r="D84" i="9"/>
  <c r="E84" i="9" s="1"/>
  <c r="F84" i="9" s="1"/>
  <c r="E83" i="9"/>
  <c r="F83" i="9" s="1"/>
  <c r="E81" i="9"/>
  <c r="F81" i="9" s="1"/>
  <c r="E80" i="9"/>
  <c r="F80" i="9" s="1"/>
  <c r="E78" i="9"/>
  <c r="F78" i="9" s="1"/>
  <c r="E76" i="9"/>
  <c r="F76" i="9" s="1"/>
  <c r="E75" i="9"/>
  <c r="F75" i="9" s="1"/>
  <c r="E74" i="9"/>
  <c r="F74" i="9" s="1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D67" i="9"/>
  <c r="E67" i="9" s="1"/>
  <c r="F67" i="9" s="1"/>
  <c r="D66" i="9"/>
  <c r="E66" i="9" s="1"/>
  <c r="F66" i="9" s="1"/>
  <c r="D65" i="9"/>
  <c r="E65" i="9" s="1"/>
  <c r="F65" i="9" s="1"/>
  <c r="F20" i="3"/>
  <c r="F74" i="3"/>
  <c r="H43" i="13" l="1"/>
  <c r="H42" i="13"/>
  <c r="H41" i="13"/>
  <c r="H19" i="13"/>
  <c r="H25" i="13"/>
  <c r="H18" i="13"/>
  <c r="H17" i="13"/>
  <c r="H16" i="13"/>
  <c r="H15" i="13"/>
  <c r="I16" i="13"/>
  <c r="F21" i="3" l="1"/>
  <c r="F19" i="3" l="1"/>
  <c r="J23" i="2" l="1"/>
  <c r="K23" i="2"/>
  <c r="L23" i="2"/>
  <c r="M23" i="2"/>
  <c r="I23" i="2"/>
  <c r="Q17" i="1"/>
  <c r="B17" i="1"/>
  <c r="R11" i="5"/>
  <c r="H11" i="5"/>
  <c r="I11" i="5"/>
  <c r="J11" i="5"/>
  <c r="K11" i="5"/>
  <c r="L11" i="5"/>
  <c r="B11" i="5"/>
  <c r="P22" i="2"/>
  <c r="H24" i="7"/>
  <c r="M13" i="7"/>
  <c r="C11" i="5" s="1"/>
  <c r="M11" i="5" s="1"/>
  <c r="L13" i="7"/>
  <c r="Q13" i="7" s="1"/>
  <c r="M22" i="2" s="1"/>
  <c r="K13" i="7"/>
  <c r="U11" i="5" s="1"/>
  <c r="J13" i="7"/>
  <c r="O13" i="7" s="1"/>
  <c r="K22" i="2" s="1"/>
  <c r="I13" i="7"/>
  <c r="D17" i="1" s="1"/>
  <c r="V11" i="5" l="1"/>
  <c r="P13" i="7"/>
  <c r="L22" i="2" s="1"/>
  <c r="D11" i="5"/>
  <c r="N11" i="5" s="1"/>
  <c r="S11" i="5"/>
  <c r="C17" i="1"/>
  <c r="H17" i="1" s="1"/>
  <c r="I22" i="2"/>
  <c r="J22" i="2"/>
  <c r="E11" i="5"/>
  <c r="O11" i="5" s="1"/>
  <c r="T11" i="5"/>
  <c r="E17" i="1"/>
  <c r="J17" i="1" s="1"/>
  <c r="G11" i="5"/>
  <c r="Q11" i="5" s="1"/>
  <c r="G17" i="1"/>
  <c r="L17" i="1" s="1"/>
  <c r="I17" i="1"/>
  <c r="B24" i="7"/>
  <c r="B25" i="7"/>
  <c r="F11" i="5" l="1"/>
  <c r="P11" i="5" s="1"/>
  <c r="F17" i="1"/>
  <c r="K17" i="1" s="1"/>
  <c r="P24" i="2"/>
  <c r="M24" i="2"/>
  <c r="K24" i="2"/>
  <c r="I24" i="2"/>
  <c r="L24" i="2"/>
  <c r="E22" i="2"/>
  <c r="G23" i="2"/>
  <c r="E23" i="2"/>
  <c r="H22" i="2"/>
  <c r="F22" i="2"/>
  <c r="D22" i="2"/>
  <c r="E24" i="2" l="1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D18" i="3" l="1"/>
  <c r="G20" i="3" l="1"/>
  <c r="H20" i="3" s="1"/>
  <c r="G21" i="3"/>
  <c r="H21" i="3" s="1"/>
  <c r="I12" i="7" l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J19" i="12"/>
  <c r="K19" i="12" s="1"/>
  <c r="J20" i="12"/>
  <c r="K20" i="12" s="1"/>
  <c r="J21" i="12"/>
  <c r="K21" i="12" s="1"/>
  <c r="J22" i="12"/>
  <c r="K22" i="12" s="1"/>
  <c r="J23" i="12"/>
  <c r="K23" i="12" s="1"/>
  <c r="J24" i="12"/>
  <c r="K24" i="12" s="1"/>
  <c r="J25" i="12"/>
  <c r="K25" i="12" s="1"/>
  <c r="J26" i="12"/>
  <c r="K26" i="12" s="1"/>
  <c r="J18" i="12"/>
  <c r="K18" i="12" s="1"/>
  <c r="I20" i="2"/>
  <c r="R62" i="13" l="1"/>
  <c r="P62" i="13"/>
  <c r="N62" i="13"/>
  <c r="W80" i="13"/>
  <c r="M62" i="13" l="1"/>
  <c r="Z15" i="13" s="1"/>
  <c r="AG15" i="13" s="1"/>
  <c r="AH15" i="13" s="1"/>
  <c r="AA15" i="13"/>
  <c r="Q62" i="13"/>
  <c r="AD15" i="13" s="1"/>
  <c r="AK15" i="13" s="1"/>
  <c r="AL15" i="13" s="1"/>
  <c r="AE15" i="13"/>
  <c r="O62" i="13"/>
  <c r="AB15" i="13" s="1"/>
  <c r="AI15" i="13" s="1"/>
  <c r="AJ15" i="13" s="1"/>
  <c r="AC15" i="13"/>
  <c r="M14" i="7"/>
  <c r="I19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19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19" i="2"/>
  <c r="P25" i="2"/>
  <c r="P27" i="2" s="1"/>
  <c r="P21" i="2" l="1"/>
  <c r="P28" i="2" l="1"/>
  <c r="P29" i="2" s="1"/>
  <c r="K26" i="2"/>
  <c r="F26" i="2" s="1"/>
  <c r="K20" i="2"/>
  <c r="F20" i="2" s="1"/>
  <c r="J12" i="7"/>
  <c r="O12" i="7" s="1"/>
  <c r="H23" i="7"/>
  <c r="T10" i="5" l="1"/>
  <c r="K19" i="2"/>
  <c r="E16" i="1" l="1"/>
  <c r="J16" i="1" s="1"/>
  <c r="E10" i="5"/>
  <c r="O10" i="5" s="1"/>
  <c r="F19" i="2"/>
  <c r="F21" i="2" s="1"/>
  <c r="K21" i="2"/>
  <c r="K25" i="2" l="1"/>
  <c r="D9" i="2"/>
  <c r="D10" i="2" l="1"/>
  <c r="F25" i="2"/>
  <c r="F27" i="2" s="1"/>
  <c r="F28" i="2" s="1"/>
  <c r="F29" i="2" s="1"/>
  <c r="K27" i="2"/>
  <c r="K28" i="2" s="1"/>
  <c r="K29" i="2" s="1"/>
  <c r="E4" i="12"/>
  <c r="B11" i="12"/>
  <c r="J31" i="12"/>
  <c r="K31" i="12" s="1"/>
  <c r="J30" i="12"/>
  <c r="K30" i="12" s="1"/>
  <c r="J29" i="12"/>
  <c r="K29" i="12" s="1"/>
  <c r="J28" i="12"/>
  <c r="K28" i="12" s="1"/>
  <c r="J27" i="12"/>
  <c r="K27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L11" i="12" l="1"/>
  <c r="D14" i="3" l="1"/>
  <c r="L32" i="12"/>
  <c r="C16" i="1" l="1"/>
  <c r="H16" i="1" s="1"/>
  <c r="J26" i="2" l="1"/>
  <c r="E26" i="2" s="1"/>
  <c r="L26" i="2"/>
  <c r="M26" i="2"/>
  <c r="I26" i="2"/>
  <c r="I25" i="2"/>
  <c r="D25" i="2" s="1"/>
  <c r="J20" i="2"/>
  <c r="E20" i="2" s="1"/>
  <c r="L20" i="2"/>
  <c r="G20" i="2" s="1"/>
  <c r="M20" i="2"/>
  <c r="D20" i="2"/>
  <c r="B25" i="2"/>
  <c r="B19" i="2"/>
  <c r="I10" i="5"/>
  <c r="H10" i="5"/>
  <c r="B12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8" i="1"/>
  <c r="B16" i="1"/>
  <c r="M25" i="2"/>
  <c r="H25" i="2" s="1"/>
  <c r="H25" i="7"/>
  <c r="A23" i="7"/>
  <c r="B23" i="7"/>
  <c r="M19" i="2"/>
  <c r="H19" i="2" s="1"/>
  <c r="D19" i="2"/>
  <c r="A16" i="1"/>
  <c r="C8" i="2"/>
  <c r="B8" i="2"/>
  <c r="D21" i="2" l="1"/>
  <c r="H20" i="2"/>
  <c r="M21" i="2"/>
  <c r="D26" i="2"/>
  <c r="I27" i="2"/>
  <c r="H26" i="2"/>
  <c r="M27" i="2"/>
  <c r="G26" i="2"/>
  <c r="I21" i="2"/>
  <c r="G19" i="2"/>
  <c r="L21" i="2"/>
  <c r="L25" i="2"/>
  <c r="L27" i="2" s="1"/>
  <c r="F10" i="5"/>
  <c r="P10" i="5" s="1"/>
  <c r="C10" i="5"/>
  <c r="M10" i="5" s="1"/>
  <c r="G10" i="5"/>
  <c r="Q10" i="5" s="1"/>
  <c r="M28" i="2" l="1"/>
  <c r="M29" i="2" s="1"/>
  <c r="L28" i="2"/>
  <c r="L29" i="2" s="1"/>
  <c r="I28" i="2"/>
  <c r="I29" i="2" s="1"/>
  <c r="G25" i="2"/>
  <c r="Q18" i="1" l="1"/>
  <c r="H18" i="1" l="1"/>
  <c r="I18" i="1"/>
  <c r="J18" i="1"/>
  <c r="K18" i="1"/>
  <c r="L18" i="1"/>
  <c r="G4" i="5"/>
  <c r="D4" i="1"/>
  <c r="B10" i="5" l="1"/>
  <c r="A10" i="5"/>
  <c r="A19" i="2" l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18" i="3" l="1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H21" i="2"/>
  <c r="G27" i="2"/>
  <c r="D27" i="2"/>
  <c r="H27" i="2"/>
  <c r="H28" i="2" l="1"/>
  <c r="H29" i="2" s="1"/>
  <c r="G28" i="2"/>
  <c r="G29" i="2" s="1"/>
  <c r="G12" i="3"/>
  <c r="G75" i="3" s="1"/>
  <c r="D28" i="2"/>
  <c r="D29" i="2" s="1"/>
  <c r="H14" i="3" l="1"/>
  <c r="D13" i="3"/>
  <c r="H13" i="3" l="1"/>
  <c r="H12" i="3" s="1"/>
  <c r="H75" i="3" s="1"/>
  <c r="H76" i="3" s="1"/>
  <c r="H79" i="3" s="1"/>
  <c r="D12" i="3"/>
  <c r="D75" i="3" s="1"/>
  <c r="F9" i="2" l="1"/>
  <c r="F10" i="2" l="1"/>
  <c r="J25" i="2"/>
  <c r="G9" i="2" l="1"/>
  <c r="H9" i="2" s="1"/>
  <c r="J27" i="2"/>
  <c r="E25" i="2"/>
  <c r="E27" i="2" s="1"/>
  <c r="G10" i="2" l="1"/>
  <c r="N27" i="2"/>
  <c r="O27" i="2"/>
  <c r="L9" i="2" l="1"/>
  <c r="Q27" i="2"/>
  <c r="L10" i="2" l="1"/>
  <c r="D10" i="5"/>
  <c r="N10" i="5" s="1"/>
  <c r="J19" i="2"/>
  <c r="J21" i="2" s="1"/>
  <c r="J28" i="2" s="1"/>
  <c r="J29" i="2" s="1"/>
  <c r="E19" i="2" l="1"/>
  <c r="E21" i="2" s="1"/>
  <c r="E28" i="2" s="1"/>
  <c r="E29" i="2" s="1"/>
  <c r="O21" i="2"/>
  <c r="O28" i="2" s="1"/>
  <c r="O29" i="2" l="1"/>
  <c r="N21" i="2"/>
  <c r="N28" i="2" l="1"/>
  <c r="N29" i="2" s="1"/>
  <c r="C9" i="2"/>
  <c r="C10" i="2" s="1"/>
  <c r="Q21" i="2"/>
  <c r="Q28" i="2" l="1"/>
  <c r="Q29" i="2" s="1"/>
  <c r="B9" i="2"/>
  <c r="B10" i="2" s="1"/>
  <c r="E9" i="2" l="1"/>
  <c r="E10" i="2" s="1"/>
  <c r="I9" i="2" l="1"/>
  <c r="I10" i="2" s="1"/>
  <c r="H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321 Marcelo Hernandez</author>
    <author>320 Carolina Vera</author>
  </authors>
  <commentList>
    <comment ref="N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La Tarifa es un 14% más que la tarifa de Personal Servicio Activo.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La Tarifa es un 20% más que la tarifa de Personal Servicio Activo.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321 Marcelo Hernandez</author>
  </authors>
  <commentList>
    <comment ref="N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Precio del año 2019 más reajuste de 6%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<sst xmlns="http://schemas.openxmlformats.org/spreadsheetml/2006/main" count="674" uniqueCount="378">
  <si>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</si>
  <si>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</si>
  <si>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</si>
  <si>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</si>
  <si>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</si>
  <si>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</si>
  <si>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</si>
  <si>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</si>
  <si>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</si>
  <si>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</si>
  <si>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</si>
  <si>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</si>
  <si>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</si>
  <si>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</si>
  <si>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</si>
  <si>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</si>
  <si>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</si>
  <si>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</si>
  <si>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</si>
  <si>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</si>
  <si>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</si>
  <si>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</si>
  <si>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</si>
  <si>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</si>
  <si>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</si>
  <si>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</si>
  <si>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</si>
  <si>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</si>
  <si>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</si>
  <si>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</si>
  <si>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</si>
  <si>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</si>
  <si>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</si>
  <si>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</si>
  <si>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</si>
  <si>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</si>
  <si>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</si>
  <si>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</si>
  <si>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</si>
  <si>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</si>
  <si>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</si>
  <si>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</si>
  <si>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</si>
  <si>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</si>
  <si>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</si>
  <si>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</si>
  <si>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</si>
  <si>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</si>
  <si>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</si>
  <si>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</si>
  <si>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</si>
  <si>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</si>
  <si>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</si>
  <si>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</si>
  <si>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</si>
  <si>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</si>
  <si>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</si>
  <si>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</si>
  <si>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</si>
  <si>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</si>
  <si>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</si>
  <si>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</si>
  <si>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</si>
  <si>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</si>
  <si>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</si>
  <si>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</si>
  <si>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</si>
  <si>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</si>
  <si>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</si>
  <si>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</si>
  <si>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</si>
  <si>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</si>
  <si>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</si>
  <si>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</si>
  <si>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</si>
  <si>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</si>
  <si>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</si>
  <si>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</si>
  <si>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</si>
  <si>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</si>
  <si>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</si>
  <si>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</si>
  <si>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</si>
  <si>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</si>
  <si>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</si>
  <si>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</si>
  <si>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</si>
  <si>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Mensualidad 2019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</si>
  <si>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</si>
  <si>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</si>
  <si>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</si>
  <si>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</si>
  <si>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</si>
  <si>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</si>
  <si>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</si>
  <si>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</si>
  <si>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</si>
  <si>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</si>
  <si>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</si>
  <si>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</si>
  <si>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</si>
  <si>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</si>
  <si>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</si>
  <si>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</si>
  <si>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</si>
  <si>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</si>
  <si>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</si>
  <si>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</si>
  <si>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</si>
  <si>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</si>
  <si>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</si>
  <si>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</si>
  <si>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</si>
  <si>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</si>
  <si>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</si>
  <si>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</si>
  <si>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</si>
  <si>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</si>
  <si>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Haberes anual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</si>
  <si>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</si>
  <si>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</si>
  <si>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</si>
  <si>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</si>
  <si>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</si>
  <si>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</si>
  <si>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</si>
  <si>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</si>
  <si>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</si>
  <si>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</si>
  <si>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</si>
  <si>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</si>
  <si>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</si>
  <si>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</si>
  <si>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</si>
  <si>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</si>
  <si>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</si>
  <si>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Jardines Infantiles</t>
  </si>
  <si>
    <t>PDI</t>
  </si>
  <si>
    <t>GENDARMERIA</t>
  </si>
  <si>
    <t>Propuesta Mensualidad 2020</t>
  </si>
  <si>
    <t>Meta Ocupación niños 2020</t>
  </si>
  <si>
    <t>Matrícula 2020</t>
  </si>
  <si>
    <t>Mensualidad 2020</t>
  </si>
  <si>
    <t>COSTO DIRECTO ESTIMADO 2020</t>
  </si>
  <si>
    <t>Tarifa 2020</t>
  </si>
  <si>
    <t>ÁREA APOYO A. EDUCACIONAL</t>
  </si>
  <si>
    <t>ADMINISTRACIÓN CENTRAL</t>
  </si>
  <si>
    <t>REMUNERACIONES 2019</t>
  </si>
  <si>
    <t>Costo Total anual por Servidor 2019</t>
  </si>
  <si>
    <t>Costo Total por Servidor Reajustado 2020</t>
  </si>
  <si>
    <t>COSTO INDIRECTO ESTIMADO 2020</t>
  </si>
  <si>
    <t>COSTO  TOTAL</t>
  </si>
  <si>
    <t>% Respecto a Precio Promedio Mercado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</si>
  <si>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</si>
  <si>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</si>
  <si>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</si>
  <si>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</si>
  <si>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</si>
  <si>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</si>
  <si>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</si>
  <si>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</si>
  <si>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</si>
  <si>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</si>
  <si>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</si>
  <si>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</si>
  <si>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</si>
  <si>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</si>
  <si>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</si>
  <si>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</si>
  <si>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</si>
  <si>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</si>
  <si>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</si>
  <si>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</si>
  <si>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</si>
  <si>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</si>
  <si>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</si>
  <si>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</si>
  <si>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</si>
  <si>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</si>
  <si>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</si>
  <si>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</si>
  <si>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</si>
  <si>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</si>
  <si>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</si>
  <si>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</si>
  <si>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</si>
  <si>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</si>
  <si>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PRODUCTOS QUIMICOS (BOTIQUIN)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</si>
  <si>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</si>
  <si>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</si>
  <si>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</si>
  <si>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</si>
  <si>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</si>
  <si>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</si>
  <si>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</si>
  <si>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</si>
  <si>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</si>
  <si>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</si>
  <si>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MATERIALES DE USO CONSUMO (CUOTA DE PADRES)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</si>
  <si>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</si>
  <si>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</si>
  <si>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</si>
  <si>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</si>
  <si>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</si>
  <si>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PROD.QUIMIC,FARMACEUTICOS IND. (EXTINTORES)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</si>
  <si>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</si>
  <si>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</si>
  <si>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</si>
  <si>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</si>
  <si>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</si>
  <si>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</si>
  <si>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</si>
  <si>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</si>
  <si>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</si>
  <si>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</si>
  <si>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</si>
  <si>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</si>
  <si>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</si>
  <si>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</si>
  <si>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</si>
  <si>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</si>
  <si>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>Jardín Infantil Olitas de Mar</t>
  </si>
  <si>
    <t xml:space="preserve">C) ESTIMACION DE COSTOS DIRECTOS </t>
  </si>
  <si>
    <t>DELBIENSAN (S.)</t>
  </si>
  <si>
    <t>Myriam</t>
  </si>
  <si>
    <t>Flores Vasquez</t>
  </si>
  <si>
    <t>Adela</t>
  </si>
  <si>
    <t>Fuentes Paillacar</t>
  </si>
  <si>
    <t>Encargado Recursos Humanos</t>
  </si>
  <si>
    <t xml:space="preserve">Edilia </t>
  </si>
  <si>
    <t>Vidal Àlvarez</t>
  </si>
  <si>
    <t>Encargado Contabilidad</t>
  </si>
  <si>
    <t xml:space="preserve">Sebastián </t>
  </si>
  <si>
    <t>Vásquez Castro</t>
  </si>
  <si>
    <t>Encargado Activo Fijo</t>
  </si>
  <si>
    <t xml:space="preserve">Gilda </t>
  </si>
  <si>
    <t>León Briones</t>
  </si>
  <si>
    <t>Encargado Adquisiciones</t>
  </si>
  <si>
    <t>Enc. Rendición de Cuenta</t>
  </si>
  <si>
    <t>Jardin Infantil Olitas de Mar</t>
  </si>
  <si>
    <t xml:space="preserve">Lissette </t>
  </si>
  <si>
    <t>Fuentes Hidalgo</t>
  </si>
  <si>
    <t>Técnico en Párvulos</t>
  </si>
  <si>
    <t>Jacqueline</t>
  </si>
  <si>
    <t>Jeldres Contreras</t>
  </si>
  <si>
    <t xml:space="preserve">María José </t>
  </si>
  <si>
    <t>Maldonado Fernández</t>
  </si>
  <si>
    <t xml:space="preserve">Francisca </t>
  </si>
  <si>
    <t>Lillo Pardo</t>
  </si>
  <si>
    <t>Claudia Andrea</t>
  </si>
  <si>
    <t>Rojas Candia</t>
  </si>
  <si>
    <t>Ximena Eulalia</t>
  </si>
  <si>
    <t>Abarca González</t>
  </si>
  <si>
    <t>Educadora</t>
  </si>
  <si>
    <t>Sergio</t>
  </si>
  <si>
    <t>Bueno Bueno</t>
  </si>
  <si>
    <t>Jardinero</t>
  </si>
  <si>
    <t>Auxiliar Contable</t>
  </si>
  <si>
    <t>Quiroz Ortega</t>
  </si>
  <si>
    <t>Encargado Sostenimiento</t>
  </si>
  <si>
    <t xml:space="preserve">Jorge </t>
  </si>
  <si>
    <t>Reyes Oyarzún</t>
  </si>
  <si>
    <t>Encargado Asist. Habitacional</t>
  </si>
  <si>
    <t>Pablo</t>
  </si>
  <si>
    <t xml:space="preserve">Torres </t>
  </si>
  <si>
    <t>Gásfiter</t>
  </si>
  <si>
    <t>HOJA F - REMUNERACIONES</t>
  </si>
  <si>
    <t>CARGO</t>
  </si>
  <si>
    <t>Técnico en Párvulos 1</t>
  </si>
  <si>
    <t>Técnico en Párvulos 2</t>
  </si>
  <si>
    <t>Técnico en Párvulos 3</t>
  </si>
  <si>
    <t>Técnico en Párvulos 4</t>
  </si>
  <si>
    <t>Técnico en Párvulos 5</t>
  </si>
  <si>
    <t>SUELDO BASE</t>
  </si>
  <si>
    <t>MOVILIZACIÓN</t>
  </si>
  <si>
    <t>TOTAL HABER</t>
  </si>
  <si>
    <t>ASIG. PERM</t>
  </si>
  <si>
    <t>GASTO TOTAL EMPRESA ANUAL</t>
  </si>
  <si>
    <t xml:space="preserve">ESTRUCTURA REMUNERACIÓN </t>
  </si>
  <si>
    <t>ESTRUCTURA REMUNERACIÓN</t>
  </si>
  <si>
    <t xml:space="preserve">INCREMENTO SUELDO BASE </t>
  </si>
  <si>
    <t>TOTAL GASTO EN REMUNERACIÓN 2019</t>
  </si>
  <si>
    <t>TOTAL GASTO EN REMUNERACIÓN 2020</t>
  </si>
  <si>
    <t>Jardin Infantil Bilibri</t>
  </si>
  <si>
    <t>Jardin Infantil Rayito de Sol</t>
  </si>
  <si>
    <t>Jardín Infantil Rayito de Sol</t>
  </si>
  <si>
    <t>Se trabaja en base al numero promedio de niños JC ,sumando además el promedio con niños de J Verano.</t>
  </si>
  <si>
    <t>Los gastos básicos es de acuerdo al promedio mensual.</t>
  </si>
  <si>
    <t>Se considera de acuerdo al gasto mensual considerando 11 meses.</t>
  </si>
  <si>
    <t>Renovacion de impresora</t>
  </si>
  <si>
    <t>Se considera personal tecnico y profesional, renovar uniformes.</t>
  </si>
  <si>
    <t>Se considera a directora para reunion anual (2 veces al año) y además la visita del sicologo en caso de contratación de personal, para  2 veces.</t>
  </si>
  <si>
    <t>valor de tonner para impresora, son 4 colores que usa.</t>
  </si>
  <si>
    <t>Valor de agenda de Imprenta Naval.</t>
  </si>
  <si>
    <t>valor gasto bancario, de acuerdo al numero de cuponeras de personal de otras FF.AA.</t>
  </si>
  <si>
    <t xml:space="preserve">RENOVACION DE CORTINAS ROLLER PARA LAS SALAS ,SALA MUTIUSO Y COMEDOR -OFICINA,POR ENCONTRARSE EN MAL ESTADO.  TELA SCREEN </t>
  </si>
  <si>
    <t>Renovacion de basureros en las salas, y compra de ollas.</t>
  </si>
  <si>
    <t>Recambio de mesas de párvulos a lo menos 2.</t>
  </si>
  <si>
    <t>Se considera combustible  para maquina cortadora de pasto.</t>
  </si>
  <si>
    <r>
      <t xml:space="preserve">se considera  $310.075 en la mantención </t>
    </r>
    <r>
      <rPr>
        <b/>
        <sz val="10"/>
        <rFont val="Arial"/>
        <family val="2"/>
      </rPr>
      <t>(no se le ha realizado mantención)</t>
    </r>
    <r>
      <rPr>
        <sz val="10"/>
        <rFont val="Arial"/>
        <family val="2"/>
      </rPr>
      <t xml:space="preserve"> de los 3 climatizadores y $ 250mil en la cocina industrial.Se considera $300 mil para Certificación SEC y $200 mil para la caldera.</t>
    </r>
  </si>
  <si>
    <t>Manipuladora Alimentos</t>
  </si>
  <si>
    <t>Directora</t>
  </si>
  <si>
    <t xml:space="preserve">Mery </t>
  </si>
  <si>
    <t>González</t>
  </si>
  <si>
    <t>Leniz</t>
  </si>
  <si>
    <t xml:space="preserve">EE.CC. Roxana </t>
  </si>
  <si>
    <t>EE.CC. Bárbara</t>
  </si>
  <si>
    <t xml:space="preserve">EE.CC. María José </t>
  </si>
  <si>
    <t>PAC. Constanza</t>
  </si>
  <si>
    <t>Alarcón</t>
  </si>
  <si>
    <t>PAC. Claudia</t>
  </si>
  <si>
    <t>Vargas</t>
  </si>
  <si>
    <t>TT. Solange</t>
  </si>
  <si>
    <t>Morales</t>
  </si>
  <si>
    <t>TT. María Teresa</t>
  </si>
  <si>
    <t>Miño</t>
  </si>
  <si>
    <t xml:space="preserve">TT. Natalia </t>
  </si>
  <si>
    <t>Servicios Generales</t>
  </si>
  <si>
    <t>Nuevo Contrato</t>
  </si>
  <si>
    <t>NUEVA Técnico en Párvulos 6</t>
  </si>
  <si>
    <t>LIQUIDO PROMEDIO ACTUAL</t>
  </si>
  <si>
    <t>DIFERENCIA GASTO ANUAL</t>
  </si>
  <si>
    <t>NUEVO LIQUIDO PROMEDIO 2020</t>
  </si>
  <si>
    <t>VALOR APROX INCREMENTA LIQUIDO</t>
  </si>
  <si>
    <t>6.6%</t>
  </si>
  <si>
    <t>PROPUESTA</t>
  </si>
  <si>
    <t>OTROS GASTOS EN PERSONAL PROPUESTO:</t>
  </si>
  <si>
    <t>ARGUMENTOS PROPUESTA INCREMENTO REMUNERACIONES:</t>
  </si>
  <si>
    <r>
      <rPr>
        <b/>
        <sz val="12"/>
        <rFont val="Arial"/>
        <family val="2"/>
      </rPr>
      <t xml:space="preserve">1.- </t>
    </r>
    <r>
      <rPr>
        <sz val="12"/>
        <rFont val="Arial"/>
        <family val="2"/>
      </rPr>
      <t xml:space="preserve">Visiblemente el liquido actual del personal TÉCNICO EN PÁRVULOS es considerablemente bajo en comparación al mercado y otros centros de la misma rama FF.AA., con esta propuesta inicial que se propone es lograr compensar el esfuerzo de las trabajadoras objeto lograr retener a nuestros talentos. </t>
    </r>
  </si>
  <si>
    <r>
      <rPr>
        <b/>
        <sz val="12"/>
        <rFont val="Arial"/>
        <family val="2"/>
      </rPr>
      <t>2.-</t>
    </r>
    <r>
      <rPr>
        <sz val="12"/>
        <rFont val="Arial"/>
        <family val="2"/>
      </rPr>
      <t xml:space="preserve"> Retener a los talentos, los cuales cuenta con una amplia experiencia en el área lo que es fundamental para brindar un servicio de calidad.</t>
    </r>
  </si>
  <si>
    <r>
      <rPr>
        <b/>
        <sz val="12"/>
        <rFont val="Arial"/>
        <family val="2"/>
      </rPr>
      <t>3.-</t>
    </r>
    <r>
      <rPr>
        <sz val="12"/>
        <rFont val="Arial"/>
        <family val="2"/>
      </rPr>
      <t xml:space="preserve"> Considerando que esta propuesta de incremento es ajustada a nuestro presupuesto, sería lo optimo reevaluar en 2 años más objeto lograr de alguna manera equiparar con el mercado.</t>
    </r>
  </si>
  <si>
    <r>
      <rPr>
        <b/>
        <sz val="12"/>
        <rFont val="Arial"/>
        <family val="2"/>
      </rPr>
      <t>4.-</t>
    </r>
    <r>
      <rPr>
        <sz val="12"/>
        <rFont val="Arial"/>
        <family val="2"/>
      </rPr>
      <t xml:space="preserve"> Al mejorar oferta, hace más atractiva ante un proceso de captación y selección de una nueva integrante para nuestro servicio.</t>
    </r>
  </si>
  <si>
    <t>NIVELES ACTUAL</t>
  </si>
  <si>
    <r>
      <t xml:space="preserve">Se propone INCREMENTO REMUNERACIÓN DEL PERSONAL TÉCNICO EN PARVULOS a contar del </t>
    </r>
    <r>
      <rPr>
        <b/>
        <u/>
        <sz val="12"/>
        <rFont val="Arial"/>
        <family val="2"/>
      </rPr>
      <t>enero 2020</t>
    </r>
    <r>
      <rPr>
        <sz val="12"/>
        <rFont val="Arial"/>
        <family val="2"/>
      </rPr>
      <t>, de acuerdo al siguiente detalle:</t>
    </r>
  </si>
  <si>
    <r>
      <rPr>
        <b/>
        <sz val="12"/>
        <rFont val="Arial"/>
        <family val="2"/>
      </rPr>
      <t>1.-</t>
    </r>
    <r>
      <rPr>
        <sz val="12"/>
        <rFont val="Arial"/>
        <family val="2"/>
      </rPr>
      <t xml:space="preserve"> Bárbara González, quién solicitará el retiro cumpliendo los 20 años de servicio. Gasto indicado en la proyección considera la necesidad de incorporar personal EP. LEY 18.712 de reemplazo a contar el mes Abril2020.</t>
    </r>
  </si>
  <si>
    <t>JUSTIFICACIÓN COSTOS DIRECTOS:</t>
  </si>
  <si>
    <t>Se considera un promedio de 4 alumnas en practica.</t>
  </si>
  <si>
    <t>Medio Menor</t>
  </si>
  <si>
    <t>N° NIÑOS ACTUAL</t>
  </si>
  <si>
    <t>N° TÉCNICOS PV. ACTUAL</t>
  </si>
  <si>
    <t>SUPLENCIAS Y REEMPLAZOS (EC  o PAC)</t>
  </si>
  <si>
    <r>
      <t xml:space="preserve">4.- </t>
    </r>
    <r>
      <rPr>
        <sz val="12"/>
        <rFont val="Arial"/>
        <family val="2"/>
      </rPr>
      <t xml:space="preserve">Por otra parte en hoja (F) Remuneración se incorpora además el aporte en personal con cargo ARMADA, detallado a continuación: </t>
    </r>
  </si>
  <si>
    <t>DIRECTORAS Y EDUCADORAS</t>
  </si>
  <si>
    <t>EDUCADORAS</t>
  </si>
  <si>
    <t>TÉCNICO EN PARVULOS</t>
  </si>
  <si>
    <t>MANIPULADORA DE ALIMENTOS</t>
  </si>
  <si>
    <t>GRADO</t>
  </si>
  <si>
    <t>EE.CC.</t>
  </si>
  <si>
    <t>PAC.</t>
  </si>
  <si>
    <t>TT.</t>
  </si>
  <si>
    <t>APORTE PROM. APP. c/u</t>
  </si>
  <si>
    <t>APORTE TOTAL</t>
  </si>
  <si>
    <t>TOTAL APORTE ARMADA EN REMUNERACIONES (APP)</t>
  </si>
  <si>
    <t xml:space="preserve">SE CONSIDERA LA UF A $29.000 </t>
  </si>
  <si>
    <r>
      <t xml:space="preserve">Valor reajustado </t>
    </r>
    <r>
      <rPr>
        <sz val="10"/>
        <rFont val="Arial"/>
        <family val="2"/>
      </rPr>
      <t xml:space="preserve"> para la realización de actividades,según niño.</t>
    </r>
  </si>
  <si>
    <t>3.- Importante tener presente que nuestro jardín tiene una capacidad total de 81 párvulos, de ello en el presente año hemos logrado mantener una matricula total de 75 párvulos.</t>
  </si>
  <si>
    <t>Nivel Medio Mayor</t>
  </si>
  <si>
    <t>Heterogeneo (Menor y Mayor)</t>
  </si>
  <si>
    <t>Heterogeneo (Pre-K. y Kinder )</t>
  </si>
  <si>
    <t>Se requiere camaras para 4 salas, sala multiuso, hall, pasillo,baño mudador.</t>
  </si>
  <si>
    <t xml:space="preserve">Reemplazo de educadora  por la titular. Se se considera 1 tecnico más debido a las reiteradas licencias médicas, por tener varios niños con NEE,además el numero de niños de Jornada Completa corresponde al 90%  del total  y no teniendo apoyo de otro centro en caso de  reemplazo. </t>
  </si>
  <si>
    <r>
      <rPr>
        <b/>
        <sz val="12"/>
        <rFont val="Arial"/>
        <family val="2"/>
      </rPr>
      <t xml:space="preserve">2.- </t>
    </r>
    <r>
      <rPr>
        <sz val="12"/>
        <rFont val="Arial"/>
        <family val="2"/>
      </rPr>
      <t>Se requiere aumentar dotación de TÉCNICO EN PÁRVULOS (1), esto es de acuerdo a lo que instruye DIRECTIVA DIREBIEN donde indica que, por cada 16 niños por nivel se debe contar con una Técnico.Además por tener un gran numero de niños con NEE y que el 90% de los niños que asisten corresponden a Jornada Completa.</t>
    </r>
  </si>
  <si>
    <t>1% REMUNERACIÓN PERSONAL TÉCNICO CONTRATADO COMO EP. LEY 18.712.</t>
  </si>
  <si>
    <t>TECNICO EN PARVULOS</t>
  </si>
  <si>
    <t>SE ELIMINA POR CANTIDAD DE NIÑOS N:70</t>
  </si>
  <si>
    <t>REEMPLAZO EC BARBARA GONZALEZ DEBE TRAMITARSE UNA PAC LIBERAR $7.154.433</t>
  </si>
  <si>
    <t>monto de 4 meses</t>
  </si>
  <si>
    <t>CANTIDAD DE NIÑOS</t>
  </si>
  <si>
    <t>70 A 75</t>
  </si>
  <si>
    <t>SIMULACION</t>
  </si>
  <si>
    <t>base</t>
  </si>
  <si>
    <t>valor 2020</t>
  </si>
  <si>
    <t>DIFERENCIA</t>
  </si>
  <si>
    <t>remuneraciones</t>
  </si>
  <si>
    <t>cotso operación</t>
  </si>
  <si>
    <t>variacion por cada  punto %</t>
  </si>
  <si>
    <t xml:space="preserve">remuneraciones </t>
  </si>
  <si>
    <t>costo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</si>
</sst>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 &quot;$&quot;* #,##0_ ;_ &quot;$&quot;* \-#,##0_ ;_ &quot;$&quot;* &quot;-&quot;_ ;_ @_ "/>
    <numFmt numFmtId="164" formatCode="_-* #,##0.00_-;\-* #,##0.00_-;_-* &quot;-&quot;??_-;_-@_-"/>
    <numFmt numFmtId="165" formatCode="_-* #,##0.00\ &quot;€&quot;_-;\-* #,##0.00\ &quot;€&quot;_-;_-* &quot;-&quot;??\ &quot;€&quot;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* #,##0_-;\-* #,##0_-;_-* &quot;-&quot;??_-;_-@_-"/>
  </numFmts>
  <fonts count="48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20"/>
      <name val="Arial"/>
      <family val="2"/>
    </font>
    <font>
      <sz val="12"/>
      <name val="Arial"/>
      <family val="2"/>
    </font>
    <font>
      <b/>
      <sz val="11"/>
      <color theme="8" tint="-0.249977111117893"/>
      <name val="Arial"/>
      <family val="2"/>
    </font>
    <font>
      <b/>
      <sz val="12"/>
      <color rgb="FF000099"/>
      <name val="Arial"/>
      <family val="2"/>
    </font>
    <font>
      <b/>
      <sz val="11"/>
      <color rgb="FF000099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4"/>
      <color rgb="FF000099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sz val="12"/>
      <color rgb="FF000099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2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72" fontId="13" fillId="0" borderId="0"/>
    <xf numFmtId="166" fontId="13" fillId="0" borderId="0"/>
    <xf numFmtId="0" fontId="7" fillId="8" borderId="0" applyNumberFormat="0" applyBorder="0" applyAlignment="0" applyProtection="0"/>
    <xf numFmtId="0" fontId="4" fillId="8" borderId="1" applyNumberFormat="0" applyAlignment="0" applyProtection="0"/>
    <xf numFmtId="169" fontId="1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3" fontId="33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72" fontId="13" fillId="0" borderId="0" applyFill="0" applyBorder="0" applyAlignment="0" applyProtection="0"/>
    <xf numFmtId="166" fontId="13" fillId="0" borderId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ill="0" applyBorder="0" applyAlignment="0" applyProtection="0"/>
    <xf numFmtId="42" fontId="13" fillId="0" borderId="0" applyFont="0" applyFill="0" applyBorder="0" applyAlignment="0" applyProtection="0"/>
  </cellStyleXfs>
  <cellXfs count="876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9" fontId="0" fillId="0" borderId="0" xfId="16" applyFont="1" applyProtection="1"/>
    <xf numFmtId="0" fontId="0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2" fillId="9" borderId="0" xfId="0" applyFont="1" applyFill="1" applyBorder="1" applyAlignment="1" applyProtection="1">
      <alignment horizontal="left" vertical="center"/>
    </xf>
    <xf numFmtId="168" fontId="12" fillId="9" borderId="0" xfId="13" applyNumberFormat="1" applyFont="1" applyFill="1" applyBorder="1" applyAlignment="1" applyProtection="1">
      <alignment vertical="center"/>
    </xf>
    <xf numFmtId="166" fontId="12" fillId="0" borderId="0" xfId="13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171" fontId="12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8" fontId="12" fillId="0" borderId="0" xfId="0" applyNumberFormat="1" applyFont="1" applyFill="1" applyBorder="1" applyAlignment="1" applyProtection="1">
      <alignment horizontal="center" vertical="center" wrapText="1"/>
    </xf>
    <xf numFmtId="168" fontId="0" fillId="0" borderId="0" xfId="13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166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9" fontId="15" fillId="0" borderId="0" xfId="16" applyFont="1" applyBorder="1" applyAlignment="1" applyProtection="1">
      <alignment vertical="center"/>
    </xf>
    <xf numFmtId="174" fontId="0" fillId="0" borderId="0" xfId="12" applyNumberFormat="1" applyFont="1" applyFill="1" applyBorder="1" applyAlignment="1" applyProtection="1">
      <alignment vertical="center"/>
    </xf>
    <xf numFmtId="169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7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7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7" fontId="12" fillId="0" borderId="0" xfId="0" applyNumberFormat="1" applyFont="1" applyFill="1" applyBorder="1" applyProtection="1"/>
    <xf numFmtId="177" fontId="12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7" fontId="0" fillId="0" borderId="0" xfId="0" applyNumberFormat="1" applyFont="1" applyFill="1" applyBorder="1" applyProtection="1"/>
    <xf numFmtId="177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2" fillId="0" borderId="0" xfId="0" applyFont="1" applyBorder="1" applyProtection="1"/>
    <xf numFmtId="0" fontId="12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8" fontId="18" fillId="0" borderId="0" xfId="13" applyNumberFormat="1" applyFont="1" applyFill="1" applyBorder="1" applyAlignment="1" applyProtection="1">
      <alignment vertical="center"/>
    </xf>
    <xf numFmtId="176" fontId="18" fillId="0" borderId="0" xfId="12" applyNumberFormat="1" applyFont="1" applyFill="1" applyBorder="1" applyAlignment="1" applyProtection="1">
      <alignment vertical="center"/>
    </xf>
    <xf numFmtId="168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68" fontId="10" fillId="0" borderId="0" xfId="13" applyNumberFormat="1" applyFont="1" applyFill="1" applyBorder="1" applyAlignment="1" applyProtection="1">
      <alignment vertical="center"/>
    </xf>
    <xf numFmtId="168" fontId="17" fillId="0" borderId="0" xfId="0" applyNumberFormat="1" applyFont="1" applyFill="1" applyBorder="1" applyAlignment="1" applyProtection="1">
      <alignment vertical="center"/>
    </xf>
    <xf numFmtId="169" fontId="12" fillId="0" borderId="0" xfId="16" applyFont="1" applyFill="1" applyBorder="1" applyAlignment="1" applyProtection="1">
      <alignment horizontal="center" vertical="center"/>
    </xf>
    <xf numFmtId="0" fontId="12" fillId="21" borderId="11" xfId="0" applyFont="1" applyFill="1" applyBorder="1" applyAlignment="1" applyProtection="1">
      <alignment horizontal="center" vertical="center"/>
    </xf>
    <xf numFmtId="0" fontId="12" fillId="20" borderId="26" xfId="0" applyFont="1" applyFill="1" applyBorder="1" applyAlignment="1" applyProtection="1">
      <alignment horizontal="center" vertical="center" wrapText="1"/>
    </xf>
    <xf numFmtId="1" fontId="0" fillId="0" borderId="2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2" fillId="0" borderId="0" xfId="0" applyFont="1" applyFill="1" applyBorder="1" applyAlignment="1" applyProtection="1">
      <alignment horizontal="center"/>
    </xf>
    <xf numFmtId="177" fontId="12" fillId="0" borderId="0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ont="1" applyFill="1" applyBorder="1" applyAlignment="1" applyProtection="1">
      <alignment horizontal="center" vertical="center" wrapText="1"/>
    </xf>
    <xf numFmtId="167" fontId="24" fillId="30" borderId="39" xfId="0" applyNumberFormat="1" applyFont="1" applyFill="1" applyBorder="1" applyAlignment="1" applyProtection="1">
      <alignment vertical="center"/>
    </xf>
    <xf numFmtId="0" fontId="12" fillId="31" borderId="46" xfId="0" applyFont="1" applyFill="1" applyBorder="1" applyAlignment="1" applyProtection="1">
      <alignment horizontal="center" vertical="center" wrapText="1"/>
    </xf>
    <xf numFmtId="167" fontId="12" fillId="32" borderId="47" xfId="13" applyNumberFormat="1" applyFont="1" applyFill="1" applyBorder="1" applyAlignment="1" applyProtection="1">
      <alignment vertical="center"/>
    </xf>
    <xf numFmtId="168" fontId="12" fillId="35" borderId="51" xfId="0" applyNumberFormat="1" applyFont="1" applyFill="1" applyBorder="1" applyAlignment="1" applyProtection="1">
      <alignment horizontal="center" vertical="center" wrapText="1"/>
    </xf>
    <xf numFmtId="168" fontId="12" fillId="15" borderId="5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2" fillId="16" borderId="28" xfId="0" applyFont="1" applyFill="1" applyBorder="1" applyAlignment="1" applyProtection="1">
      <alignment horizontal="center" vertical="center" wrapText="1"/>
    </xf>
    <xf numFmtId="0" fontId="23" fillId="0" borderId="61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7" fontId="12" fillId="26" borderId="28" xfId="0" applyNumberFormat="1" applyFont="1" applyFill="1" applyBorder="1" applyAlignment="1" applyProtection="1">
      <alignment horizontal="center" vertical="center"/>
    </xf>
    <xf numFmtId="170" fontId="12" fillId="19" borderId="28" xfId="16" applyNumberFormat="1" applyFont="1" applyFill="1" applyBorder="1" applyAlignment="1" applyProtection="1">
      <alignment horizontal="center" vertical="center"/>
    </xf>
    <xf numFmtId="0" fontId="12" fillId="16" borderId="41" xfId="0" applyFont="1" applyFill="1" applyBorder="1" applyAlignment="1" applyProtection="1">
      <alignment horizontal="center" vertical="center" wrapText="1"/>
    </xf>
    <xf numFmtId="177" fontId="0" fillId="26" borderId="28" xfId="0" applyNumberFormat="1" applyFont="1" applyFill="1" applyBorder="1" applyAlignment="1" applyProtection="1">
      <alignment horizontal="center" vertical="center"/>
    </xf>
    <xf numFmtId="168" fontId="12" fillId="15" borderId="70" xfId="0" applyNumberFormat="1" applyFont="1" applyFill="1" applyBorder="1" applyAlignment="1" applyProtection="1">
      <alignment horizontal="center" vertical="center" wrapText="1"/>
    </xf>
    <xf numFmtId="177" fontId="23" fillId="26" borderId="23" xfId="0" applyNumberFormat="1" applyFont="1" applyFill="1" applyBorder="1" applyAlignment="1" applyProtection="1">
      <alignment horizontal="right" vertical="center"/>
    </xf>
    <xf numFmtId="169" fontId="14" fillId="19" borderId="7" xfId="16" applyFont="1" applyFill="1" applyBorder="1" applyAlignment="1" applyProtection="1">
      <alignment horizontal="center" vertical="center"/>
    </xf>
    <xf numFmtId="0" fontId="12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8" fontId="0" fillId="0" borderId="0" xfId="13" applyNumberFormat="1" applyFont="1" applyFill="1" applyBorder="1" applyAlignment="1" applyProtection="1">
      <alignment vertical="center"/>
    </xf>
    <xf numFmtId="0" fontId="0" fillId="12" borderId="43" xfId="0" applyFont="1" applyFill="1" applyBorder="1" applyAlignment="1" applyProtection="1">
      <alignment horizontal="left" vertical="center"/>
      <protection locked="0"/>
    </xf>
    <xf numFmtId="0" fontId="0" fillId="12" borderId="52" xfId="0" applyFont="1" applyFill="1" applyBorder="1" applyAlignment="1" applyProtection="1">
      <alignment horizontal="left" vertical="center"/>
      <protection locked="0"/>
    </xf>
    <xf numFmtId="0" fontId="0" fillId="12" borderId="22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0" xfId="0" applyFont="1" applyFill="1" applyBorder="1" applyProtection="1">
      <protection locked="0"/>
    </xf>
    <xf numFmtId="0" fontId="0" fillId="12" borderId="25" xfId="0" applyFont="1" applyFill="1" applyBorder="1" applyProtection="1">
      <protection locked="0"/>
    </xf>
    <xf numFmtId="169" fontId="13" fillId="0" borderId="28" xfId="16" applyBorder="1" applyAlignment="1" applyProtection="1">
      <alignment horizontal="center" vertical="center"/>
    </xf>
    <xf numFmtId="169" fontId="12" fillId="16" borderId="28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8" fontId="12" fillId="15" borderId="74" xfId="0" applyNumberFormat="1" applyFont="1" applyFill="1" applyBorder="1" applyAlignment="1" applyProtection="1">
      <alignment horizontal="center" vertical="center" wrapText="1"/>
    </xf>
    <xf numFmtId="168" fontId="12" fillId="15" borderId="75" xfId="0" applyNumberFormat="1" applyFont="1" applyFill="1" applyBorder="1" applyAlignment="1" applyProtection="1">
      <alignment horizontal="center" vertical="center" wrapText="1"/>
    </xf>
    <xf numFmtId="168" fontId="12" fillId="35" borderId="75" xfId="0" applyNumberFormat="1" applyFont="1" applyFill="1" applyBorder="1" applyAlignment="1" applyProtection="1">
      <alignment horizontal="center" vertical="center" wrapText="1"/>
    </xf>
    <xf numFmtId="168" fontId="12" fillId="35" borderId="78" xfId="0" applyNumberFormat="1" applyFont="1" applyFill="1" applyBorder="1" applyAlignment="1" applyProtection="1">
      <alignment horizontal="center" vertical="center" wrapText="1"/>
    </xf>
    <xf numFmtId="168" fontId="12" fillId="15" borderId="78" xfId="0" applyNumberFormat="1" applyFont="1" applyFill="1" applyBorder="1" applyAlignment="1" applyProtection="1">
      <alignment horizontal="center" vertical="center" wrapText="1"/>
    </xf>
    <xf numFmtId="168" fontId="12" fillId="15" borderId="79" xfId="0" applyNumberFormat="1" applyFont="1" applyFill="1" applyBorder="1" applyAlignment="1" applyProtection="1">
      <alignment horizontal="center" vertical="center" wrapText="1"/>
    </xf>
    <xf numFmtId="168" fontId="12" fillId="35" borderId="81" xfId="0" applyNumberFormat="1" applyFont="1" applyFill="1" applyBorder="1" applyAlignment="1" applyProtection="1">
      <alignment horizontal="center" vertical="center" wrapText="1"/>
    </xf>
    <xf numFmtId="168" fontId="12" fillId="35" borderId="82" xfId="0" applyNumberFormat="1" applyFont="1" applyFill="1" applyBorder="1" applyAlignment="1" applyProtection="1">
      <alignment horizontal="center" vertical="center" wrapText="1"/>
    </xf>
    <xf numFmtId="0" fontId="0" fillId="12" borderId="84" xfId="0" applyFont="1" applyFill="1" applyBorder="1" applyProtection="1">
      <protection locked="0"/>
    </xf>
    <xf numFmtId="168" fontId="12" fillId="35" borderId="99" xfId="0" applyNumberFormat="1" applyFont="1" applyFill="1" applyBorder="1" applyAlignment="1" applyProtection="1">
      <alignment horizontal="center" vertical="center" wrapText="1"/>
    </xf>
    <xf numFmtId="168" fontId="12" fillId="35" borderId="100" xfId="0" applyNumberFormat="1" applyFont="1" applyFill="1" applyBorder="1" applyAlignment="1" applyProtection="1">
      <alignment horizontal="center" vertical="center" wrapText="1"/>
    </xf>
    <xf numFmtId="168" fontId="12" fillId="35" borderId="101" xfId="0" applyNumberFormat="1" applyFont="1" applyFill="1" applyBorder="1" applyAlignment="1" applyProtection="1">
      <alignment horizontal="center" vertical="center" wrapText="1"/>
    </xf>
    <xf numFmtId="178" fontId="0" fillId="29" borderId="87" xfId="13" applyNumberFormat="1" applyFont="1" applyFill="1" applyBorder="1" applyAlignment="1" applyProtection="1">
      <alignment vertical="center"/>
    </xf>
    <xf numFmtId="168" fontId="12" fillId="35" borderId="93" xfId="0" applyNumberFormat="1" applyFont="1" applyFill="1" applyBorder="1" applyAlignment="1" applyProtection="1">
      <alignment horizontal="center" vertical="center" wrapText="1"/>
    </xf>
    <xf numFmtId="168" fontId="12" fillId="15" borderId="106" xfId="0" applyNumberFormat="1" applyFont="1" applyFill="1" applyBorder="1" applyAlignment="1" applyProtection="1">
      <alignment horizontal="center" vertical="center" wrapText="1"/>
    </xf>
    <xf numFmtId="168" fontId="12" fillId="15" borderId="107" xfId="0" applyNumberFormat="1" applyFont="1" applyFill="1" applyBorder="1" applyAlignment="1" applyProtection="1">
      <alignment horizontal="center" vertical="center" wrapText="1"/>
    </xf>
    <xf numFmtId="168" fontId="12" fillId="15" borderId="108" xfId="0" applyNumberFormat="1" applyFont="1" applyFill="1" applyBorder="1" applyAlignment="1" applyProtection="1">
      <alignment horizontal="center" vertical="center" wrapText="1"/>
    </xf>
    <xf numFmtId="168" fontId="12" fillId="15" borderId="101" xfId="0" applyNumberFormat="1" applyFont="1" applyFill="1" applyBorder="1" applyAlignment="1" applyProtection="1">
      <alignment horizontal="center" vertical="center" wrapText="1"/>
    </xf>
    <xf numFmtId="170" fontId="0" fillId="12" borderId="87" xfId="13" applyNumberFormat="1" applyFont="1" applyFill="1" applyBorder="1" applyAlignment="1" applyProtection="1">
      <alignment horizontal="center" vertical="center"/>
      <protection locked="0"/>
    </xf>
    <xf numFmtId="168" fontId="12" fillId="35" borderId="109" xfId="0" applyNumberFormat="1" applyFont="1" applyFill="1" applyBorder="1" applyAlignment="1" applyProtection="1">
      <alignment horizontal="center" vertical="center" wrapText="1"/>
    </xf>
    <xf numFmtId="168" fontId="12" fillId="35" borderId="110" xfId="0" applyNumberFormat="1" applyFont="1" applyFill="1" applyBorder="1" applyAlignment="1" applyProtection="1">
      <alignment horizontal="center" vertical="center" wrapText="1"/>
    </xf>
    <xf numFmtId="168" fontId="12" fillId="35" borderId="111" xfId="0" applyNumberFormat="1" applyFont="1" applyFill="1" applyBorder="1" applyAlignment="1" applyProtection="1">
      <alignment horizontal="center" vertical="center" wrapText="1"/>
    </xf>
    <xf numFmtId="0" fontId="12" fillId="16" borderId="112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169" fontId="31" fillId="0" borderId="0" xfId="16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2" fillId="0" borderId="0" xfId="0" applyFont="1" applyFill="1" applyBorder="1" applyAlignment="1" applyProtection="1">
      <alignment horizontal="center" vertical="center"/>
    </xf>
    <xf numFmtId="0" fontId="0" fillId="12" borderId="122" xfId="0" applyFont="1" applyFill="1" applyBorder="1" applyProtection="1">
      <protection locked="0"/>
    </xf>
    <xf numFmtId="178" fontId="0" fillId="12" borderId="123" xfId="13" applyNumberFormat="1" applyFont="1" applyFill="1" applyBorder="1" applyAlignment="1" applyProtection="1">
      <alignment vertical="center"/>
      <protection locked="0"/>
    </xf>
    <xf numFmtId="178" fontId="0" fillId="12" borderId="124" xfId="13" applyNumberFormat="1" applyFont="1" applyFill="1" applyBorder="1" applyAlignment="1" applyProtection="1">
      <alignment vertical="center"/>
      <protection locked="0"/>
    </xf>
    <xf numFmtId="0" fontId="0" fillId="12" borderId="125" xfId="0" applyFont="1" applyFill="1" applyBorder="1" applyAlignment="1" applyProtection="1">
      <alignment horizontal="left" vertical="center"/>
      <protection locked="0"/>
    </xf>
    <xf numFmtId="0" fontId="0" fillId="12" borderId="125" xfId="0" applyFont="1" applyFill="1" applyBorder="1" applyProtection="1">
      <protection locked="0"/>
    </xf>
    <xf numFmtId="0" fontId="0" fillId="12" borderId="126" xfId="0" applyFont="1" applyFill="1" applyBorder="1" applyProtection="1">
      <protection locked="0"/>
    </xf>
    <xf numFmtId="178" fontId="0" fillId="12" borderId="125" xfId="13" applyNumberFormat="1" applyFont="1" applyFill="1" applyBorder="1" applyAlignment="1" applyProtection="1">
      <alignment vertical="center"/>
      <protection locked="0"/>
    </xf>
    <xf numFmtId="0" fontId="0" fillId="12" borderId="123" xfId="0" applyFont="1" applyFill="1" applyBorder="1" applyAlignment="1" applyProtection="1">
      <alignment horizontal="left" vertical="center"/>
      <protection locked="0"/>
    </xf>
    <xf numFmtId="0" fontId="0" fillId="12" borderId="123" xfId="0" applyFont="1" applyFill="1" applyBorder="1" applyProtection="1">
      <protection locked="0"/>
    </xf>
    <xf numFmtId="0" fontId="0" fillId="12" borderId="128" xfId="0" applyFont="1" applyFill="1" applyBorder="1" applyProtection="1">
      <protection locked="0"/>
    </xf>
    <xf numFmtId="0" fontId="0" fillId="12" borderId="119" xfId="0" applyFont="1" applyFill="1" applyBorder="1" applyAlignment="1" applyProtection="1">
      <alignment horizontal="left" vertical="center"/>
      <protection locked="0"/>
    </xf>
    <xf numFmtId="0" fontId="0" fillId="12" borderId="119" xfId="0" applyFont="1" applyFill="1" applyBorder="1" applyProtection="1">
      <protection locked="0"/>
    </xf>
    <xf numFmtId="0" fontId="0" fillId="12" borderId="124" xfId="0" applyFont="1" applyFill="1" applyBorder="1" applyAlignment="1" applyProtection="1">
      <alignment horizontal="left" vertical="center"/>
      <protection locked="0"/>
    </xf>
    <xf numFmtId="0" fontId="0" fillId="12" borderId="124" xfId="0" applyFont="1" applyFill="1" applyBorder="1" applyProtection="1">
      <protection locked="0"/>
    </xf>
    <xf numFmtId="0" fontId="0" fillId="12" borderId="130" xfId="0" applyFont="1" applyFill="1" applyBorder="1" applyProtection="1">
      <protection locked="0"/>
    </xf>
    <xf numFmtId="177" fontId="0" fillId="0" borderId="131" xfId="0" applyNumberFormat="1" applyFont="1" applyFill="1" applyBorder="1" applyAlignment="1" applyProtection="1">
      <alignment horizontal="right" vertical="center"/>
    </xf>
    <xf numFmtId="177" fontId="0" fillId="0" borderId="133" xfId="0" applyNumberFormat="1" applyFont="1" applyFill="1" applyBorder="1" applyAlignment="1" applyProtection="1">
      <alignment horizontal="right" vertical="center"/>
    </xf>
    <xf numFmtId="177" fontId="0" fillId="0" borderId="134" xfId="0" applyNumberFormat="1" applyFont="1" applyFill="1" applyBorder="1" applyAlignment="1" applyProtection="1">
      <alignment horizontal="right" vertical="center"/>
    </xf>
    <xf numFmtId="0" fontId="12" fillId="16" borderId="84" xfId="0" applyFont="1" applyFill="1" applyBorder="1" applyAlignment="1" applyProtection="1">
      <alignment horizontal="center" vertical="center" wrapText="1"/>
    </xf>
    <xf numFmtId="0" fontId="12" fillId="16" borderId="30" xfId="0" applyFont="1" applyFill="1" applyBorder="1" applyAlignment="1" applyProtection="1">
      <alignment horizontal="center" vertical="center" wrapText="1"/>
    </xf>
    <xf numFmtId="0" fontId="12" fillId="16" borderId="58" xfId="0" applyFont="1" applyFill="1" applyBorder="1" applyAlignment="1" applyProtection="1">
      <alignment horizontal="center" vertical="center" wrapText="1"/>
    </xf>
    <xf numFmtId="178" fontId="0" fillId="12" borderId="128" xfId="13" applyNumberFormat="1" applyFont="1" applyFill="1" applyBorder="1" applyAlignment="1" applyProtection="1">
      <alignment vertical="center"/>
      <protection locked="0"/>
    </xf>
    <xf numFmtId="178" fontId="0" fillId="12" borderId="130" xfId="13" applyNumberFormat="1" applyFont="1" applyFill="1" applyBorder="1" applyAlignment="1" applyProtection="1">
      <alignment vertical="center"/>
      <protection locked="0"/>
    </xf>
    <xf numFmtId="178" fontId="0" fillId="12" borderId="126" xfId="13" applyNumberFormat="1" applyFont="1" applyFill="1" applyBorder="1" applyAlignment="1" applyProtection="1">
      <alignment vertical="center"/>
      <protection locked="0"/>
    </xf>
    <xf numFmtId="177" fontId="0" fillId="29" borderId="133" xfId="0" applyNumberFormat="1" applyFont="1" applyFill="1" applyBorder="1" applyAlignment="1" applyProtection="1">
      <alignment horizontal="right" vertical="center"/>
    </xf>
    <xf numFmtId="177" fontId="0" fillId="29" borderId="134" xfId="0" applyNumberFormat="1" applyFont="1" applyFill="1" applyBorder="1" applyAlignment="1" applyProtection="1">
      <alignment horizontal="right" vertical="center"/>
    </xf>
    <xf numFmtId="177" fontId="0" fillId="29" borderId="131" xfId="0" applyNumberFormat="1" applyFont="1" applyFill="1" applyBorder="1" applyAlignment="1" applyProtection="1">
      <alignment horizontal="right" vertical="center"/>
    </xf>
    <xf numFmtId="177" fontId="0" fillId="29" borderId="127" xfId="0" applyNumberFormat="1" applyFont="1" applyFill="1" applyBorder="1" applyAlignment="1" applyProtection="1">
      <alignment horizontal="right" vertical="center"/>
    </xf>
    <xf numFmtId="177" fontId="0" fillId="29" borderId="135" xfId="0" applyNumberFormat="1" applyFont="1" applyFill="1" applyBorder="1" applyAlignment="1" applyProtection="1">
      <alignment horizontal="right" vertical="center"/>
    </xf>
    <xf numFmtId="177" fontId="0" fillId="0" borderId="127" xfId="0" applyNumberFormat="1" applyFont="1" applyFill="1" applyBorder="1" applyAlignment="1" applyProtection="1">
      <alignment horizontal="right" vertical="center"/>
    </xf>
    <xf numFmtId="177" fontId="0" fillId="0" borderId="135" xfId="0" applyNumberFormat="1" applyFont="1" applyFill="1" applyBorder="1" applyAlignment="1" applyProtection="1">
      <alignment horizontal="right" vertical="center"/>
    </xf>
    <xf numFmtId="0" fontId="0" fillId="12" borderId="136" xfId="0" applyFont="1" applyFill="1" applyBorder="1" applyAlignment="1" applyProtection="1">
      <alignment horizontal="left" vertical="center"/>
      <protection locked="0"/>
    </xf>
    <xf numFmtId="0" fontId="0" fillId="12" borderId="137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0" fillId="23" borderId="124" xfId="0" applyFont="1" applyFill="1" applyBorder="1" applyAlignment="1" applyProtection="1">
      <alignment horizontal="left" vertical="center"/>
    </xf>
    <xf numFmtId="0" fontId="10" fillId="20" borderId="124" xfId="0" applyFont="1" applyFill="1" applyBorder="1" applyAlignment="1" applyProtection="1">
      <alignment horizontal="left" vertical="center"/>
    </xf>
    <xf numFmtId="175" fontId="18" fillId="0" borderId="124" xfId="0" applyNumberFormat="1" applyFont="1" applyFill="1" applyBorder="1" applyAlignment="1" applyProtection="1">
      <alignment horizontal="left"/>
    </xf>
    <xf numFmtId="0" fontId="12" fillId="21" borderId="124" xfId="0" applyFont="1" applyFill="1" applyBorder="1" applyAlignment="1" applyProtection="1">
      <alignment horizontal="center" vertical="center"/>
    </xf>
    <xf numFmtId="0" fontId="12" fillId="20" borderId="124" xfId="0" applyFont="1" applyFill="1" applyBorder="1" applyAlignment="1" applyProtection="1">
      <alignment horizontal="center" vertical="center" wrapText="1"/>
    </xf>
    <xf numFmtId="1" fontId="0" fillId="0" borderId="124" xfId="0" applyNumberFormat="1" applyFont="1" applyFill="1" applyBorder="1" applyAlignment="1" applyProtection="1">
      <alignment horizontal="center" vertical="center" wrapText="1"/>
    </xf>
    <xf numFmtId="168" fontId="10" fillId="23" borderId="124" xfId="13" applyNumberFormat="1" applyFont="1" applyFill="1" applyBorder="1" applyAlignment="1" applyProtection="1">
      <alignment horizontal="center" vertical="center"/>
    </xf>
    <xf numFmtId="168" fontId="10" fillId="20" borderId="124" xfId="13" applyNumberFormat="1" applyFont="1" applyFill="1" applyBorder="1" applyAlignment="1" applyProtection="1">
      <alignment horizontal="center" vertical="center"/>
    </xf>
    <xf numFmtId="168" fontId="0" fillId="12" borderId="124" xfId="13" applyNumberFormat="1" applyFont="1" applyFill="1" applyBorder="1" applyAlignment="1" applyProtection="1">
      <alignment vertical="center"/>
      <protection locked="0"/>
    </xf>
    <xf numFmtId="0" fontId="12" fillId="31" borderId="124" xfId="0" applyFont="1" applyFill="1" applyBorder="1" applyAlignment="1" applyProtection="1">
      <alignment horizontal="center" vertical="center" wrapText="1"/>
    </xf>
    <xf numFmtId="0" fontId="12" fillId="32" borderId="124" xfId="0" applyFont="1" applyFill="1" applyBorder="1" applyAlignment="1" applyProtection="1">
      <alignment horizontal="left" vertical="center"/>
    </xf>
    <xf numFmtId="168" fontId="12" fillId="31" borderId="124" xfId="0" applyNumberFormat="1" applyFont="1" applyFill="1" applyBorder="1" applyAlignment="1" applyProtection="1">
      <alignment horizontal="center" vertical="center" wrapText="1"/>
    </xf>
    <xf numFmtId="9" fontId="0" fillId="12" borderId="139" xfId="0" applyNumberFormat="1" applyFont="1" applyFill="1" applyBorder="1" applyAlignment="1" applyProtection="1">
      <alignment horizontal="center" vertical="center"/>
      <protection locked="0"/>
    </xf>
    <xf numFmtId="182" fontId="0" fillId="11" borderId="0" xfId="0" applyNumberFormat="1" applyFont="1" applyFill="1" applyProtection="1"/>
    <xf numFmtId="181" fontId="0" fillId="11" borderId="0" xfId="0" applyNumberFormat="1" applyFont="1" applyFill="1" applyProtection="1"/>
    <xf numFmtId="168" fontId="0" fillId="29" borderId="158" xfId="13" applyNumberFormat="1" applyFont="1" applyFill="1" applyBorder="1" applyAlignment="1" applyProtection="1">
      <alignment vertical="center"/>
    </xf>
    <xf numFmtId="180" fontId="13" fillId="37" borderId="160" xfId="16" applyNumberFormat="1" applyFill="1" applyBorder="1" applyAlignment="1" applyProtection="1">
      <alignment horizontal="center" vertical="center"/>
    </xf>
    <xf numFmtId="180" fontId="13" fillId="37" borderId="161" xfId="16" applyNumberFormat="1" applyFill="1" applyBorder="1" applyAlignment="1" applyProtection="1">
      <alignment horizontal="center" vertical="center"/>
    </xf>
    <xf numFmtId="180" fontId="13" fillId="37" borderId="162" xfId="16" applyNumberFormat="1" applyFill="1" applyBorder="1" applyAlignment="1" applyProtection="1">
      <alignment horizontal="center" vertical="center"/>
    </xf>
    <xf numFmtId="180" fontId="13" fillId="37" borderId="163" xfId="16" applyNumberFormat="1" applyFill="1" applyBorder="1" applyAlignment="1" applyProtection="1">
      <alignment horizontal="center" vertical="center"/>
    </xf>
    <xf numFmtId="179" fontId="0" fillId="12" borderId="160" xfId="13" applyNumberFormat="1" applyFont="1" applyFill="1" applyBorder="1" applyAlignment="1" applyProtection="1">
      <alignment horizontal="center" vertical="center"/>
      <protection locked="0"/>
    </xf>
    <xf numFmtId="179" fontId="0" fillId="12" borderId="165" xfId="13" applyNumberFormat="1" applyFont="1" applyFill="1" applyBorder="1" applyAlignment="1" applyProtection="1">
      <alignment horizontal="center" vertical="center"/>
      <protection locked="0"/>
    </xf>
    <xf numFmtId="179" fontId="12" fillId="29" borderId="161" xfId="0" applyNumberFormat="1" applyFont="1" applyFill="1" applyBorder="1" applyAlignment="1" applyProtection="1">
      <alignment vertical="center"/>
    </xf>
    <xf numFmtId="179" fontId="12" fillId="29" borderId="166" xfId="0" applyNumberFormat="1" applyFont="1" applyFill="1" applyBorder="1" applyAlignment="1" applyProtection="1">
      <alignment vertical="center"/>
    </xf>
    <xf numFmtId="0" fontId="0" fillId="46" borderId="88" xfId="0" applyFont="1" applyFill="1" applyBorder="1" applyAlignment="1" applyProtection="1">
      <alignment horizontal="left" vertical="center"/>
    </xf>
    <xf numFmtId="178" fontId="0" fillId="46" borderId="88" xfId="13" applyNumberFormat="1" applyFont="1" applyFill="1" applyBorder="1" applyAlignment="1" applyProtection="1">
      <alignment vertical="center"/>
    </xf>
    <xf numFmtId="178" fontId="0" fillId="46" borderId="94" xfId="13" applyNumberFormat="1" applyFont="1" applyFill="1" applyBorder="1" applyAlignment="1" applyProtection="1">
      <alignment vertical="center"/>
    </xf>
    <xf numFmtId="0" fontId="0" fillId="46" borderId="85" xfId="0" applyFont="1" applyFill="1" applyBorder="1" applyAlignment="1" applyProtection="1">
      <alignment horizontal="left" vertical="center"/>
    </xf>
    <xf numFmtId="178" fontId="0" fillId="46" borderId="85" xfId="13" applyNumberFormat="1" applyFont="1" applyFill="1" applyBorder="1" applyAlignment="1" applyProtection="1">
      <alignment vertical="center"/>
    </xf>
    <xf numFmtId="178" fontId="0" fillId="46" borderId="86" xfId="13" applyNumberFormat="1" applyFont="1" applyFill="1" applyBorder="1" applyAlignment="1" applyProtection="1">
      <alignment vertical="center"/>
    </xf>
    <xf numFmtId="170" fontId="0" fillId="46" borderId="94" xfId="13" applyNumberFormat="1" applyFont="1" applyFill="1" applyBorder="1" applyAlignment="1" applyProtection="1">
      <alignment horizontal="center" vertical="center"/>
    </xf>
    <xf numFmtId="169" fontId="13" fillId="0" borderId="0" xfId="16" applyProtection="1"/>
    <xf numFmtId="181" fontId="13" fillId="0" borderId="0" xfId="13" applyNumberFormat="1" applyProtection="1"/>
    <xf numFmtId="0" fontId="23" fillId="12" borderId="60" xfId="0" applyFont="1" applyFill="1" applyBorder="1" applyAlignment="1" applyProtection="1">
      <alignment horizontal="center" vertical="center"/>
      <protection locked="0"/>
    </xf>
    <xf numFmtId="178" fontId="0" fillId="12" borderId="162" xfId="13" applyNumberFormat="1" applyFont="1" applyFill="1" applyBorder="1" applyAlignment="1" applyProtection="1">
      <alignment vertical="center"/>
      <protection locked="0"/>
    </xf>
    <xf numFmtId="9" fontId="0" fillId="12" borderId="163" xfId="0" applyNumberFormat="1" applyFont="1" applyFill="1" applyBorder="1" applyAlignment="1" applyProtection="1">
      <alignment horizontal="center" vertical="center"/>
      <protection locked="0"/>
    </xf>
    <xf numFmtId="177" fontId="0" fillId="0" borderId="164" xfId="0" applyNumberFormat="1" applyFont="1" applyFill="1" applyBorder="1" applyAlignment="1" applyProtection="1">
      <alignment horizontal="right" vertical="center"/>
    </xf>
    <xf numFmtId="177" fontId="0" fillId="0" borderId="128" xfId="0" applyNumberFormat="1" applyFont="1" applyFill="1" applyBorder="1" applyAlignment="1" applyProtection="1">
      <alignment horizontal="right" vertical="center"/>
    </xf>
    <xf numFmtId="177" fontId="0" fillId="0" borderId="172" xfId="0" applyNumberFormat="1" applyFont="1" applyFill="1" applyBorder="1" applyAlignment="1" applyProtection="1">
      <alignment horizontal="right" vertical="center"/>
    </xf>
    <xf numFmtId="177" fontId="0" fillId="0" borderId="158" xfId="0" applyNumberFormat="1" applyFont="1" applyFill="1" applyBorder="1" applyAlignment="1" applyProtection="1">
      <alignment horizontal="right" vertical="center"/>
    </xf>
    <xf numFmtId="9" fontId="0" fillId="11" borderId="161" xfId="0" applyNumberFormat="1" applyFont="1" applyFill="1" applyBorder="1" applyAlignment="1" applyProtection="1">
      <alignment horizontal="center" vertical="center"/>
    </xf>
    <xf numFmtId="9" fontId="0" fillId="11" borderId="164" xfId="0" applyNumberFormat="1" applyFont="1" applyFill="1" applyBorder="1" applyAlignment="1" applyProtection="1">
      <alignment horizontal="center" vertical="center"/>
    </xf>
    <xf numFmtId="9" fontId="0" fillId="12" borderId="167" xfId="0" applyNumberFormat="1" applyFont="1" applyFill="1" applyBorder="1" applyAlignment="1" applyProtection="1">
      <alignment horizontal="center" vertical="center"/>
      <protection locked="0"/>
    </xf>
    <xf numFmtId="9" fontId="0" fillId="11" borderId="166" xfId="0" applyNumberFormat="1" applyFont="1" applyFill="1" applyBorder="1" applyAlignment="1" applyProtection="1">
      <alignment horizontal="center" vertical="center"/>
    </xf>
    <xf numFmtId="0" fontId="12" fillId="16" borderId="175" xfId="0" applyFont="1" applyFill="1" applyBorder="1" applyAlignment="1" applyProtection="1">
      <alignment horizontal="center" vertical="center" wrapText="1"/>
    </xf>
    <xf numFmtId="0" fontId="9" fillId="14" borderId="167" xfId="0" applyFont="1" applyFill="1" applyBorder="1" applyAlignment="1" applyProtection="1">
      <alignment horizontal="center" vertical="center"/>
    </xf>
    <xf numFmtId="0" fontId="9" fillId="47" borderId="166" xfId="0" applyFont="1" applyFill="1" applyBorder="1" applyAlignment="1" applyProtection="1">
      <alignment horizontal="center" vertical="center"/>
    </xf>
    <xf numFmtId="0" fontId="9" fillId="14" borderId="158" xfId="0" applyFont="1" applyFill="1" applyBorder="1" applyAlignment="1" applyProtection="1">
      <alignment horizontal="center" vertical="center"/>
    </xf>
    <xf numFmtId="0" fontId="9" fillId="47" borderId="179" xfId="0" applyFont="1" applyFill="1" applyBorder="1" applyAlignment="1" applyProtection="1">
      <alignment horizontal="center" vertical="center"/>
    </xf>
    <xf numFmtId="169" fontId="0" fillId="12" borderId="141" xfId="16" applyFont="1" applyFill="1" applyBorder="1" applyAlignment="1" applyProtection="1">
      <alignment horizontal="center" vertical="center"/>
      <protection locked="0"/>
    </xf>
    <xf numFmtId="169" fontId="0" fillId="12" borderId="180" xfId="16" applyFont="1" applyFill="1" applyBorder="1" applyAlignment="1" applyProtection="1">
      <alignment horizontal="center" vertical="center"/>
      <protection locked="0"/>
    </xf>
    <xf numFmtId="169" fontId="0" fillId="12" borderId="179" xfId="16" applyFont="1" applyFill="1" applyBorder="1" applyAlignment="1" applyProtection="1">
      <alignment horizontal="center" vertical="center"/>
      <protection locked="0"/>
    </xf>
    <xf numFmtId="177" fontId="0" fillId="0" borderId="161" xfId="0" applyNumberFormat="1" applyFont="1" applyFill="1" applyBorder="1" applyAlignment="1" applyProtection="1">
      <alignment horizontal="right" vertical="center"/>
    </xf>
    <xf numFmtId="177" fontId="0" fillId="0" borderId="166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9" fillId="48" borderId="167" xfId="0" applyFont="1" applyFill="1" applyBorder="1" applyAlignment="1" applyProtection="1">
      <alignment horizontal="center" vertical="center"/>
    </xf>
    <xf numFmtId="0" fontId="9" fillId="48" borderId="166" xfId="0" applyFont="1" applyFill="1" applyBorder="1" applyAlignment="1" applyProtection="1">
      <alignment horizontal="center" vertical="center"/>
    </xf>
    <xf numFmtId="169" fontId="32" fillId="0" borderId="143" xfId="16" applyFont="1" applyFill="1" applyBorder="1" applyAlignment="1" applyProtection="1">
      <alignment horizontal="center" vertical="center"/>
    </xf>
    <xf numFmtId="169" fontId="32" fillId="0" borderId="146" xfId="16" applyFont="1" applyFill="1" applyBorder="1" applyAlignment="1" applyProtection="1">
      <alignment horizontal="center" vertical="center"/>
    </xf>
    <xf numFmtId="177" fontId="0" fillId="27" borderId="145" xfId="0" applyNumberFormat="1" applyFont="1" applyFill="1" applyBorder="1" applyAlignment="1" applyProtection="1">
      <alignment horizontal="right" vertical="center"/>
    </xf>
    <xf numFmtId="177" fontId="0" fillId="27" borderId="183" xfId="0" applyNumberFormat="1" applyFont="1" applyFill="1" applyBorder="1" applyAlignment="1" applyProtection="1">
      <alignment horizontal="right" vertical="center"/>
    </xf>
    <xf numFmtId="0" fontId="0" fillId="11" borderId="185" xfId="0" applyFont="1" applyFill="1" applyBorder="1" applyProtection="1"/>
    <xf numFmtId="0" fontId="0" fillId="11" borderId="186" xfId="0" applyFont="1" applyFill="1" applyBorder="1" applyProtection="1"/>
    <xf numFmtId="0" fontId="0" fillId="11" borderId="187" xfId="0" applyFont="1" applyFill="1" applyBorder="1" applyProtection="1"/>
    <xf numFmtId="0" fontId="0" fillId="11" borderId="175" xfId="0" applyFont="1" applyFill="1" applyBorder="1" applyProtection="1"/>
    <xf numFmtId="0" fontId="0" fillId="11" borderId="117" xfId="0" applyFont="1" applyFill="1" applyBorder="1" applyProtection="1"/>
    <xf numFmtId="0" fontId="25" fillId="0" borderId="175" xfId="0" applyFont="1" applyBorder="1" applyAlignment="1" applyProtection="1">
      <alignment vertical="center"/>
    </xf>
    <xf numFmtId="0" fontId="9" fillId="14" borderId="168" xfId="0" applyFont="1" applyFill="1" applyBorder="1" applyAlignment="1" applyProtection="1">
      <alignment horizontal="center" vertical="center"/>
    </xf>
    <xf numFmtId="0" fontId="9" fillId="14" borderId="184" xfId="0" applyFont="1" applyFill="1" applyBorder="1" applyAlignment="1" applyProtection="1">
      <alignment horizontal="center" vertical="center"/>
    </xf>
    <xf numFmtId="0" fontId="9" fillId="48" borderId="168" xfId="0" applyFont="1" applyFill="1" applyBorder="1" applyAlignment="1" applyProtection="1">
      <alignment horizontal="center" vertical="center"/>
    </xf>
    <xf numFmtId="0" fontId="9" fillId="48" borderId="184" xfId="0" applyFont="1" applyFill="1" applyBorder="1" applyAlignment="1" applyProtection="1">
      <alignment horizontal="center" vertical="center"/>
    </xf>
    <xf numFmtId="0" fontId="9" fillId="47" borderId="168" xfId="0" applyFont="1" applyFill="1" applyBorder="1" applyAlignment="1" applyProtection="1">
      <alignment horizontal="center" vertical="center"/>
    </xf>
    <xf numFmtId="0" fontId="9" fillId="47" borderId="184" xfId="0" applyFont="1" applyFill="1" applyBorder="1" applyAlignment="1" applyProtection="1">
      <alignment horizontal="center" vertical="center"/>
    </xf>
    <xf numFmtId="177" fontId="0" fillId="26" borderId="160" xfId="0" applyNumberFormat="1" applyFont="1" applyFill="1" applyBorder="1" applyAlignment="1" applyProtection="1">
      <alignment horizontal="right" vertical="center"/>
    </xf>
    <xf numFmtId="177" fontId="0" fillId="26" borderId="161" xfId="0" applyNumberFormat="1" applyFont="1" applyFill="1" applyBorder="1" applyAlignment="1" applyProtection="1">
      <alignment horizontal="right" vertical="center"/>
    </xf>
    <xf numFmtId="0" fontId="0" fillId="11" borderId="176" xfId="0" applyFont="1" applyFill="1" applyBorder="1" applyProtection="1"/>
    <xf numFmtId="0" fontId="0" fillId="11" borderId="182" xfId="0" applyFont="1" applyFill="1" applyBorder="1" applyProtection="1"/>
    <xf numFmtId="0" fontId="0" fillId="11" borderId="113" xfId="0" applyFont="1" applyFill="1" applyBorder="1" applyProtection="1"/>
    <xf numFmtId="168" fontId="10" fillId="20" borderId="124" xfId="13" applyNumberFormat="1" applyFont="1" applyFill="1" applyBorder="1" applyAlignment="1" applyProtection="1">
      <alignment horizontal="center" vertical="center"/>
      <protection locked="0"/>
    </xf>
    <xf numFmtId="9" fontId="0" fillId="44" borderId="139" xfId="0" applyNumberFormat="1" applyFont="1" applyFill="1" applyBorder="1" applyAlignment="1" applyProtection="1">
      <alignment horizontal="center" vertical="center"/>
    </xf>
    <xf numFmtId="9" fontId="0" fillId="44" borderId="160" xfId="0" applyNumberFormat="1" applyFont="1" applyFill="1" applyBorder="1" applyAlignment="1" applyProtection="1">
      <alignment horizontal="center" vertical="center"/>
    </xf>
    <xf numFmtId="169" fontId="0" fillId="44" borderId="160" xfId="16" applyFont="1" applyFill="1" applyBorder="1" applyAlignment="1" applyProtection="1">
      <alignment horizontal="center" vertical="center"/>
    </xf>
    <xf numFmtId="0" fontId="12" fillId="16" borderId="184" xfId="0" applyFont="1" applyFill="1" applyBorder="1" applyAlignment="1" applyProtection="1">
      <alignment horizontal="center" vertical="center" wrapText="1"/>
    </xf>
    <xf numFmtId="0" fontId="0" fillId="12" borderId="162" xfId="0" applyFont="1" applyFill="1" applyBorder="1" applyAlignment="1" applyProtection="1">
      <alignment horizontal="left" vertical="center"/>
      <protection locked="0"/>
    </xf>
    <xf numFmtId="178" fontId="0" fillId="12" borderId="160" xfId="13" applyNumberFormat="1" applyFont="1" applyFill="1" applyBorder="1" applyAlignment="1" applyProtection="1">
      <alignment vertical="center"/>
      <protection locked="0"/>
    </xf>
    <xf numFmtId="0" fontId="0" fillId="12" borderId="165" xfId="0" applyFont="1" applyFill="1" applyBorder="1" applyAlignment="1" applyProtection="1">
      <alignment horizontal="left" vertical="center"/>
      <protection locked="0"/>
    </xf>
    <xf numFmtId="178" fontId="0" fillId="12" borderId="165" xfId="13" applyNumberFormat="1" applyFont="1" applyFill="1" applyBorder="1" applyAlignment="1" applyProtection="1">
      <alignment vertical="center"/>
      <protection locked="0"/>
    </xf>
    <xf numFmtId="0" fontId="0" fillId="12" borderId="172" xfId="0" applyFont="1" applyFill="1" applyBorder="1" applyAlignment="1" applyProtection="1">
      <alignment horizontal="left" vertical="center"/>
      <protection locked="0"/>
    </xf>
    <xf numFmtId="0" fontId="0" fillId="12" borderId="158" xfId="0" applyFont="1" applyFill="1" applyBorder="1" applyAlignment="1" applyProtection="1">
      <alignment horizontal="left" vertical="center"/>
      <protection locked="0"/>
    </xf>
    <xf numFmtId="178" fontId="0" fillId="12" borderId="139" xfId="13" applyNumberFormat="1" applyFont="1" applyFill="1" applyBorder="1" applyAlignment="1" applyProtection="1">
      <alignment vertical="center"/>
      <protection locked="0"/>
    </xf>
    <xf numFmtId="177" fontId="0" fillId="29" borderId="161" xfId="0" applyNumberFormat="1" applyFont="1" applyFill="1" applyBorder="1" applyAlignment="1" applyProtection="1">
      <alignment vertical="center"/>
    </xf>
    <xf numFmtId="178" fontId="0" fillId="12" borderId="163" xfId="13" applyNumberFormat="1" applyFont="1" applyFill="1" applyBorder="1" applyAlignment="1" applyProtection="1">
      <alignment vertical="center"/>
      <protection locked="0"/>
    </xf>
    <xf numFmtId="177" fontId="0" fillId="29" borderId="164" xfId="0" applyNumberFormat="1" applyFont="1" applyFill="1" applyBorder="1" applyAlignment="1" applyProtection="1">
      <alignment vertical="center"/>
    </xf>
    <xf numFmtId="178" fontId="0" fillId="12" borderId="167" xfId="13" applyNumberFormat="1" applyFont="1" applyFill="1" applyBorder="1" applyAlignment="1" applyProtection="1">
      <alignment vertical="center"/>
      <protection locked="0"/>
    </xf>
    <xf numFmtId="177" fontId="0" fillId="29" borderId="166" xfId="0" applyNumberFormat="1" applyFont="1" applyFill="1" applyBorder="1" applyAlignment="1" applyProtection="1">
      <alignment vertical="center"/>
    </xf>
    <xf numFmtId="177" fontId="0" fillId="29" borderId="178" xfId="0" applyNumberFormat="1" applyFont="1" applyFill="1" applyBorder="1" applyAlignment="1" applyProtection="1">
      <alignment horizontal="right" vertical="center"/>
    </xf>
    <xf numFmtId="177" fontId="0" fillId="29" borderId="199" xfId="0" applyNumberFormat="1" applyFont="1" applyFill="1" applyBorder="1" applyAlignment="1" applyProtection="1">
      <alignment horizontal="right" vertical="center"/>
    </xf>
    <xf numFmtId="177" fontId="0" fillId="29" borderId="200" xfId="0" applyNumberFormat="1" applyFont="1" applyFill="1" applyBorder="1" applyAlignment="1" applyProtection="1">
      <alignment horizontal="right" vertical="center"/>
    </xf>
    <xf numFmtId="177" fontId="22" fillId="28" borderId="174" xfId="0" applyNumberFormat="1" applyFont="1" applyFill="1" applyBorder="1" applyAlignment="1" applyProtection="1">
      <alignment horizontal="center" vertical="center"/>
    </xf>
    <xf numFmtId="177" fontId="23" fillId="28" borderId="83" xfId="0" applyNumberFormat="1" applyFont="1" applyFill="1" applyBorder="1" applyAlignment="1" applyProtection="1">
      <alignment vertical="center"/>
    </xf>
    <xf numFmtId="168" fontId="0" fillId="12" borderId="161" xfId="13" applyNumberFormat="1" applyFont="1" applyFill="1" applyBorder="1" applyAlignment="1" applyProtection="1">
      <alignment vertical="center"/>
      <protection locked="0"/>
    </xf>
    <xf numFmtId="168" fontId="0" fillId="12" borderId="164" xfId="13" applyNumberFormat="1" applyFont="1" applyFill="1" applyBorder="1" applyAlignment="1" applyProtection="1">
      <alignment vertical="center"/>
      <protection locked="0"/>
    </xf>
    <xf numFmtId="0" fontId="0" fillId="12" borderId="167" xfId="0" applyFont="1" applyFill="1" applyBorder="1" applyAlignment="1" applyProtection="1">
      <alignment horizontal="left" vertical="center"/>
      <protection locked="0"/>
    </xf>
    <xf numFmtId="168" fontId="0" fillId="12" borderId="166" xfId="13" applyNumberFormat="1" applyFont="1" applyFill="1" applyBorder="1" applyAlignment="1" applyProtection="1">
      <alignment vertical="center"/>
      <protection locked="0"/>
    </xf>
    <xf numFmtId="180" fontId="13" fillId="37" borderId="167" xfId="16" applyNumberFormat="1" applyFill="1" applyBorder="1" applyAlignment="1" applyProtection="1">
      <alignment horizontal="center" vertical="center"/>
    </xf>
    <xf numFmtId="180" fontId="13" fillId="37" borderId="165" xfId="16" applyNumberFormat="1" applyFill="1" applyBorder="1" applyAlignment="1" applyProtection="1">
      <alignment horizontal="center" vertical="center"/>
    </xf>
    <xf numFmtId="180" fontId="13" fillId="37" borderId="166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2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0" fillId="0" borderId="204" xfId="0" applyFont="1" applyFill="1" applyBorder="1" applyAlignment="1" applyProtection="1">
      <alignment horizontal="left" vertical="center"/>
    </xf>
    <xf numFmtId="0" fontId="0" fillId="0" borderId="209" xfId="0" applyFont="1" applyFill="1" applyBorder="1" applyAlignment="1" applyProtection="1">
      <alignment horizontal="left" vertical="center"/>
    </xf>
    <xf numFmtId="0" fontId="0" fillId="0" borderId="208" xfId="0" applyFont="1" applyFill="1" applyBorder="1" applyAlignment="1" applyProtection="1">
      <alignment horizontal="left" vertical="center"/>
    </xf>
    <xf numFmtId="1" fontId="0" fillId="44" borderId="26" xfId="0" applyNumberFormat="1" applyFont="1" applyFill="1" applyBorder="1" applyAlignment="1" applyProtection="1">
      <alignment horizontal="center" vertical="center" wrapText="1"/>
    </xf>
    <xf numFmtId="175" fontId="32" fillId="0" borderId="204" xfId="0" applyNumberFormat="1" applyFont="1" applyFill="1" applyBorder="1" applyAlignment="1" applyProtection="1">
      <alignment horizontal="left"/>
    </xf>
    <xf numFmtId="175" fontId="18" fillId="0" borderId="204" xfId="0" applyNumberFormat="1" applyFont="1" applyFill="1" applyBorder="1" applyAlignment="1" applyProtection="1">
      <alignment horizontal="left"/>
    </xf>
    <xf numFmtId="175" fontId="0" fillId="0" borderId="204" xfId="0" applyNumberFormat="1" applyFont="1" applyFill="1" applyBorder="1" applyAlignment="1" applyProtection="1">
      <alignment horizontal="left"/>
    </xf>
    <xf numFmtId="175" fontId="18" fillId="44" borderId="204" xfId="0" applyNumberFormat="1" applyFont="1" applyFill="1" applyBorder="1" applyAlignment="1" applyProtection="1">
      <alignment horizontal="left"/>
    </xf>
    <xf numFmtId="168" fontId="0" fillId="12" borderId="162" xfId="13" applyNumberFormat="1" applyFont="1" applyFill="1" applyBorder="1" applyAlignment="1" applyProtection="1">
      <alignment vertical="center"/>
      <protection locked="0"/>
    </xf>
    <xf numFmtId="176" fontId="18" fillId="12" borderId="162" xfId="12" applyNumberFormat="1" applyFont="1" applyFill="1" applyBorder="1" applyAlignment="1" applyProtection="1">
      <alignment vertical="center"/>
      <protection locked="0"/>
    </xf>
    <xf numFmtId="168" fontId="18" fillId="12" borderId="162" xfId="13" applyNumberFormat="1" applyFont="1" applyFill="1" applyBorder="1" applyAlignment="1" applyProtection="1">
      <alignment vertical="center"/>
      <protection locked="0"/>
    </xf>
    <xf numFmtId="0" fontId="10" fillId="20" borderId="204" xfId="0" applyFont="1" applyFill="1" applyBorder="1" applyAlignment="1" applyProtection="1">
      <alignment horizontal="left" vertical="center"/>
    </xf>
    <xf numFmtId="175" fontId="18" fillId="0" borderId="159" xfId="0" applyNumberFormat="1" applyFont="1" applyFill="1" applyBorder="1" applyAlignment="1" applyProtection="1">
      <alignment horizontal="left"/>
    </xf>
    <xf numFmtId="168" fontId="10" fillId="20" borderId="162" xfId="13" applyNumberFormat="1" applyFont="1" applyFill="1" applyBorder="1" applyAlignment="1" applyProtection="1">
      <alignment horizontal="center" vertical="center"/>
    </xf>
    <xf numFmtId="168" fontId="10" fillId="22" borderId="162" xfId="13" applyNumberFormat="1" applyFont="1" applyFill="1" applyBorder="1" applyAlignment="1" applyProtection="1">
      <alignment vertical="center"/>
    </xf>
    <xf numFmtId="0" fontId="10" fillId="23" borderId="204" xfId="0" applyFont="1" applyFill="1" applyBorder="1" applyAlignment="1" applyProtection="1">
      <alignment horizontal="left" vertical="center"/>
    </xf>
    <xf numFmtId="0" fontId="12" fillId="32" borderId="48" xfId="0" applyFont="1" applyFill="1" applyBorder="1" applyAlignment="1" applyProtection="1">
      <alignment vertical="center"/>
    </xf>
    <xf numFmtId="168" fontId="10" fillId="28" borderId="208" xfId="13" applyNumberFormat="1" applyFont="1" applyFill="1" applyBorder="1" applyAlignment="1" applyProtection="1">
      <alignment vertical="center"/>
    </xf>
    <xf numFmtId="168" fontId="10" fillId="20" borderId="207" xfId="13" applyNumberFormat="1" applyFont="1" applyFill="1" applyBorder="1" applyAlignment="1" applyProtection="1">
      <alignment horizontal="center" vertical="center"/>
    </xf>
    <xf numFmtId="168" fontId="10" fillId="23" borderId="207" xfId="13" applyNumberFormat="1" applyFont="1" applyFill="1" applyBorder="1" applyAlignment="1" applyProtection="1">
      <alignment horizontal="center" vertical="center"/>
    </xf>
    <xf numFmtId="168" fontId="10" fillId="20" borderId="208" xfId="13" applyNumberFormat="1" applyFont="1" applyFill="1" applyBorder="1" applyAlignment="1" applyProtection="1">
      <alignment vertical="center"/>
    </xf>
    <xf numFmtId="168" fontId="10" fillId="28" borderId="202" xfId="13" applyNumberFormat="1" applyFont="1" applyFill="1" applyBorder="1" applyAlignment="1" applyProtection="1">
      <alignment vertical="center"/>
    </xf>
    <xf numFmtId="168" fontId="10" fillId="23" borderId="208" xfId="13" applyNumberFormat="1" applyFont="1" applyFill="1" applyBorder="1" applyAlignment="1" applyProtection="1">
      <alignment horizontal="center" vertical="center"/>
    </xf>
    <xf numFmtId="168" fontId="18" fillId="29" borderId="162" xfId="13" applyNumberFormat="1" applyFont="1" applyFill="1" applyBorder="1" applyAlignment="1" applyProtection="1">
      <alignment vertical="center"/>
    </xf>
    <xf numFmtId="168" fontId="10" fillId="23" borderId="162" xfId="13" applyNumberFormat="1" applyFont="1" applyFill="1" applyBorder="1" applyAlignment="1" applyProtection="1">
      <alignment horizontal="center" vertical="center"/>
    </xf>
    <xf numFmtId="168" fontId="10" fillId="24" borderId="162" xfId="13" applyNumberFormat="1" applyFont="1" applyFill="1" applyBorder="1" applyAlignment="1" applyProtection="1">
      <alignment vertical="center"/>
    </xf>
    <xf numFmtId="168" fontId="10" fillId="20" borderId="162" xfId="13" applyNumberFormat="1" applyFont="1" applyFill="1" applyBorder="1" applyAlignment="1" applyProtection="1">
      <alignment vertical="center"/>
    </xf>
    <xf numFmtId="167" fontId="12" fillId="32" borderId="162" xfId="13" applyNumberFormat="1" applyFont="1" applyFill="1" applyBorder="1" applyAlignment="1" applyProtection="1">
      <alignment vertical="center"/>
    </xf>
    <xf numFmtId="167" fontId="12" fillId="33" borderId="162" xfId="13" applyNumberFormat="1" applyFont="1" applyFill="1" applyBorder="1" applyAlignment="1" applyProtection="1">
      <alignment vertical="center"/>
    </xf>
    <xf numFmtId="0" fontId="12" fillId="17" borderId="162" xfId="0" applyFont="1" applyFill="1" applyBorder="1" applyAlignment="1" applyProtection="1">
      <alignment horizontal="center" vertical="center" wrapText="1"/>
    </xf>
    <xf numFmtId="174" fontId="12" fillId="17" borderId="162" xfId="12" applyNumberFormat="1" applyFont="1" applyFill="1" applyBorder="1" applyAlignment="1" applyProtection="1">
      <alignment horizontal="center" vertical="center" wrapText="1"/>
    </xf>
    <xf numFmtId="0" fontId="10" fillId="17" borderId="162" xfId="0" applyFont="1" applyFill="1" applyBorder="1" applyAlignment="1" applyProtection="1">
      <alignment horizontal="center" vertical="center"/>
    </xf>
    <xf numFmtId="168" fontId="12" fillId="41" borderId="162" xfId="13" applyNumberFormat="1" applyFont="1" applyFill="1" applyBorder="1" applyAlignment="1" applyProtection="1">
      <alignment vertical="center"/>
    </xf>
    <xf numFmtId="168" fontId="12" fillId="42" borderId="162" xfId="13" applyNumberFormat="1" applyFont="1" applyFill="1" applyBorder="1" applyAlignment="1" applyProtection="1">
      <alignment vertical="center"/>
    </xf>
    <xf numFmtId="168" fontId="18" fillId="1" borderId="162" xfId="13" applyNumberFormat="1" applyFont="1" applyFill="1" applyBorder="1" applyAlignment="1" applyProtection="1">
      <alignment vertical="center"/>
    </xf>
    <xf numFmtId="176" fontId="18" fillId="1" borderId="162" xfId="12" applyNumberFormat="1" applyFont="1" applyFill="1" applyBorder="1" applyAlignment="1" applyProtection="1">
      <alignment vertical="center"/>
    </xf>
    <xf numFmtId="1" fontId="0" fillId="0" borderId="206" xfId="0" applyNumberFormat="1" applyBorder="1" applyAlignment="1" applyProtection="1">
      <alignment horizontal="center"/>
    </xf>
    <xf numFmtId="1" fontId="0" fillId="0" borderId="211" xfId="0" applyNumberFormat="1" applyBorder="1" applyAlignment="1" applyProtection="1"/>
    <xf numFmtId="1" fontId="32" fillId="0" borderId="211" xfId="0" applyNumberFormat="1" applyFont="1" applyBorder="1" applyAlignment="1" applyProtection="1"/>
    <xf numFmtId="168" fontId="0" fillId="46" borderId="162" xfId="13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 vertical="center"/>
      <protection locked="0"/>
    </xf>
    <xf numFmtId="178" fontId="0" fillId="29" borderId="161" xfId="13" applyNumberFormat="1" applyFont="1" applyFill="1" applyBorder="1" applyAlignment="1" applyProtection="1">
      <alignment vertical="center"/>
    </xf>
    <xf numFmtId="178" fontId="0" fillId="29" borderId="167" xfId="13" applyNumberFormat="1" applyFont="1" applyFill="1" applyBorder="1" applyAlignment="1" applyProtection="1">
      <alignment vertical="center"/>
    </xf>
    <xf numFmtId="178" fontId="0" fillId="29" borderId="165" xfId="13" applyNumberFormat="1" applyFont="1" applyFill="1" applyBorder="1" applyAlignment="1" applyProtection="1">
      <alignment vertical="center"/>
    </xf>
    <xf numFmtId="178" fontId="0" fillId="29" borderId="166" xfId="13" applyNumberFormat="1" applyFont="1" applyFill="1" applyBorder="1" applyAlignment="1" applyProtection="1">
      <alignment vertical="center"/>
    </xf>
    <xf numFmtId="168" fontId="0" fillId="0" borderId="0" xfId="0" applyNumberFormat="1" applyFont="1" applyAlignment="1" applyProtection="1">
      <alignment vertical="center"/>
    </xf>
    <xf numFmtId="168" fontId="12" fillId="0" borderId="0" xfId="0" applyNumberFormat="1" applyFont="1" applyAlignment="1" applyProtection="1">
      <alignment vertical="center"/>
    </xf>
    <xf numFmtId="0" fontId="0" fillId="46" borderId="212" xfId="0" applyFont="1" applyFill="1" applyBorder="1" applyAlignment="1" applyProtection="1">
      <alignment horizontal="left" vertical="center"/>
    </xf>
    <xf numFmtId="178" fontId="0" fillId="46" borderId="212" xfId="13" applyNumberFormat="1" applyFont="1" applyFill="1" applyBorder="1" applyAlignment="1" applyProtection="1">
      <alignment vertical="center"/>
    </xf>
    <xf numFmtId="178" fontId="0" fillId="46" borderId="216" xfId="13" applyNumberFormat="1" applyFont="1" applyFill="1" applyBorder="1" applyAlignment="1" applyProtection="1">
      <alignment vertical="center"/>
    </xf>
    <xf numFmtId="179" fontId="0" fillId="12" borderId="212" xfId="13" applyNumberFormat="1" applyFont="1" applyFill="1" applyBorder="1" applyAlignment="1" applyProtection="1">
      <alignment horizontal="center" vertical="center"/>
      <protection locked="0"/>
    </xf>
    <xf numFmtId="179" fontId="12" fillId="29" borderId="213" xfId="0" applyNumberFormat="1" applyFont="1" applyFill="1" applyBorder="1" applyAlignment="1" applyProtection="1">
      <alignment vertical="center"/>
    </xf>
    <xf numFmtId="168" fontId="0" fillId="0" borderId="220" xfId="0" applyNumberFormat="1" applyFont="1" applyFill="1" applyBorder="1" applyAlignment="1" applyProtection="1">
      <alignment vertical="center"/>
    </xf>
    <xf numFmtId="168" fontId="12" fillId="35" borderId="221" xfId="0" applyNumberFormat="1" applyFont="1" applyFill="1" applyBorder="1" applyAlignment="1" applyProtection="1">
      <alignment horizontal="center" vertical="center" wrapText="1"/>
    </xf>
    <xf numFmtId="168" fontId="12" fillId="35" borderId="222" xfId="0" applyNumberFormat="1" applyFont="1" applyFill="1" applyBorder="1" applyAlignment="1" applyProtection="1">
      <alignment horizontal="center" vertical="center" wrapText="1"/>
    </xf>
    <xf numFmtId="168" fontId="12" fillId="35" borderId="223" xfId="0" applyNumberFormat="1" applyFont="1" applyFill="1" applyBorder="1" applyAlignment="1" applyProtection="1">
      <alignment horizontal="center" vertical="center" wrapText="1"/>
    </xf>
    <xf numFmtId="168" fontId="0" fillId="10" borderId="162" xfId="13" applyNumberFormat="1" applyFont="1" applyFill="1" applyBorder="1" applyAlignment="1" applyProtection="1">
      <alignment horizontal="right" vertical="center"/>
    </xf>
    <xf numFmtId="173" fontId="0" fillId="0" borderId="162" xfId="12" applyNumberFormat="1" applyFont="1" applyFill="1" applyBorder="1" applyAlignment="1" applyProtection="1">
      <alignment vertical="center"/>
    </xf>
    <xf numFmtId="168" fontId="0" fillId="0" borderId="149" xfId="0" applyNumberFormat="1" applyFont="1" applyFill="1" applyBorder="1" applyAlignment="1" applyProtection="1">
      <alignment vertical="center"/>
    </xf>
    <xf numFmtId="168" fontId="13" fillId="0" borderId="160" xfId="13" applyNumberFormat="1" applyFont="1" applyFill="1" applyBorder="1" applyAlignment="1" applyProtection="1">
      <alignment vertical="center"/>
    </xf>
    <xf numFmtId="168" fontId="0" fillId="10" borderId="160" xfId="13" applyNumberFormat="1" applyFont="1" applyFill="1" applyBorder="1" applyAlignment="1" applyProtection="1">
      <alignment horizontal="right" vertical="center"/>
    </xf>
    <xf numFmtId="168" fontId="12" fillId="40" borderId="226" xfId="0" applyNumberFormat="1" applyFont="1" applyFill="1" applyBorder="1" applyAlignment="1" applyProtection="1">
      <alignment vertical="center"/>
    </xf>
    <xf numFmtId="168" fontId="12" fillId="40" borderId="165" xfId="13" applyNumberFormat="1" applyFont="1" applyFill="1" applyBorder="1" applyAlignment="1" applyProtection="1">
      <alignment vertical="center"/>
    </xf>
    <xf numFmtId="168" fontId="12" fillId="40" borderId="165" xfId="13" applyNumberFormat="1" applyFont="1" applyFill="1" applyBorder="1" applyAlignment="1" applyProtection="1">
      <alignment horizontal="right" vertical="center"/>
    </xf>
    <xf numFmtId="168" fontId="0" fillId="0" borderId="160" xfId="13" applyNumberFormat="1" applyFont="1" applyFill="1" applyBorder="1" applyAlignment="1" applyProtection="1">
      <alignment vertical="center"/>
    </xf>
    <xf numFmtId="168" fontId="13" fillId="0" borderId="87" xfId="13" applyNumberFormat="1" applyFont="1" applyFill="1" applyBorder="1" applyAlignment="1" applyProtection="1">
      <alignment vertical="center"/>
    </xf>
    <xf numFmtId="168" fontId="13" fillId="0" borderId="161" xfId="13" applyNumberFormat="1" applyFont="1" applyFill="1" applyBorder="1" applyAlignment="1" applyProtection="1">
      <alignment vertical="center"/>
    </xf>
    <xf numFmtId="173" fontId="0" fillId="0" borderId="163" xfId="12" applyNumberFormat="1" applyFont="1" applyFill="1" applyBorder="1" applyAlignment="1" applyProtection="1">
      <alignment vertical="center"/>
    </xf>
    <xf numFmtId="173" fontId="0" fillId="0" borderId="164" xfId="12" applyNumberFormat="1" applyFont="1" applyFill="1" applyBorder="1" applyAlignment="1" applyProtection="1">
      <alignment vertical="center"/>
    </xf>
    <xf numFmtId="168" fontId="12" fillId="40" borderId="167" xfId="13" applyNumberFormat="1" applyFont="1" applyFill="1" applyBorder="1" applyAlignment="1" applyProtection="1">
      <alignment vertical="center"/>
    </xf>
    <xf numFmtId="168" fontId="12" fillId="40" borderId="166" xfId="13" applyNumberFormat="1" applyFont="1" applyFill="1" applyBorder="1" applyAlignment="1" applyProtection="1">
      <alignment vertical="center"/>
    </xf>
    <xf numFmtId="168" fontId="0" fillId="10" borderId="205" xfId="13" applyNumberFormat="1" applyFont="1" applyFill="1" applyBorder="1" applyAlignment="1" applyProtection="1">
      <alignment horizontal="right" vertical="center"/>
    </xf>
    <xf numFmtId="168" fontId="0" fillId="10" borderId="180" xfId="13" applyNumberFormat="1" applyFont="1" applyFill="1" applyBorder="1" applyAlignment="1" applyProtection="1">
      <alignment horizontal="right" vertical="center"/>
    </xf>
    <xf numFmtId="168" fontId="12" fillId="40" borderId="179" xfId="13" applyNumberFormat="1" applyFont="1" applyFill="1" applyBorder="1" applyAlignment="1" applyProtection="1">
      <alignment horizontal="right" vertical="center"/>
    </xf>
    <xf numFmtId="168" fontId="0" fillId="0" borderId="87" xfId="13" applyNumberFormat="1" applyFont="1" applyFill="1" applyBorder="1" applyAlignment="1" applyProtection="1">
      <alignment vertical="center"/>
    </xf>
    <xf numFmtId="168" fontId="13" fillId="44" borderId="94" xfId="13" applyNumberFormat="1" applyFont="1" applyFill="1" applyBorder="1" applyAlignment="1" applyProtection="1">
      <alignment vertical="center"/>
    </xf>
    <xf numFmtId="173" fontId="0" fillId="12" borderId="172" xfId="12" applyNumberFormat="1" applyFont="1" applyFill="1" applyBorder="1" applyAlignment="1" applyProtection="1">
      <alignment vertical="center"/>
      <protection locked="0"/>
    </xf>
    <xf numFmtId="168" fontId="12" fillId="40" borderId="158" xfId="13" applyNumberFormat="1" applyFont="1" applyFill="1" applyBorder="1" applyAlignment="1" applyProtection="1">
      <alignment vertical="center"/>
    </xf>
    <xf numFmtId="168" fontId="12" fillId="40" borderId="192" xfId="13" applyNumberFormat="1" applyFont="1" applyFill="1" applyBorder="1" applyAlignment="1" applyProtection="1">
      <alignment horizontal="right" vertical="center"/>
    </xf>
    <xf numFmtId="0" fontId="12" fillId="15" borderId="203" xfId="0" applyFont="1" applyFill="1" applyBorder="1" applyAlignment="1" applyProtection="1">
      <alignment horizontal="center" vertical="center" wrapText="1"/>
    </xf>
    <xf numFmtId="168" fontId="17" fillId="36" borderId="150" xfId="0" applyNumberFormat="1" applyFont="1" applyFill="1" applyBorder="1" applyAlignment="1" applyProtection="1">
      <alignment horizontal="center" vertical="center" wrapText="1"/>
    </xf>
    <xf numFmtId="168" fontId="17" fillId="36" borderId="236" xfId="0" applyNumberFormat="1" applyFont="1" applyFill="1" applyBorder="1" applyAlignment="1" applyProtection="1">
      <alignment horizontal="center" vertical="center" wrapText="1"/>
    </xf>
    <xf numFmtId="0" fontId="17" fillId="36" borderId="149" xfId="0" applyFont="1" applyFill="1" applyBorder="1" applyAlignment="1" applyProtection="1">
      <alignment horizontal="center" vertical="center" wrapText="1"/>
    </xf>
    <xf numFmtId="0" fontId="17" fillId="25" borderId="237" xfId="0" applyFont="1" applyFill="1" applyBorder="1" applyAlignment="1" applyProtection="1">
      <alignment horizontal="center" vertical="center" wrapText="1"/>
    </xf>
    <xf numFmtId="0" fontId="17" fillId="25" borderId="234" xfId="0" applyFont="1" applyFill="1" applyBorder="1" applyAlignment="1" applyProtection="1">
      <alignment horizontal="center" vertical="center" wrapText="1"/>
    </xf>
    <xf numFmtId="0" fontId="17" fillId="25" borderId="150" xfId="0" applyFont="1" applyFill="1" applyBorder="1" applyAlignment="1" applyProtection="1">
      <alignment horizontal="center" vertical="center" wrapText="1"/>
    </xf>
    <xf numFmtId="0" fontId="12" fillId="15" borderId="153" xfId="0" applyFont="1" applyFill="1" applyBorder="1" applyAlignment="1" applyProtection="1">
      <alignment horizontal="center" vertical="center" wrapText="1"/>
    </xf>
    <xf numFmtId="0" fontId="12" fillId="0" borderId="238" xfId="0" applyFont="1" applyFill="1" applyBorder="1" applyAlignment="1" applyProtection="1">
      <alignment horizontal="left" vertical="center"/>
    </xf>
    <xf numFmtId="168" fontId="0" fillId="29" borderId="214" xfId="13" applyNumberFormat="1" applyFont="1" applyFill="1" applyBorder="1" applyAlignment="1" applyProtection="1">
      <alignment vertical="center"/>
    </xf>
    <xf numFmtId="168" fontId="0" fillId="29" borderId="220" xfId="13" applyNumberFormat="1" applyFont="1" applyFill="1" applyBorder="1" applyAlignment="1" applyProtection="1">
      <alignment vertical="center"/>
    </xf>
    <xf numFmtId="168" fontId="12" fillId="29" borderId="239" xfId="13" applyNumberFormat="1" applyFont="1" applyFill="1" applyBorder="1" applyAlignment="1" applyProtection="1">
      <alignment vertical="center"/>
    </xf>
    <xf numFmtId="168" fontId="0" fillId="19" borderId="240" xfId="13" applyNumberFormat="1" applyFont="1" applyFill="1" applyBorder="1" applyAlignment="1" applyProtection="1">
      <alignment vertical="center"/>
    </xf>
    <xf numFmtId="168" fontId="0" fillId="19" borderId="241" xfId="13" applyNumberFormat="1" applyFont="1" applyFill="1" applyBorder="1" applyAlignment="1" applyProtection="1">
      <alignment vertical="center"/>
    </xf>
    <xf numFmtId="168" fontId="12" fillId="19" borderId="214" xfId="13" applyNumberFormat="1" applyFont="1" applyFill="1" applyBorder="1" applyAlignment="1" applyProtection="1">
      <alignment vertical="center"/>
    </xf>
    <xf numFmtId="168" fontId="12" fillId="0" borderId="242" xfId="13" applyNumberFormat="1" applyFont="1" applyFill="1" applyBorder="1" applyAlignment="1" applyProtection="1">
      <alignment vertical="center"/>
    </xf>
    <xf numFmtId="0" fontId="12" fillId="15" borderId="243" xfId="0" applyFont="1" applyFill="1" applyBorder="1" applyAlignment="1" applyProtection="1">
      <alignment horizontal="center" vertical="center"/>
    </xf>
    <xf numFmtId="168" fontId="22" fillId="15" borderId="244" xfId="13" applyNumberFormat="1" applyFont="1" applyFill="1" applyBorder="1" applyAlignment="1" applyProtection="1">
      <alignment vertical="center"/>
    </xf>
    <xf numFmtId="168" fontId="22" fillId="15" borderId="245" xfId="13" applyNumberFormat="1" applyFont="1" applyFill="1" applyBorder="1" applyAlignment="1" applyProtection="1">
      <alignment vertical="center"/>
    </xf>
    <xf numFmtId="168" fontId="22" fillId="15" borderId="246" xfId="13" applyNumberFormat="1" applyFont="1" applyFill="1" applyBorder="1" applyAlignment="1" applyProtection="1">
      <alignment vertical="center"/>
    </xf>
    <xf numFmtId="168" fontId="12" fillId="40" borderId="215" xfId="13" applyNumberFormat="1" applyFont="1" applyFill="1" applyBorder="1" applyAlignment="1" applyProtection="1">
      <alignment horizontal="right" vertical="center"/>
    </xf>
    <xf numFmtId="168" fontId="12" fillId="40" borderId="247" xfId="13" applyNumberFormat="1" applyFont="1" applyFill="1" applyBorder="1" applyAlignment="1" applyProtection="1">
      <alignment horizontal="right" vertical="center"/>
    </xf>
    <xf numFmtId="168" fontId="12" fillId="40" borderId="248" xfId="13" applyNumberFormat="1" applyFont="1" applyFill="1" applyBorder="1" applyAlignment="1" applyProtection="1">
      <alignment vertical="center"/>
    </xf>
    <xf numFmtId="168" fontId="12" fillId="40" borderId="173" xfId="13" applyNumberFormat="1" applyFont="1" applyFill="1" applyBorder="1" applyAlignment="1" applyProtection="1">
      <alignment horizontal="right" vertical="center"/>
    </xf>
    <xf numFmtId="179" fontId="0" fillId="12" borderId="251" xfId="13" applyNumberFormat="1" applyFont="1" applyFill="1" applyBorder="1" applyAlignment="1" applyProtection="1">
      <alignment horizontal="center" vertical="center"/>
      <protection locked="0"/>
    </xf>
    <xf numFmtId="179" fontId="0" fillId="12" borderId="217" xfId="13" applyNumberFormat="1" applyFont="1" applyFill="1" applyBorder="1" applyAlignment="1" applyProtection="1">
      <alignment horizontal="center" vertical="center"/>
      <protection locked="0"/>
    </xf>
    <xf numFmtId="179" fontId="0" fillId="12" borderId="179" xfId="13" applyNumberFormat="1" applyFont="1" applyFill="1" applyBorder="1" applyAlignment="1" applyProtection="1">
      <alignment horizontal="center" vertical="center"/>
      <protection locked="0"/>
    </xf>
    <xf numFmtId="0" fontId="0" fillId="0" borderId="190" xfId="0" applyFont="1" applyFill="1" applyBorder="1" applyAlignment="1" applyProtection="1">
      <alignment horizontal="left" vertical="center"/>
    </xf>
    <xf numFmtId="0" fontId="0" fillId="0" borderId="191" xfId="0" applyFont="1" applyFill="1" applyBorder="1" applyAlignment="1" applyProtection="1">
      <alignment horizontal="left" vertical="center"/>
    </xf>
    <xf numFmtId="0" fontId="0" fillId="0" borderId="192" xfId="0" applyFont="1" applyFill="1" applyBorder="1" applyAlignment="1" applyProtection="1">
      <alignment horizontal="left" vertical="center"/>
    </xf>
    <xf numFmtId="170" fontId="0" fillId="46" borderId="162" xfId="13" applyNumberFormat="1" applyFont="1" applyFill="1" applyBorder="1" applyAlignment="1" applyProtection="1">
      <alignment horizontal="center" vertical="center"/>
    </xf>
    <xf numFmtId="170" fontId="0" fillId="46" borderId="160" xfId="13" applyNumberFormat="1" applyFont="1" applyFill="1" applyBorder="1" applyAlignment="1" applyProtection="1">
      <alignment horizontal="center" vertical="center"/>
    </xf>
    <xf numFmtId="170" fontId="0" fillId="46" borderId="165" xfId="13" applyNumberFormat="1" applyFont="1" applyFill="1" applyBorder="1" applyAlignment="1" applyProtection="1">
      <alignment horizontal="center" vertical="center"/>
    </xf>
    <xf numFmtId="170" fontId="0" fillId="46" borderId="172" xfId="13" applyNumberFormat="1" applyFont="1" applyFill="1" applyBorder="1" applyAlignment="1" applyProtection="1">
      <alignment horizontal="center" vertical="center"/>
    </xf>
    <xf numFmtId="170" fontId="0" fillId="46" borderId="158" xfId="13" applyNumberFormat="1" applyFont="1" applyFill="1" applyBorder="1" applyAlignment="1" applyProtection="1">
      <alignment horizontal="center" vertical="center"/>
    </xf>
    <xf numFmtId="178" fontId="0" fillId="29" borderId="162" xfId="13" applyNumberFormat="1" applyFont="1" applyFill="1" applyBorder="1" applyAlignment="1" applyProtection="1">
      <alignment vertical="center"/>
    </xf>
    <xf numFmtId="178" fontId="0" fillId="29" borderId="160" xfId="13" applyNumberFormat="1" applyFont="1" applyFill="1" applyBorder="1" applyAlignment="1" applyProtection="1">
      <alignment vertical="center"/>
    </xf>
    <xf numFmtId="178" fontId="0" fillId="29" borderId="163" xfId="13" applyNumberFormat="1" applyFont="1" applyFill="1" applyBorder="1" applyAlignment="1" applyProtection="1">
      <alignment vertical="center"/>
    </xf>
    <xf numFmtId="178" fontId="0" fillId="29" borderId="164" xfId="13" applyNumberFormat="1" applyFont="1" applyFill="1" applyBorder="1" applyAlignment="1" applyProtection="1">
      <alignment vertical="center"/>
    </xf>
    <xf numFmtId="167" fontId="0" fillId="0" borderId="169" xfId="13" applyNumberFormat="1" applyFont="1" applyFill="1" applyBorder="1" applyAlignment="1" applyProtection="1">
      <alignment vertical="center"/>
    </xf>
    <xf numFmtId="167" fontId="0" fillId="0" borderId="256" xfId="13" applyNumberFormat="1" applyFont="1" applyFill="1" applyBorder="1" applyAlignment="1" applyProtection="1">
      <alignment vertical="center"/>
    </xf>
    <xf numFmtId="167" fontId="0" fillId="0" borderId="170" xfId="13" applyNumberFormat="1" applyFont="1" applyFill="1" applyBorder="1" applyAlignment="1" applyProtection="1">
      <alignment vertical="center"/>
    </xf>
    <xf numFmtId="168" fontId="0" fillId="29" borderId="162" xfId="13" applyNumberFormat="1" applyFont="1" applyFill="1" applyBorder="1" applyAlignment="1" applyProtection="1">
      <alignment vertical="center"/>
    </xf>
    <xf numFmtId="168" fontId="0" fillId="29" borderId="87" xfId="13" applyNumberFormat="1" applyFont="1" applyFill="1" applyBorder="1" applyAlignment="1" applyProtection="1">
      <alignment vertical="center"/>
    </xf>
    <xf numFmtId="168" fontId="0" fillId="29" borderId="160" xfId="13" applyNumberFormat="1" applyFont="1" applyFill="1" applyBorder="1" applyAlignment="1" applyProtection="1">
      <alignment vertical="center"/>
    </xf>
    <xf numFmtId="168" fontId="0" fillId="29" borderId="161" xfId="13" applyNumberFormat="1" applyFont="1" applyFill="1" applyBorder="1" applyAlignment="1" applyProtection="1">
      <alignment vertical="center"/>
    </xf>
    <xf numFmtId="168" fontId="0" fillId="29" borderId="163" xfId="13" applyNumberFormat="1" applyFont="1" applyFill="1" applyBorder="1" applyAlignment="1" applyProtection="1">
      <alignment vertical="center"/>
    </xf>
    <xf numFmtId="168" fontId="0" fillId="29" borderId="164" xfId="13" applyNumberFormat="1" applyFont="1" applyFill="1" applyBorder="1" applyAlignment="1" applyProtection="1">
      <alignment vertical="center"/>
    </xf>
    <xf numFmtId="168" fontId="0" fillId="29" borderId="167" xfId="13" applyNumberFormat="1" applyFont="1" applyFill="1" applyBorder="1" applyAlignment="1" applyProtection="1">
      <alignment vertical="center"/>
    </xf>
    <xf numFmtId="168" fontId="0" fillId="29" borderId="165" xfId="13" applyNumberFormat="1" applyFont="1" applyFill="1" applyBorder="1" applyAlignment="1" applyProtection="1">
      <alignment vertical="center"/>
    </xf>
    <xf numFmtId="168" fontId="0" fillId="29" borderId="166" xfId="13" applyNumberFormat="1" applyFont="1" applyFill="1" applyBorder="1" applyAlignment="1" applyProtection="1">
      <alignment vertical="center"/>
    </xf>
    <xf numFmtId="168" fontId="0" fillId="29" borderId="94" xfId="13" applyNumberFormat="1" applyFont="1" applyFill="1" applyBorder="1" applyAlignment="1" applyProtection="1">
      <alignment vertical="center"/>
    </xf>
    <xf numFmtId="168" fontId="0" fillId="29" borderId="172" xfId="13" applyNumberFormat="1" applyFont="1" applyFill="1" applyBorder="1" applyAlignment="1" applyProtection="1">
      <alignment vertical="center"/>
    </xf>
    <xf numFmtId="168" fontId="0" fillId="37" borderId="162" xfId="13" applyNumberFormat="1" applyFont="1" applyFill="1" applyBorder="1" applyAlignment="1" applyProtection="1">
      <alignment vertical="center"/>
    </xf>
    <xf numFmtId="168" fontId="0" fillId="37" borderId="87" xfId="13" applyNumberFormat="1" applyFont="1" applyFill="1" applyBorder="1" applyAlignment="1" applyProtection="1">
      <alignment vertical="center"/>
    </xf>
    <xf numFmtId="168" fontId="0" fillId="37" borderId="160" xfId="13" applyNumberFormat="1" applyFont="1" applyFill="1" applyBorder="1" applyAlignment="1" applyProtection="1">
      <alignment vertical="center"/>
    </xf>
    <xf numFmtId="168" fontId="0" fillId="37" borderId="163" xfId="13" applyNumberFormat="1" applyFont="1" applyFill="1" applyBorder="1" applyAlignment="1" applyProtection="1">
      <alignment vertical="center"/>
    </xf>
    <xf numFmtId="168" fontId="0" fillId="37" borderId="167" xfId="13" applyNumberFormat="1" applyFont="1" applyFill="1" applyBorder="1" applyAlignment="1" applyProtection="1">
      <alignment vertical="center"/>
    </xf>
    <xf numFmtId="168" fontId="0" fillId="37" borderId="165" xfId="13" applyNumberFormat="1" applyFont="1" applyFill="1" applyBorder="1" applyAlignment="1" applyProtection="1">
      <alignment vertical="center"/>
    </xf>
    <xf numFmtId="168" fontId="0" fillId="37" borderId="94" xfId="13" applyNumberFormat="1" applyFont="1" applyFill="1" applyBorder="1" applyAlignment="1" applyProtection="1">
      <alignment vertical="center"/>
    </xf>
    <xf numFmtId="168" fontId="0" fillId="37" borderId="172" xfId="13" applyNumberFormat="1" applyFont="1" applyFill="1" applyBorder="1" applyAlignment="1" applyProtection="1">
      <alignment vertical="center"/>
    </xf>
    <xf numFmtId="168" fontId="0" fillId="37" borderId="158" xfId="13" applyNumberFormat="1" applyFont="1" applyFill="1" applyBorder="1" applyAlignment="1" applyProtection="1">
      <alignment vertical="center"/>
    </xf>
    <xf numFmtId="168" fontId="0" fillId="0" borderId="162" xfId="13" applyNumberFormat="1" applyFont="1" applyFill="1" applyBorder="1" applyAlignment="1" applyProtection="1">
      <alignment vertical="center"/>
    </xf>
    <xf numFmtId="168" fontId="0" fillId="0" borderId="163" xfId="13" applyNumberFormat="1" applyFont="1" applyFill="1" applyBorder="1" applyAlignment="1" applyProtection="1">
      <alignment vertical="center"/>
    </xf>
    <xf numFmtId="168" fontId="0" fillId="0" borderId="167" xfId="13" applyNumberFormat="1" applyFont="1" applyFill="1" applyBorder="1" applyAlignment="1" applyProtection="1">
      <alignment vertical="center"/>
    </xf>
    <xf numFmtId="168" fontId="0" fillId="0" borderId="165" xfId="13" applyNumberFormat="1" applyFont="1" applyFill="1" applyBorder="1" applyAlignment="1" applyProtection="1">
      <alignment vertical="center"/>
    </xf>
    <xf numFmtId="168" fontId="0" fillId="0" borderId="94" xfId="13" applyNumberFormat="1" applyFont="1" applyFill="1" applyBorder="1" applyAlignment="1" applyProtection="1">
      <alignment vertical="center"/>
    </xf>
    <xf numFmtId="168" fontId="0" fillId="0" borderId="172" xfId="13" applyNumberFormat="1" applyFont="1" applyFill="1" applyBorder="1" applyAlignment="1" applyProtection="1">
      <alignment vertical="center"/>
    </xf>
    <xf numFmtId="168" fontId="0" fillId="0" borderId="158" xfId="13" applyNumberFormat="1" applyFont="1" applyFill="1" applyBorder="1" applyAlignment="1" applyProtection="1">
      <alignment vertical="center"/>
    </xf>
    <xf numFmtId="170" fontId="0" fillId="0" borderId="162" xfId="0" applyNumberFormat="1" applyFont="1" applyFill="1" applyBorder="1" applyAlignment="1" applyProtection="1">
      <alignment horizontal="center" vertical="center"/>
    </xf>
    <xf numFmtId="170" fontId="0" fillId="0" borderId="87" xfId="0" applyNumberFormat="1" applyFont="1" applyFill="1" applyBorder="1" applyAlignment="1" applyProtection="1">
      <alignment horizontal="center" vertical="center"/>
    </xf>
    <xf numFmtId="170" fontId="0" fillId="0" borderId="160" xfId="0" applyNumberFormat="1" applyFont="1" applyFill="1" applyBorder="1" applyAlignment="1" applyProtection="1">
      <alignment horizontal="center" vertical="center"/>
    </xf>
    <xf numFmtId="170" fontId="0" fillId="0" borderId="161" xfId="0" applyNumberFormat="1" applyFont="1" applyFill="1" applyBorder="1" applyAlignment="1" applyProtection="1">
      <alignment horizontal="center" vertical="center"/>
    </xf>
    <xf numFmtId="170" fontId="0" fillId="0" borderId="163" xfId="0" applyNumberFormat="1" applyFont="1" applyFill="1" applyBorder="1" applyAlignment="1" applyProtection="1">
      <alignment horizontal="center" vertical="center"/>
    </xf>
    <xf numFmtId="170" fontId="0" fillId="0" borderId="164" xfId="0" applyNumberFormat="1" applyFont="1" applyFill="1" applyBorder="1" applyAlignment="1" applyProtection="1">
      <alignment horizontal="center" vertical="center"/>
    </xf>
    <xf numFmtId="170" fontId="0" fillId="0" borderId="167" xfId="0" applyNumberFormat="1" applyFont="1" applyFill="1" applyBorder="1" applyAlignment="1" applyProtection="1">
      <alignment horizontal="center" vertical="center"/>
    </xf>
    <xf numFmtId="170" fontId="0" fillId="0" borderId="165" xfId="0" applyNumberFormat="1" applyFont="1" applyFill="1" applyBorder="1" applyAlignment="1" applyProtection="1">
      <alignment horizontal="center" vertical="center"/>
    </xf>
    <xf numFmtId="170" fontId="0" fillId="0" borderId="166" xfId="0" applyNumberFormat="1" applyFont="1" applyFill="1" applyBorder="1" applyAlignment="1" applyProtection="1">
      <alignment horizontal="center" vertical="center"/>
    </xf>
    <xf numFmtId="168" fontId="12" fillId="35" borderId="257" xfId="0" applyNumberFormat="1" applyFont="1" applyFill="1" applyBorder="1" applyAlignment="1" applyProtection="1">
      <alignment horizontal="center" vertical="center" wrapText="1"/>
    </xf>
    <xf numFmtId="168" fontId="12" fillId="35" borderId="258" xfId="0" applyNumberFormat="1" applyFont="1" applyFill="1" applyBorder="1" applyAlignment="1" applyProtection="1">
      <alignment horizontal="center" vertical="center" wrapText="1"/>
    </xf>
    <xf numFmtId="168" fontId="12" fillId="35" borderId="259" xfId="0" applyNumberFormat="1" applyFont="1" applyFill="1" applyBorder="1" applyAlignment="1" applyProtection="1">
      <alignment horizontal="center" vertical="center" wrapText="1"/>
    </xf>
    <xf numFmtId="168" fontId="12" fillId="15" borderId="260" xfId="0" applyNumberFormat="1" applyFont="1" applyFill="1" applyBorder="1" applyAlignment="1" applyProtection="1">
      <alignment horizontal="center" vertical="center" wrapText="1"/>
    </xf>
    <xf numFmtId="168" fontId="12" fillId="15" borderId="258" xfId="0" applyNumberFormat="1" applyFont="1" applyFill="1" applyBorder="1" applyAlignment="1" applyProtection="1">
      <alignment horizontal="center" vertical="center" wrapText="1"/>
    </xf>
    <xf numFmtId="168" fontId="12" fillId="15" borderId="261" xfId="0" applyNumberFormat="1" applyFont="1" applyFill="1" applyBorder="1" applyAlignment="1" applyProtection="1">
      <alignment horizontal="center" vertical="center" wrapText="1"/>
    </xf>
    <xf numFmtId="0" fontId="12" fillId="15" borderId="257" xfId="0" applyFont="1" applyFill="1" applyBorder="1" applyAlignment="1" applyProtection="1">
      <alignment horizontal="center" vertical="center"/>
    </xf>
    <xf numFmtId="0" fontId="12" fillId="15" borderId="262" xfId="0" applyFont="1" applyFill="1" applyBorder="1" applyAlignment="1" applyProtection="1">
      <alignment horizontal="center" vertical="center"/>
    </xf>
    <xf numFmtId="167" fontId="0" fillId="0" borderId="263" xfId="13" applyNumberFormat="1" applyFont="1" applyFill="1" applyBorder="1" applyAlignment="1" applyProtection="1">
      <alignment vertical="center"/>
    </xf>
    <xf numFmtId="167" fontId="0" fillId="0" borderId="264" xfId="13" applyNumberFormat="1" applyFont="1" applyFill="1" applyBorder="1" applyAlignment="1" applyProtection="1">
      <alignment vertical="center"/>
    </xf>
    <xf numFmtId="167" fontId="0" fillId="0" borderId="265" xfId="13" applyNumberFormat="1" applyFont="1" applyFill="1" applyBorder="1" applyAlignment="1" applyProtection="1">
      <alignment vertical="center"/>
    </xf>
    <xf numFmtId="180" fontId="13" fillId="37" borderId="87" xfId="16" applyNumberFormat="1" applyFill="1" applyBorder="1" applyAlignment="1" applyProtection="1">
      <alignment horizontal="center" vertical="center"/>
    </xf>
    <xf numFmtId="180" fontId="13" fillId="37" borderId="164" xfId="16" applyNumberFormat="1" applyFill="1" applyBorder="1" applyAlignment="1" applyProtection="1">
      <alignment horizontal="center" vertical="center"/>
    </xf>
    <xf numFmtId="168" fontId="0" fillId="29" borderId="190" xfId="13" applyNumberFormat="1" applyFont="1" applyFill="1" applyBorder="1" applyAlignment="1" applyProtection="1">
      <alignment vertical="center"/>
    </xf>
    <xf numFmtId="168" fontId="0" fillId="29" borderId="191" xfId="13" applyNumberFormat="1" applyFont="1" applyFill="1" applyBorder="1" applyAlignment="1" applyProtection="1">
      <alignment vertical="center"/>
    </xf>
    <xf numFmtId="168" fontId="0" fillId="29" borderId="192" xfId="13" applyNumberFormat="1" applyFont="1" applyFill="1" applyBorder="1" applyAlignment="1" applyProtection="1">
      <alignment vertical="center"/>
    </xf>
    <xf numFmtId="168" fontId="13" fillId="0" borderId="94" xfId="13" applyNumberFormat="1" applyFont="1" applyFill="1" applyBorder="1" applyAlignment="1" applyProtection="1">
      <alignment vertical="center"/>
    </xf>
    <xf numFmtId="168" fontId="12" fillId="40" borderId="168" xfId="13" applyNumberFormat="1" applyFont="1" applyFill="1" applyBorder="1" applyAlignment="1" applyProtection="1">
      <alignment vertical="center"/>
    </xf>
    <xf numFmtId="168" fontId="12" fillId="40" borderId="247" xfId="13" applyNumberFormat="1" applyFont="1" applyFill="1" applyBorder="1" applyAlignment="1" applyProtection="1">
      <alignment vertical="center"/>
    </xf>
    <xf numFmtId="168" fontId="12" fillId="40" borderId="184" xfId="13" applyNumberFormat="1" applyFont="1" applyFill="1" applyBorder="1" applyAlignment="1" applyProtection="1">
      <alignment vertical="center"/>
    </xf>
    <xf numFmtId="173" fontId="0" fillId="0" borderId="172" xfId="12" applyNumberFormat="1" applyFont="1" applyFill="1" applyBorder="1" applyAlignment="1" applyProtection="1">
      <alignment vertical="center"/>
    </xf>
    <xf numFmtId="168" fontId="0" fillId="0" borderId="142" xfId="13" applyNumberFormat="1" applyFont="1" applyFill="1" applyBorder="1" applyAlignment="1" applyProtection="1">
      <alignment vertical="center"/>
    </xf>
    <xf numFmtId="168" fontId="0" fillId="0" borderId="225" xfId="13" applyNumberFormat="1" applyFont="1" applyFill="1" applyBorder="1" applyAlignment="1" applyProtection="1">
      <alignment vertical="center"/>
    </xf>
    <xf numFmtId="168" fontId="0" fillId="0" borderId="198" xfId="13" applyNumberFormat="1" applyFont="1" applyFill="1" applyBorder="1" applyAlignment="1" applyProtection="1">
      <alignment vertical="center"/>
    </xf>
    <xf numFmtId="168" fontId="22" fillId="32" borderId="252" xfId="13" applyNumberFormat="1" applyFont="1" applyFill="1" applyBorder="1" applyAlignment="1" applyProtection="1">
      <alignment vertical="center" wrapText="1"/>
    </xf>
    <xf numFmtId="168" fontId="22" fillId="32" borderId="212" xfId="13" applyNumberFormat="1" applyFont="1" applyFill="1" applyBorder="1" applyAlignment="1" applyProtection="1">
      <alignment vertical="center" wrapText="1"/>
    </xf>
    <xf numFmtId="168" fontId="22" fillId="32" borderId="213" xfId="13" applyNumberFormat="1" applyFont="1" applyFill="1" applyBorder="1" applyAlignment="1" applyProtection="1">
      <alignment vertical="center" wrapText="1"/>
    </xf>
    <xf numFmtId="168" fontId="22" fillId="32" borderId="216" xfId="13" applyNumberFormat="1" applyFont="1" applyFill="1" applyBorder="1" applyAlignment="1" applyProtection="1">
      <alignment vertical="center" wrapText="1"/>
    </xf>
    <xf numFmtId="168" fontId="22" fillId="32" borderId="267" xfId="13" applyNumberFormat="1" applyFont="1" applyFill="1" applyBorder="1" applyAlignment="1" applyProtection="1">
      <alignment vertical="center" wrapText="1"/>
    </xf>
    <xf numFmtId="168" fontId="22" fillId="32" borderId="268" xfId="13" applyNumberFormat="1" applyFont="1" applyFill="1" applyBorder="1" applyAlignment="1" applyProtection="1">
      <alignment vertical="center" wrapText="1"/>
    </xf>
    <xf numFmtId="168" fontId="22" fillId="32" borderId="269" xfId="13" applyNumberFormat="1" applyFont="1" applyFill="1" applyBorder="1" applyAlignment="1" applyProtection="1">
      <alignment vertical="center" wrapText="1"/>
    </xf>
    <xf numFmtId="168" fontId="22" fillId="32" borderId="253" xfId="13" applyNumberFormat="1" applyFont="1" applyFill="1" applyBorder="1" applyAlignment="1" applyProtection="1">
      <alignment vertical="center" wrapText="1"/>
    </xf>
    <xf numFmtId="168" fontId="22" fillId="32" borderId="188" xfId="13" applyNumberFormat="1" applyFont="1" applyFill="1" applyBorder="1" applyAlignment="1" applyProtection="1">
      <alignment vertical="center" wrapText="1"/>
    </xf>
    <xf numFmtId="168" fontId="22" fillId="32" borderId="270" xfId="13" applyNumberFormat="1" applyFont="1" applyFill="1" applyBorder="1" applyAlignment="1" applyProtection="1">
      <alignment vertical="center" wrapText="1"/>
    </xf>
    <xf numFmtId="168" fontId="22" fillId="32" borderId="271" xfId="13" applyNumberFormat="1" applyFont="1" applyFill="1" applyBorder="1" applyAlignment="1" applyProtection="1">
      <alignment vertical="center" wrapText="1"/>
    </xf>
    <xf numFmtId="168" fontId="22" fillId="32" borderId="272" xfId="13" applyNumberFormat="1" applyFont="1" applyFill="1" applyBorder="1" applyAlignment="1" applyProtection="1">
      <alignment vertical="center" wrapText="1"/>
    </xf>
    <xf numFmtId="168" fontId="22" fillId="32" borderId="90" xfId="13" applyNumberFormat="1" applyFont="1" applyFill="1" applyBorder="1" applyAlignment="1" applyProtection="1">
      <alignment vertical="center" wrapText="1"/>
    </xf>
    <xf numFmtId="168" fontId="22" fillId="32" borderId="91" xfId="13" applyNumberFormat="1" applyFont="1" applyFill="1" applyBorder="1" applyAlignment="1" applyProtection="1">
      <alignment vertical="center" wrapText="1"/>
    </xf>
    <xf numFmtId="168" fontId="22" fillId="32" borderId="95" xfId="13" applyNumberFormat="1" applyFont="1" applyFill="1" applyBorder="1" applyAlignment="1" applyProtection="1">
      <alignment vertical="center" wrapText="1"/>
    </xf>
    <xf numFmtId="168" fontId="22" fillId="32" borderId="120" xfId="13" applyNumberFormat="1" applyFont="1" applyFill="1" applyBorder="1" applyAlignment="1" applyProtection="1">
      <alignment vertical="center" wrapText="1"/>
    </xf>
    <xf numFmtId="177" fontId="23" fillId="26" borderId="120" xfId="0" applyNumberFormat="1" applyFont="1" applyFill="1" applyBorder="1" applyAlignment="1" applyProtection="1">
      <alignment horizontal="right" vertical="center"/>
    </xf>
    <xf numFmtId="9" fontId="0" fillId="12" borderId="168" xfId="0" applyNumberFormat="1" applyFont="1" applyFill="1" applyBorder="1" applyAlignment="1" applyProtection="1">
      <alignment horizontal="center" vertical="center"/>
      <protection locked="0"/>
    </xf>
    <xf numFmtId="177" fontId="0" fillId="0" borderId="248" xfId="0" applyNumberFormat="1" applyFont="1" applyFill="1" applyBorder="1" applyAlignment="1" applyProtection="1">
      <alignment horizontal="right" vertical="center"/>
    </xf>
    <xf numFmtId="177" fontId="0" fillId="0" borderId="184" xfId="0" applyNumberFormat="1" applyFont="1" applyFill="1" applyBorder="1" applyAlignment="1" applyProtection="1">
      <alignment horizontal="right" vertical="center"/>
    </xf>
    <xf numFmtId="169" fontId="0" fillId="12" borderId="273" xfId="16" applyFont="1" applyFill="1" applyBorder="1" applyAlignment="1" applyProtection="1">
      <alignment horizontal="center" vertical="center"/>
      <protection locked="0"/>
    </xf>
    <xf numFmtId="169" fontId="14" fillId="19" borderId="90" xfId="16" applyFont="1" applyFill="1" applyBorder="1" applyAlignment="1" applyProtection="1">
      <alignment horizontal="center" vertical="center"/>
    </xf>
    <xf numFmtId="177" fontId="23" fillId="26" borderId="92" xfId="0" applyNumberFormat="1" applyFont="1" applyFill="1" applyBorder="1" applyAlignment="1" applyProtection="1">
      <alignment horizontal="right" vertical="center"/>
    </xf>
    <xf numFmtId="0" fontId="0" fillId="12" borderId="136" xfId="0" applyFill="1" applyBorder="1" applyAlignment="1" applyProtection="1">
      <alignment horizontal="left" vertical="center"/>
      <protection locked="0"/>
    </xf>
    <xf numFmtId="0" fontId="0" fillId="12" borderId="123" xfId="0" applyFill="1" applyBorder="1" applyAlignment="1" applyProtection="1">
      <alignment horizontal="left" vertical="center"/>
      <protection locked="0"/>
    </xf>
    <xf numFmtId="0" fontId="0" fillId="12" borderId="123" xfId="0" applyFill="1" applyBorder="1" applyProtection="1">
      <protection locked="0"/>
    </xf>
    <xf numFmtId="0" fontId="0" fillId="12" borderId="43" xfId="0" applyFill="1" applyBorder="1" applyAlignment="1" applyProtection="1">
      <alignment horizontal="left" vertical="center"/>
      <protection locked="0"/>
    </xf>
    <xf numFmtId="0" fontId="0" fillId="12" borderId="124" xfId="0" applyFill="1" applyBorder="1" applyAlignment="1" applyProtection="1">
      <alignment horizontal="left" vertical="center"/>
      <protection locked="0"/>
    </xf>
    <xf numFmtId="0" fontId="0" fillId="12" borderId="124" xfId="0" applyFill="1" applyBorder="1" applyProtection="1">
      <protection locked="0"/>
    </xf>
    <xf numFmtId="0" fontId="0" fillId="12" borderId="128" xfId="0" applyFill="1" applyBorder="1" applyAlignment="1" applyProtection="1">
      <alignment horizontal="left" vertical="center"/>
      <protection locked="0"/>
    </xf>
    <xf numFmtId="0" fontId="0" fillId="12" borderId="160" xfId="0" applyFill="1" applyBorder="1" applyAlignment="1" applyProtection="1">
      <alignment horizontal="left" vertical="center"/>
      <protection locked="0"/>
    </xf>
    <xf numFmtId="0" fontId="0" fillId="12" borderId="162" xfId="0" applyFill="1" applyBorder="1" applyAlignment="1" applyProtection="1">
      <alignment horizontal="left" vertical="center"/>
      <protection locked="0"/>
    </xf>
    <xf numFmtId="0" fontId="0" fillId="12" borderId="172" xfId="0" applyFill="1" applyBorder="1" applyAlignment="1" applyProtection="1">
      <alignment horizontal="left" vertical="center"/>
      <protection locked="0"/>
    </xf>
    <xf numFmtId="0" fontId="0" fillId="12" borderId="138" xfId="0" applyFill="1" applyBorder="1" applyAlignment="1" applyProtection="1">
      <alignment horizontal="left" vertical="center"/>
      <protection locked="0"/>
    </xf>
    <xf numFmtId="0" fontId="0" fillId="12" borderId="121" xfId="0" applyFill="1" applyBorder="1" applyAlignment="1" applyProtection="1">
      <alignment horizontal="left" vertical="center"/>
      <protection locked="0"/>
    </xf>
    <xf numFmtId="0" fontId="0" fillId="12" borderId="121" xfId="0" applyFill="1" applyBorder="1" applyProtection="1">
      <protection locked="0"/>
    </xf>
    <xf numFmtId="0" fontId="0" fillId="12" borderId="52" xfId="0" applyFill="1" applyBorder="1" applyAlignment="1" applyProtection="1">
      <alignment horizontal="left" vertical="center"/>
      <protection locked="0"/>
    </xf>
    <xf numFmtId="0" fontId="0" fillId="12" borderId="30" xfId="0" applyFill="1" applyBorder="1" applyAlignment="1" applyProtection="1">
      <alignment horizontal="left" vertical="center"/>
      <protection locked="0"/>
    </xf>
    <xf numFmtId="0" fontId="0" fillId="12" borderId="30" xfId="0" applyFill="1" applyBorder="1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3" fillId="12" borderId="162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Protection="1">
      <protection locked="0"/>
    </xf>
    <xf numFmtId="0" fontId="0" fillId="12" borderId="139" xfId="0" applyFont="1" applyFill="1" applyBorder="1" applyAlignment="1" applyProtection="1">
      <alignment horizontal="left" vertical="center"/>
      <protection locked="0"/>
    </xf>
    <xf numFmtId="168" fontId="10" fillId="28" borderId="162" xfId="13" applyNumberFormat="1" applyFont="1" applyFill="1" applyBorder="1" applyAlignment="1" applyProtection="1">
      <alignment vertical="center"/>
    </xf>
    <xf numFmtId="168" fontId="10" fillId="28" borderId="239" xfId="13" applyNumberFormat="1" applyFont="1" applyFill="1" applyBorder="1" applyAlignment="1" applyProtection="1">
      <alignment vertical="center"/>
    </xf>
    <xf numFmtId="168" fontId="10" fillId="28" borderId="274" xfId="13" applyNumberFormat="1" applyFont="1" applyFill="1" applyBorder="1" applyAlignment="1" applyProtection="1">
      <alignment vertical="center"/>
    </xf>
    <xf numFmtId="168" fontId="10" fillId="28" borderId="172" xfId="13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10" fillId="17" borderId="162" xfId="0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right"/>
      <protection locked="0"/>
    </xf>
    <xf numFmtId="3" fontId="23" fillId="0" borderId="0" xfId="0" applyNumberFormat="1" applyFont="1" applyBorder="1" applyAlignment="1" applyProtection="1">
      <alignment horizontal="right"/>
      <protection locked="0"/>
    </xf>
    <xf numFmtId="3" fontId="36" fillId="0" borderId="0" xfId="0" applyNumberFormat="1" applyFont="1" applyBorder="1" applyProtection="1">
      <protection locked="0"/>
    </xf>
    <xf numFmtId="0" fontId="38" fillId="0" borderId="0" xfId="0" applyFont="1" applyBorder="1" applyAlignment="1" applyProtection="1">
      <protection locked="0"/>
    </xf>
    <xf numFmtId="0" fontId="3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8" fillId="0" borderId="0" xfId="0" applyFont="1" applyBorder="1" applyAlignment="1" applyProtection="1">
      <alignment horizontal="right" vertical="center"/>
      <protection locked="0"/>
    </xf>
    <xf numFmtId="3" fontId="23" fillId="0" borderId="0" xfId="0" applyNumberFormat="1" applyFont="1" applyBorder="1" applyAlignment="1" applyProtection="1">
      <alignment horizontal="right" vertical="center"/>
      <protection locked="0"/>
    </xf>
    <xf numFmtId="3" fontId="36" fillId="0" borderId="0" xfId="0" applyNumberFormat="1" applyFont="1" applyBorder="1" applyAlignment="1" applyProtection="1">
      <alignment vertical="center"/>
      <protection locked="0"/>
    </xf>
    <xf numFmtId="0" fontId="38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Font="1" applyBorder="1" applyProtection="1">
      <protection locked="0"/>
    </xf>
    <xf numFmtId="3" fontId="0" fillId="0" borderId="0" xfId="0" applyNumberFormat="1" applyBorder="1" applyProtection="1">
      <protection locked="0"/>
    </xf>
    <xf numFmtId="0" fontId="39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2" fillId="0" borderId="172" xfId="0" applyFont="1" applyBorder="1" applyAlignment="1" applyProtection="1">
      <alignment vertical="center" wrapText="1"/>
      <protection locked="0"/>
    </xf>
    <xf numFmtId="0" fontId="22" fillId="0" borderId="162" xfId="0" applyFont="1" applyBorder="1" applyAlignment="1" applyProtection="1">
      <alignment vertical="center" wrapText="1"/>
      <protection locked="0"/>
    </xf>
    <xf numFmtId="0" fontId="41" fillId="12" borderId="162" xfId="0" applyFont="1" applyFill="1" applyBorder="1" applyAlignment="1" applyProtection="1">
      <alignment vertical="center" wrapText="1"/>
      <protection locked="0"/>
    </xf>
    <xf numFmtId="0" fontId="40" fillId="0" borderId="216" xfId="0" applyFont="1" applyBorder="1" applyProtection="1">
      <protection locked="0"/>
    </xf>
    <xf numFmtId="3" fontId="40" fillId="0" borderId="172" xfId="0" applyNumberFormat="1" applyFont="1" applyBorder="1" applyProtection="1">
      <protection locked="0"/>
    </xf>
    <xf numFmtId="3" fontId="40" fillId="0" borderId="162" xfId="0" applyNumberFormat="1" applyFont="1" applyBorder="1" applyProtection="1">
      <protection locked="0"/>
    </xf>
    <xf numFmtId="3" fontId="42" fillId="12" borderId="162" xfId="0" applyNumberFormat="1" applyFont="1" applyFill="1" applyBorder="1" applyProtection="1">
      <protection locked="0"/>
    </xf>
    <xf numFmtId="3" fontId="40" fillId="0" borderId="216" xfId="0" applyNumberFormat="1" applyFont="1" applyBorder="1" applyProtection="1">
      <protection locked="0"/>
    </xf>
    <xf numFmtId="3" fontId="26" fillId="0" borderId="120" xfId="0" applyNumberFormat="1" applyFont="1" applyBorder="1" applyAlignment="1" applyProtection="1">
      <alignment horizontal="right" vertical="center"/>
      <protection locked="0"/>
    </xf>
    <xf numFmtId="0" fontId="37" fillId="0" borderId="120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vertical="center"/>
      <protection locked="0"/>
    </xf>
    <xf numFmtId="3" fontId="43" fillId="0" borderId="83" xfId="0" applyNumberFormat="1" applyFont="1" applyBorder="1" applyAlignment="1" applyProtection="1">
      <alignment vertical="center"/>
      <protection locked="0"/>
    </xf>
    <xf numFmtId="0" fontId="22" fillId="12" borderId="247" xfId="0" applyFont="1" applyFill="1" applyBorder="1" applyAlignment="1" applyProtection="1">
      <alignment horizontal="center"/>
      <protection locked="0"/>
    </xf>
    <xf numFmtId="0" fontId="37" fillId="0" borderId="0" xfId="0" applyFont="1" applyBorder="1" applyAlignment="1" applyProtection="1">
      <alignment horizontal="center" vertical="center" wrapText="1"/>
      <protection locked="0"/>
    </xf>
    <xf numFmtId="3" fontId="43" fillId="0" borderId="0" xfId="0" applyNumberFormat="1" applyFont="1" applyBorder="1" applyAlignment="1" applyProtection="1">
      <alignment vertical="center"/>
      <protection locked="0"/>
    </xf>
    <xf numFmtId="0" fontId="22" fillId="12" borderId="212" xfId="0" applyFont="1" applyFill="1" applyBorder="1" applyAlignment="1" applyProtection="1">
      <alignment horizontal="center" vertical="top" wrapText="1"/>
      <protection locked="0"/>
    </xf>
    <xf numFmtId="175" fontId="18" fillId="0" borderId="220" xfId="0" applyNumberFormat="1" applyFont="1" applyFill="1" applyBorder="1" applyAlignment="1" applyProtection="1">
      <alignment horizontal="left" vertical="center" wrapText="1"/>
    </xf>
    <xf numFmtId="175" fontId="32" fillId="0" borderId="220" xfId="0" applyNumberFormat="1" applyFont="1" applyFill="1" applyBorder="1" applyAlignment="1" applyProtection="1">
      <alignment horizontal="left" vertical="center" wrapText="1"/>
    </xf>
    <xf numFmtId="175" fontId="0" fillId="0" borderId="220" xfId="0" applyNumberFormat="1" applyFont="1" applyFill="1" applyBorder="1" applyAlignment="1" applyProtection="1">
      <alignment horizontal="left" vertical="center" wrapText="1"/>
    </xf>
    <xf numFmtId="175" fontId="32" fillId="0" borderId="204" xfId="0" applyNumberFormat="1" applyFont="1" applyFill="1" applyBorder="1" applyAlignment="1" applyProtection="1">
      <alignment horizontal="left" vertical="center"/>
    </xf>
    <xf numFmtId="175" fontId="18" fillId="0" borderId="204" xfId="0" applyNumberFormat="1" applyFont="1" applyFill="1" applyBorder="1" applyAlignment="1" applyProtection="1">
      <alignment horizontal="left" vertical="center"/>
    </xf>
    <xf numFmtId="175" fontId="18" fillId="0" borderId="261" xfId="0" applyNumberFormat="1" applyFont="1" applyFill="1" applyBorder="1" applyAlignment="1" applyProtection="1">
      <alignment horizontal="left" vertical="center" wrapText="1"/>
    </xf>
    <xf numFmtId="175" fontId="18" fillId="0" borderId="220" xfId="0" applyNumberFormat="1" applyFont="1" applyFill="1" applyBorder="1" applyAlignment="1" applyProtection="1">
      <alignment vertical="center" wrapText="1"/>
    </xf>
    <xf numFmtId="1" fontId="0" fillId="0" borderId="211" xfId="0" applyNumberFormat="1" applyBorder="1" applyAlignment="1" applyProtection="1">
      <alignment horizontal="left" vertical="center" wrapText="1"/>
    </xf>
    <xf numFmtId="1" fontId="32" fillId="0" borderId="211" xfId="0" applyNumberFormat="1" applyFont="1" applyBorder="1" applyAlignment="1" applyProtection="1">
      <alignment horizontal="left" vertical="center"/>
    </xf>
    <xf numFmtId="0" fontId="44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23" fillId="12" borderId="162" xfId="0" applyFont="1" applyFill="1" applyBorder="1" applyAlignment="1" applyProtection="1">
      <alignment horizontal="center" vertical="center"/>
      <protection locked="0"/>
    </xf>
    <xf numFmtId="0" fontId="46" fillId="12" borderId="162" xfId="0" applyFont="1" applyFill="1" applyBorder="1" applyAlignment="1" applyProtection="1">
      <alignment horizontal="center"/>
      <protection locked="0"/>
    </xf>
    <xf numFmtId="0" fontId="0" fillId="12" borderId="162" xfId="0" applyFont="1" applyFill="1" applyBorder="1" applyProtection="1">
      <protection locked="0"/>
    </xf>
    <xf numFmtId="0" fontId="36" fillId="12" borderId="162" xfId="0" applyFont="1" applyFill="1" applyBorder="1" applyAlignment="1" applyProtection="1">
      <alignment horizontal="center"/>
      <protection locked="0"/>
    </xf>
    <xf numFmtId="0" fontId="47" fillId="12" borderId="162" xfId="0" applyFont="1" applyFill="1" applyBorder="1" applyAlignment="1" applyProtection="1">
      <alignment horizontal="right"/>
      <protection locked="0"/>
    </xf>
    <xf numFmtId="0" fontId="0" fillId="0" borderId="162" xfId="0" applyBorder="1" applyAlignment="1" applyProtection="1">
      <alignment horizontal="center"/>
      <protection locked="0"/>
    </xf>
    <xf numFmtId="0" fontId="36" fillId="0" borderId="0" xfId="0" applyFont="1" applyBorder="1" applyAlignment="1" applyProtection="1">
      <alignment horizontal="center"/>
      <protection locked="0"/>
    </xf>
    <xf numFmtId="3" fontId="0" fillId="0" borderId="0" xfId="0" applyNumberFormat="1" applyBorder="1" applyAlignment="1" applyProtection="1">
      <alignment horizontal="center"/>
      <protection locked="0"/>
    </xf>
    <xf numFmtId="42" fontId="0" fillId="0" borderId="162" xfId="31" applyFont="1" applyBorder="1" applyProtection="1">
      <protection locked="0"/>
    </xf>
    <xf numFmtId="42" fontId="0" fillId="0" borderId="0" xfId="31" applyFont="1" applyProtection="1">
      <protection locked="0"/>
    </xf>
    <xf numFmtId="0" fontId="12" fillId="49" borderId="162" xfId="0" applyFont="1" applyFill="1" applyBorder="1" applyAlignment="1" applyProtection="1">
      <alignment horizontal="center" vertical="center"/>
      <protection locked="0"/>
    </xf>
    <xf numFmtId="42" fontId="0" fillId="0" borderId="0" xfId="31" applyFont="1" applyBorder="1" applyProtection="1">
      <protection locked="0"/>
    </xf>
    <xf numFmtId="166" fontId="13" fillId="0" borderId="0" xfId="13"/>
    <xf numFmtId="166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85" fontId="0" fillId="0" borderId="0" xfId="0" applyNumberFormat="1" applyProtection="1">
      <protection locked="0"/>
    </xf>
    <xf numFmtId="0" fontId="12" fillId="37" borderId="162" xfId="0" applyFont="1" applyFill="1" applyBorder="1" applyAlignment="1" applyProtection="1">
      <alignment horizontal="center" vertical="center"/>
      <protection locked="0"/>
    </xf>
    <xf numFmtId="9" fontId="12" fillId="37" borderId="162" xfId="0" applyNumberFormat="1" applyFont="1" applyFill="1" applyBorder="1" applyAlignment="1" applyProtection="1">
      <alignment horizontal="center" vertical="center"/>
      <protection locked="0"/>
    </xf>
    <xf numFmtId="0" fontId="0" fillId="37" borderId="0" xfId="0" applyFill="1" applyProtection="1">
      <protection locked="0"/>
    </xf>
    <xf numFmtId="0" fontId="0" fillId="37" borderId="162" xfId="0" applyFill="1" applyBorder="1" applyProtection="1">
      <protection locked="0"/>
    </xf>
    <xf numFmtId="181" fontId="13" fillId="37" borderId="162" xfId="13" applyNumberFormat="1" applyFill="1" applyBorder="1"/>
    <xf numFmtId="181" fontId="0" fillId="37" borderId="162" xfId="0" applyNumberFormat="1" applyFill="1" applyBorder="1" applyProtection="1">
      <protection locked="0"/>
    </xf>
    <xf numFmtId="181" fontId="13" fillId="37" borderId="0" xfId="13" applyNumberFormat="1" applyFill="1"/>
    <xf numFmtId="0" fontId="0" fillId="37" borderId="162" xfId="0" applyFill="1" applyBorder="1" applyAlignment="1" applyProtection="1">
      <alignment horizontal="center"/>
      <protection locked="0"/>
    </xf>
    <xf numFmtId="167" fontId="12" fillId="0" borderId="0" xfId="0" applyNumberFormat="1" applyFont="1" applyAlignment="1" applyProtection="1">
      <alignment vertic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8" fontId="0" fillId="9" borderId="190" xfId="13" applyNumberFormat="1" applyFont="1" applyFill="1" applyBorder="1" applyAlignment="1" applyProtection="1">
      <alignment horizontal="right" vertical="center"/>
    </xf>
    <xf numFmtId="168" fontId="0" fillId="9" borderId="191" xfId="13" applyNumberFormat="1" applyFont="1" applyFill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76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8" fontId="12" fillId="15" borderId="233" xfId="0" applyNumberFormat="1" applyFont="1" applyFill="1" applyBorder="1" applyAlignment="1" applyProtection="1">
      <alignment horizontal="center" vertical="center"/>
    </xf>
    <xf numFmtId="168" fontId="12" fillId="15" borderId="218" xfId="0" applyNumberFormat="1" applyFont="1" applyFill="1" applyBorder="1" applyAlignment="1" applyProtection="1">
      <alignment horizontal="center" vertical="center"/>
    </xf>
    <xf numFmtId="168" fontId="23" fillId="39" borderId="148" xfId="0" applyNumberFormat="1" applyFont="1" applyFill="1" applyBorder="1" applyAlignment="1" applyProtection="1">
      <alignment horizontal="center" vertical="center" wrapText="1"/>
    </xf>
    <xf numFmtId="168" fontId="23" fillId="39" borderId="150" xfId="0" applyNumberFormat="1" applyFont="1" applyFill="1" applyBorder="1" applyAlignment="1" applyProtection="1">
      <alignment horizontal="center" vertical="center" wrapText="1"/>
    </xf>
    <xf numFmtId="168" fontId="23" fillId="39" borderId="153" xfId="0" applyNumberFormat="1" applyFont="1" applyFill="1" applyBorder="1" applyAlignment="1" applyProtection="1">
      <alignment horizontal="center" vertical="center" wrapText="1"/>
    </xf>
    <xf numFmtId="168" fontId="24" fillId="34" borderId="148" xfId="0" applyNumberFormat="1" applyFont="1" applyFill="1" applyBorder="1" applyAlignment="1" applyProtection="1">
      <alignment horizontal="center" vertical="center" wrapText="1"/>
    </xf>
    <xf numFmtId="168" fontId="24" fillId="34" borderId="150" xfId="0" applyNumberFormat="1" applyFont="1" applyFill="1" applyBorder="1" applyAlignment="1" applyProtection="1">
      <alignment horizontal="center" vertical="center" wrapText="1"/>
    </xf>
    <xf numFmtId="168" fontId="24" fillId="34" borderId="153" xfId="0" applyNumberFormat="1" applyFont="1" applyFill="1" applyBorder="1" applyAlignment="1" applyProtection="1">
      <alignment horizontal="center" vertical="center" wrapText="1"/>
    </xf>
    <xf numFmtId="168" fontId="29" fillId="45" borderId="235" xfId="0" applyNumberFormat="1" applyFont="1" applyFill="1" applyBorder="1" applyAlignment="1" applyProtection="1">
      <alignment horizontal="center" vertical="center" wrapText="1"/>
    </xf>
    <xf numFmtId="168" fontId="29" fillId="45" borderId="114" xfId="0" applyNumberFormat="1" applyFont="1" applyFill="1" applyBorder="1" applyAlignment="1" applyProtection="1">
      <alignment horizontal="center" vertical="center" wrapText="1"/>
    </xf>
    <xf numFmtId="168" fontId="17" fillId="34" borderId="116" xfId="0" applyNumberFormat="1" applyFont="1" applyFill="1" applyBorder="1" applyAlignment="1" applyProtection="1">
      <alignment horizontal="center" vertical="center" wrapText="1"/>
    </xf>
    <xf numFmtId="168" fontId="17" fillId="34" borderId="115" xfId="0" applyNumberFormat="1" applyFont="1" applyFill="1" applyBorder="1" applyAlignment="1" applyProtection="1">
      <alignment horizontal="center" vertical="center" wrapText="1"/>
    </xf>
    <xf numFmtId="168" fontId="17" fillId="34" borderId="34" xfId="0" applyNumberFormat="1" applyFont="1" applyFill="1" applyBorder="1" applyAlignment="1" applyProtection="1">
      <alignment horizontal="center" vertical="center" wrapText="1"/>
    </xf>
    <xf numFmtId="168" fontId="17" fillId="34" borderId="110" xfId="0" applyNumberFormat="1" applyFont="1" applyFill="1" applyBorder="1" applyAlignment="1" applyProtection="1">
      <alignment horizontal="center" vertical="center" wrapText="1"/>
    </xf>
    <xf numFmtId="168" fontId="17" fillId="34" borderId="177" xfId="0" applyNumberFormat="1" applyFont="1" applyFill="1" applyBorder="1" applyAlignment="1" applyProtection="1">
      <alignment horizontal="center" vertical="center" wrapText="1"/>
    </xf>
    <xf numFmtId="168" fontId="17" fillId="34" borderId="171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2" fillId="15" borderId="230" xfId="0" applyFont="1" applyFill="1" applyBorder="1" applyAlignment="1" applyProtection="1">
      <alignment horizontal="center" vertical="center" wrapText="1"/>
    </xf>
    <xf numFmtId="0" fontId="12" fillId="15" borderId="231" xfId="0" applyFont="1" applyFill="1" applyBorder="1" applyAlignment="1" applyProtection="1">
      <alignment horizontal="center" vertical="center" wrapText="1"/>
    </xf>
    <xf numFmtId="0" fontId="12" fillId="15" borderId="227" xfId="0" applyFont="1" applyFill="1" applyBorder="1" applyAlignment="1" applyProtection="1">
      <alignment horizontal="center" vertical="center" wrapText="1"/>
    </xf>
    <xf numFmtId="0" fontId="12" fillId="15" borderId="228" xfId="0" applyFont="1" applyFill="1" applyBorder="1" applyAlignment="1" applyProtection="1">
      <alignment horizontal="center" vertical="center" wrapText="1"/>
    </xf>
    <xf numFmtId="0" fontId="0" fillId="0" borderId="249" xfId="0" applyFont="1" applyFill="1" applyBorder="1" applyAlignment="1" applyProtection="1">
      <alignment horizontal="center" vertical="center" wrapText="1"/>
    </xf>
    <xf numFmtId="0" fontId="0" fillId="0" borderId="250" xfId="0" applyFont="1" applyFill="1" applyBorder="1" applyAlignment="1" applyProtection="1">
      <alignment horizontal="center" vertical="center" wrapText="1"/>
    </xf>
    <xf numFmtId="0" fontId="0" fillId="0" borderId="118" xfId="0" applyFont="1" applyFill="1" applyBorder="1" applyAlignment="1" applyProtection="1">
      <alignment horizontal="center" vertical="center" wrapText="1"/>
    </xf>
    <xf numFmtId="168" fontId="22" fillId="32" borderId="219" xfId="0" applyNumberFormat="1" applyFont="1" applyFill="1" applyBorder="1" applyAlignment="1" applyProtection="1">
      <alignment horizontal="center" vertical="center"/>
    </xf>
    <xf numFmtId="0" fontId="23" fillId="0" borderId="232" xfId="0" applyFont="1" applyFill="1" applyBorder="1" applyAlignment="1" applyProtection="1">
      <alignment horizontal="center" vertical="center" wrapText="1"/>
    </xf>
    <xf numFmtId="0" fontId="23" fillId="0" borderId="171" xfId="0" applyFont="1" applyFill="1" applyBorder="1" applyAlignment="1" applyProtection="1">
      <alignment horizontal="center" vertical="center" wrapText="1"/>
    </xf>
    <xf numFmtId="0" fontId="23" fillId="0" borderId="83" xfId="0" applyFont="1" applyFill="1" applyBorder="1" applyAlignment="1" applyProtection="1">
      <alignment horizontal="center" vertical="center" wrapText="1"/>
    </xf>
    <xf numFmtId="0" fontId="0" fillId="0" borderId="229" xfId="0" applyFont="1" applyFill="1" applyBorder="1" applyAlignment="1" applyProtection="1">
      <alignment horizontal="center" vertical="center" wrapText="1"/>
    </xf>
    <xf numFmtId="0" fontId="0" fillId="0" borderId="115" xfId="0" applyFont="1" applyFill="1" applyBorder="1" applyAlignment="1" applyProtection="1">
      <alignment horizontal="center" vertical="center" wrapText="1"/>
    </xf>
    <xf numFmtId="0" fontId="0" fillId="0" borderId="224" xfId="0" applyFont="1" applyFill="1" applyBorder="1" applyAlignment="1" applyProtection="1">
      <alignment horizontal="center" vertical="center" wrapText="1"/>
    </xf>
    <xf numFmtId="168" fontId="22" fillId="32" borderId="147" xfId="0" applyNumberFormat="1" applyFont="1" applyFill="1" applyBorder="1" applyAlignment="1" applyProtection="1">
      <alignment horizontal="right" vertical="center"/>
    </xf>
    <xf numFmtId="168" fontId="22" fillId="32" borderId="219" xfId="0" applyNumberFormat="1" applyFont="1" applyFill="1" applyBorder="1" applyAlignment="1" applyProtection="1">
      <alignment horizontal="right" vertical="center"/>
    </xf>
    <xf numFmtId="168" fontId="24" fillId="34" borderId="96" xfId="0" applyNumberFormat="1" applyFont="1" applyFill="1" applyBorder="1" applyAlignment="1" applyProtection="1">
      <alignment horizontal="center" vertical="center" wrapText="1"/>
    </xf>
    <xf numFmtId="168" fontId="24" fillId="34" borderId="97" xfId="0" applyNumberFormat="1" applyFont="1" applyFill="1" applyBorder="1" applyAlignment="1" applyProtection="1">
      <alignment horizontal="center" vertical="center" wrapText="1"/>
    </xf>
    <xf numFmtId="168" fontId="24" fillId="34" borderId="98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8" fontId="12" fillId="15" borderId="103" xfId="0" applyNumberFormat="1" applyFont="1" applyFill="1" applyBorder="1" applyAlignment="1" applyProtection="1">
      <alignment horizontal="center" vertical="center" wrapText="1"/>
    </xf>
    <xf numFmtId="168" fontId="12" fillId="15" borderId="104" xfId="0" applyNumberFormat="1" applyFont="1" applyFill="1" applyBorder="1" applyAlignment="1" applyProtection="1">
      <alignment horizontal="center" vertical="center" wrapText="1"/>
    </xf>
    <xf numFmtId="168" fontId="12" fillId="15" borderId="105" xfId="0" applyNumberFormat="1" applyFont="1" applyFill="1" applyBorder="1" applyAlignment="1" applyProtection="1">
      <alignment horizontal="center" vertical="center" wrapText="1"/>
    </xf>
    <xf numFmtId="0" fontId="22" fillId="46" borderId="87" xfId="0" applyFont="1" applyFill="1" applyBorder="1" applyAlignment="1" applyProtection="1">
      <alignment horizontal="center" vertical="center" wrapText="1"/>
    </xf>
    <xf numFmtId="0" fontId="22" fillId="46" borderId="195" xfId="0" applyFont="1" applyFill="1" applyBorder="1" applyAlignment="1" applyProtection="1">
      <alignment horizontal="center" vertical="center" wrapText="1"/>
    </xf>
    <xf numFmtId="0" fontId="22" fillId="46" borderId="89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center"/>
    </xf>
    <xf numFmtId="0" fontId="22" fillId="0" borderId="169" xfId="0" applyFont="1" applyFill="1" applyBorder="1" applyAlignment="1" applyProtection="1">
      <alignment horizontal="center" vertical="center" wrapText="1"/>
    </xf>
    <xf numFmtId="0" fontId="22" fillId="0" borderId="67" xfId="0" applyFont="1" applyFill="1" applyBorder="1" applyAlignment="1" applyProtection="1">
      <alignment horizontal="center" vertical="center" wrapText="1"/>
    </xf>
    <xf numFmtId="0" fontId="22" fillId="0" borderId="170" xfId="0" applyFont="1" applyFill="1" applyBorder="1" applyAlignment="1" applyProtection="1">
      <alignment horizontal="center" vertical="center" wrapText="1"/>
    </xf>
    <xf numFmtId="0" fontId="23" fillId="13" borderId="188" xfId="0" applyFont="1" applyFill="1" applyBorder="1" applyAlignment="1" applyProtection="1">
      <alignment horizontal="center" vertical="center"/>
      <protection locked="0"/>
    </xf>
    <xf numFmtId="0" fontId="23" fillId="13" borderId="189" xfId="0" applyFont="1" applyFill="1" applyBorder="1" applyAlignment="1" applyProtection="1">
      <alignment horizontal="center" vertical="center"/>
      <protection locked="0"/>
    </xf>
    <xf numFmtId="168" fontId="24" fillId="34" borderId="71" xfId="0" applyNumberFormat="1" applyFont="1" applyFill="1" applyBorder="1" applyAlignment="1" applyProtection="1">
      <alignment horizontal="center" vertical="center" wrapText="1"/>
    </xf>
    <xf numFmtId="168" fontId="24" fillId="34" borderId="72" xfId="0" applyNumberFormat="1" applyFont="1" applyFill="1" applyBorder="1" applyAlignment="1" applyProtection="1">
      <alignment horizontal="center" vertical="center" wrapText="1"/>
    </xf>
    <xf numFmtId="168" fontId="24" fillId="34" borderId="73" xfId="0" applyNumberFormat="1" applyFont="1" applyFill="1" applyBorder="1" applyAlignment="1" applyProtection="1">
      <alignment horizontal="center" vertical="center" wrapText="1"/>
    </xf>
    <xf numFmtId="0" fontId="23" fillId="16" borderId="54" xfId="0" applyFont="1" applyFill="1" applyBorder="1" applyAlignment="1" applyProtection="1">
      <alignment horizontal="center" vertical="center" wrapText="1"/>
    </xf>
    <xf numFmtId="0" fontId="23" fillId="16" borderId="80" xfId="0" applyFont="1" applyFill="1" applyBorder="1" applyAlignment="1" applyProtection="1">
      <alignment horizontal="center" vertical="center" wrapText="1"/>
    </xf>
    <xf numFmtId="168" fontId="24" fillId="34" borderId="32" xfId="0" applyNumberFormat="1" applyFont="1" applyFill="1" applyBorder="1" applyAlignment="1" applyProtection="1">
      <alignment horizontal="center" vertical="center" wrapText="1"/>
    </xf>
    <xf numFmtId="168" fontId="24" fillId="34" borderId="33" xfId="0" applyNumberFormat="1" applyFont="1" applyFill="1" applyBorder="1" applyAlignment="1" applyProtection="1">
      <alignment horizontal="center" vertical="center" wrapText="1"/>
    </xf>
    <xf numFmtId="168" fontId="24" fillId="34" borderId="102" xfId="0" applyNumberFormat="1" applyFont="1" applyFill="1" applyBorder="1" applyAlignment="1" applyProtection="1">
      <alignment horizontal="center" vertical="center" wrapText="1"/>
    </xf>
    <xf numFmtId="0" fontId="23" fillId="15" borderId="38" xfId="0" applyFont="1" applyFill="1" applyBorder="1" applyAlignment="1" applyProtection="1">
      <alignment horizontal="center" vertical="center" wrapText="1"/>
    </xf>
    <xf numFmtId="0" fontId="23" fillId="15" borderId="77" xfId="0" applyFont="1" applyFill="1" applyBorder="1" applyAlignment="1" applyProtection="1">
      <alignment horizontal="center" vertical="center" wrapText="1"/>
    </xf>
    <xf numFmtId="0" fontId="23" fillId="16" borderId="193" xfId="0" applyFont="1" applyFill="1" applyBorder="1" applyAlignment="1" applyProtection="1">
      <alignment horizontal="center" vertical="center" wrapText="1"/>
    </xf>
    <xf numFmtId="0" fontId="23" fillId="16" borderId="194" xfId="0" applyFont="1" applyFill="1" applyBorder="1" applyAlignment="1" applyProtection="1">
      <alignment horizontal="center" vertical="center" wrapText="1"/>
    </xf>
    <xf numFmtId="0" fontId="23" fillId="15" borderId="190" xfId="0" applyFont="1" applyFill="1" applyBorder="1" applyAlignment="1" applyProtection="1">
      <alignment horizontal="center" vertical="center" wrapText="1"/>
    </xf>
    <xf numFmtId="0" fontId="23" fillId="15" borderId="173" xfId="0" applyFont="1" applyFill="1" applyBorder="1" applyAlignment="1" applyProtection="1">
      <alignment horizontal="center" vertical="center" wrapText="1"/>
    </xf>
    <xf numFmtId="0" fontId="23" fillId="12" borderId="44" xfId="0" applyFont="1" applyFill="1" applyBorder="1" applyAlignment="1" applyProtection="1">
      <alignment horizontal="center" vertical="center"/>
      <protection locked="0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29" xfId="0" applyFont="1" applyFill="1" applyBorder="1" applyAlignment="1" applyProtection="1">
      <alignment horizontal="left" vertical="center"/>
    </xf>
    <xf numFmtId="0" fontId="0" fillId="0" borderId="45" xfId="0" applyFont="1" applyFill="1" applyBorder="1" applyAlignment="1" applyProtection="1">
      <alignment horizontal="left" vertical="center"/>
    </xf>
    <xf numFmtId="0" fontId="0" fillId="0" borderId="31" xfId="0" applyFont="1" applyFill="1" applyBorder="1" applyAlignment="1" applyProtection="1">
      <alignment horizontal="left" vertical="center"/>
    </xf>
    <xf numFmtId="0" fontId="0" fillId="0" borderId="48" xfId="0" applyFont="1" applyFill="1" applyBorder="1" applyAlignment="1" applyProtection="1">
      <alignment horizontal="left" vertical="center"/>
    </xf>
    <xf numFmtId="0" fontId="0" fillId="0" borderId="42" xfId="0" applyFont="1" applyFill="1" applyBorder="1" applyAlignment="1" applyProtection="1">
      <alignment horizontal="left" vertical="center"/>
    </xf>
    <xf numFmtId="0" fontId="0" fillId="0" borderId="43" xfId="0" applyFont="1" applyFill="1" applyBorder="1" applyAlignment="1" applyProtection="1">
      <alignment horizontal="left" vertical="center"/>
    </xf>
    <xf numFmtId="0" fontId="10" fillId="16" borderId="9" xfId="0" applyFont="1" applyFill="1" applyBorder="1" applyAlignment="1" applyProtection="1">
      <alignment horizontal="center" vertical="center"/>
    </xf>
    <xf numFmtId="0" fontId="10" fillId="16" borderId="5" xfId="0" applyFont="1" applyFill="1" applyBorder="1" applyAlignment="1" applyProtection="1">
      <alignment horizontal="center" vertical="center"/>
    </xf>
    <xf numFmtId="0" fontId="10" fillId="17" borderId="162" xfId="0" applyFont="1" applyFill="1" applyBorder="1" applyAlignment="1" applyProtection="1">
      <alignment horizontal="center" vertical="center"/>
    </xf>
    <xf numFmtId="0" fontId="10" fillId="16" borderId="162" xfId="0" applyFont="1" applyFill="1" applyBorder="1" applyAlignment="1" applyProtection="1">
      <alignment horizontal="center" vertical="center" wrapText="1"/>
    </xf>
    <xf numFmtId="166" fontId="12" fillId="18" borderId="202" xfId="13" applyFont="1" applyFill="1" applyBorder="1" applyAlignment="1" applyProtection="1">
      <alignment horizontal="center" vertical="center" wrapText="1"/>
    </xf>
    <xf numFmtId="166" fontId="12" fillId="18" borderId="115" xfId="13" applyFont="1" applyFill="1" applyBorder="1" applyAlignment="1" applyProtection="1">
      <alignment horizontal="center" vertical="center" wrapText="1"/>
    </xf>
    <xf numFmtId="0" fontId="10" fillId="15" borderId="159" xfId="0" applyFont="1" applyFill="1" applyBorder="1" applyAlignment="1" applyProtection="1">
      <alignment horizontal="center" vertical="center"/>
    </xf>
    <xf numFmtId="0" fontId="10" fillId="15" borderId="210" xfId="0" applyFont="1" applyFill="1" applyBorder="1" applyAlignment="1" applyProtection="1">
      <alignment horizontal="center" vertical="center"/>
    </xf>
    <xf numFmtId="0" fontId="12" fillId="17" borderId="9" xfId="0" applyFont="1" applyFill="1" applyBorder="1" applyAlignment="1" applyProtection="1">
      <alignment horizontal="center" vertical="center"/>
    </xf>
    <xf numFmtId="0" fontId="12" fillId="17" borderId="15" xfId="0" applyFont="1" applyFill="1" applyBorder="1" applyAlignment="1" applyProtection="1">
      <alignment horizontal="center" vertical="center"/>
    </xf>
    <xf numFmtId="174" fontId="24" fillId="30" borderId="24" xfId="12" applyNumberFormat="1" applyFont="1" applyFill="1" applyBorder="1" applyAlignment="1" applyProtection="1">
      <alignment horizontal="right" vertical="center" wrapText="1"/>
    </xf>
    <xf numFmtId="174" fontId="24" fillId="30" borderId="35" xfId="12" applyNumberFormat="1" applyFont="1" applyFill="1" applyBorder="1" applyAlignment="1" applyProtection="1">
      <alignment horizontal="right" vertical="center" wrapText="1"/>
    </xf>
    <xf numFmtId="0" fontId="23" fillId="0" borderId="30" xfId="0" applyFont="1" applyFill="1" applyBorder="1" applyAlignment="1" applyProtection="1">
      <alignment horizontal="center" vertical="top" wrapText="1"/>
    </xf>
    <xf numFmtId="0" fontId="23" fillId="0" borderId="8" xfId="0" applyFont="1" applyFill="1" applyBorder="1" applyAlignment="1" applyProtection="1">
      <alignment horizontal="center" vertical="top" wrapText="1"/>
    </xf>
    <xf numFmtId="0" fontId="23" fillId="0" borderId="69" xfId="0" applyFont="1" applyFill="1" applyBorder="1" applyAlignment="1" applyProtection="1">
      <alignment horizontal="center" vertical="top" wrapText="1"/>
    </xf>
    <xf numFmtId="0" fontId="10" fillId="17" borderId="20" xfId="0" applyFont="1" applyFill="1" applyBorder="1" applyAlignment="1" applyProtection="1">
      <alignment horizontal="left" vertical="center"/>
    </xf>
    <xf numFmtId="0" fontId="10" fillId="17" borderId="16" xfId="0" applyFont="1" applyFill="1" applyBorder="1" applyAlignment="1" applyProtection="1">
      <alignment horizontal="left" vertical="center"/>
    </xf>
    <xf numFmtId="0" fontId="10" fillId="17" borderId="21" xfId="0" applyFont="1" applyFill="1" applyBorder="1" applyAlignment="1" applyProtection="1">
      <alignment horizontal="left" vertical="center"/>
    </xf>
    <xf numFmtId="0" fontId="10" fillId="17" borderId="17" xfId="0" applyFont="1" applyFill="1" applyBorder="1" applyAlignment="1" applyProtection="1">
      <alignment horizontal="left" vertical="center"/>
    </xf>
    <xf numFmtId="0" fontId="10" fillId="17" borderId="6" xfId="0" applyFont="1" applyFill="1" applyBorder="1" applyAlignment="1" applyProtection="1">
      <alignment horizontal="left" vertical="center"/>
    </xf>
    <xf numFmtId="0" fontId="10" fillId="17" borderId="14" xfId="0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2" fillId="17" borderId="30" xfId="0" applyFont="1" applyFill="1" applyBorder="1" applyAlignment="1" applyProtection="1">
      <alignment horizontal="center" vertical="center" wrapText="1"/>
    </xf>
    <xf numFmtId="0" fontId="12" fillId="17" borderId="144" xfId="0" applyFont="1" applyFill="1" applyBorder="1" applyAlignment="1" applyProtection="1">
      <alignment horizontal="center" vertical="center" wrapText="1"/>
    </xf>
    <xf numFmtId="0" fontId="10" fillId="15" borderId="30" xfId="0" applyFont="1" applyFill="1" applyBorder="1" applyAlignment="1" applyProtection="1">
      <alignment horizontal="center" vertical="center" wrapText="1"/>
    </xf>
    <xf numFmtId="0" fontId="10" fillId="15" borderId="144" xfId="0" applyFont="1" applyFill="1" applyBorder="1" applyAlignment="1" applyProtection="1">
      <alignment horizontal="center" vertical="center" wrapText="1"/>
    </xf>
    <xf numFmtId="0" fontId="17" fillId="14" borderId="169" xfId="0" applyFont="1" applyFill="1" applyBorder="1" applyAlignment="1" applyProtection="1">
      <alignment horizontal="center" vertical="center"/>
    </xf>
    <xf numFmtId="0" fontId="17" fillId="14" borderId="140" xfId="0" applyFont="1" applyFill="1" applyBorder="1" applyAlignment="1" applyProtection="1">
      <alignment horizontal="center" vertical="center"/>
    </xf>
    <xf numFmtId="0" fontId="12" fillId="26" borderId="66" xfId="0" applyFont="1" applyFill="1" applyBorder="1" applyAlignment="1" applyProtection="1">
      <alignment horizontal="center" vertical="center" wrapText="1"/>
    </xf>
    <xf numFmtId="0" fontId="12" fillId="26" borderId="129" xfId="0" applyFont="1" applyFill="1" applyBorder="1" applyAlignment="1" applyProtection="1">
      <alignment horizontal="center" vertical="center" wrapText="1"/>
    </xf>
    <xf numFmtId="0" fontId="17" fillId="14" borderId="178" xfId="0" applyFont="1" applyFill="1" applyBorder="1" applyAlignment="1" applyProtection="1">
      <alignment horizontal="center" vertical="center"/>
    </xf>
    <xf numFmtId="0" fontId="17" fillId="48" borderId="169" xfId="0" applyFont="1" applyFill="1" applyBorder="1" applyAlignment="1" applyProtection="1">
      <alignment horizontal="center" vertical="center"/>
    </xf>
    <xf numFmtId="0" fontId="17" fillId="48" borderId="140" xfId="0" applyFont="1" applyFill="1" applyBorder="1" applyAlignment="1" applyProtection="1">
      <alignment horizontal="center" vertical="center"/>
    </xf>
    <xf numFmtId="0" fontId="17" fillId="47" borderId="178" xfId="0" applyFont="1" applyFill="1" applyBorder="1" applyAlignment="1" applyProtection="1">
      <alignment horizontal="center" vertical="center"/>
    </xf>
    <xf numFmtId="0" fontId="17" fillId="47" borderId="140" xfId="0" applyFont="1" applyFill="1" applyBorder="1" applyAlignment="1" applyProtection="1">
      <alignment horizontal="center" vertical="center"/>
    </xf>
    <xf numFmtId="0" fontId="12" fillId="16" borderId="59" xfId="0" applyFont="1" applyFill="1" applyBorder="1" applyAlignment="1" applyProtection="1">
      <alignment horizontal="center" vertical="center" wrapText="1"/>
    </xf>
    <xf numFmtId="0" fontId="12" fillId="16" borderId="63" xfId="0" applyFont="1" applyFill="1" applyBorder="1" applyAlignment="1" applyProtection="1">
      <alignment horizontal="center" vertical="center" wrapText="1"/>
    </xf>
    <xf numFmtId="0" fontId="12" fillId="16" borderId="67" xfId="0" applyFont="1" applyFill="1" applyBorder="1" applyAlignment="1" applyProtection="1">
      <alignment horizontal="center" vertical="center" wrapText="1"/>
    </xf>
    <xf numFmtId="0" fontId="12" fillId="16" borderId="68" xfId="0" applyFont="1" applyFill="1" applyBorder="1" applyAlignment="1" applyProtection="1">
      <alignment horizontal="center" vertical="center" wrapText="1"/>
    </xf>
    <xf numFmtId="0" fontId="12" fillId="16" borderId="56" xfId="0" applyFont="1" applyFill="1" applyBorder="1" applyAlignment="1" applyProtection="1">
      <alignment horizontal="center" vertical="center"/>
    </xf>
    <xf numFmtId="0" fontId="12" fillId="16" borderId="8" xfId="0" applyFont="1" applyFill="1" applyBorder="1" applyAlignment="1" applyProtection="1">
      <alignment horizontal="center" vertical="center"/>
    </xf>
    <xf numFmtId="0" fontId="12" fillId="16" borderId="56" xfId="0" applyFont="1" applyFill="1" applyBorder="1" applyAlignment="1" applyProtection="1">
      <alignment horizontal="center" vertical="center" wrapText="1"/>
    </xf>
    <xf numFmtId="0" fontId="12" fillId="16" borderId="8" xfId="0" applyFont="1" applyFill="1" applyBorder="1" applyAlignment="1" applyProtection="1">
      <alignment horizontal="center" vertical="center" wrapText="1"/>
    </xf>
    <xf numFmtId="0" fontId="22" fillId="16" borderId="57" xfId="0" applyFont="1" applyFill="1" applyBorder="1" applyAlignment="1" applyProtection="1">
      <alignment horizontal="center" vertical="center" wrapText="1"/>
    </xf>
    <xf numFmtId="0" fontId="22" fillId="16" borderId="64" xfId="0" applyFont="1" applyFill="1" applyBorder="1" applyAlignment="1" applyProtection="1">
      <alignment horizontal="center" vertical="center" wrapText="1"/>
    </xf>
    <xf numFmtId="0" fontId="22" fillId="16" borderId="6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23" fillId="47" borderId="127" xfId="0" applyFont="1" applyFill="1" applyBorder="1" applyAlignment="1" applyProtection="1">
      <alignment horizontal="center" vertical="center" textRotation="90" wrapText="1"/>
    </xf>
    <xf numFmtId="0" fontId="23" fillId="47" borderId="129" xfId="0" applyFont="1" applyFill="1" applyBorder="1" applyAlignment="1" applyProtection="1">
      <alignment horizontal="center" vertical="center" textRotation="90" wrapText="1"/>
    </xf>
    <xf numFmtId="0" fontId="23" fillId="47" borderId="83" xfId="0" applyFont="1" applyFill="1" applyBorder="1" applyAlignment="1" applyProtection="1">
      <alignment horizontal="center" vertical="center" textRotation="90" wrapText="1"/>
    </xf>
    <xf numFmtId="0" fontId="23" fillId="47" borderId="127" xfId="0" applyFont="1" applyFill="1" applyBorder="1" applyAlignment="1" applyProtection="1">
      <alignment horizontal="left" vertical="center" wrapText="1"/>
    </xf>
    <xf numFmtId="0" fontId="23" fillId="47" borderId="129" xfId="0" applyFont="1" applyFill="1" applyBorder="1" applyAlignment="1" applyProtection="1">
      <alignment horizontal="left" vertical="center" wrapText="1"/>
    </xf>
    <xf numFmtId="0" fontId="23" fillId="47" borderId="83" xfId="0" applyFont="1" applyFill="1" applyBorder="1" applyAlignment="1" applyProtection="1">
      <alignment horizontal="left" vertical="center" wrapText="1"/>
    </xf>
    <xf numFmtId="0" fontId="26" fillId="47" borderId="132" xfId="0" applyFont="1" applyFill="1" applyBorder="1" applyAlignment="1" applyProtection="1">
      <alignment horizontal="center" vertical="center" textRotation="90" wrapText="1"/>
    </xf>
    <xf numFmtId="0" fontId="26" fillId="47" borderId="117" xfId="0" applyFont="1" applyFill="1" applyBorder="1" applyAlignment="1" applyProtection="1">
      <alignment horizontal="center" vertical="center" textRotation="90" wrapText="1"/>
    </xf>
    <xf numFmtId="0" fontId="26" fillId="47" borderId="113" xfId="0" applyFont="1" applyFill="1" applyBorder="1" applyAlignment="1" applyProtection="1">
      <alignment horizontal="center" vertical="center" textRotation="90" wrapText="1"/>
    </xf>
    <xf numFmtId="0" fontId="23" fillId="12" borderId="133" xfId="0" applyFont="1" applyFill="1" applyBorder="1" applyAlignment="1" applyProtection="1">
      <alignment horizontal="left" vertical="center" wrapText="1"/>
      <protection locked="0"/>
    </xf>
    <xf numFmtId="0" fontId="23" fillId="12" borderId="134" xfId="0" applyFont="1" applyFill="1" applyBorder="1" applyAlignment="1" applyProtection="1">
      <alignment horizontal="left" vertical="center" wrapText="1"/>
      <protection locked="0"/>
    </xf>
    <xf numFmtId="0" fontId="23" fillId="12" borderId="131" xfId="0" applyFont="1" applyFill="1" applyBorder="1" applyAlignment="1" applyProtection="1">
      <alignment horizontal="left" vertical="center" wrapText="1"/>
      <protection locked="0"/>
    </xf>
    <xf numFmtId="0" fontId="23" fillId="12" borderId="127" xfId="0" applyFont="1" applyFill="1" applyBorder="1" applyAlignment="1" applyProtection="1">
      <alignment horizontal="left" vertical="center" wrapText="1"/>
      <protection locked="0"/>
    </xf>
    <xf numFmtId="0" fontId="23" fillId="12" borderId="171" xfId="0" applyFont="1" applyFill="1" applyBorder="1" applyAlignment="1" applyProtection="1">
      <alignment horizontal="left" vertical="center" wrapText="1"/>
      <protection locked="0"/>
    </xf>
    <xf numFmtId="0" fontId="23" fillId="12" borderId="129" xfId="0" applyFont="1" applyFill="1" applyBorder="1" applyAlignment="1" applyProtection="1">
      <alignment horizontal="left" vertical="center" wrapText="1"/>
      <protection locked="0"/>
    </xf>
    <xf numFmtId="0" fontId="23" fillId="12" borderId="83" xfId="0" applyFont="1" applyFill="1" applyBorder="1" applyAlignment="1" applyProtection="1">
      <alignment horizontal="left" vertical="center" wrapText="1"/>
      <protection locked="0"/>
    </xf>
    <xf numFmtId="0" fontId="12" fillId="16" borderId="177" xfId="0" applyFont="1" applyFill="1" applyBorder="1" applyAlignment="1" applyProtection="1">
      <alignment horizontal="center" vertical="center" wrapText="1"/>
    </xf>
    <xf numFmtId="0" fontId="12" fillId="16" borderId="83" xfId="0" applyFont="1" applyFill="1" applyBorder="1" applyAlignment="1" applyProtection="1">
      <alignment horizontal="center" vertical="center" wrapText="1"/>
    </xf>
    <xf numFmtId="0" fontId="10" fillId="16" borderId="124" xfId="0" applyFont="1" applyFill="1" applyBorder="1" applyAlignment="1" applyProtection="1">
      <alignment horizontal="center" vertical="center" wrapText="1"/>
    </xf>
    <xf numFmtId="0" fontId="17" fillId="47" borderId="169" xfId="0" applyFont="1" applyFill="1" applyBorder="1" applyAlignment="1" applyProtection="1">
      <alignment horizontal="center" vertical="center"/>
    </xf>
    <xf numFmtId="0" fontId="9" fillId="14" borderId="170" xfId="0" applyFont="1" applyFill="1" applyBorder="1" applyAlignment="1" applyProtection="1">
      <alignment horizontal="center" vertical="center"/>
    </xf>
    <xf numFmtId="0" fontId="9" fillId="14" borderId="181" xfId="0" applyFont="1" applyFill="1" applyBorder="1" applyAlignment="1" applyProtection="1">
      <alignment horizontal="center" vertical="center"/>
    </xf>
    <xf numFmtId="0" fontId="17" fillId="14" borderId="139" xfId="0" applyFont="1" applyFill="1" applyBorder="1" applyAlignment="1" applyProtection="1">
      <alignment horizontal="center" vertical="center"/>
    </xf>
    <xf numFmtId="0" fontId="17" fillId="14" borderId="128" xfId="0" applyFont="1" applyFill="1" applyBorder="1" applyAlignment="1" applyProtection="1">
      <alignment horizontal="center" vertical="center"/>
    </xf>
    <xf numFmtId="0" fontId="17" fillId="48" borderId="139" xfId="0" applyFont="1" applyFill="1" applyBorder="1" applyAlignment="1" applyProtection="1">
      <alignment horizontal="center" vertical="center"/>
    </xf>
    <xf numFmtId="0" fontId="17" fillId="48" borderId="161" xfId="0" applyFont="1" applyFill="1" applyBorder="1" applyAlignment="1" applyProtection="1">
      <alignment horizontal="center" vertical="center"/>
    </xf>
    <xf numFmtId="0" fontId="17" fillId="47" borderId="141" xfId="0" applyFont="1" applyFill="1" applyBorder="1" applyAlignment="1" applyProtection="1">
      <alignment horizontal="center" vertical="center"/>
    </xf>
    <xf numFmtId="0" fontId="17" fillId="47" borderId="161" xfId="0" applyFont="1" applyFill="1" applyBorder="1" applyAlignment="1" applyProtection="1">
      <alignment horizontal="center" vertical="center"/>
    </xf>
    <xf numFmtId="177" fontId="0" fillId="26" borderId="169" xfId="0" applyNumberFormat="1" applyFont="1" applyFill="1" applyBorder="1" applyAlignment="1" applyProtection="1">
      <alignment horizontal="center" vertical="center"/>
    </xf>
    <xf numFmtId="177" fontId="0" fillId="26" borderId="140" xfId="0" applyNumberFormat="1" applyFont="1" applyFill="1" applyBorder="1" applyAlignment="1" applyProtection="1">
      <alignment horizontal="center" vertical="center"/>
    </xf>
    <xf numFmtId="0" fontId="9" fillId="48" borderId="170" xfId="0" applyFont="1" applyFill="1" applyBorder="1" applyAlignment="1" applyProtection="1">
      <alignment horizontal="center" vertical="center"/>
    </xf>
    <xf numFmtId="0" fontId="9" fillId="48" borderId="181" xfId="0" applyFont="1" applyFill="1" applyBorder="1" applyAlignment="1" applyProtection="1">
      <alignment horizontal="center" vertical="center"/>
    </xf>
    <xf numFmtId="0" fontId="9" fillId="47" borderId="170" xfId="0" applyFont="1" applyFill="1" applyBorder="1" applyAlignment="1" applyProtection="1">
      <alignment horizontal="center" vertical="center"/>
    </xf>
    <xf numFmtId="0" fontId="9" fillId="47" borderId="181" xfId="0" applyFont="1" applyFill="1" applyBorder="1" applyAlignment="1" applyProtection="1">
      <alignment horizontal="center" vertical="center"/>
    </xf>
    <xf numFmtId="177" fontId="0" fillId="26" borderId="141" xfId="0" applyNumberFormat="1" applyFont="1" applyFill="1" applyBorder="1" applyAlignment="1" applyProtection="1">
      <alignment horizontal="center" vertical="center"/>
    </xf>
    <xf numFmtId="0" fontId="23" fillId="0" borderId="254" xfId="0" applyFont="1" applyFill="1" applyBorder="1" applyAlignment="1" applyProtection="1">
      <alignment horizontal="left" vertical="center" wrapText="1"/>
    </xf>
    <xf numFmtId="0" fontId="23" fillId="0" borderId="175" xfId="0" applyFont="1" applyFill="1" applyBorder="1" applyAlignment="1" applyProtection="1">
      <alignment horizontal="left" vertical="center" wrapText="1"/>
    </xf>
    <xf numFmtId="0" fontId="23" fillId="0" borderId="255" xfId="0" applyFont="1" applyFill="1" applyBorder="1" applyAlignment="1" applyProtection="1">
      <alignment horizontal="left" vertical="center" wrapText="1"/>
    </xf>
    <xf numFmtId="0" fontId="23" fillId="16" borderId="36" xfId="0" applyFont="1" applyFill="1" applyBorder="1" applyAlignment="1" applyProtection="1">
      <alignment horizontal="center" vertical="center"/>
    </xf>
    <xf numFmtId="0" fontId="23" fillId="16" borderId="37" xfId="0" applyFont="1" applyFill="1" applyBorder="1" applyAlignment="1" applyProtection="1">
      <alignment horizontal="center" vertical="center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0" fontId="23" fillId="12" borderId="13" xfId="0" applyFont="1" applyFill="1" applyBorder="1" applyAlignment="1" applyProtection="1">
      <alignment horizontal="center" vertical="center"/>
      <protection locked="0"/>
    </xf>
    <xf numFmtId="168" fontId="23" fillId="17" borderId="49" xfId="0" applyNumberFormat="1" applyFont="1" applyFill="1" applyBorder="1" applyAlignment="1" applyProtection="1">
      <alignment horizontal="center" vertical="center" wrapText="1"/>
    </xf>
    <xf numFmtId="168" fontId="23" fillId="17" borderId="33" xfId="0" applyNumberFormat="1" applyFont="1" applyFill="1" applyBorder="1" applyAlignment="1" applyProtection="1">
      <alignment horizontal="center" vertical="center" wrapText="1"/>
    </xf>
    <xf numFmtId="168" fontId="23" fillId="17" borderId="50" xfId="0" applyNumberFormat="1" applyFont="1" applyFill="1" applyBorder="1" applyAlignment="1" applyProtection="1">
      <alignment horizontal="center" vertical="center" wrapText="1"/>
    </xf>
    <xf numFmtId="168" fontId="24" fillId="34" borderId="49" xfId="0" applyNumberFormat="1" applyFont="1" applyFill="1" applyBorder="1" applyAlignment="1" applyProtection="1">
      <alignment horizontal="center" vertical="center" wrapText="1"/>
    </xf>
    <xf numFmtId="168" fontId="24" fillId="34" borderId="5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2" fillId="15" borderId="133" xfId="0" applyFont="1" applyFill="1" applyBorder="1" applyAlignment="1" applyProtection="1">
      <alignment horizontal="center" vertical="center" wrapText="1"/>
    </xf>
    <xf numFmtId="0" fontId="12" fillId="15" borderId="135" xfId="0" applyFont="1" applyFill="1" applyBorder="1" applyAlignment="1" applyProtection="1">
      <alignment horizontal="center" vertical="center" wrapText="1"/>
    </xf>
    <xf numFmtId="0" fontId="12" fillId="15" borderId="140" xfId="0" applyFont="1" applyFill="1" applyBorder="1" applyAlignment="1" applyProtection="1">
      <alignment horizontal="center" vertical="center" wrapText="1"/>
    </xf>
    <xf numFmtId="0" fontId="12" fillId="15" borderId="62" xfId="0" applyFont="1" applyFill="1" applyBorder="1" applyAlignment="1" applyProtection="1">
      <alignment horizontal="center" vertical="center" wrapText="1"/>
    </xf>
    <xf numFmtId="0" fontId="12" fillId="16" borderId="55" xfId="0" applyFont="1" applyFill="1" applyBorder="1" applyAlignment="1" applyProtection="1">
      <alignment horizontal="center" vertical="center" wrapText="1"/>
    </xf>
    <xf numFmtId="0" fontId="12" fillId="16" borderId="195" xfId="0" applyFont="1" applyFill="1" applyBorder="1" applyAlignment="1" applyProtection="1">
      <alignment horizontal="center" vertical="center" wrapText="1"/>
    </xf>
    <xf numFmtId="0" fontId="22" fillId="16" borderId="169" xfId="0" applyFont="1" applyFill="1" applyBorder="1" applyAlignment="1" applyProtection="1">
      <alignment horizontal="center" vertical="center"/>
    </xf>
    <xf numFmtId="0" fontId="22" fillId="16" borderId="178" xfId="0" applyFont="1" applyFill="1" applyBorder="1" applyAlignment="1" applyProtection="1">
      <alignment horizontal="center" vertical="center"/>
    </xf>
    <xf numFmtId="0" fontId="22" fillId="16" borderId="197" xfId="0" applyFont="1" applyFill="1" applyBorder="1" applyAlignment="1" applyProtection="1">
      <alignment horizontal="center" vertical="center"/>
    </xf>
    <xf numFmtId="0" fontId="12" fillId="27" borderId="64" xfId="0" applyFont="1" applyFill="1" applyBorder="1" applyAlignment="1" applyProtection="1">
      <alignment horizontal="center" vertical="center" wrapText="1"/>
    </xf>
    <xf numFmtId="0" fontId="12" fillId="27" borderId="0" xfId="0" applyFont="1" applyFill="1" applyBorder="1" applyAlignment="1" applyProtection="1">
      <alignment horizontal="center" vertical="center" wrapText="1"/>
    </xf>
    <xf numFmtId="0" fontId="12" fillId="27" borderId="177" xfId="0" applyFont="1" applyFill="1" applyBorder="1" applyAlignment="1" applyProtection="1">
      <alignment horizontal="center" vertical="center" wrapText="1"/>
    </xf>
    <xf numFmtId="0" fontId="12" fillId="27" borderId="129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23" fillId="11" borderId="185" xfId="0" applyFont="1" applyFill="1" applyBorder="1" applyAlignment="1" applyProtection="1">
      <alignment horizontal="center" vertical="center" wrapText="1"/>
    </xf>
    <xf numFmtId="0" fontId="23" fillId="11" borderId="175" xfId="0" applyFont="1" applyFill="1" applyBorder="1" applyAlignment="1" applyProtection="1">
      <alignment horizontal="center" vertical="center" wrapText="1"/>
    </xf>
    <xf numFmtId="0" fontId="23" fillId="11" borderId="176" xfId="0" applyFont="1" applyFill="1" applyBorder="1" applyAlignment="1" applyProtection="1">
      <alignment horizontal="center" vertical="center" wrapText="1"/>
    </xf>
    <xf numFmtId="177" fontId="23" fillId="29" borderId="177" xfId="0" applyNumberFormat="1" applyFont="1" applyFill="1" applyBorder="1" applyAlignment="1" applyProtection="1">
      <alignment horizontal="right" vertical="center"/>
    </xf>
    <xf numFmtId="177" fontId="23" fillId="29" borderId="129" xfId="0" applyNumberFormat="1" applyFont="1" applyFill="1" applyBorder="1" applyAlignment="1" applyProtection="1">
      <alignment horizontal="right" vertical="center"/>
    </xf>
    <xf numFmtId="177" fontId="23" fillId="29" borderId="83" xfId="0" applyNumberFormat="1" applyFont="1" applyFill="1" applyBorder="1" applyAlignment="1" applyProtection="1">
      <alignment horizontal="right" vertical="center"/>
    </xf>
    <xf numFmtId="0" fontId="12" fillId="16" borderId="196" xfId="0" applyFont="1" applyFill="1" applyBorder="1" applyAlignment="1" applyProtection="1">
      <alignment horizontal="center" vertical="center" wrapText="1"/>
    </xf>
    <xf numFmtId="0" fontId="12" fillId="16" borderId="41" xfId="0" applyFont="1" applyFill="1" applyBorder="1" applyAlignment="1" applyProtection="1">
      <alignment horizontal="center" vertical="center" wrapText="1"/>
    </xf>
    <xf numFmtId="0" fontId="22" fillId="0" borderId="263" xfId="0" applyFont="1" applyFill="1" applyBorder="1" applyAlignment="1" applyProtection="1">
      <alignment horizontal="center" vertical="center" wrapText="1"/>
    </xf>
    <xf numFmtId="0" fontId="22" fillId="0" borderId="264" xfId="0" applyFont="1" applyFill="1" applyBorder="1" applyAlignment="1" applyProtection="1">
      <alignment horizontal="center" vertical="center" wrapText="1"/>
    </xf>
    <xf numFmtId="0" fontId="22" fillId="0" borderId="265" xfId="0" applyFont="1" applyFill="1" applyBorder="1" applyAlignment="1" applyProtection="1">
      <alignment horizontal="center" vertical="center" wrapText="1"/>
    </xf>
    <xf numFmtId="0" fontId="12" fillId="16" borderId="156" xfId="0" applyFont="1" applyFill="1" applyBorder="1" applyAlignment="1" applyProtection="1">
      <alignment horizontal="center" vertical="center" wrapText="1"/>
    </xf>
    <xf numFmtId="0" fontId="12" fillId="16" borderId="157" xfId="0" applyFont="1" applyFill="1" applyBorder="1" applyAlignment="1" applyProtection="1">
      <alignment horizontal="center" vertical="center" wrapText="1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12" fillId="16" borderId="201" xfId="0" applyFont="1" applyFill="1" applyBorder="1" applyAlignment="1" applyProtection="1">
      <alignment horizontal="center" vertical="center"/>
    </xf>
    <xf numFmtId="0" fontId="12" fillId="16" borderId="155" xfId="0" applyFont="1" applyFill="1" applyBorder="1" applyAlignment="1" applyProtection="1">
      <alignment horizontal="center" vertical="center"/>
    </xf>
    <xf numFmtId="0" fontId="23" fillId="15" borderId="148" xfId="0" applyFont="1" applyFill="1" applyBorder="1" applyAlignment="1" applyProtection="1">
      <alignment horizontal="center" vertical="center" wrapText="1"/>
    </xf>
    <xf numFmtId="0" fontId="23" fillId="15" borderId="257" xfId="0" applyFont="1" applyFill="1" applyBorder="1" applyAlignment="1" applyProtection="1">
      <alignment horizontal="center" vertical="center" wrapText="1"/>
    </xf>
    <xf numFmtId="0" fontId="23" fillId="15" borderId="152" xfId="0" applyFont="1" applyFill="1" applyBorder="1" applyAlignment="1" applyProtection="1">
      <alignment horizontal="center" vertical="center" wrapText="1"/>
    </xf>
    <xf numFmtId="0" fontId="23" fillId="15" borderId="266" xfId="0" applyFont="1" applyFill="1" applyBorder="1" applyAlignment="1" applyProtection="1">
      <alignment horizontal="center" vertical="center" wrapText="1"/>
    </xf>
    <xf numFmtId="0" fontId="12" fillId="16" borderId="203" xfId="0" applyFont="1" applyFill="1" applyBorder="1" applyAlignment="1" applyProtection="1">
      <alignment horizontal="center" vertical="center"/>
    </xf>
    <xf numFmtId="0" fontId="12" fillId="16" borderId="151" xfId="0" applyFont="1" applyFill="1" applyBorder="1" applyAlignment="1" applyProtection="1">
      <alignment horizontal="center" vertical="center"/>
    </xf>
    <xf numFmtId="168" fontId="12" fillId="17" borderId="154" xfId="0" applyNumberFormat="1" applyFont="1" applyFill="1" applyBorder="1" applyAlignment="1" applyProtection="1">
      <alignment horizontal="center" vertical="center" wrapText="1"/>
    </xf>
    <xf numFmtId="168" fontId="12" fillId="17" borderId="150" xfId="0" applyNumberFormat="1" applyFont="1" applyFill="1" applyBorder="1" applyAlignment="1" applyProtection="1">
      <alignment horizontal="center" vertical="center" wrapText="1"/>
    </xf>
    <xf numFmtId="168" fontId="12" fillId="17" borderId="149" xfId="0" applyNumberFormat="1" applyFont="1" applyFill="1" applyBorder="1" applyAlignment="1" applyProtection="1">
      <alignment horizontal="center" vertical="center" wrapText="1"/>
    </xf>
    <xf numFmtId="0" fontId="0" fillId="38" borderId="40" xfId="0" applyFont="1" applyFill="1" applyBorder="1" applyAlignment="1" applyProtection="1">
      <alignment horizontal="left" vertical="center" wrapText="1"/>
    </xf>
    <xf numFmtId="0" fontId="0" fillId="38" borderId="24" xfId="0" applyFont="1" applyFill="1" applyBorder="1" applyAlignment="1" applyProtection="1">
      <alignment horizontal="left" vertical="center" wrapText="1"/>
    </xf>
    <xf numFmtId="0" fontId="0" fillId="38" borderId="52" xfId="0" applyFont="1" applyFill="1" applyBorder="1" applyAlignment="1" applyProtection="1">
      <alignment horizontal="left" vertical="center" wrapText="1"/>
    </xf>
    <xf numFmtId="0" fontId="0" fillId="38" borderId="41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53" xfId="0" applyFont="1" applyFill="1" applyBorder="1" applyAlignment="1" applyProtection="1">
      <alignment horizontal="left" vertical="center" wrapText="1"/>
    </xf>
    <xf numFmtId="0" fontId="0" fillId="38" borderId="25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22" xfId="0" applyFont="1" applyFill="1" applyBorder="1" applyAlignment="1" applyProtection="1">
      <alignment horizontal="left" vertical="center" wrapText="1"/>
    </xf>
    <xf numFmtId="0" fontId="12" fillId="37" borderId="162" xfId="0" applyFont="1" applyFill="1" applyBorder="1" applyAlignment="1" applyProtection="1">
      <alignment horizontal="center" vertical="center"/>
      <protection locked="0"/>
    </xf>
    <xf numFmtId="0" fontId="23" fillId="49" borderId="172" xfId="0" applyFont="1" applyFill="1" applyBorder="1" applyAlignment="1" applyProtection="1">
      <alignment horizontal="center"/>
      <protection locked="0"/>
    </xf>
    <xf numFmtId="0" fontId="23" fillId="49" borderId="199" xfId="0" applyFont="1" applyFill="1" applyBorder="1" applyAlignment="1" applyProtection="1">
      <alignment horizontal="center"/>
      <protection locked="0"/>
    </xf>
    <xf numFmtId="0" fontId="12" fillId="49" borderId="162" xfId="0" applyFont="1" applyFill="1" applyBorder="1" applyAlignment="1" applyProtection="1">
      <alignment horizontal="center" vertical="center"/>
      <protection locked="0"/>
    </xf>
    <xf numFmtId="3" fontId="0" fillId="0" borderId="162" xfId="0" applyNumberFormat="1" applyBorder="1" applyAlignment="1" applyProtection="1">
      <alignment horizontal="center"/>
      <protection locked="0"/>
    </xf>
    <xf numFmtId="0" fontId="0" fillId="0" borderId="172" xfId="0" applyBorder="1" applyAlignment="1" applyProtection="1">
      <alignment horizontal="center"/>
      <protection locked="0"/>
    </xf>
    <xf numFmtId="0" fontId="0" fillId="0" borderId="172" xfId="0" applyBorder="1" applyAlignment="1" applyProtection="1">
      <alignment horizontal="center" vertical="center"/>
      <protection locked="0"/>
    </xf>
    <xf numFmtId="0" fontId="0" fillId="0" borderId="199" xfId="0" applyBorder="1" applyAlignment="1" applyProtection="1">
      <alignment horizontal="center" vertical="center"/>
      <protection locked="0"/>
    </xf>
    <xf numFmtId="0" fontId="0" fillId="0" borderId="180" xfId="0" applyBorder="1" applyAlignment="1" applyProtection="1">
      <alignment horizontal="center" vertical="center"/>
      <protection locked="0"/>
    </xf>
    <xf numFmtId="0" fontId="0" fillId="44" borderId="172" xfId="0" applyFill="1" applyBorder="1" applyAlignment="1" applyProtection="1">
      <alignment horizontal="center" vertical="center"/>
      <protection locked="0"/>
    </xf>
    <xf numFmtId="0" fontId="0" fillId="44" borderId="199" xfId="0" applyFill="1" applyBorder="1" applyAlignment="1" applyProtection="1">
      <alignment horizontal="center" vertical="center"/>
      <protection locked="0"/>
    </xf>
    <xf numFmtId="0" fontId="0" fillId="44" borderId="180" xfId="0" applyFill="1" applyBorder="1" applyAlignment="1" applyProtection="1">
      <alignment horizontal="center" vertical="center"/>
      <protection locked="0"/>
    </xf>
    <xf numFmtId="0" fontId="10" fillId="15" borderId="159" xfId="0" applyFont="1" applyFill="1" applyBorder="1" applyAlignment="1" applyProtection="1">
      <alignment horizontal="center" vertical="center" wrapText="1"/>
    </xf>
    <xf numFmtId="0" fontId="10" fillId="15" borderId="210" xfId="0" applyFont="1" applyFill="1" applyBorder="1" applyAlignment="1" applyProtection="1">
      <alignment horizontal="center" vertical="center" wrapText="1"/>
    </xf>
    <xf numFmtId="0" fontId="0" fillId="0" borderId="172" xfId="0" applyBorder="1" applyAlignment="1" applyProtection="1">
      <alignment horizontal="left" vertical="center"/>
      <protection locked="0"/>
    </xf>
    <xf numFmtId="0" fontId="0" fillId="0" borderId="199" xfId="0" applyBorder="1" applyAlignment="1" applyProtection="1">
      <alignment horizontal="left" vertical="center"/>
      <protection locked="0"/>
    </xf>
    <xf numFmtId="0" fontId="0" fillId="0" borderId="180" xfId="0" applyBorder="1" applyAlignment="1" applyProtection="1">
      <alignment horizontal="left" vertical="center"/>
      <protection locked="0"/>
    </xf>
    <xf numFmtId="0" fontId="0" fillId="0" borderId="172" xfId="0" applyBorder="1" applyAlignment="1" applyProtection="1">
      <alignment horizontal="left" vertical="center" wrapText="1"/>
      <protection locked="0"/>
    </xf>
    <xf numFmtId="0" fontId="0" fillId="0" borderId="199" xfId="0" applyBorder="1" applyAlignment="1" applyProtection="1">
      <alignment horizontal="left" vertical="center" wrapText="1"/>
      <protection locked="0"/>
    </xf>
    <xf numFmtId="0" fontId="0" fillId="0" borderId="180" xfId="0" applyBorder="1" applyAlignment="1" applyProtection="1">
      <alignment horizontal="left" vertical="center" wrapText="1"/>
      <protection locked="0"/>
    </xf>
    <xf numFmtId="0" fontId="0" fillId="0" borderId="279" xfId="0" applyBorder="1" applyAlignment="1" applyProtection="1">
      <alignment horizontal="left" vertical="center"/>
      <protection locked="0"/>
    </xf>
    <xf numFmtId="0" fontId="0" fillId="0" borderId="279" xfId="0" applyFont="1" applyBorder="1" applyAlignment="1" applyProtection="1">
      <alignment horizontal="left" vertical="center"/>
      <protection locked="0"/>
    </xf>
    <xf numFmtId="0" fontId="0" fillId="0" borderId="199" xfId="0" applyFont="1" applyBorder="1" applyAlignment="1" applyProtection="1">
      <alignment horizontal="left" vertical="center"/>
      <protection locked="0"/>
    </xf>
    <xf numFmtId="0" fontId="0" fillId="0" borderId="180" xfId="0" applyFont="1" applyBorder="1" applyAlignment="1" applyProtection="1">
      <alignment horizontal="left" vertical="center"/>
      <protection locked="0"/>
    </xf>
    <xf numFmtId="0" fontId="0" fillId="0" borderId="248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73" xfId="0" applyBorder="1" applyAlignment="1" applyProtection="1">
      <alignment horizontal="left" vertical="center"/>
      <protection locked="0"/>
    </xf>
    <xf numFmtId="0" fontId="36" fillId="12" borderId="172" xfId="0" applyFont="1" applyFill="1" applyBorder="1" applyAlignment="1" applyProtection="1">
      <alignment horizontal="center"/>
      <protection locked="0"/>
    </xf>
    <xf numFmtId="0" fontId="36" fillId="12" borderId="180" xfId="0" applyFont="1" applyFill="1" applyBorder="1" applyAlignment="1" applyProtection="1">
      <alignment horizontal="center"/>
      <protection locked="0"/>
    </xf>
    <xf numFmtId="0" fontId="38" fillId="0" borderId="147" xfId="0" applyFont="1" applyBorder="1" applyAlignment="1" applyProtection="1">
      <alignment horizontal="right" vertical="center"/>
      <protection locked="0"/>
    </xf>
    <xf numFmtId="0" fontId="38" fillId="0" borderId="219" xfId="0" applyFont="1" applyBorder="1" applyAlignment="1" applyProtection="1">
      <alignment horizontal="right" vertical="center"/>
      <protection locked="0"/>
    </xf>
    <xf numFmtId="0" fontId="38" fillId="0" borderId="278" xfId="0" applyFont="1" applyBorder="1" applyAlignment="1" applyProtection="1">
      <alignment horizontal="right" vertical="center"/>
      <protection locked="0"/>
    </xf>
    <xf numFmtId="168" fontId="13" fillId="44" borderId="172" xfId="13" applyNumberFormat="1" applyFont="1" applyFill="1" applyBorder="1" applyAlignment="1" applyProtection="1">
      <alignment horizontal="left" vertical="center"/>
    </xf>
    <xf numFmtId="168" fontId="13" fillId="44" borderId="199" xfId="13" applyNumberFormat="1" applyFont="1" applyFill="1" applyBorder="1" applyAlignment="1" applyProtection="1">
      <alignment horizontal="left" vertical="center"/>
    </xf>
    <xf numFmtId="168" fontId="13" fillId="44" borderId="180" xfId="13" applyNumberFormat="1" applyFont="1" applyFill="1" applyBorder="1" applyAlignment="1" applyProtection="1">
      <alignment horizontal="left" vertical="center"/>
    </xf>
    <xf numFmtId="168" fontId="10" fillId="44" borderId="172" xfId="13" applyNumberFormat="1" applyFont="1" applyFill="1" applyBorder="1" applyAlignment="1" applyProtection="1">
      <alignment horizontal="center" vertical="center"/>
    </xf>
    <xf numFmtId="168" fontId="10" fillId="44" borderId="199" xfId="13" applyNumberFormat="1" applyFont="1" applyFill="1" applyBorder="1" applyAlignment="1" applyProtection="1">
      <alignment horizontal="center" vertical="center"/>
    </xf>
    <xf numFmtId="168" fontId="10" fillId="44" borderId="180" xfId="13" applyNumberFormat="1" applyFont="1" applyFill="1" applyBorder="1" applyAlignment="1" applyProtection="1">
      <alignment horizontal="center" vertical="center"/>
    </xf>
    <xf numFmtId="0" fontId="23" fillId="49" borderId="162" xfId="0" applyFont="1" applyFill="1" applyBorder="1" applyAlignment="1" applyProtection="1">
      <alignment horizontal="right"/>
      <protection locked="0"/>
    </xf>
    <xf numFmtId="0" fontId="0" fillId="0" borderId="277" xfId="0" applyBorder="1" applyAlignment="1" applyProtection="1">
      <alignment horizontal="left" vertical="center" wrapText="1"/>
      <protection locked="0"/>
    </xf>
    <xf numFmtId="0" fontId="0" fillId="0" borderId="273" xfId="0" applyBorder="1" applyAlignment="1" applyProtection="1">
      <alignment horizontal="left" vertical="center" wrapText="1"/>
      <protection locked="0"/>
    </xf>
    <xf numFmtId="0" fontId="0" fillId="0" borderId="275" xfId="0" applyBorder="1" applyAlignment="1" applyProtection="1">
      <alignment horizontal="left" vertical="center" wrapText="1"/>
      <protection locked="0"/>
    </xf>
    <xf numFmtId="0" fontId="0" fillId="0" borderId="276" xfId="0" applyBorder="1" applyAlignment="1" applyProtection="1">
      <alignment horizontal="left" vertical="center" wrapText="1"/>
      <protection locked="0"/>
    </xf>
    <xf numFmtId="0" fontId="38" fillId="0" borderId="90" xfId="0" applyFont="1" applyBorder="1" applyAlignment="1" applyProtection="1">
      <alignment horizontal="right" vertical="center"/>
      <protection locked="0"/>
    </xf>
    <xf numFmtId="0" fontId="38" fillId="0" borderId="91" xfId="0" applyFont="1" applyBorder="1" applyAlignment="1" applyProtection="1">
      <alignment horizontal="right" vertical="center"/>
      <protection locked="0"/>
    </xf>
    <xf numFmtId="0" fontId="38" fillId="0" borderId="95" xfId="0" applyFont="1" applyBorder="1" applyAlignment="1" applyProtection="1">
      <alignment horizontal="right" vertical="center"/>
      <protection locked="0"/>
    </xf>
    <xf numFmtId="0" fontId="36" fillId="0" borderId="0" xfId="0" applyFont="1" applyAlignment="1" applyProtection="1">
      <alignment horizontal="left" wrapText="1"/>
      <protection locked="0"/>
    </xf>
    <xf numFmtId="0" fontId="23" fillId="12" borderId="162" xfId="0" applyFont="1" applyFill="1" applyBorder="1" applyAlignment="1" applyProtection="1">
      <alignment horizontal="center" vertical="center" wrapText="1"/>
      <protection locked="0"/>
    </xf>
    <xf numFmtId="0" fontId="36" fillId="12" borderId="162" xfId="0" applyFont="1" applyFill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40" fillId="0" borderId="172" xfId="0" applyFont="1" applyBorder="1" applyAlignment="1" applyProtection="1">
      <alignment horizontal="center"/>
      <protection locked="0"/>
    </xf>
    <xf numFmtId="0" fontId="40" fillId="0" borderId="180" xfId="0" applyFont="1" applyBorder="1" applyAlignment="1" applyProtection="1">
      <alignment horizontal="center"/>
      <protection locked="0"/>
    </xf>
    <xf numFmtId="0" fontId="37" fillId="0" borderId="172" xfId="0" applyFont="1" applyBorder="1" applyAlignment="1" applyProtection="1">
      <alignment horizontal="center" vertical="center"/>
      <protection locked="0"/>
    </xf>
    <xf numFmtId="0" fontId="37" fillId="0" borderId="199" xfId="0" applyFont="1" applyBorder="1" applyAlignment="1" applyProtection="1">
      <alignment horizontal="center" vertical="center"/>
      <protection locked="0"/>
    </xf>
    <xf numFmtId="0" fontId="37" fillId="0" borderId="180" xfId="0" applyFont="1" applyBorder="1" applyAlignment="1" applyProtection="1">
      <alignment horizontal="center" vertical="center"/>
      <protection locked="0"/>
    </xf>
    <xf numFmtId="0" fontId="22" fillId="12" borderId="172" xfId="0" applyFont="1" applyFill="1" applyBorder="1" applyAlignment="1" applyProtection="1">
      <alignment horizontal="center" vertical="center"/>
      <protection locked="0"/>
    </xf>
    <xf numFmtId="0" fontId="22" fillId="12" borderId="199" xfId="0" applyFont="1" applyFill="1" applyBorder="1" applyAlignment="1" applyProtection="1">
      <alignment horizontal="center" vertical="center"/>
      <protection locked="0"/>
    </xf>
    <xf numFmtId="0" fontId="22" fillId="12" borderId="180" xfId="0" applyFont="1" applyFill="1" applyBorder="1" applyAlignment="1" applyProtection="1">
      <alignment horizontal="center" vertical="center"/>
      <protection locked="0"/>
    </xf>
    <xf numFmtId="0" fontId="22" fillId="0" borderId="172" xfId="0" applyFont="1" applyBorder="1" applyAlignment="1" applyProtection="1">
      <alignment horizontal="center" vertical="center" wrapText="1"/>
      <protection locked="0"/>
    </xf>
    <xf numFmtId="0" fontId="22" fillId="0" borderId="180" xfId="0" applyFont="1" applyBorder="1" applyAlignment="1" applyProtection="1">
      <alignment horizontal="center" vertical="center" wrapText="1"/>
      <protection locked="0"/>
    </xf>
    <xf numFmtId="170" fontId="35" fillId="12" borderId="247" xfId="0" applyNumberFormat="1" applyFont="1" applyFill="1" applyBorder="1" applyAlignment="1" applyProtection="1">
      <alignment horizontal="center" vertical="center"/>
      <protection locked="0"/>
    </xf>
    <xf numFmtId="170" fontId="35" fillId="12" borderId="212" xfId="0" applyNumberFormat="1" applyFont="1" applyFill="1" applyBorder="1" applyAlignment="1" applyProtection="1">
      <alignment horizontal="center" vertical="center"/>
      <protection locked="0"/>
    </xf>
    <xf numFmtId="170" fontId="35" fillId="12" borderId="225" xfId="0" applyNumberFormat="1" applyFont="1" applyFill="1" applyBorder="1" applyAlignment="1" applyProtection="1">
      <alignment horizontal="center" vertical="center"/>
      <protection locked="0"/>
    </xf>
  </cellXfs>
  <cellStyles count="3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oneda" xfId="13" builtinId="4"/>
    <cellStyle name="Moneda [0]" xfId="31" builtinId="7"/>
    <cellStyle name="Moneda 2" xfId="26" xr:uid="{00000000-0005-0000-0000-000013000000}"/>
    <cellStyle name="Moneda 3" xfId="25" xr:uid="{00000000-0005-0000-0000-000014000000}"/>
    <cellStyle name="Neutral" xfId="14" builtinId="28" customBuiltin="1"/>
    <cellStyle name="Normal" xfId="0" builtinId="0"/>
    <cellStyle name="Normal 2" xfId="27" xr:uid="{00000000-0005-0000-0000-000017000000}"/>
    <cellStyle name="Normal 3" xfId="28" xr:uid="{00000000-0005-0000-0000-000018000000}"/>
    <cellStyle name="Normal 4" xfId="29" xr:uid="{00000000-0005-0000-0000-000019000000}"/>
    <cellStyle name="Note" xfId="15" xr:uid="{00000000-0005-0000-0000-00001A000000}"/>
    <cellStyle name="Porcentaje" xfId="16" builtinId="5"/>
    <cellStyle name="Porcentaje 2" xfId="30" xr:uid="{00000000-0005-0000-0000-00001C000000}"/>
    <cellStyle name="Status" xfId="17" xr:uid="{00000000-0005-0000-0000-00001D000000}"/>
    <cellStyle name="Text" xfId="18" xr:uid="{00000000-0005-0000-0000-00001E000000}"/>
    <cellStyle name="Warning" xfId="19" xr:uid="{00000000-0005-0000-0000-00001F000000}"/>
  </cellStyles>
  <dxfs count="3">
    <dxf>
      <font>
        <color rgb="FF9C0006"/>
      </font>
    </dxf>
    <dxf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249"/>
      <color rgb="FF000099"/>
      <color rgb="FF0000CC"/>
      <color rgb="FFFF0909"/>
      <color rgb="FF69D8FF"/>
      <color rgb="FFFFFF66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211666</xdr:colOff>
      <xdr:row>6</xdr:row>
      <xdr:rowOff>127000</xdr:rowOff>
    </xdr:from>
    <xdr:to>
      <xdr:col>8</xdr:col>
      <xdr:colOff>306917</xdr:colOff>
      <xdr:row>57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3222" t="16051" r="32920" b="6470"/>
        <a:stretch/>
      </xdr:blipFill>
      <xdr:spPr>
        <a:xfrm>
          <a:off x="211666" y="1098550"/>
          <a:ext cx="6191251" cy="8131175"/>
        </a:xfrm>
        <a:prstGeom prst="rect">
          <a:avLst/>
        </a:prstGeom>
      </xdr:spPr>
    </xdr:pic>
    <xdr:clientData/>
  </xdr:twoCellAnchor>
  <xdr:twoCellAnchor editAs="oneCell">
    <xdr:from>
      <xdr:col>8</xdr:col>
      <xdr:colOff>391583</xdr:colOff>
      <xdr:row>6</xdr:row>
      <xdr:rowOff>137584</xdr:rowOff>
    </xdr:from>
    <xdr:to>
      <xdr:col>16</xdr:col>
      <xdr:colOff>508000</xdr:colOff>
      <xdr:row>57</xdr:row>
      <xdr:rowOff>21168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33164" t="15948" r="32862" b="6470"/>
        <a:stretch/>
      </xdr:blipFill>
      <xdr:spPr>
        <a:xfrm>
          <a:off x="6487583" y="1109134"/>
          <a:ext cx="6212417" cy="8141759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57</xdr:row>
      <xdr:rowOff>84667</xdr:rowOff>
    </xdr:from>
    <xdr:to>
      <xdr:col>8</xdr:col>
      <xdr:colOff>285749</xdr:colOff>
      <xdr:row>107</xdr:row>
      <xdr:rowOff>63501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33222" t="15846" r="32978" b="7190"/>
        <a:stretch/>
      </xdr:blipFill>
      <xdr:spPr>
        <a:xfrm>
          <a:off x="201083" y="9314392"/>
          <a:ext cx="6180666" cy="8075084"/>
        </a:xfrm>
        <a:prstGeom prst="rect">
          <a:avLst/>
        </a:prstGeom>
      </xdr:spPr>
    </xdr:pic>
    <xdr:clientData/>
  </xdr:twoCellAnchor>
  <xdr:twoCellAnchor editAs="oneCell">
    <xdr:from>
      <xdr:col>8</xdr:col>
      <xdr:colOff>402167</xdr:colOff>
      <xdr:row>57</xdr:row>
      <xdr:rowOff>63501</xdr:rowOff>
    </xdr:from>
    <xdr:to>
      <xdr:col>16</xdr:col>
      <xdr:colOff>497417</xdr:colOff>
      <xdr:row>107</xdr:row>
      <xdr:rowOff>84667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33164" t="15949" r="32978" b="6675"/>
        <a:stretch/>
      </xdr:blipFill>
      <xdr:spPr>
        <a:xfrm>
          <a:off x="6498167" y="9293226"/>
          <a:ext cx="6191250" cy="811741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108</xdr:row>
      <xdr:rowOff>0</xdr:rowOff>
    </xdr:from>
    <xdr:to>
      <xdr:col>8</xdr:col>
      <xdr:colOff>296333</xdr:colOff>
      <xdr:row>157</xdr:row>
      <xdr:rowOff>148168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3164" t="15948" r="32919" b="6985"/>
        <a:stretch/>
      </xdr:blipFill>
      <xdr:spPr>
        <a:xfrm>
          <a:off x="190500" y="17487900"/>
          <a:ext cx="6201833" cy="8082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35721</xdr:colOff>
      <xdr:row>6</xdr:row>
      <xdr:rowOff>35720</xdr:rowOff>
    </xdr:from>
    <xdr:to>
      <xdr:col>10</xdr:col>
      <xdr:colOff>154784</xdr:colOff>
      <xdr:row>14</xdr:row>
      <xdr:rowOff>154782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AEE04926-26CC-4C00-9197-1012A52B2E5C}"/>
            </a:ext>
          </a:extLst>
        </xdr:cNvPr>
        <xdr:cNvSpPr/>
      </xdr:nvSpPr>
      <xdr:spPr bwMode="auto">
        <a:xfrm>
          <a:off x="9882190" y="1095376"/>
          <a:ext cx="476250" cy="2190750"/>
        </a:xfrm>
        <a:prstGeom prst="rightArrow">
          <a:avLst>
            <a:gd name="adj1" fmla="val 50000"/>
            <a:gd name="adj2" fmla="val 65000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topLeftCell="A25" zoomScale="118" zoomScaleNormal="118" zoomScalePageLayoutView="73" workbookViewId="0">
      <selection activeCell="S14" sqref="S14"/>
    </sheetView>
  </sheetViews>
  <sheetFormatPr baseColWidth="10" defaultColWidth="11.42578125" defaultRowHeight="12.75" x14ac:dyDescent="0.2"/>
  <cols>
    <col min="1" max="16384" width="11.42578125" style="83"/>
  </cols>
  <sheetData>
    <row r="1" spans="3:10" x14ac:dyDescent="0.2">
      <c r="J1" s="82"/>
    </row>
    <row r="2" spans="3:10" x14ac:dyDescent="0.2">
      <c r="J2" s="82" t="s">
        <v>84</v>
      </c>
    </row>
    <row r="3" spans="3:10" x14ac:dyDescent="0.2">
      <c r="J3" s="82"/>
    </row>
    <row r="5" spans="3:10" x14ac:dyDescent="0.2">
      <c r="C5" s="84"/>
      <c r="D5" s="84"/>
      <c r="E5" s="84"/>
      <c r="F5" s="84"/>
      <c r="G5" s="84"/>
      <c r="H5" s="84"/>
      <c r="I5" s="84"/>
      <c r="J5" s="84"/>
    </row>
    <row r="6" spans="3:10" x14ac:dyDescent="0.2">
      <c r="C6" s="84"/>
      <c r="D6" s="84"/>
      <c r="E6" s="84"/>
      <c r="F6" s="84"/>
      <c r="G6" s="84"/>
      <c r="H6" s="84"/>
      <c r="I6" s="84"/>
      <c r="J6" s="84"/>
    </row>
    <row r="7" spans="3:10" x14ac:dyDescent="0.2">
      <c r="C7" s="84"/>
      <c r="D7" s="84"/>
      <c r="E7" s="84"/>
      <c r="F7" s="84"/>
      <c r="G7" s="84"/>
      <c r="H7" s="84"/>
      <c r="I7" s="84"/>
      <c r="J7" s="84"/>
    </row>
    <row r="8" spans="3:10" x14ac:dyDescent="0.2">
      <c r="C8" s="84"/>
      <c r="D8" s="84"/>
      <c r="E8" s="84"/>
      <c r="F8" s="84"/>
      <c r="G8" s="84"/>
      <c r="H8" s="84"/>
      <c r="I8" s="84"/>
      <c r="J8" s="84"/>
    </row>
    <row r="9" spans="3:10" x14ac:dyDescent="0.2">
      <c r="C9" s="84"/>
      <c r="D9" s="84"/>
      <c r="E9" s="84"/>
      <c r="F9" s="84"/>
      <c r="G9" s="84"/>
      <c r="H9" s="84"/>
      <c r="I9" s="84"/>
      <c r="J9" s="84"/>
    </row>
    <row r="10" spans="3:10" x14ac:dyDescent="0.2">
      <c r="C10" s="84"/>
      <c r="D10" s="84"/>
      <c r="E10" s="84"/>
      <c r="F10" s="84"/>
      <c r="G10" s="84"/>
      <c r="H10" s="84"/>
      <c r="I10" s="84"/>
      <c r="J10" s="84"/>
    </row>
    <row r="11" spans="3:10" x14ac:dyDescent="0.2">
      <c r="C11" s="84"/>
      <c r="D11" s="84"/>
      <c r="E11" s="84"/>
      <c r="F11" s="84"/>
      <c r="G11" s="84"/>
      <c r="H11" s="84"/>
      <c r="I11" s="84"/>
      <c r="J11" s="84"/>
    </row>
    <row r="12" spans="3:10" x14ac:dyDescent="0.2">
      <c r="C12" s="84"/>
      <c r="D12" s="84"/>
      <c r="E12" s="84"/>
      <c r="F12" s="84"/>
      <c r="G12" s="84"/>
      <c r="H12" s="84"/>
      <c r="I12" s="84"/>
      <c r="J12" s="84"/>
    </row>
    <row r="13" spans="3:10" x14ac:dyDescent="0.2">
      <c r="C13" s="84"/>
      <c r="D13" s="84"/>
      <c r="E13" s="84"/>
      <c r="F13" s="84"/>
      <c r="G13" s="84"/>
      <c r="H13" s="84"/>
      <c r="I13" s="84"/>
      <c r="J13" s="84"/>
    </row>
    <row r="14" spans="3:10" x14ac:dyDescent="0.2">
      <c r="C14" s="84"/>
      <c r="D14" s="84"/>
      <c r="E14" s="84"/>
      <c r="F14" s="84"/>
      <c r="G14" s="84"/>
      <c r="H14" s="84"/>
      <c r="I14" s="84"/>
      <c r="J14" s="84"/>
    </row>
    <row r="15" spans="3:10" x14ac:dyDescent="0.2">
      <c r="C15" s="84"/>
      <c r="D15" s="84"/>
      <c r="E15" s="84"/>
      <c r="F15" s="84"/>
      <c r="G15" s="84"/>
      <c r="H15" s="84"/>
      <c r="I15" s="84"/>
      <c r="J15" s="84"/>
    </row>
    <row r="16" spans="3:10" x14ac:dyDescent="0.2">
      <c r="C16" s="84"/>
      <c r="D16" s="84"/>
      <c r="E16" s="84"/>
      <c r="F16" s="84"/>
      <c r="G16" s="84"/>
      <c r="H16" s="84"/>
      <c r="I16" s="84"/>
      <c r="J16" s="84"/>
    </row>
    <row r="17" spans="3:10" x14ac:dyDescent="0.2">
      <c r="C17" s="84"/>
      <c r="D17" s="84"/>
      <c r="E17" s="84"/>
      <c r="F17" s="84"/>
      <c r="G17" s="84"/>
      <c r="H17" s="84"/>
      <c r="I17" s="84"/>
      <c r="J17" s="84"/>
    </row>
    <row r="18" spans="3:10" x14ac:dyDescent="0.2">
      <c r="C18" s="84"/>
      <c r="D18" s="84"/>
      <c r="E18" s="84"/>
      <c r="F18" s="84"/>
      <c r="G18" s="84"/>
      <c r="H18" s="84"/>
      <c r="I18" s="84"/>
      <c r="J18" s="84"/>
    </row>
    <row r="19" spans="3:10" x14ac:dyDescent="0.2">
      <c r="C19" s="84"/>
      <c r="D19" s="84"/>
      <c r="E19" s="84"/>
      <c r="F19" s="84"/>
      <c r="G19" s="84"/>
      <c r="H19" s="84"/>
      <c r="I19" s="84"/>
      <c r="J19" s="84"/>
    </row>
    <row r="20" spans="3:10" x14ac:dyDescent="0.2">
      <c r="C20" s="84"/>
      <c r="D20" s="84"/>
      <c r="E20" s="84"/>
      <c r="F20" s="84"/>
      <c r="G20" s="84"/>
      <c r="H20" s="84"/>
      <c r="I20" s="84"/>
      <c r="J20" s="84"/>
    </row>
    <row r="21" spans="3:10" x14ac:dyDescent="0.2">
      <c r="C21" s="84"/>
      <c r="D21" s="84"/>
      <c r="E21" s="84"/>
      <c r="F21" s="84"/>
      <c r="G21" s="84"/>
      <c r="H21" s="84"/>
      <c r="I21" s="84"/>
      <c r="J21" s="84"/>
    </row>
    <row r="22" spans="3:10" x14ac:dyDescent="0.2">
      <c r="C22" s="84"/>
      <c r="D22" s="84"/>
      <c r="E22" s="84"/>
      <c r="F22" s="84"/>
      <c r="G22" s="84"/>
      <c r="H22" s="84"/>
      <c r="I22" s="84"/>
      <c r="J22" s="84"/>
    </row>
    <row r="23" spans="3:10" x14ac:dyDescent="0.2">
      <c r="C23" s="84"/>
      <c r="D23" s="84"/>
      <c r="E23" s="84"/>
      <c r="F23" s="84"/>
      <c r="G23" s="84"/>
      <c r="H23" s="84"/>
      <c r="I23" s="84"/>
      <c r="J23" s="84"/>
    </row>
    <row r="24" spans="3:10" x14ac:dyDescent="0.2">
      <c r="C24" s="84"/>
      <c r="D24" s="84"/>
      <c r="E24" s="84"/>
      <c r="F24" s="84"/>
      <c r="G24" s="84"/>
      <c r="H24" s="84"/>
      <c r="I24" s="84"/>
      <c r="J24" s="84"/>
    </row>
    <row r="25" spans="3:10" x14ac:dyDescent="0.2">
      <c r="C25" s="84"/>
      <c r="D25" s="84"/>
      <c r="E25" s="84"/>
      <c r="F25" s="84"/>
      <c r="G25" s="84"/>
      <c r="H25" s="84"/>
      <c r="I25" s="84"/>
      <c r="J25" s="84"/>
    </row>
    <row r="26" spans="3:10" x14ac:dyDescent="0.2">
      <c r="C26" s="84"/>
      <c r="D26" s="84"/>
      <c r="E26" s="84"/>
      <c r="F26" s="84"/>
      <c r="G26" s="84"/>
      <c r="H26" s="84"/>
      <c r="I26" s="84"/>
      <c r="J26" s="84"/>
    </row>
    <row r="27" spans="3:10" x14ac:dyDescent="0.2">
      <c r="C27" s="84"/>
      <c r="D27" s="84"/>
      <c r="E27" s="84"/>
      <c r="F27" s="84"/>
      <c r="G27" s="84"/>
      <c r="H27" s="84"/>
      <c r="I27" s="84"/>
      <c r="J27" s="84"/>
    </row>
    <row r="28" spans="3:10" x14ac:dyDescent="0.2">
      <c r="C28" s="84"/>
      <c r="D28" s="84"/>
      <c r="E28" s="84"/>
      <c r="F28" s="84"/>
      <c r="G28" s="84"/>
      <c r="H28" s="84"/>
      <c r="I28" s="84"/>
      <c r="J28" s="84"/>
    </row>
    <row r="29" spans="3:10" x14ac:dyDescent="0.2">
      <c r="C29" s="84"/>
      <c r="D29" s="84"/>
      <c r="E29" s="84"/>
      <c r="F29" s="84"/>
      <c r="G29" s="84"/>
      <c r="H29" s="84"/>
      <c r="I29" s="84"/>
      <c r="J29" s="84"/>
    </row>
    <row r="30" spans="3:10" x14ac:dyDescent="0.2">
      <c r="C30" s="84"/>
      <c r="D30" s="84"/>
      <c r="E30" s="84"/>
      <c r="F30" s="84"/>
      <c r="G30" s="84"/>
      <c r="H30" s="84"/>
      <c r="I30" s="84"/>
      <c r="J30" s="84"/>
    </row>
    <row r="31" spans="3:10" x14ac:dyDescent="0.2">
      <c r="C31" s="84"/>
      <c r="D31" s="84"/>
      <c r="E31" s="84"/>
      <c r="F31" s="84"/>
      <c r="G31" s="84"/>
      <c r="H31" s="84"/>
      <c r="I31" s="84"/>
      <c r="J31" s="84"/>
    </row>
    <row r="32" spans="3:10" x14ac:dyDescent="0.2">
      <c r="C32" s="84"/>
      <c r="D32" s="84"/>
      <c r="E32" s="84"/>
      <c r="F32" s="84"/>
      <c r="G32" s="84"/>
      <c r="H32" s="84"/>
      <c r="I32" s="84"/>
      <c r="J32" s="84"/>
    </row>
    <row r="33" spans="3:10" x14ac:dyDescent="0.2">
      <c r="C33" s="84"/>
      <c r="D33" s="84"/>
      <c r="E33" s="84"/>
      <c r="F33" s="84"/>
      <c r="G33" s="84"/>
      <c r="H33" s="84"/>
      <c r="I33" s="84"/>
      <c r="J33" s="84"/>
    </row>
    <row r="34" spans="3:10" x14ac:dyDescent="0.2">
      <c r="C34" s="84"/>
      <c r="D34" s="84"/>
      <c r="E34" s="84"/>
      <c r="F34" s="84"/>
      <c r="G34" s="84"/>
      <c r="H34" s="84"/>
      <c r="I34" s="84"/>
      <c r="J34" s="84"/>
    </row>
    <row r="35" spans="3:10" x14ac:dyDescent="0.2">
      <c r="C35" s="84"/>
      <c r="D35" s="84"/>
      <c r="E35" s="84"/>
      <c r="F35" s="84"/>
      <c r="G35" s="84"/>
      <c r="H35" s="84"/>
      <c r="I35" s="84"/>
      <c r="J35" s="84"/>
    </row>
    <row r="36" spans="3:10" x14ac:dyDescent="0.2">
      <c r="C36" s="84"/>
      <c r="D36" s="84"/>
      <c r="E36" s="84"/>
      <c r="F36" s="84"/>
      <c r="G36" s="84"/>
      <c r="H36" s="84"/>
      <c r="I36" s="84"/>
      <c r="J36" s="84"/>
    </row>
    <row r="37" spans="3:10" x14ac:dyDescent="0.2">
      <c r="C37" s="84"/>
      <c r="D37" s="84"/>
      <c r="E37" s="84"/>
      <c r="F37" s="84"/>
      <c r="G37" s="84"/>
      <c r="H37" s="84"/>
      <c r="I37" s="84"/>
      <c r="J37" s="84"/>
    </row>
    <row r="38" spans="3:10" x14ac:dyDescent="0.2">
      <c r="C38" s="84"/>
      <c r="D38" s="84"/>
      <c r="E38" s="84"/>
      <c r="F38" s="84"/>
      <c r="G38" s="84"/>
      <c r="H38" s="84"/>
      <c r="I38" s="84"/>
      <c r="J38" s="84"/>
    </row>
    <row r="39" spans="3:10" x14ac:dyDescent="0.2">
      <c r="C39" s="84"/>
      <c r="D39" s="84"/>
      <c r="E39" s="84"/>
      <c r="F39" s="84"/>
      <c r="G39" s="84"/>
      <c r="H39" s="84"/>
      <c r="I39" s="84"/>
      <c r="J39" s="84"/>
    </row>
    <row r="40" spans="3:10" x14ac:dyDescent="0.2">
      <c r="C40" s="84"/>
      <c r="D40" s="84"/>
      <c r="E40" s="84"/>
      <c r="F40" s="84"/>
      <c r="G40" s="84"/>
      <c r="H40" s="84"/>
      <c r="I40" s="84"/>
      <c r="J40" s="84"/>
    </row>
    <row r="41" spans="3:10" x14ac:dyDescent="0.2">
      <c r="C41" s="84"/>
      <c r="D41" s="84"/>
      <c r="E41" s="84"/>
      <c r="F41" s="84"/>
      <c r="G41" s="84"/>
      <c r="H41" s="84"/>
      <c r="I41" s="84"/>
      <c r="J41" s="84"/>
    </row>
    <row r="42" spans="3:10" x14ac:dyDescent="0.2">
      <c r="C42" s="84"/>
      <c r="D42" s="84"/>
      <c r="E42" s="84"/>
      <c r="F42" s="84"/>
      <c r="G42" s="84"/>
      <c r="H42" s="84"/>
      <c r="I42" s="84"/>
      <c r="J42" s="84"/>
    </row>
    <row r="43" spans="3:10" x14ac:dyDescent="0.2">
      <c r="C43" s="84"/>
      <c r="D43" s="84"/>
      <c r="E43" s="84"/>
      <c r="F43" s="84"/>
      <c r="G43" s="84"/>
      <c r="H43" s="84"/>
      <c r="I43" s="84"/>
      <c r="J43" s="84"/>
    </row>
    <row r="44" spans="3:10" x14ac:dyDescent="0.2">
      <c r="C44" s="84"/>
      <c r="D44" s="84"/>
      <c r="E44" s="84"/>
      <c r="F44" s="84"/>
      <c r="G44" s="84"/>
      <c r="H44" s="84"/>
      <c r="I44" s="84"/>
      <c r="J44" s="84"/>
    </row>
    <row r="45" spans="3:10" x14ac:dyDescent="0.2">
      <c r="C45" s="84"/>
      <c r="D45" s="84"/>
      <c r="E45" s="84"/>
      <c r="F45" s="84"/>
      <c r="G45" s="84"/>
      <c r="H45" s="84"/>
      <c r="I45" s="84"/>
      <c r="J45" s="84"/>
    </row>
    <row r="46" spans="3:10" x14ac:dyDescent="0.2">
      <c r="C46" s="84"/>
      <c r="D46" s="84"/>
      <c r="E46" s="84"/>
      <c r="F46" s="84"/>
      <c r="G46" s="84"/>
      <c r="H46" s="84"/>
      <c r="I46" s="84"/>
      <c r="J46" s="84"/>
    </row>
    <row r="47" spans="3:10" x14ac:dyDescent="0.2">
      <c r="C47" s="84"/>
      <c r="D47" s="84"/>
      <c r="E47" s="84"/>
      <c r="F47" s="84"/>
      <c r="G47" s="84"/>
      <c r="H47" s="84"/>
      <c r="I47" s="84"/>
      <c r="J47" s="84"/>
    </row>
    <row r="48" spans="3:10" x14ac:dyDescent="0.2">
      <c r="C48" s="84"/>
      <c r="D48" s="84"/>
      <c r="E48" s="84"/>
      <c r="F48" s="84"/>
      <c r="G48" s="84"/>
      <c r="H48" s="84"/>
      <c r="I48" s="84"/>
      <c r="J48" s="84"/>
    </row>
    <row r="49" spans="3:10" x14ac:dyDescent="0.2">
      <c r="C49" s="84"/>
      <c r="D49" s="84"/>
      <c r="E49" s="84"/>
      <c r="F49" s="84"/>
      <c r="G49" s="84"/>
      <c r="H49" s="84"/>
      <c r="I49" s="84"/>
      <c r="J49" s="84"/>
    </row>
    <row r="50" spans="3:10" x14ac:dyDescent="0.2">
      <c r="C50" s="84"/>
      <c r="D50" s="84"/>
      <c r="E50" s="84"/>
      <c r="F50" s="84"/>
      <c r="G50" s="84"/>
      <c r="H50" s="84"/>
      <c r="I50" s="84"/>
      <c r="J50" s="84"/>
    </row>
    <row r="51" spans="3:10" x14ac:dyDescent="0.2">
      <c r="C51" s="84"/>
      <c r="D51" s="84"/>
      <c r="E51" s="84"/>
      <c r="F51" s="84"/>
      <c r="G51" s="84"/>
      <c r="H51" s="84"/>
      <c r="I51" s="84"/>
      <c r="J51" s="84"/>
    </row>
    <row r="52" spans="3:10" x14ac:dyDescent="0.2">
      <c r="C52" s="84"/>
      <c r="D52" s="84"/>
      <c r="E52" s="84"/>
      <c r="F52" s="84"/>
      <c r="G52" s="84"/>
      <c r="H52" s="84"/>
      <c r="I52" s="84"/>
      <c r="J52" s="84"/>
    </row>
  </sheetData>
  <sheetProtection password="9C6E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Q109"/>
  <sheetViews>
    <sheetView showGridLines="0" topLeftCell="D80" zoomScale="80" zoomScaleNormal="80" workbookViewId="0">
      <selection activeCell="E109" sqref="E109"/>
    </sheetView>
  </sheetViews>
  <sheetFormatPr baseColWidth="10" defaultColWidth="11.42578125" defaultRowHeight="12.75" x14ac:dyDescent="0.2"/>
  <cols>
    <col min="1" max="1" width="31.7109375" style="94" customWidth="1"/>
    <col min="2" max="2" width="15.140625" style="94" bestFit="1" customWidth="1"/>
    <col min="3" max="4" width="14.7109375" style="94" customWidth="1"/>
    <col min="5" max="5" width="14.5703125" style="94" bestFit="1" customWidth="1"/>
    <col min="6" max="6" width="19" style="94" customWidth="1"/>
    <col min="7" max="7" width="17.85546875" style="94" bestFit="1" customWidth="1"/>
    <col min="8" max="8" width="14.140625" style="94" customWidth="1"/>
    <col min="9" max="9" width="18.28515625" style="94" customWidth="1"/>
    <col min="10" max="10" width="5.28515625" style="94" customWidth="1"/>
    <col min="11" max="11" width="13.85546875" style="94" bestFit="1" customWidth="1"/>
    <col min="12" max="12" width="12.42578125" style="94" bestFit="1" customWidth="1"/>
    <col min="13" max="13" width="13" style="94" bestFit="1" customWidth="1"/>
    <col min="14" max="14" width="9.28515625" style="94" bestFit="1" customWidth="1"/>
    <col min="15" max="15" width="16.7109375" style="94" customWidth="1"/>
    <col min="16" max="16" width="19.140625" style="94" customWidth="1"/>
    <col min="17" max="16384" width="11.42578125" style="94"/>
  </cols>
  <sheetData>
    <row r="1" spans="1:17" x14ac:dyDescent="0.2">
      <c r="A1" s="321" t="s">
        <v>126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7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7" s="504" customFormat="1" ht="15.75" x14ac:dyDescent="0.2">
      <c r="A3" s="862" t="s">
        <v>266</v>
      </c>
      <c r="B3" s="862"/>
      <c r="C3" s="862"/>
      <c r="D3" s="862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</row>
    <row r="4" spans="1:17" s="504" customFormat="1" ht="15.75" x14ac:dyDescent="0.25">
      <c r="A4" s="504" t="s">
        <v>333</v>
      </c>
    </row>
    <row r="7" spans="1:17" s="527" customFormat="1" ht="37.5" customHeight="1" x14ac:dyDescent="0.25">
      <c r="A7" s="526"/>
      <c r="C7" s="865" t="s">
        <v>279</v>
      </c>
      <c r="D7" s="866"/>
      <c r="E7" s="866"/>
      <c r="F7" s="867"/>
      <c r="G7" s="540">
        <v>2019</v>
      </c>
      <c r="I7" s="542" t="s">
        <v>325</v>
      </c>
      <c r="J7" s="94"/>
      <c r="L7" s="868" t="s">
        <v>278</v>
      </c>
      <c r="M7" s="869"/>
      <c r="N7" s="869"/>
      <c r="O7" s="870"/>
      <c r="P7" s="540">
        <v>2020</v>
      </c>
    </row>
    <row r="8" spans="1:17" s="527" customFormat="1" ht="45" x14ac:dyDescent="0.25">
      <c r="A8" s="871" t="s">
        <v>267</v>
      </c>
      <c r="B8" s="872"/>
      <c r="C8" s="529" t="s">
        <v>273</v>
      </c>
      <c r="D8" s="530" t="s">
        <v>276</v>
      </c>
      <c r="E8" s="530" t="s">
        <v>274</v>
      </c>
      <c r="F8" s="530" t="s">
        <v>275</v>
      </c>
      <c r="G8" s="530" t="s">
        <v>277</v>
      </c>
      <c r="H8" s="528"/>
      <c r="I8" s="545" t="s">
        <v>280</v>
      </c>
      <c r="J8" s="94"/>
      <c r="K8" s="528"/>
      <c r="L8" s="531" t="s">
        <v>273</v>
      </c>
      <c r="M8" s="530" t="s">
        <v>276</v>
      </c>
      <c r="N8" s="530" t="s">
        <v>274</v>
      </c>
      <c r="O8" s="530" t="s">
        <v>275</v>
      </c>
      <c r="P8" s="529" t="s">
        <v>277</v>
      </c>
      <c r="Q8" s="532"/>
    </row>
    <row r="9" spans="1:17" s="527" customFormat="1" ht="12.75" customHeight="1" x14ac:dyDescent="0.2">
      <c r="A9" s="863" t="s">
        <v>268</v>
      </c>
      <c r="B9" s="864"/>
      <c r="C9" s="533">
        <v>353158</v>
      </c>
      <c r="D9" s="534">
        <v>24090</v>
      </c>
      <c r="E9" s="534">
        <v>12894</v>
      </c>
      <c r="F9" s="534">
        <v>397729</v>
      </c>
      <c r="G9" s="534">
        <v>4939606.1946</v>
      </c>
      <c r="I9" s="873" t="s">
        <v>324</v>
      </c>
      <c r="J9" s="94"/>
      <c r="L9" s="535">
        <v>376450</v>
      </c>
      <c r="M9" s="534">
        <v>24090</v>
      </c>
      <c r="N9" s="534">
        <v>12894</v>
      </c>
      <c r="O9" s="534">
        <f t="shared" ref="O9:O14" si="0">L9+M9+N9</f>
        <v>413434</v>
      </c>
      <c r="P9" s="533">
        <v>5232694.0889999997</v>
      </c>
      <c r="Q9" s="536"/>
    </row>
    <row r="10" spans="1:17" s="527" customFormat="1" ht="12.75" customHeight="1" x14ac:dyDescent="0.2">
      <c r="A10" s="863" t="s">
        <v>269</v>
      </c>
      <c r="B10" s="864"/>
      <c r="C10" s="533">
        <v>353158</v>
      </c>
      <c r="D10" s="534">
        <v>24090</v>
      </c>
      <c r="E10" s="534">
        <v>12894</v>
      </c>
      <c r="F10" s="534">
        <v>390142</v>
      </c>
      <c r="G10" s="534">
        <v>4794878.4000000013</v>
      </c>
      <c r="I10" s="874"/>
      <c r="J10" s="94"/>
      <c r="L10" s="535">
        <v>376450</v>
      </c>
      <c r="M10" s="534">
        <v>24090</v>
      </c>
      <c r="N10" s="534">
        <v>12894</v>
      </c>
      <c r="O10" s="534">
        <f t="shared" si="0"/>
        <v>413434</v>
      </c>
      <c r="P10" s="533">
        <v>5081370</v>
      </c>
      <c r="Q10" s="536"/>
    </row>
    <row r="11" spans="1:17" s="527" customFormat="1" ht="12.75" customHeight="1" x14ac:dyDescent="0.2">
      <c r="A11" s="863" t="s">
        <v>270</v>
      </c>
      <c r="B11" s="864"/>
      <c r="C11" s="533">
        <v>353158</v>
      </c>
      <c r="D11" s="534">
        <v>24090</v>
      </c>
      <c r="E11" s="534">
        <v>12894</v>
      </c>
      <c r="F11" s="534">
        <v>390142</v>
      </c>
      <c r="G11" s="534">
        <v>4901715.0335999997</v>
      </c>
      <c r="I11" s="874"/>
      <c r="J11" s="94"/>
      <c r="L11" s="535">
        <v>376450</v>
      </c>
      <c r="M11" s="534">
        <v>24090</v>
      </c>
      <c r="N11" s="534">
        <v>12894</v>
      </c>
      <c r="O11" s="534">
        <f t="shared" si="0"/>
        <v>413434</v>
      </c>
      <c r="P11" s="533">
        <v>5194802.9280000003</v>
      </c>
      <c r="Q11" s="536"/>
    </row>
    <row r="12" spans="1:17" s="527" customFormat="1" ht="12.75" customHeight="1" x14ac:dyDescent="0.2">
      <c r="A12" s="863" t="s">
        <v>271</v>
      </c>
      <c r="B12" s="864"/>
      <c r="C12" s="533">
        <v>353158</v>
      </c>
      <c r="D12" s="534">
        <v>0</v>
      </c>
      <c r="E12" s="534">
        <v>12894</v>
      </c>
      <c r="F12" s="534">
        <v>366052</v>
      </c>
      <c r="G12" s="534">
        <v>4598585.7456</v>
      </c>
      <c r="I12" s="874"/>
      <c r="J12" s="94"/>
      <c r="L12" s="535">
        <v>376450</v>
      </c>
      <c r="M12" s="534">
        <v>0</v>
      </c>
      <c r="N12" s="534">
        <v>12894</v>
      </c>
      <c r="O12" s="534">
        <f t="shared" si="0"/>
        <v>389344</v>
      </c>
      <c r="P12" s="533">
        <v>4891673.6399999987</v>
      </c>
      <c r="Q12" s="536"/>
    </row>
    <row r="13" spans="1:17" s="527" customFormat="1" ht="14.25" x14ac:dyDescent="0.2">
      <c r="A13" s="863" t="s">
        <v>272</v>
      </c>
      <c r="B13" s="864"/>
      <c r="C13" s="533">
        <v>353158</v>
      </c>
      <c r="D13" s="534">
        <v>0</v>
      </c>
      <c r="E13" s="534">
        <v>12894</v>
      </c>
      <c r="F13" s="534">
        <v>366052</v>
      </c>
      <c r="G13" s="534">
        <v>4598585.7456</v>
      </c>
      <c r="I13" s="874"/>
      <c r="J13" s="94"/>
      <c r="L13" s="535">
        <v>376450</v>
      </c>
      <c r="M13" s="534">
        <v>0</v>
      </c>
      <c r="N13" s="534">
        <v>12894</v>
      </c>
      <c r="O13" s="534">
        <f t="shared" si="0"/>
        <v>389344</v>
      </c>
      <c r="P13" s="533">
        <v>4891673.6399999987</v>
      </c>
      <c r="Q13" s="536"/>
    </row>
    <row r="14" spans="1:17" s="527" customFormat="1" ht="14.25" x14ac:dyDescent="0.2">
      <c r="A14" s="863" t="s">
        <v>319</v>
      </c>
      <c r="B14" s="864"/>
      <c r="C14" s="533">
        <v>353158</v>
      </c>
      <c r="D14" s="534">
        <v>0</v>
      </c>
      <c r="E14" s="534">
        <v>12894</v>
      </c>
      <c r="F14" s="534">
        <v>366052</v>
      </c>
      <c r="G14" s="534">
        <v>4598585.7456</v>
      </c>
      <c r="I14" s="875"/>
      <c r="L14" s="535">
        <v>376450</v>
      </c>
      <c r="M14" s="534">
        <v>0</v>
      </c>
      <c r="N14" s="534">
        <v>12894</v>
      </c>
      <c r="O14" s="534">
        <f t="shared" si="0"/>
        <v>389344</v>
      </c>
      <c r="P14" s="534">
        <v>4891673.6399999987</v>
      </c>
      <c r="Q14" s="536"/>
    </row>
    <row r="15" spans="1:17" ht="13.5" thickBot="1" x14ac:dyDescent="0.25">
      <c r="A15" s="523"/>
      <c r="B15" s="523"/>
      <c r="C15" s="524"/>
      <c r="D15" s="525"/>
      <c r="E15" s="525"/>
      <c r="F15" s="525"/>
      <c r="G15" s="525"/>
    </row>
    <row r="16" spans="1:17" s="517" customFormat="1" ht="46.5" customHeight="1" thickBot="1" x14ac:dyDescent="0.25">
      <c r="I16" s="538" t="s">
        <v>321</v>
      </c>
      <c r="J16" s="543"/>
      <c r="Q16" s="510"/>
    </row>
    <row r="17" spans="1:17" s="518" customFormat="1" ht="27" customHeight="1" thickBot="1" x14ac:dyDescent="0.25">
      <c r="A17" s="842" t="s">
        <v>281</v>
      </c>
      <c r="B17" s="843"/>
      <c r="C17" s="843"/>
      <c r="D17" s="843"/>
      <c r="E17" s="843"/>
      <c r="F17" s="844"/>
      <c r="G17" s="537">
        <f>SUM(G9:G14)</f>
        <v>28431956.865000002</v>
      </c>
      <c r="H17" s="517"/>
      <c r="I17" s="541">
        <f>P17-G17</f>
        <v>1751931.0719999969</v>
      </c>
      <c r="J17" s="544"/>
      <c r="K17" s="517"/>
      <c r="L17" s="842" t="s">
        <v>282</v>
      </c>
      <c r="M17" s="843"/>
      <c r="N17" s="843"/>
      <c r="O17" s="844"/>
      <c r="P17" s="537">
        <f>SUM(P9:P14)</f>
        <v>30183887.936999999</v>
      </c>
      <c r="Q17" s="521"/>
    </row>
    <row r="18" spans="1:17" s="518" customFormat="1" ht="27" customHeight="1" thickBot="1" x14ac:dyDescent="0.25">
      <c r="A18" s="519"/>
      <c r="B18" s="519"/>
      <c r="C18" s="519"/>
      <c r="D18" s="519"/>
      <c r="E18" s="519"/>
      <c r="F18" s="519"/>
      <c r="G18" s="520"/>
      <c r="H18" s="517"/>
      <c r="I18" s="521"/>
      <c r="J18" s="521"/>
      <c r="K18" s="517"/>
      <c r="L18" s="522"/>
      <c r="M18" s="522"/>
      <c r="N18" s="522"/>
      <c r="O18" s="522"/>
      <c r="P18" s="521"/>
      <c r="Q18" s="521"/>
    </row>
    <row r="19" spans="1:17" s="518" customFormat="1" ht="45.75" thickBot="1" x14ac:dyDescent="0.25">
      <c r="A19" s="519"/>
      <c r="B19" s="519"/>
      <c r="C19" s="519"/>
      <c r="D19" s="519"/>
      <c r="E19" s="519"/>
      <c r="F19" s="519"/>
      <c r="G19" s="520"/>
      <c r="H19" s="517"/>
      <c r="I19" s="538" t="s">
        <v>323</v>
      </c>
      <c r="J19" s="543"/>
      <c r="K19" s="517"/>
      <c r="L19" s="522"/>
      <c r="M19" s="522"/>
      <c r="N19" s="522"/>
      <c r="O19" s="522"/>
      <c r="P19" s="521"/>
      <c r="Q19" s="521"/>
    </row>
    <row r="20" spans="1:17" s="518" customFormat="1" ht="27" customHeight="1" thickBot="1" x14ac:dyDescent="0.25">
      <c r="A20" s="856" t="s">
        <v>320</v>
      </c>
      <c r="B20" s="857"/>
      <c r="C20" s="857"/>
      <c r="D20" s="857"/>
      <c r="E20" s="857"/>
      <c r="F20" s="858"/>
      <c r="G20" s="537">
        <v>298952</v>
      </c>
      <c r="H20" s="517"/>
      <c r="I20" s="541">
        <f>P20-G20</f>
        <v>28623</v>
      </c>
      <c r="J20" s="544"/>
      <c r="K20" s="517"/>
      <c r="L20" s="842" t="s">
        <v>322</v>
      </c>
      <c r="M20" s="843"/>
      <c r="N20" s="843"/>
      <c r="O20" s="844"/>
      <c r="P20" s="537">
        <v>327575</v>
      </c>
      <c r="Q20" s="521"/>
    </row>
    <row r="21" spans="1:17" ht="15.75" x14ac:dyDescent="0.25">
      <c r="A21" s="513"/>
      <c r="B21" s="513"/>
      <c r="C21" s="513"/>
      <c r="D21" s="513"/>
      <c r="E21" s="513"/>
      <c r="F21" s="513"/>
      <c r="G21" s="514"/>
      <c r="H21" s="504"/>
      <c r="I21" s="515"/>
      <c r="J21" s="504"/>
      <c r="K21" s="516"/>
      <c r="L21" s="516"/>
      <c r="M21" s="516"/>
      <c r="N21" s="516"/>
      <c r="O21" s="515"/>
      <c r="P21" s="515"/>
    </row>
    <row r="23" spans="1:17" ht="18.75" customHeight="1" x14ac:dyDescent="0.25">
      <c r="A23" s="555" t="s">
        <v>327</v>
      </c>
    </row>
    <row r="24" spans="1:17" ht="11.25" customHeight="1" x14ac:dyDescent="0.25">
      <c r="A24" s="555"/>
    </row>
    <row r="25" spans="1:17" ht="30" customHeight="1" x14ac:dyDescent="0.2">
      <c r="A25" s="859" t="s">
        <v>328</v>
      </c>
      <c r="B25" s="859"/>
      <c r="C25" s="859"/>
      <c r="D25" s="859"/>
      <c r="E25" s="859"/>
      <c r="F25" s="859"/>
      <c r="G25" s="859"/>
      <c r="H25" s="859"/>
      <c r="I25" s="859"/>
      <c r="J25" s="859"/>
      <c r="K25" s="859"/>
      <c r="L25" s="859"/>
      <c r="M25" s="859"/>
      <c r="N25" s="859"/>
      <c r="O25" s="859"/>
      <c r="P25" s="859"/>
    </row>
    <row r="26" spans="1:17" ht="15" x14ac:dyDescent="0.2">
      <c r="A26" s="504"/>
    </row>
    <row r="27" spans="1:17" ht="15.75" x14ac:dyDescent="0.25">
      <c r="A27" s="504" t="s">
        <v>329</v>
      </c>
    </row>
    <row r="29" spans="1:17" ht="15.75" x14ac:dyDescent="0.25">
      <c r="A29" s="504" t="s">
        <v>330</v>
      </c>
      <c r="G29" s="501"/>
    </row>
    <row r="30" spans="1:17" ht="15" x14ac:dyDescent="0.2">
      <c r="A30" s="504"/>
      <c r="G30" s="501"/>
    </row>
    <row r="31" spans="1:17" ht="15.75" x14ac:dyDescent="0.25">
      <c r="A31" s="504" t="s">
        <v>331</v>
      </c>
      <c r="G31" s="501"/>
    </row>
    <row r="32" spans="1:17" ht="15" x14ac:dyDescent="0.2">
      <c r="A32" s="504"/>
      <c r="G32" s="501"/>
    </row>
    <row r="33" spans="1:16" ht="18" x14ac:dyDescent="0.25">
      <c r="A33" s="555" t="s">
        <v>326</v>
      </c>
      <c r="G33" s="501"/>
    </row>
    <row r="34" spans="1:16" ht="10.5" customHeight="1" x14ac:dyDescent="0.25">
      <c r="A34" s="555"/>
      <c r="G34" s="501"/>
    </row>
    <row r="35" spans="1:16" ht="15.75" x14ac:dyDescent="0.25">
      <c r="A35" s="504" t="s">
        <v>334</v>
      </c>
    </row>
    <row r="36" spans="1:16" x14ac:dyDescent="0.2">
      <c r="A36" s="502"/>
      <c r="C36" s="511"/>
      <c r="D36" s="511"/>
      <c r="E36" s="511"/>
      <c r="F36" s="511"/>
      <c r="G36" s="511"/>
    </row>
    <row r="37" spans="1:16" ht="15.75" x14ac:dyDescent="0.25">
      <c r="A37" s="504" t="s">
        <v>361</v>
      </c>
    </row>
    <row r="38" spans="1:16" ht="15" x14ac:dyDescent="0.2">
      <c r="A38" s="504"/>
    </row>
    <row r="39" spans="1:16" s="518" customFormat="1" ht="37.5" customHeight="1" x14ac:dyDescent="0.2">
      <c r="A39" s="557" t="s">
        <v>332</v>
      </c>
      <c r="B39" s="503" t="s">
        <v>338</v>
      </c>
      <c r="C39" s="860" t="s">
        <v>339</v>
      </c>
      <c r="D39" s="860"/>
      <c r="E39" s="519"/>
      <c r="F39" s="519"/>
      <c r="G39" s="520"/>
      <c r="H39" s="517"/>
      <c r="I39" s="521"/>
      <c r="J39" s="517"/>
      <c r="K39" s="522"/>
      <c r="L39" s="522"/>
      <c r="M39" s="522"/>
      <c r="N39" s="522"/>
      <c r="O39" s="521"/>
      <c r="P39" s="521"/>
    </row>
    <row r="40" spans="1:16" ht="15.75" x14ac:dyDescent="0.25">
      <c r="A40" s="558" t="s">
        <v>337</v>
      </c>
      <c r="B40" s="559">
        <v>21</v>
      </c>
      <c r="C40" s="861">
        <v>2</v>
      </c>
      <c r="D40" s="861"/>
      <c r="E40" s="513"/>
      <c r="F40" s="513"/>
      <c r="G40" s="514"/>
      <c r="H40" s="504"/>
      <c r="I40" s="515"/>
      <c r="J40" s="504"/>
      <c r="K40" s="516"/>
      <c r="L40" s="516"/>
      <c r="M40" s="516"/>
      <c r="N40" s="516"/>
      <c r="O40" s="515"/>
      <c r="P40" s="515"/>
    </row>
    <row r="41" spans="1:16" ht="15.75" x14ac:dyDescent="0.25">
      <c r="A41" s="560" t="s">
        <v>357</v>
      </c>
      <c r="B41" s="559">
        <v>20</v>
      </c>
      <c r="C41" s="861">
        <v>2</v>
      </c>
      <c r="D41" s="861"/>
      <c r="E41" s="513"/>
      <c r="F41" s="513"/>
      <c r="G41" s="514"/>
      <c r="H41" s="504"/>
      <c r="I41" s="515"/>
      <c r="J41" s="504"/>
      <c r="K41" s="516"/>
      <c r="L41" s="516"/>
      <c r="M41" s="516"/>
      <c r="N41" s="516"/>
      <c r="O41" s="515"/>
      <c r="P41" s="515"/>
    </row>
    <row r="42" spans="1:16" ht="15.75" x14ac:dyDescent="0.25">
      <c r="A42" s="558" t="s">
        <v>356</v>
      </c>
      <c r="B42" s="559">
        <v>21</v>
      </c>
      <c r="C42" s="861">
        <v>1</v>
      </c>
      <c r="D42" s="861"/>
      <c r="E42" s="513"/>
      <c r="F42" s="513"/>
      <c r="G42" s="514"/>
      <c r="H42" s="504"/>
      <c r="I42" s="515"/>
      <c r="J42" s="504"/>
      <c r="K42" s="516"/>
      <c r="L42" s="516"/>
      <c r="M42" s="516"/>
      <c r="N42" s="516"/>
      <c r="O42" s="515"/>
      <c r="P42" s="515"/>
    </row>
    <row r="43" spans="1:16" ht="15.75" x14ac:dyDescent="0.25">
      <c r="A43" s="558" t="s">
        <v>358</v>
      </c>
      <c r="B43" s="561">
        <v>13</v>
      </c>
      <c r="C43" s="840">
        <v>1</v>
      </c>
      <c r="D43" s="841"/>
      <c r="E43" s="513"/>
      <c r="F43" s="513"/>
      <c r="G43" s="514"/>
      <c r="H43" s="504"/>
      <c r="I43" s="515"/>
      <c r="J43" s="504"/>
      <c r="K43" s="516"/>
      <c r="L43" s="516"/>
      <c r="M43" s="516"/>
      <c r="N43" s="516"/>
      <c r="O43" s="515"/>
      <c r="P43" s="515"/>
    </row>
    <row r="44" spans="1:16" ht="15.75" x14ac:dyDescent="0.25">
      <c r="A44" s="513"/>
      <c r="B44" s="513"/>
      <c r="C44" s="513"/>
      <c r="D44" s="513"/>
      <c r="E44" s="513"/>
      <c r="F44" s="513"/>
      <c r="G44" s="514"/>
      <c r="H44" s="504"/>
      <c r="I44" s="515"/>
      <c r="J44" s="504"/>
      <c r="K44" s="516"/>
      <c r="L44" s="516"/>
      <c r="M44" s="516"/>
      <c r="N44" s="516"/>
      <c r="O44" s="515"/>
      <c r="P44" s="515"/>
    </row>
    <row r="45" spans="1:16" ht="15" x14ac:dyDescent="0.2">
      <c r="A45" s="504" t="s">
        <v>355</v>
      </c>
    </row>
    <row r="46" spans="1:16" ht="15" x14ac:dyDescent="0.2">
      <c r="A46" s="504"/>
    </row>
    <row r="47" spans="1:16" ht="15.75" x14ac:dyDescent="0.25">
      <c r="A47" s="556" t="s">
        <v>341</v>
      </c>
    </row>
    <row r="48" spans="1:16" ht="15" x14ac:dyDescent="0.2">
      <c r="A48" s="504"/>
    </row>
    <row r="49" spans="1:16" ht="28.5" customHeight="1" x14ac:dyDescent="0.2">
      <c r="A49" s="504"/>
      <c r="C49" s="567" t="s">
        <v>346</v>
      </c>
      <c r="D49" s="816" t="s">
        <v>350</v>
      </c>
      <c r="E49" s="816"/>
      <c r="F49" s="567" t="s">
        <v>351</v>
      </c>
    </row>
    <row r="50" spans="1:16" ht="15.75" x14ac:dyDescent="0.25">
      <c r="A50" s="814" t="s">
        <v>342</v>
      </c>
      <c r="B50" s="815"/>
      <c r="C50" s="562" t="s">
        <v>347</v>
      </c>
      <c r="D50" s="817">
        <v>19000000</v>
      </c>
      <c r="E50" s="818"/>
      <c r="F50" s="565">
        <f>D50*3</f>
        <v>57000000</v>
      </c>
    </row>
    <row r="51" spans="1:16" ht="15.75" x14ac:dyDescent="0.25">
      <c r="A51" s="814" t="s">
        <v>343</v>
      </c>
      <c r="B51" s="815"/>
      <c r="C51" s="562" t="s">
        <v>348</v>
      </c>
      <c r="D51" s="817">
        <v>12000000</v>
      </c>
      <c r="E51" s="818"/>
      <c r="F51" s="565">
        <f>D51*2</f>
        <v>24000000</v>
      </c>
    </row>
    <row r="52" spans="1:16" ht="15.75" x14ac:dyDescent="0.25">
      <c r="A52" s="814" t="s">
        <v>344</v>
      </c>
      <c r="B52" s="815"/>
      <c r="C52" s="562" t="s">
        <v>349</v>
      </c>
      <c r="D52" s="817">
        <v>6000000</v>
      </c>
      <c r="E52" s="818"/>
      <c r="F52" s="565">
        <f>+D52</f>
        <v>6000000</v>
      </c>
    </row>
    <row r="53" spans="1:16" ht="15.75" x14ac:dyDescent="0.25">
      <c r="A53" s="814" t="s">
        <v>345</v>
      </c>
      <c r="B53" s="815"/>
      <c r="C53" s="562" t="s">
        <v>349</v>
      </c>
      <c r="D53" s="817">
        <v>6000000</v>
      </c>
      <c r="E53" s="818"/>
      <c r="F53" s="565">
        <f>+D53</f>
        <v>6000000</v>
      </c>
    </row>
    <row r="54" spans="1:16" ht="15" x14ac:dyDescent="0.2">
      <c r="A54" s="563"/>
      <c r="B54" s="563"/>
      <c r="C54" s="523"/>
      <c r="D54" s="564"/>
      <c r="E54" s="523"/>
      <c r="F54" s="566"/>
    </row>
    <row r="55" spans="1:16" ht="15.75" x14ac:dyDescent="0.25">
      <c r="A55" s="851" t="s">
        <v>352</v>
      </c>
      <c r="B55" s="851"/>
      <c r="C55" s="851"/>
      <c r="D55" s="851"/>
      <c r="E55" s="851"/>
      <c r="F55" s="565">
        <f>SUM(F50:F53)</f>
        <v>93000000</v>
      </c>
    </row>
    <row r="56" spans="1:16" x14ac:dyDescent="0.2">
      <c r="A56" s="568"/>
      <c r="B56" s="568"/>
      <c r="C56" s="568"/>
      <c r="D56" s="568"/>
      <c r="E56" s="568"/>
      <c r="F56" s="568"/>
    </row>
    <row r="57" spans="1:16" ht="15.75" x14ac:dyDescent="0.25">
      <c r="A57" s="513"/>
      <c r="B57" s="513"/>
      <c r="C57" s="513"/>
      <c r="D57" s="513"/>
      <c r="E57" s="513"/>
      <c r="F57" s="513"/>
      <c r="G57" s="514"/>
      <c r="H57" s="504"/>
      <c r="I57" s="515"/>
      <c r="J57" s="504"/>
      <c r="K57" s="516"/>
      <c r="L57" s="516"/>
      <c r="M57" s="516"/>
      <c r="N57" s="516"/>
      <c r="O57" s="515"/>
      <c r="P57" s="515"/>
    </row>
    <row r="58" spans="1:16" ht="18" x14ac:dyDescent="0.25">
      <c r="A58" s="555" t="s">
        <v>335</v>
      </c>
      <c r="B58" s="513"/>
      <c r="C58" s="513"/>
      <c r="D58" s="513"/>
      <c r="E58" s="513"/>
      <c r="F58" s="513"/>
      <c r="G58" s="514"/>
      <c r="H58" s="504"/>
      <c r="I58" s="515"/>
      <c r="J58" s="504"/>
      <c r="K58" s="516"/>
      <c r="L58" s="516"/>
      <c r="M58" s="516"/>
      <c r="N58" s="516"/>
      <c r="O58" s="515"/>
      <c r="P58" s="515"/>
    </row>
    <row r="59" spans="1:16" ht="18.75" customHeight="1" x14ac:dyDescent="0.2">
      <c r="A59" s="825" t="s">
        <v>77</v>
      </c>
      <c r="B59" s="671" t="s">
        <v>78</v>
      </c>
      <c r="C59" s="670" t="s">
        <v>79</v>
      </c>
      <c r="D59" s="670"/>
      <c r="E59" s="670"/>
      <c r="F59" s="672" t="s">
        <v>143</v>
      </c>
      <c r="G59" s="501"/>
    </row>
    <row r="60" spans="1:16" ht="18.75" customHeight="1" x14ac:dyDescent="0.2">
      <c r="A60" s="826"/>
      <c r="B60" s="671"/>
      <c r="C60" s="310" t="s">
        <v>67</v>
      </c>
      <c r="D60" s="311" t="s">
        <v>68</v>
      </c>
      <c r="E60" s="512" t="s">
        <v>6</v>
      </c>
      <c r="F60" s="673"/>
      <c r="G60" s="501"/>
    </row>
    <row r="61" spans="1:16" s="518" customFormat="1" ht="36.75" customHeight="1" x14ac:dyDescent="0.2">
      <c r="A61" s="546" t="s">
        <v>97</v>
      </c>
      <c r="B61" s="320">
        <v>51928178</v>
      </c>
      <c r="C61" s="315">
        <v>0</v>
      </c>
      <c r="D61" s="316">
        <v>0</v>
      </c>
      <c r="E61" s="304">
        <f>C61*D61</f>
        <v>0</v>
      </c>
      <c r="F61" s="320">
        <v>51928178</v>
      </c>
      <c r="G61" s="852" t="s">
        <v>360</v>
      </c>
      <c r="H61" s="852"/>
      <c r="I61" s="852"/>
      <c r="J61" s="852"/>
      <c r="K61" s="852"/>
      <c r="L61" s="852"/>
      <c r="M61" s="852"/>
      <c r="N61" s="852"/>
      <c r="O61" s="852"/>
      <c r="P61" s="853"/>
    </row>
    <row r="62" spans="1:16" s="518" customFormat="1" ht="30" customHeight="1" x14ac:dyDescent="0.2">
      <c r="A62" s="546" t="s">
        <v>340</v>
      </c>
      <c r="B62" s="289">
        <v>0</v>
      </c>
      <c r="C62" s="291">
        <v>0</v>
      </c>
      <c r="D62" s="290">
        <v>0</v>
      </c>
      <c r="E62" s="304">
        <v>0</v>
      </c>
      <c r="F62" s="509"/>
      <c r="G62" s="854"/>
      <c r="H62" s="854"/>
      <c r="I62" s="854"/>
      <c r="J62" s="854"/>
      <c r="K62" s="854"/>
      <c r="L62" s="854"/>
      <c r="M62" s="854"/>
      <c r="N62" s="854"/>
      <c r="O62" s="854"/>
      <c r="P62" s="855"/>
    </row>
    <row r="63" spans="1:16" s="518" customFormat="1" ht="25.5" x14ac:dyDescent="0.2">
      <c r="A63" s="553" t="s">
        <v>180</v>
      </c>
      <c r="B63" s="289">
        <v>439363</v>
      </c>
      <c r="C63" s="291">
        <v>0</v>
      </c>
      <c r="D63" s="290">
        <v>0</v>
      </c>
      <c r="E63" s="304">
        <v>0</v>
      </c>
      <c r="F63" s="509">
        <v>0</v>
      </c>
      <c r="G63" s="845" t="s">
        <v>362</v>
      </c>
      <c r="H63" s="846"/>
      <c r="I63" s="846"/>
      <c r="J63" s="846"/>
      <c r="K63" s="846"/>
      <c r="L63" s="846"/>
      <c r="M63" s="846"/>
      <c r="N63" s="846"/>
      <c r="O63" s="846"/>
      <c r="P63" s="847"/>
    </row>
    <row r="64" spans="1:16" s="518" customFormat="1" ht="25.5" x14ac:dyDescent="0.2">
      <c r="A64" s="546" t="s">
        <v>181</v>
      </c>
      <c r="B64" s="289">
        <v>0</v>
      </c>
      <c r="C64" s="291">
        <v>0</v>
      </c>
      <c r="D64" s="290">
        <v>0</v>
      </c>
      <c r="E64" s="304">
        <v>0</v>
      </c>
      <c r="F64" s="509">
        <v>0</v>
      </c>
      <c r="G64" s="848"/>
      <c r="H64" s="849"/>
      <c r="I64" s="849"/>
      <c r="J64" s="849"/>
      <c r="K64" s="849"/>
      <c r="L64" s="849"/>
      <c r="M64" s="849"/>
      <c r="N64" s="849"/>
      <c r="O64" s="849"/>
      <c r="P64" s="850"/>
    </row>
    <row r="65" spans="1:16" s="518" customFormat="1" ht="25.5" x14ac:dyDescent="0.2">
      <c r="A65" s="547" t="s">
        <v>182</v>
      </c>
      <c r="B65" s="289">
        <v>0</v>
      </c>
      <c r="C65" s="291">
        <v>1785</v>
      </c>
      <c r="D65" s="290">
        <f>(6*21*11)</f>
        <v>1386</v>
      </c>
      <c r="E65" s="304">
        <f t="shared" ref="E65:E74" si="1">C65*D65</f>
        <v>2474010</v>
      </c>
      <c r="F65" s="509">
        <f t="shared" ref="F65:F89" si="2">B65+E65</f>
        <v>2474010</v>
      </c>
      <c r="G65" s="848"/>
      <c r="H65" s="849"/>
      <c r="I65" s="849"/>
      <c r="J65" s="849"/>
      <c r="K65" s="849"/>
      <c r="L65" s="849"/>
      <c r="M65" s="849"/>
      <c r="N65" s="849"/>
      <c r="O65" s="849"/>
      <c r="P65" s="850"/>
    </row>
    <row r="66" spans="1:16" s="518" customFormat="1" ht="27" customHeight="1" x14ac:dyDescent="0.2">
      <c r="A66" s="547" t="s">
        <v>183</v>
      </c>
      <c r="B66" s="289">
        <v>0</v>
      </c>
      <c r="C66" s="291">
        <v>890</v>
      </c>
      <c r="D66" s="290">
        <f>(65*21*10)+(21*25)</f>
        <v>14175</v>
      </c>
      <c r="E66" s="304">
        <f t="shared" si="1"/>
        <v>12615750</v>
      </c>
      <c r="F66" s="509">
        <f t="shared" si="2"/>
        <v>12615750</v>
      </c>
      <c r="G66" s="827" t="s">
        <v>286</v>
      </c>
      <c r="H66" s="828"/>
      <c r="I66" s="828"/>
      <c r="J66" s="828"/>
      <c r="K66" s="828"/>
      <c r="L66" s="828"/>
      <c r="M66" s="828"/>
      <c r="N66" s="828"/>
      <c r="O66" s="828"/>
      <c r="P66" s="829"/>
    </row>
    <row r="67" spans="1:16" s="518" customFormat="1" ht="25.5" x14ac:dyDescent="0.2">
      <c r="A67" s="547" t="s">
        <v>184</v>
      </c>
      <c r="B67" s="289">
        <v>0</v>
      </c>
      <c r="C67" s="291">
        <v>1785</v>
      </c>
      <c r="D67" s="290">
        <f>4*9*21</f>
        <v>756</v>
      </c>
      <c r="E67" s="304">
        <f t="shared" si="1"/>
        <v>1349460</v>
      </c>
      <c r="F67" s="509">
        <f t="shared" si="2"/>
        <v>1349460</v>
      </c>
      <c r="G67" s="827" t="s">
        <v>336</v>
      </c>
      <c r="H67" s="828"/>
      <c r="I67" s="828"/>
      <c r="J67" s="828"/>
      <c r="K67" s="828"/>
      <c r="L67" s="828"/>
      <c r="M67" s="828"/>
      <c r="N67" s="828"/>
      <c r="O67" s="828"/>
      <c r="P67" s="829"/>
    </row>
    <row r="68" spans="1:16" s="518" customFormat="1" ht="51" x14ac:dyDescent="0.2">
      <c r="A68" s="547" t="s">
        <v>185</v>
      </c>
      <c r="B68" s="289">
        <v>1195254</v>
      </c>
      <c r="C68" s="291">
        <v>0</v>
      </c>
      <c r="D68" s="290">
        <v>0</v>
      </c>
      <c r="E68" s="304">
        <f t="shared" si="1"/>
        <v>0</v>
      </c>
      <c r="F68" s="509">
        <f t="shared" si="2"/>
        <v>1195254</v>
      </c>
      <c r="G68" s="830" t="s">
        <v>295</v>
      </c>
      <c r="H68" s="831"/>
      <c r="I68" s="831"/>
      <c r="J68" s="831"/>
      <c r="K68" s="831"/>
      <c r="L68" s="831"/>
      <c r="M68" s="831"/>
      <c r="N68" s="831"/>
      <c r="O68" s="831"/>
      <c r="P68" s="832"/>
    </row>
    <row r="69" spans="1:16" s="518" customFormat="1" ht="32.25" customHeight="1" x14ac:dyDescent="0.2">
      <c r="A69" s="547" t="s">
        <v>19</v>
      </c>
      <c r="B69" s="289">
        <v>60000</v>
      </c>
      <c r="C69" s="291">
        <v>0</v>
      </c>
      <c r="D69" s="290">
        <v>0</v>
      </c>
      <c r="E69" s="304">
        <f t="shared" si="1"/>
        <v>0</v>
      </c>
      <c r="F69" s="509">
        <f t="shared" si="2"/>
        <v>60000</v>
      </c>
      <c r="G69" s="827" t="s">
        <v>298</v>
      </c>
      <c r="H69" s="828"/>
      <c r="I69" s="828"/>
      <c r="J69" s="828"/>
      <c r="K69" s="828"/>
      <c r="L69" s="828"/>
      <c r="M69" s="828"/>
      <c r="N69" s="828"/>
      <c r="O69" s="828"/>
      <c r="P69" s="829"/>
    </row>
    <row r="70" spans="1:16" s="518" customFormat="1" ht="19.5" customHeight="1" x14ac:dyDescent="0.2">
      <c r="A70" s="546" t="s">
        <v>24</v>
      </c>
      <c r="B70" s="289">
        <v>778060</v>
      </c>
      <c r="C70" s="291">
        <v>0</v>
      </c>
      <c r="D70" s="290">
        <v>0</v>
      </c>
      <c r="E70" s="304">
        <f t="shared" si="1"/>
        <v>0</v>
      </c>
      <c r="F70" s="509">
        <f t="shared" si="2"/>
        <v>778060</v>
      </c>
      <c r="G70" s="837" t="s">
        <v>287</v>
      </c>
      <c r="H70" s="838"/>
      <c r="I70" s="838"/>
      <c r="J70" s="838"/>
      <c r="K70" s="838"/>
      <c r="L70" s="838"/>
      <c r="M70" s="838"/>
      <c r="N70" s="838"/>
      <c r="O70" s="838"/>
      <c r="P70" s="839"/>
    </row>
    <row r="71" spans="1:16" s="518" customFormat="1" ht="19.5" customHeight="1" x14ac:dyDescent="0.2">
      <c r="A71" s="546" t="s">
        <v>25</v>
      </c>
      <c r="B71" s="289">
        <v>1008888</v>
      </c>
      <c r="C71" s="291">
        <v>0</v>
      </c>
      <c r="D71" s="290">
        <v>0</v>
      </c>
      <c r="E71" s="304">
        <f t="shared" si="1"/>
        <v>0</v>
      </c>
      <c r="F71" s="509">
        <f t="shared" si="2"/>
        <v>1008888</v>
      </c>
      <c r="G71" s="819"/>
      <c r="H71" s="820"/>
      <c r="I71" s="820"/>
      <c r="J71" s="820"/>
      <c r="K71" s="820"/>
      <c r="L71" s="820"/>
      <c r="M71" s="820"/>
      <c r="N71" s="820"/>
      <c r="O71" s="820"/>
      <c r="P71" s="821"/>
    </row>
    <row r="72" spans="1:16" s="518" customFormat="1" ht="19.5" customHeight="1" x14ac:dyDescent="0.2">
      <c r="A72" s="546" t="s">
        <v>26</v>
      </c>
      <c r="B72" s="289">
        <v>1033868</v>
      </c>
      <c r="C72" s="291">
        <v>0</v>
      </c>
      <c r="D72" s="290">
        <v>0</v>
      </c>
      <c r="E72" s="304">
        <f t="shared" si="1"/>
        <v>0</v>
      </c>
      <c r="F72" s="509">
        <f t="shared" si="2"/>
        <v>1033868</v>
      </c>
      <c r="G72" s="819"/>
      <c r="H72" s="820"/>
      <c r="I72" s="820"/>
      <c r="J72" s="820"/>
      <c r="K72" s="820"/>
      <c r="L72" s="820"/>
      <c r="M72" s="820"/>
      <c r="N72" s="820"/>
      <c r="O72" s="820"/>
      <c r="P72" s="821"/>
    </row>
    <row r="73" spans="1:16" s="518" customFormat="1" ht="38.25" x14ac:dyDescent="0.2">
      <c r="A73" s="546" t="s">
        <v>191</v>
      </c>
      <c r="B73" s="289">
        <v>2045320</v>
      </c>
      <c r="C73" s="291"/>
      <c r="D73" s="290"/>
      <c r="E73" s="304">
        <f t="shared" si="1"/>
        <v>0</v>
      </c>
      <c r="F73" s="509">
        <f t="shared" si="2"/>
        <v>2045320</v>
      </c>
      <c r="G73" s="827" t="s">
        <v>288</v>
      </c>
      <c r="H73" s="828"/>
      <c r="I73" s="828"/>
      <c r="J73" s="828"/>
      <c r="K73" s="828"/>
      <c r="L73" s="828"/>
      <c r="M73" s="828"/>
      <c r="N73" s="828"/>
      <c r="O73" s="828"/>
      <c r="P73" s="829"/>
    </row>
    <row r="74" spans="1:16" s="518" customFormat="1" ht="25.5" x14ac:dyDescent="0.2">
      <c r="A74" s="546" t="s">
        <v>192</v>
      </c>
      <c r="B74" s="289">
        <v>154990</v>
      </c>
      <c r="C74" s="291">
        <v>0</v>
      </c>
      <c r="D74" s="290">
        <v>0</v>
      </c>
      <c r="E74" s="304">
        <f t="shared" si="1"/>
        <v>0</v>
      </c>
      <c r="F74" s="509">
        <f t="shared" si="2"/>
        <v>154990</v>
      </c>
      <c r="G74" s="827" t="s">
        <v>289</v>
      </c>
      <c r="H74" s="828"/>
      <c r="I74" s="828"/>
      <c r="J74" s="828"/>
      <c r="K74" s="828"/>
      <c r="L74" s="828"/>
      <c r="M74" s="828"/>
      <c r="N74" s="828"/>
      <c r="O74" s="828"/>
      <c r="P74" s="829"/>
    </row>
    <row r="75" spans="1:16" s="518" customFormat="1" ht="25.5" x14ac:dyDescent="0.2">
      <c r="A75" s="546" t="s">
        <v>193</v>
      </c>
      <c r="B75" s="289"/>
      <c r="C75" s="291">
        <v>17567</v>
      </c>
      <c r="D75" s="290">
        <v>11</v>
      </c>
      <c r="E75" s="304">
        <f>C75*D75</f>
        <v>193237</v>
      </c>
      <c r="F75" s="509">
        <f t="shared" si="2"/>
        <v>193237</v>
      </c>
      <c r="G75" s="827" t="s">
        <v>290</v>
      </c>
      <c r="H75" s="828"/>
      <c r="I75" s="828"/>
      <c r="J75" s="828"/>
      <c r="K75" s="828"/>
      <c r="L75" s="828"/>
      <c r="M75" s="828"/>
      <c r="N75" s="828"/>
      <c r="O75" s="828"/>
      <c r="P75" s="829"/>
    </row>
    <row r="76" spans="1:16" s="518" customFormat="1" ht="38.25" x14ac:dyDescent="0.2">
      <c r="A76" s="548" t="s">
        <v>195</v>
      </c>
      <c r="B76" s="289">
        <v>205589</v>
      </c>
      <c r="C76" s="291">
        <v>0</v>
      </c>
      <c r="D76" s="290">
        <v>0</v>
      </c>
      <c r="E76" s="304">
        <f t="shared" ref="E76:E89" si="3">C76*D76</f>
        <v>0</v>
      </c>
      <c r="F76" s="506">
        <f t="shared" si="2"/>
        <v>205589</v>
      </c>
      <c r="G76" s="830" t="s">
        <v>291</v>
      </c>
      <c r="H76" s="831"/>
      <c r="I76" s="831"/>
      <c r="J76" s="831"/>
      <c r="K76" s="831"/>
      <c r="L76" s="831"/>
      <c r="M76" s="831"/>
      <c r="N76" s="831"/>
      <c r="O76" s="831"/>
      <c r="P76" s="832"/>
    </row>
    <row r="77" spans="1:16" s="518" customFormat="1" ht="22.5" customHeight="1" x14ac:dyDescent="0.2">
      <c r="A77" s="549" t="s">
        <v>51</v>
      </c>
      <c r="B77" s="289">
        <v>150000</v>
      </c>
      <c r="C77" s="289">
        <v>0</v>
      </c>
      <c r="D77" s="290">
        <v>0</v>
      </c>
      <c r="E77" s="304">
        <f t="shared" si="3"/>
        <v>0</v>
      </c>
      <c r="F77" s="507">
        <f t="shared" si="2"/>
        <v>150000</v>
      </c>
      <c r="G77" s="827" t="s">
        <v>296</v>
      </c>
      <c r="H77" s="828"/>
      <c r="I77" s="828"/>
      <c r="J77" s="828"/>
      <c r="K77" s="828"/>
      <c r="L77" s="828"/>
      <c r="M77" s="828"/>
      <c r="N77" s="828"/>
      <c r="O77" s="828"/>
      <c r="P77" s="829"/>
    </row>
    <row r="78" spans="1:16" s="518" customFormat="1" ht="22.5" customHeight="1" x14ac:dyDescent="0.2">
      <c r="A78" s="546" t="s">
        <v>47</v>
      </c>
      <c r="B78" s="289">
        <v>1470696</v>
      </c>
      <c r="C78" s="289">
        <v>0</v>
      </c>
      <c r="D78" s="290">
        <v>0</v>
      </c>
      <c r="E78" s="304">
        <f t="shared" si="3"/>
        <v>0</v>
      </c>
      <c r="F78" s="507">
        <f t="shared" si="2"/>
        <v>1470696</v>
      </c>
      <c r="G78" s="827" t="s">
        <v>292</v>
      </c>
      <c r="H78" s="828"/>
      <c r="I78" s="828"/>
      <c r="J78" s="828"/>
      <c r="K78" s="828"/>
      <c r="L78" s="828"/>
      <c r="M78" s="828"/>
      <c r="N78" s="828"/>
      <c r="O78" s="828"/>
      <c r="P78" s="829"/>
    </row>
    <row r="79" spans="1:16" s="518" customFormat="1" ht="22.5" customHeight="1" x14ac:dyDescent="0.2">
      <c r="A79" s="550" t="s">
        <v>52</v>
      </c>
      <c r="B79" s="289">
        <v>135000</v>
      </c>
      <c r="C79" s="289">
        <v>0</v>
      </c>
      <c r="D79" s="290">
        <v>0</v>
      </c>
      <c r="E79" s="304">
        <f t="shared" si="3"/>
        <v>0</v>
      </c>
      <c r="F79" s="298">
        <f t="shared" si="2"/>
        <v>135000</v>
      </c>
      <c r="G79" s="833" t="s">
        <v>297</v>
      </c>
      <c r="H79" s="828"/>
      <c r="I79" s="828"/>
      <c r="J79" s="828"/>
      <c r="K79" s="828"/>
      <c r="L79" s="828"/>
      <c r="M79" s="828"/>
      <c r="N79" s="828"/>
      <c r="O79" s="828"/>
      <c r="P79" s="829"/>
    </row>
    <row r="80" spans="1:16" s="518" customFormat="1" ht="25.5" x14ac:dyDescent="0.2">
      <c r="A80" s="546" t="s">
        <v>196</v>
      </c>
      <c r="B80" s="289">
        <v>553644</v>
      </c>
      <c r="C80" s="289">
        <v>0</v>
      </c>
      <c r="D80" s="290">
        <v>0</v>
      </c>
      <c r="E80" s="304">
        <f t="shared" si="3"/>
        <v>0</v>
      </c>
      <c r="F80" s="507">
        <f t="shared" si="2"/>
        <v>553644</v>
      </c>
      <c r="G80" s="827" t="s">
        <v>359</v>
      </c>
      <c r="H80" s="828"/>
      <c r="I80" s="828"/>
      <c r="J80" s="828"/>
      <c r="K80" s="828"/>
      <c r="L80" s="828"/>
      <c r="M80" s="828"/>
      <c r="N80" s="828"/>
      <c r="O80" s="828"/>
      <c r="P80" s="829"/>
    </row>
    <row r="81" spans="1:16" s="518" customFormat="1" ht="22.5" customHeight="1" x14ac:dyDescent="0.2">
      <c r="A81" s="552" t="s">
        <v>57</v>
      </c>
      <c r="B81" s="289"/>
      <c r="C81" s="289">
        <v>5955</v>
      </c>
      <c r="D81" s="290">
        <v>78</v>
      </c>
      <c r="E81" s="304">
        <f t="shared" si="3"/>
        <v>464490</v>
      </c>
      <c r="F81" s="507">
        <f t="shared" si="2"/>
        <v>464490</v>
      </c>
      <c r="G81" s="827" t="s">
        <v>293</v>
      </c>
      <c r="H81" s="828"/>
      <c r="I81" s="828"/>
      <c r="J81" s="828"/>
      <c r="K81" s="828"/>
      <c r="L81" s="828"/>
      <c r="M81" s="828"/>
      <c r="N81" s="828"/>
      <c r="O81" s="828"/>
      <c r="P81" s="829"/>
    </row>
    <row r="82" spans="1:16" s="518" customFormat="1" ht="21" customHeight="1" x14ac:dyDescent="0.2">
      <c r="A82" s="554" t="s">
        <v>200</v>
      </c>
      <c r="B82" s="289">
        <v>0</v>
      </c>
      <c r="C82" s="289">
        <v>7796</v>
      </c>
      <c r="D82" s="290">
        <v>70</v>
      </c>
      <c r="E82" s="304">
        <f t="shared" si="3"/>
        <v>545720</v>
      </c>
      <c r="F82" s="298">
        <f t="shared" si="2"/>
        <v>545720</v>
      </c>
      <c r="G82" s="834" t="s">
        <v>353</v>
      </c>
      <c r="H82" s="835"/>
      <c r="I82" s="835"/>
      <c r="J82" s="835"/>
      <c r="K82" s="835"/>
      <c r="L82" s="835"/>
      <c r="M82" s="835"/>
      <c r="N82" s="835"/>
      <c r="O82" s="835"/>
      <c r="P82" s="836"/>
    </row>
    <row r="83" spans="1:16" s="518" customFormat="1" ht="25.5" x14ac:dyDescent="0.2">
      <c r="A83" s="547" t="s">
        <v>201</v>
      </c>
      <c r="B83" s="289">
        <v>538037</v>
      </c>
      <c r="C83" s="289">
        <v>0</v>
      </c>
      <c r="D83" s="290">
        <v>0</v>
      </c>
      <c r="E83" s="304">
        <f t="shared" si="3"/>
        <v>0</v>
      </c>
      <c r="F83" s="507">
        <f t="shared" si="2"/>
        <v>538037</v>
      </c>
      <c r="G83" s="827" t="s">
        <v>294</v>
      </c>
      <c r="H83" s="828"/>
      <c r="I83" s="828"/>
      <c r="J83" s="828"/>
      <c r="K83" s="828"/>
      <c r="L83" s="828"/>
      <c r="M83" s="828"/>
      <c r="N83" s="828"/>
      <c r="O83" s="828"/>
      <c r="P83" s="829"/>
    </row>
    <row r="84" spans="1:16" s="518" customFormat="1" ht="25.5" x14ac:dyDescent="0.2">
      <c r="A84" s="551" t="s">
        <v>198</v>
      </c>
      <c r="B84" s="289">
        <v>0</v>
      </c>
      <c r="C84" s="289">
        <v>1034</v>
      </c>
      <c r="D84" s="290">
        <f>70*10</f>
        <v>700</v>
      </c>
      <c r="E84" s="304">
        <f t="shared" si="3"/>
        <v>723800</v>
      </c>
      <c r="F84" s="508">
        <f t="shared" si="2"/>
        <v>723800</v>
      </c>
      <c r="G84" s="827" t="s">
        <v>354</v>
      </c>
      <c r="H84" s="828"/>
      <c r="I84" s="828"/>
      <c r="J84" s="828"/>
      <c r="K84" s="828"/>
      <c r="L84" s="828"/>
      <c r="M84" s="828"/>
      <c r="N84" s="828"/>
      <c r="O84" s="828"/>
      <c r="P84" s="829"/>
    </row>
    <row r="85" spans="1:16" s="518" customFormat="1" ht="25.5" x14ac:dyDescent="0.2">
      <c r="A85" s="546" t="s">
        <v>101</v>
      </c>
      <c r="B85" s="289">
        <v>0</v>
      </c>
      <c r="C85" s="289">
        <v>0</v>
      </c>
      <c r="D85" s="290">
        <v>0</v>
      </c>
      <c r="E85" s="304">
        <f t="shared" si="3"/>
        <v>0</v>
      </c>
      <c r="F85" s="507">
        <f t="shared" si="2"/>
        <v>0</v>
      </c>
      <c r="G85" s="819"/>
      <c r="H85" s="820"/>
      <c r="I85" s="820"/>
      <c r="J85" s="820"/>
      <c r="K85" s="820"/>
      <c r="L85" s="820"/>
      <c r="M85" s="820"/>
      <c r="N85" s="820"/>
      <c r="O85" s="820"/>
      <c r="P85" s="821"/>
    </row>
    <row r="86" spans="1:16" s="518" customFormat="1" ht="25.5" x14ac:dyDescent="0.2">
      <c r="A86" s="546" t="s">
        <v>102</v>
      </c>
      <c r="B86" s="289">
        <v>0</v>
      </c>
      <c r="C86" s="289">
        <v>0</v>
      </c>
      <c r="D86" s="290">
        <v>0</v>
      </c>
      <c r="E86" s="304">
        <f t="shared" si="3"/>
        <v>0</v>
      </c>
      <c r="F86" s="507">
        <f t="shared" si="2"/>
        <v>0</v>
      </c>
      <c r="G86" s="819"/>
      <c r="H86" s="820"/>
      <c r="I86" s="820"/>
      <c r="J86" s="820"/>
      <c r="K86" s="820"/>
      <c r="L86" s="820"/>
      <c r="M86" s="820"/>
      <c r="N86" s="820"/>
      <c r="O86" s="820"/>
      <c r="P86" s="821"/>
    </row>
    <row r="87" spans="1:16" s="518" customFormat="1" ht="31.5" customHeight="1" x14ac:dyDescent="0.2">
      <c r="A87" s="546" t="s">
        <v>202</v>
      </c>
      <c r="B87" s="289">
        <v>1060075</v>
      </c>
      <c r="C87" s="289">
        <v>0</v>
      </c>
      <c r="D87" s="290">
        <v>0</v>
      </c>
      <c r="E87" s="304">
        <f t="shared" si="3"/>
        <v>0</v>
      </c>
      <c r="F87" s="507">
        <f t="shared" si="2"/>
        <v>1060075</v>
      </c>
      <c r="G87" s="830" t="s">
        <v>299</v>
      </c>
      <c r="H87" s="831"/>
      <c r="I87" s="831"/>
      <c r="J87" s="831"/>
      <c r="K87" s="831"/>
      <c r="L87" s="831"/>
      <c r="M87" s="831"/>
      <c r="N87" s="831"/>
      <c r="O87" s="831"/>
      <c r="P87" s="832"/>
    </row>
    <row r="88" spans="1:16" s="518" customFormat="1" ht="25.5" x14ac:dyDescent="0.2">
      <c r="A88" s="546" t="s">
        <v>104</v>
      </c>
      <c r="B88" s="289">
        <v>0</v>
      </c>
      <c r="C88" s="289">
        <v>0</v>
      </c>
      <c r="D88" s="290">
        <v>0</v>
      </c>
      <c r="E88" s="304">
        <f t="shared" si="3"/>
        <v>0</v>
      </c>
      <c r="F88" s="507">
        <f t="shared" si="2"/>
        <v>0</v>
      </c>
      <c r="G88" s="819"/>
      <c r="H88" s="820"/>
      <c r="I88" s="820"/>
      <c r="J88" s="820"/>
      <c r="K88" s="820"/>
      <c r="L88" s="820"/>
      <c r="M88" s="820"/>
      <c r="N88" s="820"/>
      <c r="O88" s="820"/>
      <c r="P88" s="821"/>
    </row>
    <row r="89" spans="1:16" s="518" customFormat="1" ht="48.75" customHeight="1" x14ac:dyDescent="0.2">
      <c r="A89" s="546" t="s">
        <v>203</v>
      </c>
      <c r="B89" s="289">
        <v>150000</v>
      </c>
      <c r="C89" s="289">
        <v>0</v>
      </c>
      <c r="D89" s="290">
        <v>0</v>
      </c>
      <c r="E89" s="304">
        <f t="shared" si="3"/>
        <v>0</v>
      </c>
      <c r="F89" s="507">
        <f t="shared" si="2"/>
        <v>150000</v>
      </c>
      <c r="G89" s="822"/>
      <c r="H89" s="823"/>
      <c r="I89" s="823"/>
      <c r="J89" s="823"/>
      <c r="K89" s="823"/>
      <c r="L89" s="823"/>
      <c r="M89" s="823"/>
      <c r="N89" s="823"/>
      <c r="O89" s="823"/>
      <c r="P89" s="824"/>
    </row>
    <row r="94" spans="1:16" x14ac:dyDescent="0.2">
      <c r="A94" s="94" t="s">
        <v>363</v>
      </c>
      <c r="B94" s="569">
        <v>5492008</v>
      </c>
      <c r="C94" s="94" t="s">
        <v>364</v>
      </c>
      <c r="D94" s="94" t="s">
        <v>367</v>
      </c>
      <c r="F94" s="94" t="s">
        <v>368</v>
      </c>
      <c r="G94" s="570">
        <f>B94</f>
        <v>5492008</v>
      </c>
    </row>
    <row r="95" spans="1:16" x14ac:dyDescent="0.2">
      <c r="A95" s="94" t="s">
        <v>365</v>
      </c>
      <c r="G95" s="570">
        <v>7154433</v>
      </c>
      <c r="I95" s="571">
        <f>G95/9</f>
        <v>794937</v>
      </c>
      <c r="K95" s="572">
        <f>I95*4</f>
        <v>3179748</v>
      </c>
      <c r="L95" s="94" t="s">
        <v>366</v>
      </c>
    </row>
    <row r="96" spans="1:16" x14ac:dyDescent="0.2">
      <c r="G96" s="570">
        <f>SUM(G94:G95)</f>
        <v>12646441</v>
      </c>
      <c r="K96" s="571"/>
    </row>
    <row r="98" spans="4:8" x14ac:dyDescent="0.2">
      <c r="D98" s="573" t="s">
        <v>369</v>
      </c>
      <c r="E98" s="573" t="s">
        <v>370</v>
      </c>
      <c r="F98" s="573" t="s">
        <v>371</v>
      </c>
      <c r="G98" s="574">
        <v>0.03</v>
      </c>
      <c r="H98" s="573" t="s">
        <v>372</v>
      </c>
    </row>
    <row r="99" spans="4:8" x14ac:dyDescent="0.2">
      <c r="D99" s="575"/>
      <c r="E99" s="575"/>
      <c r="F99" s="575"/>
      <c r="G99" s="575"/>
      <c r="H99" s="575"/>
    </row>
    <row r="100" spans="4:8" x14ac:dyDescent="0.2">
      <c r="D100" s="576" t="s">
        <v>373</v>
      </c>
      <c r="E100" s="577">
        <f>30913654.6783544/1.028</f>
        <v>30071648.5198</v>
      </c>
      <c r="F100" s="577">
        <f>+E100*1.028</f>
        <v>30913654.678354401</v>
      </c>
      <c r="G100" s="577">
        <f>+E100*1.03</f>
        <v>30973797.975393999</v>
      </c>
      <c r="H100" s="577">
        <f>+F100-G100</f>
        <v>-60143.297039598227</v>
      </c>
    </row>
    <row r="101" spans="4:8" x14ac:dyDescent="0.2">
      <c r="D101" s="576" t="s">
        <v>374</v>
      </c>
      <c r="E101" s="577">
        <f>35177521/1.034</f>
        <v>34020813.346228242</v>
      </c>
      <c r="F101" s="577">
        <f>+E101*1.034</f>
        <v>35177521</v>
      </c>
      <c r="G101" s="577">
        <f>+E101*1.03</f>
        <v>35041437.746615089</v>
      </c>
      <c r="H101" s="578">
        <f>+F101-G101</f>
        <v>136083.25338491052</v>
      </c>
    </row>
    <row r="102" spans="4:8" x14ac:dyDescent="0.2">
      <c r="D102" s="576"/>
      <c r="E102" s="577"/>
      <c r="F102" s="577"/>
      <c r="G102" s="577"/>
      <c r="H102" s="576"/>
    </row>
    <row r="103" spans="4:8" x14ac:dyDescent="0.2">
      <c r="D103" s="575"/>
      <c r="E103" s="579"/>
      <c r="F103" s="579"/>
      <c r="G103" s="579"/>
      <c r="H103" s="578">
        <f>+H101+H100</f>
        <v>75939.956345312297</v>
      </c>
    </row>
    <row r="106" spans="4:8" x14ac:dyDescent="0.2">
      <c r="E106" s="813" t="s">
        <v>375</v>
      </c>
      <c r="F106" s="813"/>
    </row>
    <row r="107" spans="4:8" x14ac:dyDescent="0.2">
      <c r="E107" s="580" t="s">
        <v>376</v>
      </c>
      <c r="F107" s="580" t="s">
        <v>377</v>
      </c>
    </row>
    <row r="108" spans="4:8" x14ac:dyDescent="0.2">
      <c r="E108" s="577">
        <f>+E100*1.029</f>
        <v>30943726.326874197</v>
      </c>
      <c r="F108" s="577">
        <f>+E101*1.033</f>
        <v>35143500.186653771</v>
      </c>
    </row>
    <row r="109" spans="4:8" x14ac:dyDescent="0.2">
      <c r="E109" s="578">
        <f>+E108-F100</f>
        <v>30071.648519795388</v>
      </c>
      <c r="F109" s="578">
        <f>+F101-F108</f>
        <v>34020.813346229494</v>
      </c>
    </row>
  </sheetData>
  <mergeCells count="64">
    <mergeCell ref="L7:O7"/>
    <mergeCell ref="A8:B8"/>
    <mergeCell ref="A9:B9"/>
    <mergeCell ref="A10:B10"/>
    <mergeCell ref="A11:B11"/>
    <mergeCell ref="I9:I14"/>
    <mergeCell ref="A3:D3"/>
    <mergeCell ref="A14:B14"/>
    <mergeCell ref="A17:F17"/>
    <mergeCell ref="C7:F7"/>
    <mergeCell ref="A13:B13"/>
    <mergeCell ref="A12:B12"/>
    <mergeCell ref="C43:D43"/>
    <mergeCell ref="L17:O17"/>
    <mergeCell ref="G63:P63"/>
    <mergeCell ref="G67:P67"/>
    <mergeCell ref="G64:P64"/>
    <mergeCell ref="G65:P65"/>
    <mergeCell ref="G66:P66"/>
    <mergeCell ref="A55:E55"/>
    <mergeCell ref="G61:P62"/>
    <mergeCell ref="A20:F20"/>
    <mergeCell ref="L20:O20"/>
    <mergeCell ref="A25:P25"/>
    <mergeCell ref="C39:D39"/>
    <mergeCell ref="C40:D40"/>
    <mergeCell ref="C41:D41"/>
    <mergeCell ref="C42:D42"/>
    <mergeCell ref="G69:P69"/>
    <mergeCell ref="G68:P68"/>
    <mergeCell ref="G70:P70"/>
    <mergeCell ref="G71:P71"/>
    <mergeCell ref="G72:P72"/>
    <mergeCell ref="G73:P73"/>
    <mergeCell ref="G74:P74"/>
    <mergeCell ref="G75:P75"/>
    <mergeCell ref="G76:P76"/>
    <mergeCell ref="G77:P77"/>
    <mergeCell ref="G88:P88"/>
    <mergeCell ref="G89:P89"/>
    <mergeCell ref="A59:A60"/>
    <mergeCell ref="B59:B60"/>
    <mergeCell ref="C59:E59"/>
    <mergeCell ref="F59:F60"/>
    <mergeCell ref="G83:P83"/>
    <mergeCell ref="G84:P84"/>
    <mergeCell ref="G85:P85"/>
    <mergeCell ref="G86:P86"/>
    <mergeCell ref="G87:P87"/>
    <mergeCell ref="G78:P78"/>
    <mergeCell ref="G79:P79"/>
    <mergeCell ref="G80:P80"/>
    <mergeCell ref="G81:P81"/>
    <mergeCell ref="G82:P82"/>
    <mergeCell ref="D49:E49"/>
    <mergeCell ref="D50:E50"/>
    <mergeCell ref="D51:E51"/>
    <mergeCell ref="D52:E52"/>
    <mergeCell ref="D53:E53"/>
    <mergeCell ref="E106:F106"/>
    <mergeCell ref="A50:B50"/>
    <mergeCell ref="A51:B51"/>
    <mergeCell ref="A52:B52"/>
    <mergeCell ref="A53:B53"/>
  </mergeCells>
  <pageMargins left="0.7" right="0.7" top="0.75" bottom="0.75" header="0.3" footer="0.3"/>
  <pageSetup orientation="portrait" r:id="rId1"/>
  <ignoredErrors>
    <ignoredError sqref="I17 I20 G17 P17 O9:O14 D65:D67 D84 F55 F50:F5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4"/>
  <sheetViews>
    <sheetView showGridLines="0" zoomScale="80" zoomScaleNormal="80" workbookViewId="0">
      <selection activeCell="D26" sqref="D26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85</v>
      </c>
    </row>
    <row r="5" spans="2:11" x14ac:dyDescent="0.2">
      <c r="B5" s="584" t="s">
        <v>170</v>
      </c>
      <c r="C5" s="584"/>
      <c r="D5" s="584"/>
      <c r="E5" s="584"/>
      <c r="F5" s="584"/>
    </row>
    <row r="7" spans="2:11" x14ac:dyDescent="0.2">
      <c r="C7" s="268" t="s">
        <v>156</v>
      </c>
      <c r="D7" s="268"/>
      <c r="E7" s="268"/>
      <c r="F7" s="268"/>
      <c r="G7" s="268"/>
      <c r="H7" s="268"/>
      <c r="I7" s="268"/>
      <c r="J7" s="268"/>
      <c r="K7" s="268"/>
    </row>
    <row r="9" spans="2:11" x14ac:dyDescent="0.2">
      <c r="C9" s="268" t="s">
        <v>157</v>
      </c>
      <c r="D9" s="268"/>
      <c r="E9" s="268"/>
      <c r="F9" s="268"/>
      <c r="G9" s="268"/>
      <c r="H9" s="268"/>
      <c r="I9" s="267"/>
      <c r="J9" s="267"/>
      <c r="K9" s="267"/>
    </row>
    <row r="11" spans="2:11" x14ac:dyDescent="0.2">
      <c r="B11" s="582" t="s">
        <v>171</v>
      </c>
      <c r="C11" s="582"/>
      <c r="D11" s="582"/>
      <c r="E11" s="582"/>
      <c r="F11" s="582"/>
    </row>
    <row r="13" spans="2:11" x14ac:dyDescent="0.2">
      <c r="C13" s="269" t="s">
        <v>158</v>
      </c>
      <c r="D13" s="269"/>
      <c r="E13" s="269"/>
      <c r="F13" s="269"/>
      <c r="G13" s="269"/>
      <c r="H13" s="269"/>
    </row>
    <row r="15" spans="2:11" x14ac:dyDescent="0.2">
      <c r="C15" s="269" t="s">
        <v>159</v>
      </c>
      <c r="D15" s="269"/>
      <c r="E15" s="269"/>
      <c r="F15" s="269"/>
      <c r="G15" s="269"/>
      <c r="H15" s="269"/>
      <c r="I15" s="267"/>
      <c r="J15" s="267"/>
      <c r="K15" s="267"/>
    </row>
    <row r="19" spans="2:16" x14ac:dyDescent="0.2">
      <c r="B19" s="582" t="s">
        <v>172</v>
      </c>
      <c r="C19" s="582"/>
      <c r="D19" s="582"/>
      <c r="E19" s="582"/>
      <c r="F19" s="582"/>
    </row>
    <row r="21" spans="2:16" x14ac:dyDescent="0.2">
      <c r="C21" s="269" t="s">
        <v>160</v>
      </c>
      <c r="D21" s="269"/>
      <c r="E21" s="269"/>
      <c r="F21" s="270"/>
      <c r="G21" s="270"/>
      <c r="H21" s="270"/>
    </row>
    <row r="22" spans="2:16" x14ac:dyDescent="0.2">
      <c r="C22" s="583"/>
      <c r="D22" s="583"/>
      <c r="E22" s="583"/>
      <c r="F22" s="583"/>
      <c r="G22" s="583"/>
      <c r="H22" s="583"/>
      <c r="I22" s="583"/>
      <c r="J22" s="583"/>
      <c r="K22" s="583"/>
    </row>
    <row r="24" spans="2:16" x14ac:dyDescent="0.2">
      <c r="B24" s="582" t="s">
        <v>173</v>
      </c>
      <c r="C24" s="582"/>
      <c r="D24" s="582"/>
      <c r="E24" s="582"/>
      <c r="F24" s="582"/>
    </row>
    <row r="26" spans="2:16" x14ac:dyDescent="0.2">
      <c r="C26" s="271" t="s">
        <v>161</v>
      </c>
      <c r="D26" s="271"/>
      <c r="E26" s="271"/>
      <c r="F26" s="271"/>
      <c r="G26" s="271"/>
      <c r="H26" s="271"/>
      <c r="I26" s="271"/>
      <c r="J26" s="271"/>
    </row>
    <row r="27" spans="2:16" ht="12.75" customHeight="1" x14ac:dyDescent="0.2">
      <c r="C27" s="585" t="s">
        <v>162</v>
      </c>
      <c r="D27" s="585"/>
      <c r="E27" s="585"/>
      <c r="F27" s="585"/>
      <c r="G27" s="585"/>
      <c r="H27" s="585"/>
      <c r="I27" s="585"/>
      <c r="J27" s="585"/>
      <c r="K27" s="585"/>
      <c r="L27" s="585"/>
      <c r="M27" s="585"/>
    </row>
    <row r="28" spans="2:16" ht="12.75" customHeight="1" x14ac:dyDescent="0.2">
      <c r="C28" s="585"/>
      <c r="D28" s="585"/>
      <c r="E28" s="585"/>
      <c r="F28" s="585"/>
      <c r="G28" s="585"/>
      <c r="H28" s="585"/>
      <c r="I28" s="585"/>
      <c r="J28" s="585"/>
      <c r="K28" s="585"/>
      <c r="L28" s="585"/>
      <c r="M28" s="585"/>
    </row>
    <row r="29" spans="2:16" ht="12.75" customHeight="1" x14ac:dyDescent="0.2">
      <c r="C29" s="271" t="s">
        <v>163</v>
      </c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0"/>
    </row>
    <row r="30" spans="2:16" ht="12.75" customHeight="1" x14ac:dyDescent="0.2"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0"/>
    </row>
    <row r="31" spans="2:16" ht="12.75" customHeight="1" x14ac:dyDescent="0.2">
      <c r="C31" s="275" t="s">
        <v>164</v>
      </c>
      <c r="D31" s="272"/>
      <c r="E31" s="272"/>
      <c r="F31" s="274"/>
      <c r="G31" s="272"/>
      <c r="H31" s="272"/>
      <c r="I31" s="272"/>
      <c r="J31" s="272"/>
      <c r="K31" s="272"/>
      <c r="L31" s="272"/>
      <c r="M31" s="272"/>
      <c r="N31" s="270"/>
      <c r="O31" s="270"/>
      <c r="P31" s="270"/>
    </row>
    <row r="32" spans="2:16" ht="12.75" customHeight="1" x14ac:dyDescent="0.2">
      <c r="C32" s="273"/>
      <c r="D32" s="273"/>
      <c r="E32" s="273"/>
      <c r="F32" s="273"/>
      <c r="G32" s="273"/>
      <c r="H32" s="273"/>
      <c r="I32" s="272"/>
      <c r="J32" s="272"/>
      <c r="K32" s="272"/>
      <c r="L32" s="272"/>
      <c r="M32" s="272"/>
      <c r="N32" s="270"/>
    </row>
    <row r="33" spans="2:19" ht="12.75" customHeight="1" x14ac:dyDescent="0.2">
      <c r="C33" s="586" t="s">
        <v>165</v>
      </c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270"/>
    </row>
    <row r="34" spans="2:19" ht="12.75" customHeight="1" x14ac:dyDescent="0.2">
      <c r="C34" s="214"/>
      <c r="D34" s="214"/>
      <c r="E34" s="214"/>
      <c r="F34" s="214"/>
      <c r="G34" s="214"/>
      <c r="H34" s="214"/>
      <c r="I34" s="271"/>
      <c r="J34" s="271"/>
      <c r="K34" s="271"/>
      <c r="L34" s="271"/>
      <c r="M34" s="271"/>
      <c r="N34" s="270"/>
    </row>
    <row r="35" spans="2:19" ht="12.75" customHeight="1" x14ac:dyDescent="0.2">
      <c r="C35" s="272" t="s">
        <v>166</v>
      </c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0"/>
    </row>
    <row r="36" spans="2:19" ht="12.75" customHeight="1" x14ac:dyDescent="0.2">
      <c r="C36" s="273"/>
      <c r="D36" s="273"/>
      <c r="E36" s="273"/>
      <c r="F36" s="273"/>
      <c r="G36" s="273"/>
      <c r="H36" s="273"/>
      <c r="I36" s="272"/>
      <c r="J36" s="272"/>
      <c r="K36" s="272"/>
      <c r="L36" s="272"/>
      <c r="M36" s="272"/>
      <c r="N36" s="270"/>
    </row>
    <row r="37" spans="2:19" ht="12.75" customHeight="1" x14ac:dyDescent="0.2"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</row>
    <row r="38" spans="2:19" ht="12.75" customHeight="1" x14ac:dyDescent="0.2"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</row>
    <row r="39" spans="2:19" ht="12.75" customHeight="1" x14ac:dyDescent="0.2">
      <c r="B39" s="275" t="s">
        <v>174</v>
      </c>
      <c r="C39" s="271"/>
      <c r="D39" s="159"/>
      <c r="E39" s="159"/>
      <c r="F39" s="159"/>
      <c r="G39" s="159"/>
      <c r="H39" s="159"/>
      <c r="I39" s="159"/>
      <c r="J39" s="159"/>
      <c r="K39" s="159"/>
      <c r="L39" s="159"/>
      <c r="M39" s="159"/>
    </row>
    <row r="40" spans="2:19" x14ac:dyDescent="0.2">
      <c r="O40" s="583"/>
      <c r="P40" s="583"/>
      <c r="Q40" s="583"/>
      <c r="R40" s="583"/>
      <c r="S40" s="583"/>
    </row>
    <row r="41" spans="2:19" x14ac:dyDescent="0.2">
      <c r="C41" s="587" t="s">
        <v>167</v>
      </c>
      <c r="D41" s="587"/>
      <c r="E41" s="587"/>
      <c r="F41" s="587"/>
    </row>
    <row r="42" spans="2:19" x14ac:dyDescent="0.2">
      <c r="C42" s="583"/>
      <c r="D42" s="583"/>
      <c r="E42" s="583"/>
      <c r="F42" s="583"/>
      <c r="G42" s="583"/>
      <c r="H42" s="583"/>
      <c r="I42" s="583"/>
      <c r="J42" s="583"/>
    </row>
    <row r="44" spans="2:19" x14ac:dyDescent="0.2">
      <c r="B44" s="582" t="s">
        <v>175</v>
      </c>
      <c r="C44" s="582"/>
      <c r="D44" s="582"/>
      <c r="E44" s="582"/>
      <c r="F44" s="582"/>
    </row>
    <row r="46" spans="2:19" x14ac:dyDescent="0.2">
      <c r="C46" s="276" t="s">
        <v>168</v>
      </c>
      <c r="D46" s="276"/>
      <c r="E46" s="276"/>
      <c r="F46" s="276"/>
      <c r="G46" s="276"/>
      <c r="H46" s="276"/>
      <c r="I46" s="276"/>
      <c r="J46" s="276"/>
      <c r="K46" s="277"/>
      <c r="L46" s="277"/>
      <c r="M46" s="277"/>
    </row>
    <row r="50" spans="2:13" x14ac:dyDescent="0.2">
      <c r="B50" s="582" t="s">
        <v>176</v>
      </c>
      <c r="C50" s="582"/>
      <c r="D50" s="582"/>
      <c r="E50" s="582"/>
      <c r="F50" s="582"/>
    </row>
    <row r="52" spans="2:13" x14ac:dyDescent="0.2">
      <c r="C52" s="271" t="s">
        <v>169</v>
      </c>
      <c r="D52" s="271"/>
      <c r="E52" s="271"/>
      <c r="F52" s="271"/>
      <c r="G52" s="270"/>
      <c r="H52" s="270"/>
      <c r="I52" s="270"/>
      <c r="J52" s="270"/>
      <c r="K52" s="270"/>
      <c r="L52" s="270"/>
      <c r="M52" s="270"/>
    </row>
    <row r="54" spans="2:13" x14ac:dyDescent="0.2">
      <c r="B54" s="270" t="s">
        <v>177</v>
      </c>
      <c r="C54" s="270"/>
    </row>
  </sheetData>
  <sheetProtection password="9C6E" sheet="1" objects="1" scenarios="1"/>
  <mergeCells count="12"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29"/>
  <sheetViews>
    <sheetView showGridLines="0" topLeftCell="B1" zoomScale="80" zoomScaleNormal="80" workbookViewId="0">
      <selection activeCell="K12" sqref="K12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211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205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590" t="s">
        <v>0</v>
      </c>
      <c r="D4" s="590"/>
      <c r="E4" s="591" t="s">
        <v>223</v>
      </c>
      <c r="F4" s="592"/>
      <c r="G4" s="593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78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610" t="s">
        <v>156</v>
      </c>
      <c r="B6" s="610"/>
      <c r="C6" s="610"/>
      <c r="D6" s="610"/>
      <c r="E6" s="4"/>
      <c r="F6" s="4"/>
      <c r="G6" s="9"/>
      <c r="H6" s="278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360" t="s">
        <v>116</v>
      </c>
      <c r="B8" s="361" t="str">
        <f>+N17</f>
        <v>Ingreso por Matrícula</v>
      </c>
      <c r="C8" s="362" t="str">
        <f>+O17</f>
        <v>Ingreso por Mensualidad</v>
      </c>
      <c r="D8" s="362" t="s">
        <v>129</v>
      </c>
      <c r="E8" s="363" t="s">
        <v>83</v>
      </c>
      <c r="F8" s="364" t="s">
        <v>80</v>
      </c>
      <c r="G8" s="365" t="s">
        <v>81</v>
      </c>
      <c r="H8" s="366" t="s">
        <v>109</v>
      </c>
      <c r="I8" s="367" t="s">
        <v>115</v>
      </c>
      <c r="L8" s="72" t="s">
        <v>114</v>
      </c>
      <c r="N8" s="119"/>
    </row>
    <row r="9" spans="1:247" x14ac:dyDescent="0.2">
      <c r="A9" s="368" t="str">
        <f>+'B) Reajuste Tarifas y Ocupación'!A12</f>
        <v>Jardín Infantil Olitas de Mar</v>
      </c>
      <c r="B9" s="369">
        <f>+N28</f>
        <v>6297900</v>
      </c>
      <c r="C9" s="370">
        <f>+O28</f>
        <v>62979000</v>
      </c>
      <c r="D9" s="369">
        <f>+P28</f>
        <v>2249000</v>
      </c>
      <c r="E9" s="371">
        <f>+B9+D9+C9</f>
        <v>71525900</v>
      </c>
      <c r="F9" s="372">
        <f>+'C) Costos Directos'!H75</f>
        <v>66091175.67835439</v>
      </c>
      <c r="G9" s="373">
        <f>+'D) Costos Indirectos'!$AP$15*(F9/$F$10)</f>
        <v>24322627.711627752</v>
      </c>
      <c r="H9" s="374">
        <f>+F9+G9</f>
        <v>90413803.389982134</v>
      </c>
      <c r="I9" s="375">
        <f>E9-H9</f>
        <v>-18887903.389982134</v>
      </c>
      <c r="L9" s="92">
        <f>+G9/$G$10</f>
        <v>1</v>
      </c>
      <c r="N9" s="120"/>
    </row>
    <row r="10" spans="1:247" s="6" customFormat="1" ht="15.75" thickBot="1" x14ac:dyDescent="0.25">
      <c r="A10" s="376" t="s">
        <v>1</v>
      </c>
      <c r="B10" s="377">
        <f t="shared" ref="B10:I10" si="0">SUM(B9:B9)</f>
        <v>6297900</v>
      </c>
      <c r="C10" s="377">
        <f t="shared" si="0"/>
        <v>62979000</v>
      </c>
      <c r="D10" s="377">
        <f t="shared" si="0"/>
        <v>2249000</v>
      </c>
      <c r="E10" s="378">
        <f t="shared" si="0"/>
        <v>71525900</v>
      </c>
      <c r="F10" s="377">
        <f t="shared" si="0"/>
        <v>66091175.67835439</v>
      </c>
      <c r="G10" s="377">
        <f t="shared" si="0"/>
        <v>24322627.711627752</v>
      </c>
      <c r="H10" s="377">
        <f t="shared" si="0"/>
        <v>90413803.389982134</v>
      </c>
      <c r="I10" s="379">
        <f t="shared" si="0"/>
        <v>-18887903.389982134</v>
      </c>
      <c r="L10" s="93">
        <f>SUM(L9:L9)</f>
        <v>1</v>
      </c>
      <c r="N10" s="56"/>
      <c r="O10" s="326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327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610" t="s">
        <v>157</v>
      </c>
      <c r="B15" s="610"/>
      <c r="C15" s="610"/>
      <c r="D15" s="610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611" t="s">
        <v>116</v>
      </c>
      <c r="B17" s="613" t="s">
        <v>5</v>
      </c>
      <c r="C17" s="594" t="s">
        <v>2</v>
      </c>
      <c r="D17" s="596" t="s">
        <v>141</v>
      </c>
      <c r="E17" s="597"/>
      <c r="F17" s="597"/>
      <c r="G17" s="597"/>
      <c r="H17" s="598"/>
      <c r="I17" s="599" t="s">
        <v>142</v>
      </c>
      <c r="J17" s="600"/>
      <c r="K17" s="600"/>
      <c r="L17" s="600"/>
      <c r="M17" s="601"/>
      <c r="N17" s="604" t="s">
        <v>91</v>
      </c>
      <c r="O17" s="606" t="s">
        <v>92</v>
      </c>
      <c r="P17" s="602" t="s">
        <v>129</v>
      </c>
      <c r="Q17" s="608" t="s">
        <v>108</v>
      </c>
    </row>
    <row r="18" spans="1:17" s="16" customFormat="1" ht="39" thickBot="1" x14ac:dyDescent="0.25">
      <c r="A18" s="612"/>
      <c r="B18" s="614"/>
      <c r="C18" s="595"/>
      <c r="D18" s="335" t="s">
        <v>88</v>
      </c>
      <c r="E18" s="334" t="s">
        <v>137</v>
      </c>
      <c r="F18" s="334" t="s">
        <v>138</v>
      </c>
      <c r="G18" s="334" t="s">
        <v>89</v>
      </c>
      <c r="H18" s="336" t="s">
        <v>90</v>
      </c>
      <c r="I18" s="335" t="s">
        <v>88</v>
      </c>
      <c r="J18" s="334" t="s">
        <v>137</v>
      </c>
      <c r="K18" s="334" t="s">
        <v>138</v>
      </c>
      <c r="L18" s="334" t="s">
        <v>89</v>
      </c>
      <c r="M18" s="336" t="s">
        <v>90</v>
      </c>
      <c r="N18" s="605"/>
      <c r="O18" s="607"/>
      <c r="P18" s="603"/>
      <c r="Q18" s="609"/>
    </row>
    <row r="19" spans="1:17" ht="12.75" customHeight="1" x14ac:dyDescent="0.2">
      <c r="A19" s="619" t="str">
        <f>+'B) Reajuste Tarifas y Ocupación'!A12</f>
        <v>Jardín Infantil Olitas de Mar</v>
      </c>
      <c r="B19" s="622" t="str">
        <f>+'B) Reajuste Tarifas y Ocupación'!B12</f>
        <v>Media jornada</v>
      </c>
      <c r="C19" s="339" t="s">
        <v>144</v>
      </c>
      <c r="D19" s="346">
        <f t="shared" ref="D19:F20" si="1">+I19</f>
        <v>49400</v>
      </c>
      <c r="E19" s="340">
        <f t="shared" si="1"/>
        <v>59200</v>
      </c>
      <c r="F19" s="340">
        <f t="shared" si="1"/>
        <v>59200</v>
      </c>
      <c r="G19" s="340">
        <f t="shared" ref="G19:H20" si="2">+L19</f>
        <v>74800</v>
      </c>
      <c r="H19" s="347">
        <f t="shared" si="2"/>
        <v>120100</v>
      </c>
      <c r="I19" s="346">
        <f>+'B) Reajuste Tarifas y Ocupación'!M12</f>
        <v>49400</v>
      </c>
      <c r="J19" s="340">
        <f>+'B) Reajuste Tarifas y Ocupación'!N12</f>
        <v>59200</v>
      </c>
      <c r="K19" s="340">
        <f>+'B) Reajuste Tarifas y Ocupación'!O12</f>
        <v>59200</v>
      </c>
      <c r="L19" s="340">
        <f>+'B) Reajuste Tarifas y Ocupación'!P12</f>
        <v>74800</v>
      </c>
      <c r="M19" s="347">
        <f>+'B) Reajuste Tarifas y Ocupación'!Q12</f>
        <v>120100</v>
      </c>
      <c r="N19" s="352"/>
      <c r="O19" s="341"/>
      <c r="P19" s="356">
        <f>+'B) Reajuste Tarifas y Ocupación'!C12</f>
        <v>46100</v>
      </c>
      <c r="Q19" s="588"/>
    </row>
    <row r="20" spans="1:17" x14ac:dyDescent="0.2">
      <c r="A20" s="620"/>
      <c r="B20" s="623"/>
      <c r="C20" s="333" t="s">
        <v>7</v>
      </c>
      <c r="D20" s="348">
        <f t="shared" si="1"/>
        <v>5</v>
      </c>
      <c r="E20" s="338">
        <f t="shared" si="1"/>
        <v>0</v>
      </c>
      <c r="F20" s="338">
        <f t="shared" si="1"/>
        <v>0</v>
      </c>
      <c r="G20" s="338">
        <f t="shared" si="2"/>
        <v>0</v>
      </c>
      <c r="H20" s="349">
        <f t="shared" si="2"/>
        <v>0</v>
      </c>
      <c r="I20" s="348">
        <f>+'B) Reajuste Tarifas y Ocupación'!C23</f>
        <v>5</v>
      </c>
      <c r="J20" s="338">
        <f>+'B) Reajuste Tarifas y Ocupación'!D23</f>
        <v>0</v>
      </c>
      <c r="K20" s="338">
        <f>+'B) Reajuste Tarifas y Ocupación'!E23</f>
        <v>0</v>
      </c>
      <c r="L20" s="338">
        <f>+'B) Reajuste Tarifas y Ocupación'!F23</f>
        <v>0</v>
      </c>
      <c r="M20" s="349">
        <f>+'B) Reajuste Tarifas y Ocupación'!G23</f>
        <v>0</v>
      </c>
      <c r="N20" s="353"/>
      <c r="O20" s="337"/>
      <c r="P20" s="357">
        <v>1</v>
      </c>
      <c r="Q20" s="589"/>
    </row>
    <row r="21" spans="1:17" ht="13.5" thickBot="1" x14ac:dyDescent="0.25">
      <c r="A21" s="620"/>
      <c r="B21" s="624"/>
      <c r="C21" s="342" t="s">
        <v>9</v>
      </c>
      <c r="D21" s="350">
        <f>D20*D19</f>
        <v>247000</v>
      </c>
      <c r="E21" s="343">
        <f>E20*E19</f>
        <v>0</v>
      </c>
      <c r="F21" s="343">
        <f t="shared" ref="F21" si="3">F20*F19</f>
        <v>0</v>
      </c>
      <c r="G21" s="343">
        <f t="shared" ref="G21:H21" si="4">G20*G19</f>
        <v>0</v>
      </c>
      <c r="H21" s="351">
        <f t="shared" si="4"/>
        <v>0</v>
      </c>
      <c r="I21" s="455">
        <f>I20*I19*10</f>
        <v>2470000</v>
      </c>
      <c r="J21" s="456">
        <f t="shared" ref="J21:M21" si="5">J20*J19*10</f>
        <v>0</v>
      </c>
      <c r="K21" s="456">
        <f t="shared" ref="K21" si="6">K20*K19*10</f>
        <v>0</v>
      </c>
      <c r="L21" s="456">
        <f t="shared" si="5"/>
        <v>0</v>
      </c>
      <c r="M21" s="457">
        <f t="shared" si="5"/>
        <v>0</v>
      </c>
      <c r="N21" s="354">
        <f>SUM(D21:H21)</f>
        <v>247000</v>
      </c>
      <c r="O21" s="344">
        <f>SUM(I21:M21)</f>
        <v>2470000</v>
      </c>
      <c r="P21" s="358">
        <f>P20*P19</f>
        <v>46100</v>
      </c>
      <c r="Q21" s="359">
        <f>N21+O21+P21</f>
        <v>2763100</v>
      </c>
    </row>
    <row r="22" spans="1:17" x14ac:dyDescent="0.2">
      <c r="A22" s="620"/>
      <c r="B22" s="615" t="s">
        <v>218</v>
      </c>
      <c r="C22" s="339" t="s">
        <v>144</v>
      </c>
      <c r="D22" s="346">
        <f t="shared" ref="D22:D23" si="7">+I22</f>
        <v>56400</v>
      </c>
      <c r="E22" s="340">
        <f t="shared" ref="E22:E23" si="8">+J22</f>
        <v>67700</v>
      </c>
      <c r="F22" s="340">
        <f t="shared" ref="F22:F23" si="9">+K22</f>
        <v>67700</v>
      </c>
      <c r="G22" s="340">
        <f t="shared" ref="G22:G23" si="10">+L22</f>
        <v>107000</v>
      </c>
      <c r="H22" s="454">
        <f t="shared" ref="H22:H23" si="11">+M22</f>
        <v>159400</v>
      </c>
      <c r="I22" s="346">
        <f>+'B) Reajuste Tarifas y Ocupación'!M13</f>
        <v>56400</v>
      </c>
      <c r="J22" s="340">
        <f>+'B) Reajuste Tarifas y Ocupación'!N13</f>
        <v>67700</v>
      </c>
      <c r="K22" s="340">
        <f>+'B) Reajuste Tarifas y Ocupación'!O13</f>
        <v>67700</v>
      </c>
      <c r="L22" s="340">
        <f>+'B) Reajuste Tarifas y Ocupación'!P13</f>
        <v>107000</v>
      </c>
      <c r="M22" s="347">
        <f>+'B) Reajuste Tarifas y Ocupación'!Q13</f>
        <v>159400</v>
      </c>
      <c r="N22" s="352"/>
      <c r="O22" s="341"/>
      <c r="P22" s="356">
        <f>+'B) Reajuste Tarifas y Ocupación'!C13</f>
        <v>52700</v>
      </c>
      <c r="Q22" s="588"/>
    </row>
    <row r="23" spans="1:17" x14ac:dyDescent="0.2">
      <c r="A23" s="620"/>
      <c r="B23" s="616"/>
      <c r="C23" s="333" t="s">
        <v>7</v>
      </c>
      <c r="D23" s="348">
        <f t="shared" si="7"/>
        <v>6</v>
      </c>
      <c r="E23" s="338">
        <f t="shared" si="8"/>
        <v>0</v>
      </c>
      <c r="F23" s="338">
        <f t="shared" si="9"/>
        <v>0</v>
      </c>
      <c r="G23" s="338">
        <f t="shared" si="10"/>
        <v>0</v>
      </c>
      <c r="H23" s="458">
        <f t="shared" si="11"/>
        <v>0</v>
      </c>
      <c r="I23" s="348">
        <f>+'B) Reajuste Tarifas y Ocupación'!C24</f>
        <v>6</v>
      </c>
      <c r="J23" s="338">
        <f>+'B) Reajuste Tarifas y Ocupación'!D24</f>
        <v>0</v>
      </c>
      <c r="K23" s="338">
        <f>+'B) Reajuste Tarifas y Ocupación'!E24</f>
        <v>0</v>
      </c>
      <c r="L23" s="338">
        <f>+'B) Reajuste Tarifas y Ocupación'!F24</f>
        <v>0</v>
      </c>
      <c r="M23" s="349">
        <f>+'B) Reajuste Tarifas y Ocupación'!G24</f>
        <v>0</v>
      </c>
      <c r="N23" s="353"/>
      <c r="O23" s="337"/>
      <c r="P23" s="357">
        <v>1</v>
      </c>
      <c r="Q23" s="589"/>
    </row>
    <row r="24" spans="1:17" ht="13.5" thickBot="1" x14ac:dyDescent="0.25">
      <c r="A24" s="620"/>
      <c r="B24" s="617"/>
      <c r="C24" s="342" t="s">
        <v>9</v>
      </c>
      <c r="D24" s="350">
        <f>D23*D22</f>
        <v>338400</v>
      </c>
      <c r="E24" s="343">
        <f>E23*E22</f>
        <v>0</v>
      </c>
      <c r="F24" s="343">
        <f t="shared" ref="F24:H24" si="12">F23*F22</f>
        <v>0</v>
      </c>
      <c r="G24" s="343">
        <f t="shared" si="12"/>
        <v>0</v>
      </c>
      <c r="H24" s="358">
        <f t="shared" si="12"/>
        <v>0</v>
      </c>
      <c r="I24" s="350">
        <f>I23*I22*10</f>
        <v>3384000</v>
      </c>
      <c r="J24" s="343">
        <f t="shared" ref="J24:M24" si="13">J23*J22*10</f>
        <v>0</v>
      </c>
      <c r="K24" s="343">
        <f t="shared" si="13"/>
        <v>0</v>
      </c>
      <c r="L24" s="343">
        <f t="shared" si="13"/>
        <v>0</v>
      </c>
      <c r="M24" s="351">
        <f t="shared" si="13"/>
        <v>0</v>
      </c>
      <c r="N24" s="354">
        <f>SUM(D24:H24)</f>
        <v>338400</v>
      </c>
      <c r="O24" s="344">
        <f>SUM(I24:M24)</f>
        <v>3384000</v>
      </c>
      <c r="P24" s="358">
        <f>P23*P22</f>
        <v>52700</v>
      </c>
      <c r="Q24" s="359">
        <f>N24+O24+P24</f>
        <v>3775100</v>
      </c>
    </row>
    <row r="25" spans="1:17" x14ac:dyDescent="0.2">
      <c r="A25" s="620"/>
      <c r="B25" s="622" t="str">
        <f>+'B) Reajuste Tarifas y Ocupación'!B14</f>
        <v>Jornada Completa</v>
      </c>
      <c r="C25" s="339" t="s">
        <v>144</v>
      </c>
      <c r="D25" s="346">
        <f t="shared" ref="D25:F26" si="14">+I25</f>
        <v>88500</v>
      </c>
      <c r="E25" s="340">
        <f t="shared" si="14"/>
        <v>106200</v>
      </c>
      <c r="F25" s="340">
        <f t="shared" si="14"/>
        <v>106200</v>
      </c>
      <c r="G25" s="340">
        <f t="shared" ref="G25:H26" si="15">+L25</f>
        <v>137000</v>
      </c>
      <c r="H25" s="347">
        <f t="shared" si="15"/>
        <v>220300</v>
      </c>
      <c r="I25" s="459">
        <f>+'B) Reajuste Tarifas y Ocupación'!M14</f>
        <v>88500</v>
      </c>
      <c r="J25" s="460">
        <f>+'B) Reajuste Tarifas y Ocupación'!N14</f>
        <v>106200</v>
      </c>
      <c r="K25" s="460">
        <f>+'B) Reajuste Tarifas y Ocupación'!O14</f>
        <v>106200</v>
      </c>
      <c r="L25" s="460">
        <f>+'B) Reajuste Tarifas y Ocupación'!P14</f>
        <v>137000</v>
      </c>
      <c r="M25" s="461">
        <f>+'B) Reajuste Tarifas y Ocupación'!Q14</f>
        <v>220300</v>
      </c>
      <c r="N25" s="352"/>
      <c r="O25" s="341"/>
      <c r="P25" s="356">
        <f>+'B) Reajuste Tarifas y Ocupación'!C14</f>
        <v>82700</v>
      </c>
      <c r="Q25" s="588"/>
    </row>
    <row r="26" spans="1:17" x14ac:dyDescent="0.2">
      <c r="A26" s="620"/>
      <c r="B26" s="623"/>
      <c r="C26" s="333" t="s">
        <v>7</v>
      </c>
      <c r="D26" s="348">
        <f t="shared" si="14"/>
        <v>63</v>
      </c>
      <c r="E26" s="338">
        <f t="shared" si="14"/>
        <v>0</v>
      </c>
      <c r="F26" s="338">
        <f t="shared" si="14"/>
        <v>0</v>
      </c>
      <c r="G26" s="338">
        <f t="shared" si="15"/>
        <v>1</v>
      </c>
      <c r="H26" s="349">
        <f t="shared" si="15"/>
        <v>0</v>
      </c>
      <c r="I26" s="348">
        <f>+'B) Reajuste Tarifas y Ocupación'!C25</f>
        <v>63</v>
      </c>
      <c r="J26" s="338">
        <f>+'B) Reajuste Tarifas y Ocupación'!D25</f>
        <v>0</v>
      </c>
      <c r="K26" s="338">
        <f>+'B) Reajuste Tarifas y Ocupación'!E25</f>
        <v>0</v>
      </c>
      <c r="L26" s="338">
        <f>+'B) Reajuste Tarifas y Ocupación'!F25</f>
        <v>1</v>
      </c>
      <c r="M26" s="349">
        <f>+'B) Reajuste Tarifas y Ocupación'!G25</f>
        <v>0</v>
      </c>
      <c r="N26" s="353"/>
      <c r="O26" s="337"/>
      <c r="P26" s="357">
        <v>26</v>
      </c>
      <c r="Q26" s="589"/>
    </row>
    <row r="27" spans="1:17" ht="13.5" thickBot="1" x14ac:dyDescent="0.25">
      <c r="A27" s="620"/>
      <c r="B27" s="624"/>
      <c r="C27" s="342" t="s">
        <v>9</v>
      </c>
      <c r="D27" s="350">
        <f t="shared" ref="D27:H27" si="16">D26*D25</f>
        <v>5575500</v>
      </c>
      <c r="E27" s="343">
        <f t="shared" si="16"/>
        <v>0</v>
      </c>
      <c r="F27" s="343">
        <f t="shared" ref="F27" si="17">F26*F25</f>
        <v>0</v>
      </c>
      <c r="G27" s="343">
        <f t="shared" si="16"/>
        <v>137000</v>
      </c>
      <c r="H27" s="351">
        <f t="shared" si="16"/>
        <v>0</v>
      </c>
      <c r="I27" s="350">
        <f t="shared" ref="I27:M27" si="18">I26*I25*10</f>
        <v>55755000</v>
      </c>
      <c r="J27" s="343">
        <f t="shared" si="18"/>
        <v>0</v>
      </c>
      <c r="K27" s="343">
        <f t="shared" ref="K27" si="19">K26*K25*10</f>
        <v>0</v>
      </c>
      <c r="L27" s="343">
        <f t="shared" si="18"/>
        <v>1370000</v>
      </c>
      <c r="M27" s="351">
        <f t="shared" si="18"/>
        <v>0</v>
      </c>
      <c r="N27" s="380">
        <f>SUM(D27:H27)</f>
        <v>5712500</v>
      </c>
      <c r="O27" s="381">
        <f>SUM(I27:M27)</f>
        <v>57125000</v>
      </c>
      <c r="P27" s="382">
        <f>P26*P25</f>
        <v>2150200</v>
      </c>
      <c r="Q27" s="383">
        <f>N27+O27+P27</f>
        <v>64987700</v>
      </c>
    </row>
    <row r="28" spans="1:17" s="10" customFormat="1" ht="15.75" thickBot="1" x14ac:dyDescent="0.25">
      <c r="A28" s="621"/>
      <c r="B28" s="618" t="s">
        <v>10</v>
      </c>
      <c r="C28" s="618"/>
      <c r="D28" s="462">
        <f>+D21+D27</f>
        <v>5822500</v>
      </c>
      <c r="E28" s="463">
        <f t="shared" ref="E28:G28" si="20">+E21+E27</f>
        <v>0</v>
      </c>
      <c r="F28" s="463">
        <f t="shared" si="20"/>
        <v>0</v>
      </c>
      <c r="G28" s="463">
        <f t="shared" si="20"/>
        <v>137000</v>
      </c>
      <c r="H28" s="464">
        <f>+H21+H27</f>
        <v>0</v>
      </c>
      <c r="I28" s="462">
        <f t="shared" ref="I28:L28" si="21">+I21+I27</f>
        <v>58225000</v>
      </c>
      <c r="J28" s="463">
        <f t="shared" si="21"/>
        <v>0</v>
      </c>
      <c r="K28" s="463">
        <f t="shared" si="21"/>
        <v>0</v>
      </c>
      <c r="L28" s="463">
        <f t="shared" si="21"/>
        <v>1370000</v>
      </c>
      <c r="M28" s="465">
        <f>+M21+M27</f>
        <v>0</v>
      </c>
      <c r="N28" s="466">
        <f t="shared" ref="N28:P28" si="22">+N21+N24+N27</f>
        <v>6297900</v>
      </c>
      <c r="O28" s="467">
        <f t="shared" si="22"/>
        <v>62979000</v>
      </c>
      <c r="P28" s="468">
        <f t="shared" si="22"/>
        <v>2249000</v>
      </c>
      <c r="Q28" s="469">
        <f>+Q21+Q24+Q27</f>
        <v>71525900</v>
      </c>
    </row>
    <row r="29" spans="1:17" ht="15" customHeight="1" thickBot="1" x14ac:dyDescent="0.25">
      <c r="A29" s="625" t="s">
        <v>8</v>
      </c>
      <c r="B29" s="626"/>
      <c r="C29" s="626"/>
      <c r="D29" s="470">
        <f>+D28</f>
        <v>5822500</v>
      </c>
      <c r="E29" s="471">
        <f t="shared" ref="E29:H29" si="23">+E28</f>
        <v>0</v>
      </c>
      <c r="F29" s="471">
        <f t="shared" si="23"/>
        <v>0</v>
      </c>
      <c r="G29" s="471">
        <f t="shared" si="23"/>
        <v>137000</v>
      </c>
      <c r="H29" s="472">
        <f t="shared" si="23"/>
        <v>0</v>
      </c>
      <c r="I29" s="470">
        <f t="shared" ref="I29" si="24">+I28</f>
        <v>58225000</v>
      </c>
      <c r="J29" s="471">
        <f t="shared" ref="J29" si="25">+J28</f>
        <v>0</v>
      </c>
      <c r="K29" s="471">
        <f t="shared" ref="K29" si="26">+K28</f>
        <v>0</v>
      </c>
      <c r="L29" s="471">
        <f t="shared" ref="L29" si="27">+L28</f>
        <v>1370000</v>
      </c>
      <c r="M29" s="473">
        <f t="shared" ref="M29" si="28">+M28</f>
        <v>0</v>
      </c>
      <c r="N29" s="474">
        <f t="shared" ref="N29" si="29">+N28</f>
        <v>6297900</v>
      </c>
      <c r="O29" s="475">
        <f t="shared" ref="O29" si="30">+O28</f>
        <v>62979000</v>
      </c>
      <c r="P29" s="476">
        <f t="shared" ref="P29" si="31">+P28</f>
        <v>2249000</v>
      </c>
      <c r="Q29" s="477">
        <f t="shared" ref="Q29" si="32">+Q28</f>
        <v>71525900</v>
      </c>
    </row>
  </sheetData>
  <sheetProtection password="9C6E" sheet="1" objects="1" scenarios="1"/>
  <mergeCells count="22">
    <mergeCell ref="B22:B24"/>
    <mergeCell ref="B28:C28"/>
    <mergeCell ref="A19:A28"/>
    <mergeCell ref="B19:B21"/>
    <mergeCell ref="A29:C29"/>
    <mergeCell ref="B25:B27"/>
    <mergeCell ref="Q25:Q26"/>
    <mergeCell ref="C4:D4"/>
    <mergeCell ref="E4:G4"/>
    <mergeCell ref="C17:C18"/>
    <mergeCell ref="D17:H17"/>
    <mergeCell ref="I17:M17"/>
    <mergeCell ref="Q22:Q23"/>
    <mergeCell ref="P17:P18"/>
    <mergeCell ref="N17:N18"/>
    <mergeCell ref="O17:O18"/>
    <mergeCell ref="Q17:Q18"/>
    <mergeCell ref="Q19:Q20"/>
    <mergeCell ref="A6:D6"/>
    <mergeCell ref="A15:D15"/>
    <mergeCell ref="A17:A18"/>
    <mergeCell ref="B17:B18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0:H20 D19:H19 J19 D25:Q25 I21:Q21 J20:O20 L19:Q19 Q20 D27:Q27 D26:O26 Q26 D28:M28" unlockedFormula="1"/>
    <ignoredError sqref="F21:H21" formula="1" unlockedFormula="1"/>
    <ignoredError sqref="D21: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5"/>
  <sheetViews>
    <sheetView showGridLines="0" tabSelected="1" topLeftCell="B4" zoomScale="80" zoomScaleNormal="80" workbookViewId="0">
      <selection activeCell="G38" sqref="G38"/>
    </sheetView>
  </sheetViews>
  <sheetFormatPr baseColWidth="10" defaultColWidth="11.42578125" defaultRowHeight="12.75" x14ac:dyDescent="0.2"/>
  <cols>
    <col min="1" max="1" width="56.5703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5703125" style="46" bestFit="1" customWidth="1"/>
    <col min="6" max="6" width="14.5703125" style="46" customWidth="1"/>
    <col min="7" max="7" width="14.85546875" style="46" customWidth="1"/>
    <col min="8" max="8" width="11.85546875" style="46" bestFit="1" customWidth="1"/>
    <col min="9" max="9" width="14.5703125" style="46" bestFit="1" customWidth="1"/>
    <col min="10" max="10" width="14.5703125" style="46" customWidth="1"/>
    <col min="11" max="12" width="11.85546875" style="46" customWidth="1"/>
    <col min="13" max="13" width="14" style="46" customWidth="1"/>
    <col min="14" max="15" width="14.5703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5703125" style="46" bestFit="1" customWidth="1"/>
    <col min="23" max="23" width="14.5703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212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206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590" t="s">
        <v>0</v>
      </c>
      <c r="D5" s="637"/>
      <c r="E5" s="122"/>
      <c r="F5" s="641" t="s">
        <v>223</v>
      </c>
      <c r="G5" s="642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122"/>
      <c r="D6" s="122"/>
      <c r="E6" s="122"/>
      <c r="F6" s="125"/>
      <c r="G6" s="125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122"/>
      <c r="D7" s="122"/>
      <c r="E7" s="122"/>
      <c r="F7" s="125"/>
      <c r="G7" s="125"/>
      <c r="R7" s="14"/>
      <c r="S7" s="23"/>
      <c r="T7" s="24"/>
      <c r="V7" s="62"/>
      <c r="W7" s="62"/>
      <c r="IL7" s="4"/>
      <c r="IM7" s="4"/>
      <c r="IN7" s="4"/>
      <c r="IO7" s="4"/>
      <c r="IP7" s="4"/>
      <c r="IQ7" s="4"/>
    </row>
    <row r="8" spans="1:256" s="14" customFormat="1" ht="15.75" x14ac:dyDescent="0.2">
      <c r="A8" s="630" t="s">
        <v>158</v>
      </c>
      <c r="B8" s="630"/>
      <c r="C8" s="630"/>
      <c r="D8" s="630"/>
      <c r="E8" s="123"/>
      <c r="F8" s="125"/>
      <c r="G8" s="125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651" t="s">
        <v>136</v>
      </c>
      <c r="B10" s="646" t="s">
        <v>5</v>
      </c>
      <c r="C10" s="648" t="s">
        <v>87</v>
      </c>
      <c r="D10" s="649"/>
      <c r="E10" s="649"/>
      <c r="F10" s="649"/>
      <c r="G10" s="650"/>
      <c r="H10" s="631" t="s">
        <v>110</v>
      </c>
      <c r="I10" s="632"/>
      <c r="J10" s="632"/>
      <c r="K10" s="632"/>
      <c r="L10" s="633"/>
      <c r="M10" s="627" t="s">
        <v>139</v>
      </c>
      <c r="N10" s="628"/>
      <c r="O10" s="628"/>
      <c r="P10" s="628"/>
      <c r="Q10" s="629"/>
      <c r="R10" s="17"/>
    </row>
    <row r="11" spans="1:256" ht="64.5" thickBot="1" x14ac:dyDescent="0.25">
      <c r="A11" s="652"/>
      <c r="B11" s="647"/>
      <c r="C11" s="102" t="s">
        <v>88</v>
      </c>
      <c r="D11" s="103" t="s">
        <v>137</v>
      </c>
      <c r="E11" s="103" t="s">
        <v>138</v>
      </c>
      <c r="F11" s="103" t="s">
        <v>89</v>
      </c>
      <c r="G11" s="109" t="s">
        <v>90</v>
      </c>
      <c r="H11" s="110" t="s">
        <v>88</v>
      </c>
      <c r="I11" s="111" t="s">
        <v>137</v>
      </c>
      <c r="J11" s="111" t="s">
        <v>138</v>
      </c>
      <c r="K11" s="112" t="s">
        <v>89</v>
      </c>
      <c r="L11" s="113" t="s">
        <v>90</v>
      </c>
      <c r="M11" s="105" t="s">
        <v>88</v>
      </c>
      <c r="N11" s="106" t="s">
        <v>137</v>
      </c>
      <c r="O11" s="106" t="s">
        <v>138</v>
      </c>
      <c r="P11" s="106" t="s">
        <v>89</v>
      </c>
      <c r="Q11" s="107" t="s">
        <v>90</v>
      </c>
      <c r="R11" s="17"/>
    </row>
    <row r="12" spans="1:256" ht="13.5" customHeight="1" thickBot="1" x14ac:dyDescent="0.25">
      <c r="A12" s="634" t="s">
        <v>221</v>
      </c>
      <c r="B12" s="184" t="s">
        <v>130</v>
      </c>
      <c r="C12" s="185">
        <v>46100</v>
      </c>
      <c r="D12" s="185">
        <v>55400</v>
      </c>
      <c r="E12" s="185">
        <v>55400</v>
      </c>
      <c r="F12" s="185">
        <v>69900</v>
      </c>
      <c r="G12" s="186">
        <v>112200</v>
      </c>
      <c r="H12" s="114">
        <v>7.0000000000000007E-2</v>
      </c>
      <c r="I12" s="391">
        <f>+H12</f>
        <v>7.0000000000000007E-2</v>
      </c>
      <c r="J12" s="391">
        <f>+H12</f>
        <v>7.0000000000000007E-2</v>
      </c>
      <c r="K12" s="391">
        <f>+H12</f>
        <v>7.0000000000000007E-2</v>
      </c>
      <c r="L12" s="190">
        <f>+H12</f>
        <v>7.0000000000000007E-2</v>
      </c>
      <c r="M12" s="108">
        <f>CEILING(C12*(1+H12),100)</f>
        <v>49400</v>
      </c>
      <c r="N12" s="396">
        <f>+CEILING(C12*(1.2)*(1+I12),100)</f>
        <v>59200</v>
      </c>
      <c r="O12" s="396">
        <f>+CEILING(C12*(1.2)*(1+J12),100)</f>
        <v>59200</v>
      </c>
      <c r="P12" s="396">
        <f>+CEILING(F12*(1+K12),100)</f>
        <v>74800</v>
      </c>
      <c r="Q12" s="322">
        <f>+CEILING(G12*(1+L12),100)</f>
        <v>120100</v>
      </c>
      <c r="R12" s="85"/>
    </row>
    <row r="13" spans="1:256" ht="13.5" customHeight="1" thickBot="1" x14ac:dyDescent="0.25">
      <c r="A13" s="635"/>
      <c r="B13" s="328" t="s">
        <v>218</v>
      </c>
      <c r="C13" s="329">
        <v>52700</v>
      </c>
      <c r="D13" s="329">
        <v>63300</v>
      </c>
      <c r="E13" s="329">
        <v>63300</v>
      </c>
      <c r="F13" s="329">
        <v>100000</v>
      </c>
      <c r="G13" s="330">
        <v>148900</v>
      </c>
      <c r="H13" s="114">
        <v>7.0000000000000007E-2</v>
      </c>
      <c r="I13" s="390">
        <f>+H13</f>
        <v>7.0000000000000007E-2</v>
      </c>
      <c r="J13" s="390">
        <f>+H13</f>
        <v>7.0000000000000007E-2</v>
      </c>
      <c r="K13" s="390">
        <f>+H13</f>
        <v>7.0000000000000007E-2</v>
      </c>
      <c r="L13" s="393">
        <f>+H13</f>
        <v>7.0000000000000007E-2</v>
      </c>
      <c r="M13" s="397">
        <f>CEILING(C13*(1+H13),100)</f>
        <v>56400</v>
      </c>
      <c r="N13" s="395">
        <f>+CEILING(C13*(1.2)*(1+I13),100)</f>
        <v>67700</v>
      </c>
      <c r="O13" s="395">
        <f>+CEILING(C13*(1.2)*(1+J13),100)</f>
        <v>67700</v>
      </c>
      <c r="P13" s="395">
        <f>+CEILING(F13*(1+K13),100)</f>
        <v>107000</v>
      </c>
      <c r="Q13" s="398">
        <f>+CEILING(G13*(1+L13),100)</f>
        <v>159400</v>
      </c>
      <c r="R13" s="85"/>
    </row>
    <row r="14" spans="1:256" ht="13.5" customHeight="1" thickBot="1" x14ac:dyDescent="0.25">
      <c r="A14" s="636"/>
      <c r="B14" s="187" t="s">
        <v>219</v>
      </c>
      <c r="C14" s="188">
        <v>82700</v>
      </c>
      <c r="D14" s="188">
        <v>99300</v>
      </c>
      <c r="E14" s="188">
        <v>99300</v>
      </c>
      <c r="F14" s="188">
        <v>128000</v>
      </c>
      <c r="G14" s="189">
        <v>205800</v>
      </c>
      <c r="H14" s="114">
        <v>7.0000000000000007E-2</v>
      </c>
      <c r="I14" s="392">
        <f t="shared" ref="I14" si="0">+H14</f>
        <v>7.0000000000000007E-2</v>
      </c>
      <c r="J14" s="392">
        <f t="shared" ref="J14" si="1">+H14</f>
        <v>7.0000000000000007E-2</v>
      </c>
      <c r="K14" s="392">
        <f t="shared" ref="K14" si="2">+H14</f>
        <v>7.0000000000000007E-2</v>
      </c>
      <c r="L14" s="394">
        <f t="shared" ref="L14" si="3">+H14</f>
        <v>7.0000000000000007E-2</v>
      </c>
      <c r="M14" s="323">
        <f t="shared" ref="M14" si="4">CEILING(C14*(1+H14),100)</f>
        <v>88500</v>
      </c>
      <c r="N14" s="324">
        <f>+CEILING(C14*(1.2)*(1+I14),100)</f>
        <v>106200</v>
      </c>
      <c r="O14" s="324">
        <f t="shared" ref="O14" si="5">+CEILING(C14*(1.2)*(1+J14),100)</f>
        <v>106200</v>
      </c>
      <c r="P14" s="324">
        <f t="shared" ref="P14" si="6">+CEILING(F14*(1+K14),100)</f>
        <v>137000</v>
      </c>
      <c r="Q14" s="325">
        <f t="shared" ref="Q14" si="7">+CEILING(G14*(1+L14),100)</f>
        <v>220300</v>
      </c>
    </row>
    <row r="15" spans="1:256" ht="12.75" customHeight="1" x14ac:dyDescent="0.2">
      <c r="B15" s="46"/>
      <c r="R15" s="46"/>
    </row>
    <row r="18" spans="1:8" x14ac:dyDescent="0.2">
      <c r="D18" s="191"/>
    </row>
    <row r="19" spans="1:8" ht="15.75" x14ac:dyDescent="0.2">
      <c r="A19" s="630" t="s">
        <v>159</v>
      </c>
      <c r="B19" s="630"/>
      <c r="C19" s="630"/>
      <c r="D19" s="630"/>
      <c r="E19" s="630"/>
      <c r="F19" s="630"/>
      <c r="G19" s="14"/>
      <c r="H19" s="14"/>
    </row>
    <row r="20" spans="1:8" ht="13.5" thickBot="1" x14ac:dyDescent="0.25"/>
    <row r="21" spans="1:8" ht="16.5" thickBot="1" x14ac:dyDescent="0.25">
      <c r="A21" s="655" t="s">
        <v>136</v>
      </c>
      <c r="B21" s="653" t="s">
        <v>5</v>
      </c>
      <c r="C21" s="643" t="s">
        <v>140</v>
      </c>
      <c r="D21" s="644"/>
      <c r="E21" s="644"/>
      <c r="F21" s="644"/>
      <c r="G21" s="644"/>
      <c r="H21" s="645"/>
    </row>
    <row r="22" spans="1:8" ht="64.5" thickBot="1" x14ac:dyDescent="0.25">
      <c r="A22" s="656"/>
      <c r="B22" s="654"/>
      <c r="C22" s="115" t="s">
        <v>88</v>
      </c>
      <c r="D22" s="116" t="s">
        <v>137</v>
      </c>
      <c r="E22" s="116" t="s">
        <v>138</v>
      </c>
      <c r="F22" s="116" t="s">
        <v>89</v>
      </c>
      <c r="G22" s="117" t="s">
        <v>90</v>
      </c>
      <c r="H22" s="118" t="s">
        <v>135</v>
      </c>
    </row>
    <row r="23" spans="1:8" ht="20.100000000000001" customHeight="1" x14ac:dyDescent="0.2">
      <c r="A23" s="638" t="str">
        <f>+A12</f>
        <v>Jardín Infantil Olitas de Mar</v>
      </c>
      <c r="B23" s="387" t="str">
        <f>+B12</f>
        <v>Media jornada</v>
      </c>
      <c r="C23" s="384">
        <v>5</v>
      </c>
      <c r="D23" s="180"/>
      <c r="E23" s="180"/>
      <c r="F23" s="180"/>
      <c r="G23" s="180"/>
      <c r="H23" s="182">
        <f>SUM(C23:G23)</f>
        <v>5</v>
      </c>
    </row>
    <row r="24" spans="1:8" ht="20.100000000000001" customHeight="1" x14ac:dyDescent="0.2">
      <c r="A24" s="639"/>
      <c r="B24" s="388" t="str">
        <f t="shared" ref="B24:B25" si="8">+B13</f>
        <v>Media jornada Extendida</v>
      </c>
      <c r="C24" s="385">
        <v>6</v>
      </c>
      <c r="D24" s="331"/>
      <c r="E24" s="331"/>
      <c r="F24" s="331"/>
      <c r="G24" s="331"/>
      <c r="H24" s="332">
        <f>SUM(C24:G24)</f>
        <v>6</v>
      </c>
    </row>
    <row r="25" spans="1:8" ht="20.100000000000001" customHeight="1" thickBot="1" x14ac:dyDescent="0.25">
      <c r="A25" s="640"/>
      <c r="B25" s="389" t="str">
        <f t="shared" si="8"/>
        <v>Jornada Completa</v>
      </c>
      <c r="C25" s="386">
        <v>63</v>
      </c>
      <c r="D25" s="181"/>
      <c r="E25" s="181"/>
      <c r="F25" s="181">
        <v>1</v>
      </c>
      <c r="G25" s="181"/>
      <c r="H25" s="183">
        <f t="shared" ref="H25" si="9">SUM(C25:G25)</f>
        <v>64</v>
      </c>
    </row>
  </sheetData>
  <sheetProtection password="9C6E" sheet="1" objects="1" scenarios="1"/>
  <mergeCells count="14"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M10:Q10"/>
    <mergeCell ref="A19:F19"/>
    <mergeCell ref="H10:L10"/>
    <mergeCell ref="A12:A14"/>
    <mergeCell ref="C5:D5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L93"/>
  <sheetViews>
    <sheetView showGridLines="0" topLeftCell="C43" zoomScale="90" zoomScaleNormal="90" workbookViewId="0">
      <selection activeCell="N86" sqref="N86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0" style="4" hidden="1" customWidth="1"/>
    <col min="10" max="10" width="31.5703125" style="4" hidden="1" customWidth="1"/>
    <col min="11" max="11" width="59.42578125" style="4" hidden="1" customWidth="1"/>
    <col min="12" max="12" width="14.42578125" style="4" hidden="1" customWidth="1"/>
    <col min="13" max="13" width="11.42578125" style="4"/>
    <col min="14" max="14" width="95.85546875" style="4" bestFit="1" customWidth="1"/>
    <col min="15" max="15" width="14.42578125" style="4" customWidth="1"/>
    <col min="16" max="16" width="13.5703125" style="4" customWidth="1"/>
    <col min="17" max="17" width="13.7109375" style="4" customWidth="1"/>
    <col min="18" max="18" width="12.85546875" style="4" bestFit="1" customWidth="1"/>
    <col min="19" max="16384" width="11.42578125" style="4"/>
  </cols>
  <sheetData>
    <row r="1" spans="1:12" x14ac:dyDescent="0.2">
      <c r="C1" s="45"/>
      <c r="D1" s="45" t="s">
        <v>213</v>
      </c>
      <c r="E1" s="45"/>
      <c r="F1" s="45"/>
      <c r="G1" s="45"/>
      <c r="H1" s="45"/>
    </row>
    <row r="2" spans="1:12" x14ac:dyDescent="0.2">
      <c r="C2" s="45"/>
      <c r="D2" s="45" t="s">
        <v>222</v>
      </c>
      <c r="E2" s="45"/>
      <c r="F2" s="45"/>
      <c r="G2" s="45"/>
      <c r="H2" s="45"/>
      <c r="K2" s="45"/>
    </row>
    <row r="3" spans="1:12" x14ac:dyDescent="0.2">
      <c r="C3" s="45"/>
      <c r="E3" s="45"/>
      <c r="F3" s="45"/>
      <c r="G3" s="45"/>
      <c r="H3" s="45"/>
      <c r="K3" s="45"/>
    </row>
    <row r="4" spans="1:12" ht="19.5" customHeight="1" x14ac:dyDescent="0.2">
      <c r="C4" s="278" t="s">
        <v>0</v>
      </c>
      <c r="D4" s="657" t="s">
        <v>223</v>
      </c>
      <c r="E4" s="658"/>
      <c r="F4" s="45"/>
      <c r="G4" s="45"/>
      <c r="H4" s="45"/>
      <c r="K4" s="45"/>
    </row>
    <row r="5" spans="1:12" x14ac:dyDescent="0.2">
      <c r="B5" s="45"/>
      <c r="C5" s="279"/>
      <c r="D5" s="45"/>
      <c r="E5" s="45"/>
      <c r="F5" s="45"/>
      <c r="G5" s="45"/>
      <c r="H5" s="45"/>
      <c r="K5" s="45"/>
    </row>
    <row r="6" spans="1:12" x14ac:dyDescent="0.2">
      <c r="B6" s="45"/>
      <c r="C6" s="279"/>
      <c r="D6" s="45"/>
      <c r="E6" s="45"/>
      <c r="F6" s="45"/>
      <c r="G6" s="45"/>
      <c r="H6" s="45"/>
      <c r="K6" s="45"/>
    </row>
    <row r="7" spans="1:12" x14ac:dyDescent="0.2">
      <c r="C7" s="6"/>
      <c r="K7" s="45"/>
    </row>
    <row r="8" spans="1:12" ht="15.75" x14ac:dyDescent="0.2">
      <c r="A8" s="630" t="s">
        <v>160</v>
      </c>
      <c r="B8" s="630"/>
      <c r="C8" s="630"/>
      <c r="D8" s="279"/>
      <c r="G8" s="4"/>
      <c r="K8" s="1"/>
    </row>
    <row r="9" spans="1:12" x14ac:dyDescent="0.2">
      <c r="K9" s="45"/>
    </row>
    <row r="10" spans="1:12" ht="12.75" customHeight="1" x14ac:dyDescent="0.2">
      <c r="A10" s="668" t="s">
        <v>116</v>
      </c>
      <c r="B10" s="676" t="s">
        <v>76</v>
      </c>
      <c r="C10" s="674" t="s">
        <v>77</v>
      </c>
      <c r="D10" s="671" t="s">
        <v>78</v>
      </c>
      <c r="E10" s="670" t="s">
        <v>79</v>
      </c>
      <c r="F10" s="670"/>
      <c r="G10" s="670"/>
      <c r="H10" s="672" t="s">
        <v>143</v>
      </c>
      <c r="I10" s="683" t="s">
        <v>75</v>
      </c>
      <c r="J10" s="684"/>
      <c r="K10" s="684"/>
      <c r="L10" s="685"/>
    </row>
    <row r="11" spans="1:12" ht="25.5" x14ac:dyDescent="0.2">
      <c r="A11" s="669"/>
      <c r="B11" s="677"/>
      <c r="C11" s="675"/>
      <c r="D11" s="671"/>
      <c r="E11" s="310" t="s">
        <v>67</v>
      </c>
      <c r="F11" s="311" t="s">
        <v>68</v>
      </c>
      <c r="G11" s="312" t="s">
        <v>6</v>
      </c>
      <c r="H11" s="673"/>
      <c r="I11" s="686"/>
      <c r="J11" s="687"/>
      <c r="K11" s="687"/>
      <c r="L11" s="688"/>
    </row>
    <row r="12" spans="1:12" ht="15.75" customHeight="1" x14ac:dyDescent="0.2">
      <c r="A12" s="680" t="str">
        <f>+'B) Reajuste Tarifas y Ocupación'!A12</f>
        <v>Jardín Infantil Olitas de Mar</v>
      </c>
      <c r="B12" s="57"/>
      <c r="C12" s="296" t="s">
        <v>11</v>
      </c>
      <c r="D12" s="305">
        <f>SUM(D13,D18)</f>
        <v>37848789.67835439</v>
      </c>
      <c r="E12" s="306"/>
      <c r="F12" s="306"/>
      <c r="G12" s="313">
        <f>SUM(G13,G18)</f>
        <v>16439220</v>
      </c>
      <c r="H12" s="303">
        <f>SUM(H13,H18)</f>
        <v>54288009.67835439</v>
      </c>
      <c r="I12" s="659"/>
      <c r="J12" s="660"/>
      <c r="K12" s="660"/>
      <c r="L12" s="661"/>
    </row>
    <row r="13" spans="1:12" x14ac:dyDescent="0.2">
      <c r="A13" s="681"/>
      <c r="B13" s="58"/>
      <c r="C13" s="292" t="s">
        <v>12</v>
      </c>
      <c r="D13" s="294">
        <f>SUM(D14:D17)</f>
        <v>31353017.67835439</v>
      </c>
      <c r="E13" s="295"/>
      <c r="F13" s="295"/>
      <c r="G13" s="314">
        <f>SUM(G14:G17)</f>
        <v>0</v>
      </c>
      <c r="H13" s="299">
        <f>SUM(H14:H17)</f>
        <v>31353017.67835439</v>
      </c>
      <c r="I13" s="659"/>
      <c r="J13" s="660"/>
      <c r="K13" s="660"/>
      <c r="L13" s="661"/>
    </row>
    <row r="14" spans="1:12" x14ac:dyDescent="0.2">
      <c r="A14" s="681"/>
      <c r="B14" s="59">
        <v>53103040100000</v>
      </c>
      <c r="C14" s="286" t="s">
        <v>97</v>
      </c>
      <c r="D14" s="320">
        <f>+'F) Remuneraciones'!L11</f>
        <v>30913654.67835439</v>
      </c>
      <c r="E14" s="315">
        <v>0</v>
      </c>
      <c r="F14" s="316">
        <v>0</v>
      </c>
      <c r="G14" s="304">
        <f>E14*F14</f>
        <v>0</v>
      </c>
      <c r="H14" s="298">
        <f>D14+G14</f>
        <v>30913654.67835439</v>
      </c>
      <c r="I14" s="659"/>
      <c r="J14" s="660"/>
      <c r="K14" s="660"/>
      <c r="L14" s="661"/>
    </row>
    <row r="15" spans="1:12" x14ac:dyDescent="0.2">
      <c r="A15" s="681"/>
      <c r="B15" s="59">
        <v>53103050000000</v>
      </c>
      <c r="C15" s="286" t="s">
        <v>179</v>
      </c>
      <c r="D15" s="289">
        <v>0</v>
      </c>
      <c r="E15" s="291">
        <v>0</v>
      </c>
      <c r="F15" s="290">
        <v>0</v>
      </c>
      <c r="G15" s="304">
        <f>E15*F15</f>
        <v>0</v>
      </c>
      <c r="H15" s="298">
        <f>D15+G15</f>
        <v>0</v>
      </c>
      <c r="I15" s="659"/>
      <c r="J15" s="660"/>
      <c r="K15" s="660"/>
      <c r="L15" s="661"/>
    </row>
    <row r="16" spans="1:12" x14ac:dyDescent="0.2">
      <c r="A16" s="681"/>
      <c r="B16" s="317">
        <v>53103040400000</v>
      </c>
      <c r="C16" s="318" t="s">
        <v>180</v>
      </c>
      <c r="D16" s="289">
        <v>439363</v>
      </c>
      <c r="E16" s="291">
        <v>0</v>
      </c>
      <c r="F16" s="290">
        <v>0</v>
      </c>
      <c r="G16" s="304">
        <f>E16*F16</f>
        <v>0</v>
      </c>
      <c r="H16" s="298">
        <f>D16+G16</f>
        <v>439363</v>
      </c>
      <c r="I16" s="659"/>
      <c r="J16" s="660"/>
      <c r="K16" s="660"/>
      <c r="L16" s="661"/>
    </row>
    <row r="17" spans="1:12" x14ac:dyDescent="0.2">
      <c r="A17" s="681"/>
      <c r="B17" s="59">
        <v>53103080010000</v>
      </c>
      <c r="C17" s="286" t="s">
        <v>181</v>
      </c>
      <c r="D17" s="289">
        <v>0</v>
      </c>
      <c r="E17" s="291">
        <v>0</v>
      </c>
      <c r="F17" s="290">
        <v>0</v>
      </c>
      <c r="G17" s="304">
        <f>E17*F17</f>
        <v>0</v>
      </c>
      <c r="H17" s="298">
        <f>D17+G17</f>
        <v>0</v>
      </c>
      <c r="I17" s="659"/>
      <c r="J17" s="660"/>
      <c r="K17" s="660"/>
      <c r="L17" s="661"/>
    </row>
    <row r="18" spans="1:12" x14ac:dyDescent="0.2">
      <c r="A18" s="681"/>
      <c r="B18" s="58"/>
      <c r="C18" s="292" t="s">
        <v>16</v>
      </c>
      <c r="D18" s="294">
        <f>SUM(D19:D38)</f>
        <v>6495772</v>
      </c>
      <c r="E18" s="295"/>
      <c r="F18" s="295"/>
      <c r="G18" s="294">
        <f>SUM(G19:G38)</f>
        <v>16439220</v>
      </c>
      <c r="H18" s="299">
        <f>SUM(H19:H38)</f>
        <v>22934992</v>
      </c>
      <c r="I18" s="659"/>
      <c r="J18" s="660"/>
      <c r="K18" s="660"/>
      <c r="L18" s="661"/>
    </row>
    <row r="19" spans="1:12" x14ac:dyDescent="0.2">
      <c r="A19" s="681"/>
      <c r="B19" s="59">
        <v>53201010100000</v>
      </c>
      <c r="C19" s="285" t="s">
        <v>182</v>
      </c>
      <c r="D19" s="289">
        <v>0</v>
      </c>
      <c r="E19" s="291">
        <v>1785</v>
      </c>
      <c r="F19" s="290">
        <f>6*21*11</f>
        <v>1386</v>
      </c>
      <c r="G19" s="304">
        <f t="shared" ref="G19:G38" si="0">E19*F19</f>
        <v>2474010</v>
      </c>
      <c r="H19" s="298">
        <f t="shared" ref="H19:H38" si="1">D19+G19</f>
        <v>2474010</v>
      </c>
      <c r="I19" s="659"/>
      <c r="J19" s="660"/>
      <c r="K19" s="660"/>
      <c r="L19" s="661"/>
    </row>
    <row r="20" spans="1:12" x14ac:dyDescent="0.2">
      <c r="A20" s="681"/>
      <c r="B20" s="59">
        <v>53201010100000</v>
      </c>
      <c r="C20" s="285" t="s">
        <v>183</v>
      </c>
      <c r="D20" s="289">
        <v>0</v>
      </c>
      <c r="E20" s="291">
        <v>890</v>
      </c>
      <c r="F20" s="290">
        <f>(65*21*10)+(21*25)</f>
        <v>14175</v>
      </c>
      <c r="G20" s="304">
        <f t="shared" ref="G20:G21" si="2">E20*F20</f>
        <v>12615750</v>
      </c>
      <c r="H20" s="298">
        <f t="shared" ref="H20:H21" si="3">D20+G20</f>
        <v>12615750</v>
      </c>
      <c r="I20" s="281"/>
      <c r="J20" s="282"/>
      <c r="K20" s="282"/>
      <c r="L20" s="283"/>
    </row>
    <row r="21" spans="1:12" x14ac:dyDescent="0.2">
      <c r="A21" s="681"/>
      <c r="B21" s="59">
        <v>53201010100000</v>
      </c>
      <c r="C21" s="285" t="s">
        <v>184</v>
      </c>
      <c r="D21" s="289">
        <v>0</v>
      </c>
      <c r="E21" s="291">
        <v>1785</v>
      </c>
      <c r="F21" s="290">
        <f>4*9*21</f>
        <v>756</v>
      </c>
      <c r="G21" s="304">
        <f t="shared" si="2"/>
        <v>1349460</v>
      </c>
      <c r="H21" s="298">
        <f t="shared" si="3"/>
        <v>1349460</v>
      </c>
      <c r="I21" s="281"/>
      <c r="J21" s="282"/>
      <c r="K21" s="282"/>
      <c r="L21" s="283"/>
    </row>
    <row r="22" spans="1:12" x14ac:dyDescent="0.2">
      <c r="A22" s="681"/>
      <c r="B22" s="59">
        <v>53202010100000</v>
      </c>
      <c r="C22" s="285" t="s">
        <v>185</v>
      </c>
      <c r="D22" s="289">
        <v>1195254</v>
      </c>
      <c r="E22" s="291">
        <v>0</v>
      </c>
      <c r="F22" s="290">
        <v>0</v>
      </c>
      <c r="G22" s="304">
        <f t="shared" si="0"/>
        <v>0</v>
      </c>
      <c r="H22" s="298">
        <f t="shared" si="1"/>
        <v>1195254</v>
      </c>
      <c r="I22" s="659"/>
      <c r="J22" s="660"/>
      <c r="K22" s="660"/>
      <c r="L22" s="661"/>
    </row>
    <row r="23" spans="1:12" x14ac:dyDescent="0.2">
      <c r="A23" s="681"/>
      <c r="B23" s="59">
        <v>53203010100000</v>
      </c>
      <c r="C23" s="285" t="s">
        <v>19</v>
      </c>
      <c r="D23" s="289">
        <v>60000</v>
      </c>
      <c r="E23" s="291">
        <v>0</v>
      </c>
      <c r="F23" s="290">
        <v>0</v>
      </c>
      <c r="G23" s="304">
        <f t="shared" si="0"/>
        <v>0</v>
      </c>
      <c r="H23" s="298">
        <f t="shared" si="1"/>
        <v>60000</v>
      </c>
      <c r="I23" s="659"/>
      <c r="J23" s="660"/>
      <c r="K23" s="660"/>
      <c r="L23" s="661"/>
    </row>
    <row r="24" spans="1:12" x14ac:dyDescent="0.2">
      <c r="A24" s="681"/>
      <c r="B24" s="59">
        <v>53203030000000</v>
      </c>
      <c r="C24" s="285" t="s">
        <v>186</v>
      </c>
      <c r="D24" s="289">
        <v>0</v>
      </c>
      <c r="E24" s="291">
        <v>0</v>
      </c>
      <c r="F24" s="290">
        <v>0</v>
      </c>
      <c r="G24" s="304">
        <f t="shared" si="0"/>
        <v>0</v>
      </c>
      <c r="H24" s="298">
        <f t="shared" si="1"/>
        <v>0</v>
      </c>
      <c r="I24" s="659"/>
      <c r="J24" s="660"/>
      <c r="K24" s="660"/>
      <c r="L24" s="661"/>
    </row>
    <row r="25" spans="1:12" x14ac:dyDescent="0.2">
      <c r="A25" s="681"/>
      <c r="B25" s="59">
        <v>53204030000000</v>
      </c>
      <c r="C25" s="286" t="s">
        <v>187</v>
      </c>
      <c r="D25" s="289">
        <v>25000</v>
      </c>
      <c r="E25" s="291">
        <v>0</v>
      </c>
      <c r="F25" s="290">
        <v>0</v>
      </c>
      <c r="G25" s="304">
        <f t="shared" si="0"/>
        <v>0</v>
      </c>
      <c r="H25" s="298">
        <f>D25+G25</f>
        <v>25000</v>
      </c>
      <c r="I25" s="659"/>
      <c r="J25" s="660"/>
      <c r="K25" s="660"/>
      <c r="L25" s="661"/>
    </row>
    <row r="26" spans="1:12" x14ac:dyDescent="0.2">
      <c r="A26" s="681"/>
      <c r="B26" s="59">
        <v>53204100100001</v>
      </c>
      <c r="C26" s="286" t="s">
        <v>22</v>
      </c>
      <c r="D26" s="289">
        <v>194392</v>
      </c>
      <c r="E26" s="291">
        <v>0</v>
      </c>
      <c r="F26" s="290">
        <v>0</v>
      </c>
      <c r="G26" s="304">
        <f t="shared" si="0"/>
        <v>0</v>
      </c>
      <c r="H26" s="298">
        <f t="shared" si="1"/>
        <v>194392</v>
      </c>
      <c r="I26" s="659"/>
      <c r="J26" s="660"/>
      <c r="K26" s="660"/>
      <c r="L26" s="661"/>
    </row>
    <row r="27" spans="1:12" x14ac:dyDescent="0.2">
      <c r="A27" s="681"/>
      <c r="B27" s="59">
        <v>53204130100000</v>
      </c>
      <c r="C27" s="286" t="s">
        <v>189</v>
      </c>
      <c r="D27" s="289">
        <v>0</v>
      </c>
      <c r="E27" s="291">
        <v>0</v>
      </c>
      <c r="F27" s="290">
        <v>0</v>
      </c>
      <c r="G27" s="304">
        <f t="shared" si="0"/>
        <v>0</v>
      </c>
      <c r="H27" s="298">
        <f t="shared" si="1"/>
        <v>0</v>
      </c>
      <c r="I27" s="659"/>
      <c r="J27" s="660"/>
      <c r="K27" s="660"/>
      <c r="L27" s="661"/>
    </row>
    <row r="28" spans="1:12" x14ac:dyDescent="0.2">
      <c r="A28" s="681"/>
      <c r="B28" s="59">
        <v>53205010100000</v>
      </c>
      <c r="C28" s="286" t="s">
        <v>24</v>
      </c>
      <c r="D28" s="289">
        <v>778060</v>
      </c>
      <c r="E28" s="291">
        <v>0</v>
      </c>
      <c r="F28" s="290">
        <v>0</v>
      </c>
      <c r="G28" s="304">
        <f t="shared" si="0"/>
        <v>0</v>
      </c>
      <c r="H28" s="298">
        <f t="shared" si="1"/>
        <v>778060</v>
      </c>
      <c r="I28" s="659"/>
      <c r="J28" s="660"/>
      <c r="K28" s="660"/>
      <c r="L28" s="661"/>
    </row>
    <row r="29" spans="1:12" x14ac:dyDescent="0.2">
      <c r="A29" s="681"/>
      <c r="B29" s="59">
        <v>53205020100000</v>
      </c>
      <c r="C29" s="286" t="s">
        <v>25</v>
      </c>
      <c r="D29" s="289">
        <v>1008888</v>
      </c>
      <c r="E29" s="291">
        <v>0</v>
      </c>
      <c r="F29" s="290">
        <v>0</v>
      </c>
      <c r="G29" s="304">
        <f t="shared" si="0"/>
        <v>0</v>
      </c>
      <c r="H29" s="298">
        <f t="shared" si="1"/>
        <v>1008888</v>
      </c>
      <c r="I29" s="659"/>
      <c r="J29" s="660"/>
      <c r="K29" s="660"/>
      <c r="L29" s="661"/>
    </row>
    <row r="30" spans="1:12" x14ac:dyDescent="0.2">
      <c r="A30" s="681"/>
      <c r="B30" s="59">
        <v>53205030100000</v>
      </c>
      <c r="C30" s="286" t="s">
        <v>26</v>
      </c>
      <c r="D30" s="289">
        <v>1033868</v>
      </c>
      <c r="E30" s="291">
        <v>0</v>
      </c>
      <c r="F30" s="290">
        <v>0</v>
      </c>
      <c r="G30" s="304">
        <f t="shared" si="0"/>
        <v>0</v>
      </c>
      <c r="H30" s="298">
        <f t="shared" si="1"/>
        <v>1033868</v>
      </c>
      <c r="I30" s="659"/>
      <c r="J30" s="660"/>
      <c r="K30" s="660"/>
      <c r="L30" s="661"/>
    </row>
    <row r="31" spans="1:12" x14ac:dyDescent="0.2">
      <c r="A31" s="681"/>
      <c r="B31" s="59">
        <v>53205050100000</v>
      </c>
      <c r="C31" s="286" t="s">
        <v>27</v>
      </c>
      <c r="D31" s="289">
        <v>0</v>
      </c>
      <c r="E31" s="291">
        <v>0</v>
      </c>
      <c r="F31" s="290">
        <v>0</v>
      </c>
      <c r="G31" s="304">
        <f t="shared" si="0"/>
        <v>0</v>
      </c>
      <c r="H31" s="298">
        <f t="shared" si="1"/>
        <v>0</v>
      </c>
      <c r="I31" s="659"/>
      <c r="J31" s="660"/>
      <c r="K31" s="660"/>
      <c r="L31" s="661"/>
    </row>
    <row r="32" spans="1:12" x14ac:dyDescent="0.2">
      <c r="A32" s="681"/>
      <c r="B32" s="59">
        <v>53205070100000</v>
      </c>
      <c r="C32" s="286" t="s">
        <v>29</v>
      </c>
      <c r="D32" s="289">
        <v>0</v>
      </c>
      <c r="E32" s="291">
        <v>0</v>
      </c>
      <c r="F32" s="290">
        <v>0</v>
      </c>
      <c r="G32" s="304">
        <f t="shared" si="0"/>
        <v>0</v>
      </c>
      <c r="H32" s="298">
        <f t="shared" si="1"/>
        <v>0</v>
      </c>
      <c r="I32" s="659"/>
      <c r="J32" s="660"/>
      <c r="K32" s="660"/>
      <c r="L32" s="661"/>
    </row>
    <row r="33" spans="1:12" x14ac:dyDescent="0.2">
      <c r="A33" s="681"/>
      <c r="B33" s="59">
        <v>53208010100000</v>
      </c>
      <c r="C33" s="286" t="s">
        <v>30</v>
      </c>
      <c r="D33" s="289">
        <v>0</v>
      </c>
      <c r="E33" s="291">
        <v>0</v>
      </c>
      <c r="F33" s="290">
        <v>0</v>
      </c>
      <c r="G33" s="304">
        <f t="shared" si="0"/>
        <v>0</v>
      </c>
      <c r="H33" s="298">
        <f t="shared" si="1"/>
        <v>0</v>
      </c>
      <c r="I33" s="659"/>
      <c r="J33" s="660"/>
      <c r="K33" s="660"/>
      <c r="L33" s="661"/>
    </row>
    <row r="34" spans="1:12" x14ac:dyDescent="0.2">
      <c r="A34" s="681"/>
      <c r="B34" s="59">
        <v>53208070100001</v>
      </c>
      <c r="C34" s="286" t="s">
        <v>31</v>
      </c>
      <c r="D34" s="289">
        <v>0</v>
      </c>
      <c r="E34" s="291">
        <v>0</v>
      </c>
      <c r="F34" s="290">
        <v>0</v>
      </c>
      <c r="G34" s="304">
        <f t="shared" si="0"/>
        <v>0</v>
      </c>
      <c r="H34" s="298">
        <f t="shared" si="1"/>
        <v>0</v>
      </c>
      <c r="I34" s="659"/>
      <c r="J34" s="660"/>
      <c r="K34" s="660"/>
      <c r="L34" s="661"/>
    </row>
    <row r="35" spans="1:12" x14ac:dyDescent="0.2">
      <c r="A35" s="681"/>
      <c r="B35" s="59">
        <v>53208100100001</v>
      </c>
      <c r="C35" s="286" t="s">
        <v>190</v>
      </c>
      <c r="D35" s="289">
        <v>0</v>
      </c>
      <c r="E35" s="291">
        <v>0</v>
      </c>
      <c r="F35" s="290">
        <v>0</v>
      </c>
      <c r="G35" s="304">
        <f t="shared" si="0"/>
        <v>0</v>
      </c>
      <c r="H35" s="298">
        <f t="shared" si="1"/>
        <v>0</v>
      </c>
      <c r="I35" s="659"/>
      <c r="J35" s="660"/>
      <c r="K35" s="660"/>
      <c r="L35" s="661"/>
    </row>
    <row r="36" spans="1:12" x14ac:dyDescent="0.2">
      <c r="A36" s="681"/>
      <c r="B36" s="59">
        <v>53211030000000</v>
      </c>
      <c r="C36" s="286" t="s">
        <v>32</v>
      </c>
      <c r="D36" s="289">
        <v>0</v>
      </c>
      <c r="E36" s="291">
        <v>0</v>
      </c>
      <c r="F36" s="290">
        <v>0</v>
      </c>
      <c r="G36" s="304">
        <f t="shared" si="0"/>
        <v>0</v>
      </c>
      <c r="H36" s="298">
        <f t="shared" si="1"/>
        <v>0</v>
      </c>
      <c r="I36" s="659"/>
      <c r="J36" s="660"/>
      <c r="K36" s="660"/>
      <c r="L36" s="661"/>
    </row>
    <row r="37" spans="1:12" x14ac:dyDescent="0.2">
      <c r="A37" s="681"/>
      <c r="B37" s="59">
        <v>53212020100000</v>
      </c>
      <c r="C37" s="286" t="s">
        <v>191</v>
      </c>
      <c r="D37" s="289">
        <v>2045320</v>
      </c>
      <c r="E37" s="291"/>
      <c r="F37" s="290"/>
      <c r="G37" s="304">
        <f t="shared" si="0"/>
        <v>0</v>
      </c>
      <c r="H37" s="298">
        <f t="shared" si="1"/>
        <v>2045320</v>
      </c>
      <c r="I37" s="659"/>
      <c r="J37" s="660"/>
      <c r="K37" s="660"/>
      <c r="L37" s="661"/>
    </row>
    <row r="38" spans="1:12" x14ac:dyDescent="0.2">
      <c r="A38" s="681"/>
      <c r="B38" s="59">
        <v>53214020000000</v>
      </c>
      <c r="C38" s="286" t="s">
        <v>192</v>
      </c>
      <c r="D38" s="289">
        <v>154990</v>
      </c>
      <c r="E38" s="291">
        <v>0</v>
      </c>
      <c r="F38" s="290">
        <v>0</v>
      </c>
      <c r="G38" s="304">
        <f t="shared" si="0"/>
        <v>0</v>
      </c>
      <c r="H38" s="298">
        <f t="shared" si="1"/>
        <v>154990</v>
      </c>
      <c r="I38" s="659"/>
      <c r="J38" s="660"/>
      <c r="K38" s="660"/>
      <c r="L38" s="661"/>
    </row>
    <row r="39" spans="1:12" ht="15.75" customHeight="1" x14ac:dyDescent="0.2">
      <c r="A39" s="681"/>
      <c r="B39" s="57"/>
      <c r="C39" s="296" t="s">
        <v>34</v>
      </c>
      <c r="D39" s="305">
        <v>0</v>
      </c>
      <c r="E39" s="306"/>
      <c r="F39" s="306"/>
      <c r="G39" s="305">
        <f>SUM(G40,G45,G47,G56,G65,G73)</f>
        <v>2001922</v>
      </c>
      <c r="H39" s="300">
        <f>SUM(H40,H45,H47,H56,H65,H73)</f>
        <v>11803166</v>
      </c>
      <c r="I39" s="659"/>
      <c r="J39" s="660"/>
      <c r="K39" s="660"/>
      <c r="L39" s="661"/>
    </row>
    <row r="40" spans="1:12" x14ac:dyDescent="0.2">
      <c r="A40" s="681"/>
      <c r="B40" s="58"/>
      <c r="C40" s="292" t="s">
        <v>35</v>
      </c>
      <c r="D40" s="294">
        <f>SUM(D41:D44)</f>
        <v>545589</v>
      </c>
      <c r="E40" s="295"/>
      <c r="F40" s="295"/>
      <c r="G40" s="307">
        <f>SUM(G41:G44)</f>
        <v>210804</v>
      </c>
      <c r="H40" s="301">
        <f>SUM(H41:H44)</f>
        <v>756393</v>
      </c>
      <c r="I40" s="659"/>
      <c r="J40" s="660"/>
      <c r="K40" s="660"/>
      <c r="L40" s="661"/>
    </row>
    <row r="41" spans="1:12" x14ac:dyDescent="0.2">
      <c r="A41" s="681"/>
      <c r="B41" s="59">
        <v>53202020100000</v>
      </c>
      <c r="C41" s="286" t="s">
        <v>193</v>
      </c>
      <c r="D41" s="289">
        <v>0</v>
      </c>
      <c r="E41" s="291">
        <v>17567</v>
      </c>
      <c r="F41" s="290">
        <v>12</v>
      </c>
      <c r="G41" s="304">
        <f>E41*F41</f>
        <v>210804</v>
      </c>
      <c r="H41" s="298">
        <f t="shared" ref="H41:H74" si="4">D41+G41</f>
        <v>210804</v>
      </c>
      <c r="I41" s="659"/>
      <c r="J41" s="660"/>
      <c r="K41" s="660"/>
      <c r="L41" s="661"/>
    </row>
    <row r="42" spans="1:12" x14ac:dyDescent="0.2">
      <c r="A42" s="681"/>
      <c r="B42" s="59">
        <v>53202030000000</v>
      </c>
      <c r="C42" s="286" t="s">
        <v>194</v>
      </c>
      <c r="D42" s="289">
        <v>0</v>
      </c>
      <c r="E42" s="291">
        <v>0</v>
      </c>
      <c r="F42" s="290">
        <v>0</v>
      </c>
      <c r="G42" s="304">
        <f t="shared" ref="G42:G74" si="5">E42*F42</f>
        <v>0</v>
      </c>
      <c r="H42" s="298">
        <f t="shared" si="4"/>
        <v>0</v>
      </c>
      <c r="I42" s="659"/>
      <c r="J42" s="660"/>
      <c r="K42" s="660"/>
      <c r="L42" s="661"/>
    </row>
    <row r="43" spans="1:12" x14ac:dyDescent="0.2">
      <c r="A43" s="681"/>
      <c r="B43" s="59">
        <v>53211020000000</v>
      </c>
      <c r="C43" s="286" t="s">
        <v>41</v>
      </c>
      <c r="D43" s="289">
        <v>340000</v>
      </c>
      <c r="E43" s="291">
        <v>0</v>
      </c>
      <c r="F43" s="290">
        <v>0</v>
      </c>
      <c r="G43" s="304">
        <f t="shared" si="5"/>
        <v>0</v>
      </c>
      <c r="H43" s="298">
        <f t="shared" si="4"/>
        <v>340000</v>
      </c>
      <c r="I43" s="659"/>
      <c r="J43" s="660"/>
      <c r="K43" s="660"/>
      <c r="L43" s="661"/>
    </row>
    <row r="44" spans="1:12" x14ac:dyDescent="0.2">
      <c r="A44" s="681"/>
      <c r="B44" s="59">
        <v>53101040600000</v>
      </c>
      <c r="C44" s="287" t="s">
        <v>195</v>
      </c>
      <c r="D44" s="289">
        <v>205589</v>
      </c>
      <c r="E44" s="291">
        <v>0</v>
      </c>
      <c r="F44" s="290"/>
      <c r="G44" s="304">
        <f t="shared" si="5"/>
        <v>0</v>
      </c>
      <c r="H44" s="298">
        <f t="shared" si="4"/>
        <v>205589</v>
      </c>
      <c r="I44" s="659"/>
      <c r="J44" s="660"/>
      <c r="K44" s="660"/>
      <c r="L44" s="661"/>
    </row>
    <row r="45" spans="1:12" x14ac:dyDescent="0.2">
      <c r="A45" s="681"/>
      <c r="B45" s="58"/>
      <c r="C45" s="292" t="s">
        <v>42</v>
      </c>
      <c r="D45" s="294">
        <f>SUM(D46:D46)</f>
        <v>0</v>
      </c>
      <c r="E45" s="295"/>
      <c r="F45" s="295"/>
      <c r="G45" s="307">
        <f>SUM(G46:G46)</f>
        <v>0</v>
      </c>
      <c r="H45" s="301">
        <f>SUM(H46:H46)</f>
        <v>0</v>
      </c>
      <c r="I45" s="659"/>
      <c r="J45" s="660"/>
      <c r="K45" s="660"/>
      <c r="L45" s="661"/>
    </row>
    <row r="46" spans="1:12" x14ac:dyDescent="0.2">
      <c r="A46" s="681"/>
      <c r="B46" s="284">
        <v>53205990000000</v>
      </c>
      <c r="C46" s="288" t="s">
        <v>44</v>
      </c>
      <c r="D46" s="289">
        <v>0</v>
      </c>
      <c r="E46" s="291">
        <v>0</v>
      </c>
      <c r="F46" s="290">
        <v>0</v>
      </c>
      <c r="G46" s="304">
        <f t="shared" si="5"/>
        <v>0</v>
      </c>
      <c r="H46" s="298">
        <f t="shared" si="4"/>
        <v>0</v>
      </c>
      <c r="I46" s="659"/>
      <c r="J46" s="660"/>
      <c r="K46" s="660"/>
      <c r="L46" s="661"/>
    </row>
    <row r="47" spans="1:12" x14ac:dyDescent="0.2">
      <c r="A47" s="681"/>
      <c r="B47" s="58"/>
      <c r="C47" s="292" t="s">
        <v>45</v>
      </c>
      <c r="D47" s="294">
        <f>SUM(D48:D55)</f>
        <v>5849859</v>
      </c>
      <c r="E47" s="295"/>
      <c r="F47" s="295"/>
      <c r="G47" s="294">
        <f>SUM(G48:G55)</f>
        <v>57108</v>
      </c>
      <c r="H47" s="299">
        <f>SUM(H48:H55)</f>
        <v>5906967</v>
      </c>
      <c r="I47" s="659"/>
      <c r="J47" s="660"/>
      <c r="K47" s="660"/>
      <c r="L47" s="661"/>
    </row>
    <row r="48" spans="1:12" x14ac:dyDescent="0.2">
      <c r="A48" s="681"/>
      <c r="B48" s="59">
        <v>53204010000000</v>
      </c>
      <c r="C48" s="286" t="s">
        <v>47</v>
      </c>
      <c r="D48" s="289">
        <v>1470696</v>
      </c>
      <c r="E48" s="289">
        <v>0</v>
      </c>
      <c r="F48" s="290">
        <v>0</v>
      </c>
      <c r="G48" s="304">
        <f t="shared" si="5"/>
        <v>0</v>
      </c>
      <c r="H48" s="298">
        <f t="shared" si="4"/>
        <v>1470696</v>
      </c>
      <c r="I48" s="659"/>
      <c r="J48" s="660"/>
      <c r="K48" s="660"/>
      <c r="L48" s="661"/>
    </row>
    <row r="49" spans="1:12" x14ac:dyDescent="0.2">
      <c r="A49" s="681"/>
      <c r="B49" s="284">
        <v>53204040200000</v>
      </c>
      <c r="C49" s="288" t="s">
        <v>204</v>
      </c>
      <c r="D49" s="289"/>
      <c r="E49" s="289">
        <v>14277</v>
      </c>
      <c r="F49" s="290">
        <v>4</v>
      </c>
      <c r="G49" s="304">
        <f t="shared" si="5"/>
        <v>57108</v>
      </c>
      <c r="H49" s="298">
        <f t="shared" si="4"/>
        <v>57108</v>
      </c>
      <c r="I49" s="659"/>
      <c r="J49" s="660"/>
      <c r="K49" s="660"/>
      <c r="L49" s="661"/>
    </row>
    <row r="50" spans="1:12" x14ac:dyDescent="0.2">
      <c r="A50" s="681"/>
      <c r="B50" s="59">
        <v>53204060000000</v>
      </c>
      <c r="C50" s="286" t="s">
        <v>49</v>
      </c>
      <c r="D50" s="289">
        <v>0</v>
      </c>
      <c r="E50" s="289">
        <v>0</v>
      </c>
      <c r="F50" s="290">
        <v>0</v>
      </c>
      <c r="G50" s="304">
        <f t="shared" si="5"/>
        <v>0</v>
      </c>
      <c r="H50" s="298">
        <f t="shared" si="4"/>
        <v>0</v>
      </c>
      <c r="I50" s="659"/>
      <c r="J50" s="660"/>
      <c r="K50" s="660"/>
      <c r="L50" s="661"/>
    </row>
    <row r="51" spans="1:12" x14ac:dyDescent="0.2">
      <c r="A51" s="681"/>
      <c r="B51" s="59">
        <v>53204070000000</v>
      </c>
      <c r="C51" s="286" t="s">
        <v>50</v>
      </c>
      <c r="D51" s="289">
        <v>3324074</v>
      </c>
      <c r="E51" s="289">
        <v>0</v>
      </c>
      <c r="F51" s="290">
        <v>0</v>
      </c>
      <c r="G51" s="304">
        <f t="shared" si="5"/>
        <v>0</v>
      </c>
      <c r="H51" s="298">
        <f t="shared" si="4"/>
        <v>3324074</v>
      </c>
      <c r="I51" s="659"/>
      <c r="J51" s="660"/>
      <c r="K51" s="660"/>
      <c r="L51" s="661"/>
    </row>
    <row r="52" spans="1:12" x14ac:dyDescent="0.2">
      <c r="A52" s="681"/>
      <c r="B52" s="59">
        <v>53204080000000</v>
      </c>
      <c r="C52" s="285" t="s">
        <v>51</v>
      </c>
      <c r="D52" s="289">
        <v>150000</v>
      </c>
      <c r="E52" s="289">
        <v>0</v>
      </c>
      <c r="F52" s="290">
        <v>0</v>
      </c>
      <c r="G52" s="304">
        <f t="shared" si="5"/>
        <v>0</v>
      </c>
      <c r="H52" s="298">
        <f t="shared" si="4"/>
        <v>150000</v>
      </c>
      <c r="I52" s="659"/>
      <c r="J52" s="660"/>
      <c r="K52" s="660"/>
      <c r="L52" s="661"/>
    </row>
    <row r="53" spans="1:12" x14ac:dyDescent="0.2">
      <c r="A53" s="681"/>
      <c r="B53" s="59">
        <v>53214010000000</v>
      </c>
      <c r="C53" s="286" t="s">
        <v>52</v>
      </c>
      <c r="D53" s="289">
        <v>135000</v>
      </c>
      <c r="E53" s="289">
        <v>0</v>
      </c>
      <c r="F53" s="290">
        <v>0</v>
      </c>
      <c r="G53" s="304">
        <f t="shared" si="5"/>
        <v>0</v>
      </c>
      <c r="H53" s="298">
        <f t="shared" si="4"/>
        <v>135000</v>
      </c>
      <c r="I53" s="659"/>
      <c r="J53" s="660"/>
      <c r="K53" s="660"/>
      <c r="L53" s="661"/>
    </row>
    <row r="54" spans="1:12" x14ac:dyDescent="0.2">
      <c r="A54" s="681"/>
      <c r="B54" s="59">
        <v>53214040000000</v>
      </c>
      <c r="C54" s="286" t="s">
        <v>196</v>
      </c>
      <c r="D54" s="289">
        <v>620089</v>
      </c>
      <c r="E54" s="289">
        <v>0</v>
      </c>
      <c r="F54" s="290">
        <v>0</v>
      </c>
      <c r="G54" s="304">
        <f t="shared" si="5"/>
        <v>0</v>
      </c>
      <c r="H54" s="298">
        <f t="shared" si="4"/>
        <v>620089</v>
      </c>
      <c r="I54" s="659"/>
      <c r="J54" s="660"/>
      <c r="K54" s="660"/>
      <c r="L54" s="661"/>
    </row>
    <row r="55" spans="1:12" x14ac:dyDescent="0.2">
      <c r="A55" s="681"/>
      <c r="B55" s="317">
        <v>53204020100000</v>
      </c>
      <c r="C55" s="318" t="s">
        <v>188</v>
      </c>
      <c r="D55" s="289">
        <v>150000</v>
      </c>
      <c r="E55" s="289">
        <v>0</v>
      </c>
      <c r="F55" s="290">
        <v>0</v>
      </c>
      <c r="G55" s="304">
        <f t="shared" si="5"/>
        <v>0</v>
      </c>
      <c r="H55" s="298">
        <f t="shared" si="4"/>
        <v>150000</v>
      </c>
      <c r="I55" s="659"/>
      <c r="J55" s="660"/>
      <c r="K55" s="660"/>
      <c r="L55" s="661"/>
    </row>
    <row r="56" spans="1:12" x14ac:dyDescent="0.2">
      <c r="A56" s="681"/>
      <c r="B56" s="58"/>
      <c r="C56" s="292" t="s">
        <v>55</v>
      </c>
      <c r="D56" s="294">
        <f>SUM(D57:D64)</f>
        <v>2195721</v>
      </c>
      <c r="E56" s="295"/>
      <c r="F56" s="295"/>
      <c r="G56" s="294">
        <f>SUM(G57:G64)</f>
        <v>1010210</v>
      </c>
      <c r="H56" s="299">
        <f>SUM(H57:H64)</f>
        <v>3205931</v>
      </c>
      <c r="I56" s="659"/>
      <c r="J56" s="660"/>
      <c r="K56" s="660"/>
      <c r="L56" s="661"/>
    </row>
    <row r="57" spans="1:12" x14ac:dyDescent="0.2">
      <c r="A57" s="681"/>
      <c r="B57" s="59">
        <v>53207010000000</v>
      </c>
      <c r="C57" s="286" t="s">
        <v>56</v>
      </c>
      <c r="D57" s="289">
        <v>0</v>
      </c>
      <c r="E57" s="289">
        <v>0</v>
      </c>
      <c r="F57" s="290">
        <v>0</v>
      </c>
      <c r="G57" s="304">
        <f t="shared" si="5"/>
        <v>0</v>
      </c>
      <c r="H57" s="298">
        <f t="shared" si="4"/>
        <v>0</v>
      </c>
      <c r="I57" s="659"/>
      <c r="J57" s="660"/>
      <c r="K57" s="660"/>
      <c r="L57" s="661"/>
    </row>
    <row r="58" spans="1:12" x14ac:dyDescent="0.2">
      <c r="A58" s="681"/>
      <c r="B58" s="59">
        <v>53207020000000</v>
      </c>
      <c r="C58" s="286" t="s">
        <v>57</v>
      </c>
      <c r="D58" s="289">
        <v>0</v>
      </c>
      <c r="E58" s="289">
        <v>5955</v>
      </c>
      <c r="F58" s="290">
        <v>78</v>
      </c>
      <c r="G58" s="304">
        <f t="shared" si="5"/>
        <v>464490</v>
      </c>
      <c r="H58" s="298">
        <f t="shared" si="4"/>
        <v>464490</v>
      </c>
      <c r="I58" s="659"/>
      <c r="J58" s="660"/>
      <c r="K58" s="660"/>
      <c r="L58" s="661"/>
    </row>
    <row r="59" spans="1:12" x14ac:dyDescent="0.2">
      <c r="A59" s="681"/>
      <c r="B59" s="59">
        <v>53208020000000</v>
      </c>
      <c r="C59" s="285" t="s">
        <v>178</v>
      </c>
      <c r="D59" s="289">
        <v>0</v>
      </c>
      <c r="E59" s="289">
        <v>0</v>
      </c>
      <c r="F59" s="290">
        <v>0</v>
      </c>
      <c r="G59" s="304">
        <f t="shared" si="5"/>
        <v>0</v>
      </c>
      <c r="H59" s="298">
        <f t="shared" si="4"/>
        <v>0</v>
      </c>
      <c r="I59" s="659"/>
      <c r="J59" s="660"/>
      <c r="K59" s="660"/>
      <c r="L59" s="661"/>
    </row>
    <row r="60" spans="1:12" x14ac:dyDescent="0.2">
      <c r="A60" s="681"/>
      <c r="B60" s="59">
        <v>53208990000000</v>
      </c>
      <c r="C60" s="285" t="s">
        <v>197</v>
      </c>
      <c r="D60" s="289">
        <v>300000</v>
      </c>
      <c r="E60" s="289">
        <v>0</v>
      </c>
      <c r="F60" s="290">
        <v>0</v>
      </c>
      <c r="G60" s="304">
        <f t="shared" si="5"/>
        <v>0</v>
      </c>
      <c r="H60" s="298">
        <f t="shared" si="4"/>
        <v>300000</v>
      </c>
      <c r="I60" s="659"/>
      <c r="J60" s="660"/>
      <c r="K60" s="660"/>
      <c r="L60" s="661"/>
    </row>
    <row r="61" spans="1:12" x14ac:dyDescent="0.2">
      <c r="A61" s="681"/>
      <c r="B61" s="317">
        <v>53210020300000</v>
      </c>
      <c r="C61" s="319" t="s">
        <v>200</v>
      </c>
      <c r="D61" s="289">
        <v>0</v>
      </c>
      <c r="E61" s="289">
        <v>7796</v>
      </c>
      <c r="F61" s="290">
        <v>70</v>
      </c>
      <c r="G61" s="304">
        <f t="shared" si="5"/>
        <v>545720</v>
      </c>
      <c r="H61" s="298">
        <f t="shared" si="4"/>
        <v>545720</v>
      </c>
      <c r="I61" s="659"/>
      <c r="J61" s="660"/>
      <c r="K61" s="660"/>
      <c r="L61" s="661"/>
    </row>
    <row r="62" spans="1:12" x14ac:dyDescent="0.2">
      <c r="A62" s="681"/>
      <c r="B62" s="59">
        <v>53208990000000</v>
      </c>
      <c r="C62" s="285" t="s">
        <v>201</v>
      </c>
      <c r="D62" s="289">
        <v>538037</v>
      </c>
      <c r="E62" s="289">
        <v>0</v>
      </c>
      <c r="F62" s="290">
        <v>0</v>
      </c>
      <c r="G62" s="304">
        <f t="shared" si="5"/>
        <v>0</v>
      </c>
      <c r="H62" s="298">
        <f t="shared" si="4"/>
        <v>538037</v>
      </c>
      <c r="I62" s="659"/>
      <c r="J62" s="660"/>
      <c r="K62" s="660"/>
      <c r="L62" s="661"/>
    </row>
    <row r="63" spans="1:12" x14ac:dyDescent="0.2">
      <c r="A63" s="681"/>
      <c r="B63" s="59">
        <v>53209990000000</v>
      </c>
      <c r="C63" s="285" t="s">
        <v>199</v>
      </c>
      <c r="D63" s="289">
        <v>150000</v>
      </c>
      <c r="E63" s="289">
        <v>0</v>
      </c>
      <c r="F63" s="290">
        <v>0</v>
      </c>
      <c r="G63" s="304">
        <f t="shared" si="5"/>
        <v>0</v>
      </c>
      <c r="H63" s="298">
        <f t="shared" si="4"/>
        <v>150000</v>
      </c>
      <c r="I63" s="659"/>
      <c r="J63" s="660"/>
      <c r="K63" s="660"/>
      <c r="L63" s="661"/>
    </row>
    <row r="64" spans="1:12" x14ac:dyDescent="0.2">
      <c r="A64" s="681"/>
      <c r="B64" s="59">
        <v>53210020100000</v>
      </c>
      <c r="C64" s="286" t="s">
        <v>64</v>
      </c>
      <c r="D64" s="289">
        <v>1207684</v>
      </c>
      <c r="E64" s="289"/>
      <c r="F64" s="290"/>
      <c r="G64" s="304">
        <f t="shared" si="5"/>
        <v>0</v>
      </c>
      <c r="H64" s="298">
        <f t="shared" si="4"/>
        <v>1207684</v>
      </c>
      <c r="I64" s="659"/>
      <c r="J64" s="660"/>
      <c r="K64" s="660"/>
      <c r="L64" s="661"/>
    </row>
    <row r="65" spans="1:12" x14ac:dyDescent="0.2">
      <c r="A65" s="681"/>
      <c r="B65" s="58"/>
      <c r="C65" s="292" t="s">
        <v>65</v>
      </c>
      <c r="D65" s="294">
        <f>SUM(D66:D72)</f>
        <v>1210075</v>
      </c>
      <c r="E65" s="295"/>
      <c r="F65" s="295"/>
      <c r="G65" s="294">
        <f>SUM(G66:G72)</f>
        <v>0</v>
      </c>
      <c r="H65" s="299">
        <f>SUM(H66:H72)</f>
        <v>1210075</v>
      </c>
      <c r="I65" s="659"/>
      <c r="J65" s="660"/>
      <c r="K65" s="660"/>
      <c r="L65" s="661"/>
    </row>
    <row r="66" spans="1:12" x14ac:dyDescent="0.2">
      <c r="A66" s="681"/>
      <c r="B66" s="59">
        <v>53206030000000</v>
      </c>
      <c r="C66" s="286" t="s">
        <v>101</v>
      </c>
      <c r="D66" s="289">
        <v>0</v>
      </c>
      <c r="E66" s="289">
        <v>0</v>
      </c>
      <c r="F66" s="290">
        <v>0</v>
      </c>
      <c r="G66" s="304">
        <f t="shared" si="5"/>
        <v>0</v>
      </c>
      <c r="H66" s="298">
        <f t="shared" si="4"/>
        <v>0</v>
      </c>
      <c r="I66" s="659"/>
      <c r="J66" s="660"/>
      <c r="K66" s="660"/>
      <c r="L66" s="661"/>
    </row>
    <row r="67" spans="1:12" x14ac:dyDescent="0.2">
      <c r="A67" s="681"/>
      <c r="B67" s="59">
        <v>53206040000000</v>
      </c>
      <c r="C67" s="286" t="s">
        <v>102</v>
      </c>
      <c r="D67" s="289">
        <v>0</v>
      </c>
      <c r="E67" s="289">
        <v>0</v>
      </c>
      <c r="F67" s="290">
        <v>0</v>
      </c>
      <c r="G67" s="304">
        <f t="shared" si="5"/>
        <v>0</v>
      </c>
      <c r="H67" s="298">
        <f t="shared" si="4"/>
        <v>0</v>
      </c>
      <c r="I67" s="659"/>
      <c r="J67" s="660"/>
      <c r="K67" s="660"/>
      <c r="L67" s="661"/>
    </row>
    <row r="68" spans="1:12" x14ac:dyDescent="0.2">
      <c r="A68" s="681"/>
      <c r="B68" s="59">
        <v>53206060000000</v>
      </c>
      <c r="C68" s="286" t="s">
        <v>202</v>
      </c>
      <c r="D68" s="289">
        <v>1060075</v>
      </c>
      <c r="E68" s="289">
        <v>0</v>
      </c>
      <c r="F68" s="290">
        <v>0</v>
      </c>
      <c r="G68" s="304">
        <f t="shared" si="5"/>
        <v>0</v>
      </c>
      <c r="H68" s="298">
        <f t="shared" si="4"/>
        <v>1060075</v>
      </c>
      <c r="I68" s="659"/>
      <c r="J68" s="660"/>
      <c r="K68" s="660"/>
      <c r="L68" s="661"/>
    </row>
    <row r="69" spans="1:12" x14ac:dyDescent="0.2">
      <c r="A69" s="681"/>
      <c r="B69" s="59">
        <v>53206070000000</v>
      </c>
      <c r="C69" s="286" t="s">
        <v>104</v>
      </c>
      <c r="D69" s="289">
        <v>0</v>
      </c>
      <c r="E69" s="289">
        <v>0</v>
      </c>
      <c r="F69" s="290">
        <v>0</v>
      </c>
      <c r="G69" s="304">
        <f t="shared" si="5"/>
        <v>0</v>
      </c>
      <c r="H69" s="298">
        <f t="shared" si="4"/>
        <v>0</v>
      </c>
      <c r="I69" s="659"/>
      <c r="J69" s="660"/>
      <c r="K69" s="660"/>
      <c r="L69" s="661"/>
    </row>
    <row r="70" spans="1:12" x14ac:dyDescent="0.2">
      <c r="A70" s="681"/>
      <c r="B70" s="59">
        <v>53206990000000</v>
      </c>
      <c r="C70" s="286" t="s">
        <v>203</v>
      </c>
      <c r="D70" s="289">
        <v>150000</v>
      </c>
      <c r="E70" s="289">
        <v>0</v>
      </c>
      <c r="F70" s="290">
        <v>0</v>
      </c>
      <c r="G70" s="304">
        <f t="shared" si="5"/>
        <v>0</v>
      </c>
      <c r="H70" s="298">
        <f t="shared" si="4"/>
        <v>150000</v>
      </c>
      <c r="I70" s="659"/>
      <c r="J70" s="660"/>
      <c r="K70" s="660"/>
      <c r="L70" s="661"/>
    </row>
    <row r="71" spans="1:12" x14ac:dyDescent="0.2">
      <c r="A71" s="681"/>
      <c r="B71" s="59">
        <v>53208030000000</v>
      </c>
      <c r="C71" s="286" t="s">
        <v>106</v>
      </c>
      <c r="D71" s="289">
        <v>0</v>
      </c>
      <c r="E71" s="289">
        <v>0</v>
      </c>
      <c r="F71" s="290">
        <v>0</v>
      </c>
      <c r="G71" s="304">
        <f t="shared" si="5"/>
        <v>0</v>
      </c>
      <c r="H71" s="298">
        <f t="shared" si="4"/>
        <v>0</v>
      </c>
      <c r="I71" s="659"/>
      <c r="J71" s="660"/>
      <c r="K71" s="660"/>
      <c r="L71" s="661"/>
    </row>
    <row r="72" spans="1:12" x14ac:dyDescent="0.2">
      <c r="A72" s="681"/>
      <c r="B72" s="59">
        <v>53212060000000</v>
      </c>
      <c r="C72" s="286" t="s">
        <v>99</v>
      </c>
      <c r="D72" s="289">
        <v>0</v>
      </c>
      <c r="E72" s="289">
        <v>0</v>
      </c>
      <c r="F72" s="290">
        <v>0</v>
      </c>
      <c r="G72" s="304">
        <f t="shared" si="5"/>
        <v>0</v>
      </c>
      <c r="H72" s="298">
        <f t="shared" si="4"/>
        <v>0</v>
      </c>
      <c r="I72" s="659"/>
      <c r="J72" s="660"/>
      <c r="K72" s="660"/>
      <c r="L72" s="661"/>
    </row>
    <row r="73" spans="1:12" x14ac:dyDescent="0.2">
      <c r="A73" s="681"/>
      <c r="B73" s="58"/>
      <c r="C73" s="292" t="s">
        <v>66</v>
      </c>
      <c r="D73" s="294">
        <f>SUM(D74:D74)</f>
        <v>0</v>
      </c>
      <c r="E73" s="295"/>
      <c r="F73" s="295"/>
      <c r="G73" s="294">
        <f>SUM(G74:G74)</f>
        <v>723800</v>
      </c>
      <c r="H73" s="299">
        <f>SUM(H74:H74)</f>
        <v>723800</v>
      </c>
      <c r="I73" s="659"/>
      <c r="J73" s="660"/>
      <c r="K73" s="660"/>
      <c r="L73" s="661"/>
    </row>
    <row r="74" spans="1:12" x14ac:dyDescent="0.2">
      <c r="A74" s="681"/>
      <c r="B74" s="65">
        <v>53204999000000</v>
      </c>
      <c r="C74" s="293" t="s">
        <v>198</v>
      </c>
      <c r="D74" s="289">
        <v>0</v>
      </c>
      <c r="E74" s="289">
        <v>1034</v>
      </c>
      <c r="F74" s="290">
        <f>70*10</f>
        <v>700</v>
      </c>
      <c r="G74" s="304">
        <f t="shared" si="5"/>
        <v>723800</v>
      </c>
      <c r="H74" s="302">
        <f t="shared" si="4"/>
        <v>723800</v>
      </c>
      <c r="I74" s="662"/>
      <c r="J74" s="663"/>
      <c r="K74" s="663"/>
      <c r="L74" s="664"/>
    </row>
    <row r="75" spans="1:12" collapsed="1" x14ac:dyDescent="0.2">
      <c r="A75" s="682"/>
      <c r="B75" s="67"/>
      <c r="C75" s="297" t="s">
        <v>107</v>
      </c>
      <c r="D75" s="308">
        <f>SUM(D12,D39)</f>
        <v>37848789.67835439</v>
      </c>
      <c r="E75" s="309"/>
      <c r="F75" s="309"/>
      <c r="G75" s="308">
        <f>SUM(G12,G39)</f>
        <v>18441142</v>
      </c>
      <c r="H75" s="68">
        <f>SUM(H12,H39)</f>
        <v>66091175.67835439</v>
      </c>
      <c r="I75" s="665"/>
      <c r="J75" s="666"/>
      <c r="K75" s="666"/>
      <c r="L75" s="667"/>
    </row>
    <row r="76" spans="1:12" ht="15.75" customHeight="1" x14ac:dyDescent="0.2">
      <c r="A76" s="678" t="s">
        <v>111</v>
      </c>
      <c r="B76" s="678"/>
      <c r="C76" s="678"/>
      <c r="D76" s="678"/>
      <c r="E76" s="678"/>
      <c r="F76" s="678"/>
      <c r="G76" s="679"/>
      <c r="H76" s="66">
        <f>+H75</f>
        <v>66091175.67835439</v>
      </c>
    </row>
    <row r="79" spans="1:12" x14ac:dyDescent="0.2">
      <c r="H79" s="581">
        <f>+H76-'F) Remuneraciones'!L32</f>
        <v>35177521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sheetProtection password="9C6E" sheet="1" objects="1" scenarios="1"/>
  <mergeCells count="73">
    <mergeCell ref="A76:G76"/>
    <mergeCell ref="A8:C8"/>
    <mergeCell ref="A12:A75"/>
    <mergeCell ref="I44:L44"/>
    <mergeCell ref="I10:L11"/>
    <mergeCell ref="I12:L12"/>
    <mergeCell ref="I13:L13"/>
    <mergeCell ref="I14:L14"/>
    <mergeCell ref="I15:L15"/>
    <mergeCell ref="I16:L16"/>
    <mergeCell ref="I17:L17"/>
    <mergeCell ref="I18:L18"/>
    <mergeCell ref="I19:L19"/>
    <mergeCell ref="I31:L31"/>
    <mergeCell ref="I40:L40"/>
    <mergeCell ref="I41:L41"/>
    <mergeCell ref="I42:L42"/>
    <mergeCell ref="I43:L43"/>
    <mergeCell ref="I46:L46"/>
    <mergeCell ref="I22:L22"/>
    <mergeCell ref="B10:B11"/>
    <mergeCell ref="I23:L23"/>
    <mergeCell ref="I24:L24"/>
    <mergeCell ref="I25:L25"/>
    <mergeCell ref="I26:L26"/>
    <mergeCell ref="I27:L27"/>
    <mergeCell ref="I28:L28"/>
    <mergeCell ref="I29:L29"/>
    <mergeCell ref="I30:L30"/>
    <mergeCell ref="A10:A11"/>
    <mergeCell ref="E10:G10"/>
    <mergeCell ref="D10:D11"/>
    <mergeCell ref="H10:H11"/>
    <mergeCell ref="C10:C11"/>
    <mergeCell ref="I70:L70"/>
    <mergeCell ref="I71:L71"/>
    <mergeCell ref="I45:L45"/>
    <mergeCell ref="I32:L32"/>
    <mergeCell ref="I33:L33"/>
    <mergeCell ref="I34:L34"/>
    <mergeCell ref="I35:L35"/>
    <mergeCell ref="I36:L36"/>
    <mergeCell ref="I37:L37"/>
    <mergeCell ref="I38:L38"/>
    <mergeCell ref="I39:L39"/>
    <mergeCell ref="I54:L54"/>
    <mergeCell ref="I55:L55"/>
    <mergeCell ref="I56:L56"/>
    <mergeCell ref="I57:L57"/>
    <mergeCell ref="I58:L58"/>
    <mergeCell ref="I50:L50"/>
    <mergeCell ref="I51:L51"/>
    <mergeCell ref="I52:L52"/>
    <mergeCell ref="I53:L53"/>
    <mergeCell ref="I61:L61"/>
    <mergeCell ref="I59:L59"/>
    <mergeCell ref="I60:L60"/>
    <mergeCell ref="D4:E4"/>
    <mergeCell ref="I72:L72"/>
    <mergeCell ref="I73:L73"/>
    <mergeCell ref="I74:L74"/>
    <mergeCell ref="I75:L75"/>
    <mergeCell ref="I62:L62"/>
    <mergeCell ref="I63:L63"/>
    <mergeCell ref="I64:L64"/>
    <mergeCell ref="I65:L65"/>
    <mergeCell ref="I66:L66"/>
    <mergeCell ref="I67:L67"/>
    <mergeCell ref="I68:L68"/>
    <mergeCell ref="I69:L69"/>
    <mergeCell ref="I47:L47"/>
    <mergeCell ref="I48:L48"/>
    <mergeCell ref="I49:L4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M37" zoomScale="90" zoomScaleNormal="90" workbookViewId="0">
      <selection activeCell="W71" sqref="W71"/>
    </sheetView>
  </sheetViews>
  <sheetFormatPr baseColWidth="10" defaultColWidth="11.42578125" defaultRowHeight="12.75" x14ac:dyDescent="0.2"/>
  <cols>
    <col min="1" max="1" width="11.5703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214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207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121" t="s">
        <v>0</v>
      </c>
      <c r="E4" s="193" t="str">
        <f>+'B) Reajuste Tarifas y Ocupación'!F5</f>
        <v>DELBIENSAN (S.)</v>
      </c>
      <c r="F4" s="73"/>
      <c r="G4" s="74"/>
      <c r="H4" s="74"/>
      <c r="I4" s="74"/>
      <c r="J4" s="74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122"/>
      <c r="E5" s="125"/>
      <c r="F5" s="125"/>
      <c r="G5" s="125"/>
      <c r="H5" s="125"/>
      <c r="I5" s="125"/>
      <c r="J5" s="125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122"/>
      <c r="E6" s="125"/>
      <c r="F6" s="125"/>
      <c r="G6" s="125"/>
      <c r="H6" s="125"/>
      <c r="I6" s="125"/>
      <c r="J6" s="125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221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3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224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225"/>
    </row>
    <row r="9" spans="1:242" ht="15.75" customHeight="1" x14ac:dyDescent="0.2">
      <c r="A9" s="689" t="s">
        <v>161</v>
      </c>
      <c r="B9" s="689"/>
      <c r="C9" s="689"/>
      <c r="D9" s="689"/>
      <c r="E9" s="689"/>
      <c r="F9" s="689"/>
      <c r="G9" s="689"/>
      <c r="H9" s="689"/>
      <c r="I9" s="124"/>
      <c r="J9" s="124"/>
      <c r="K9" s="124"/>
      <c r="L9" s="124"/>
      <c r="M9" s="690" t="s">
        <v>162</v>
      </c>
      <c r="N9" s="690"/>
      <c r="O9" s="690"/>
      <c r="P9" s="690"/>
      <c r="Q9" s="690"/>
      <c r="R9" s="690"/>
      <c r="S9" s="690"/>
      <c r="U9" s="690" t="s">
        <v>163</v>
      </c>
      <c r="V9" s="690"/>
      <c r="W9" s="690"/>
      <c r="X9" s="159"/>
      <c r="Y9" s="226"/>
      <c r="Z9" s="690" t="s">
        <v>220</v>
      </c>
      <c r="AA9" s="690"/>
      <c r="AB9" s="690"/>
      <c r="AC9" s="690"/>
      <c r="AD9" s="690"/>
      <c r="AE9" s="690"/>
      <c r="AF9" s="159"/>
      <c r="AG9" s="690" t="s">
        <v>165</v>
      </c>
      <c r="AH9" s="690"/>
      <c r="AI9" s="690"/>
      <c r="AJ9" s="690"/>
      <c r="AK9" s="690"/>
      <c r="AL9" s="690"/>
      <c r="AM9" s="40"/>
      <c r="AN9" s="690" t="s">
        <v>166</v>
      </c>
      <c r="AO9" s="690"/>
      <c r="AP9" s="690"/>
      <c r="AQ9" s="690"/>
      <c r="AR9" s="690"/>
      <c r="AS9" s="690"/>
      <c r="AT9" s="225"/>
    </row>
    <row r="10" spans="1:242" ht="13.5" customHeight="1" x14ac:dyDescent="0.2">
      <c r="B10" s="24"/>
      <c r="C10" s="122"/>
      <c r="D10" s="122"/>
      <c r="E10" s="125"/>
      <c r="F10" s="125"/>
      <c r="G10" s="125"/>
      <c r="H10" s="125"/>
      <c r="I10" s="125"/>
      <c r="J10" s="125"/>
      <c r="M10" s="690"/>
      <c r="N10" s="690"/>
      <c r="O10" s="690"/>
      <c r="P10" s="690"/>
      <c r="Q10" s="690"/>
      <c r="R10" s="690"/>
      <c r="S10" s="690"/>
      <c r="U10" s="690"/>
      <c r="V10" s="690"/>
      <c r="W10" s="690"/>
      <c r="Y10" s="224"/>
      <c r="Z10" s="690"/>
      <c r="AA10" s="690"/>
      <c r="AB10" s="690"/>
      <c r="AC10" s="690"/>
      <c r="AD10" s="690"/>
      <c r="AE10" s="690"/>
      <c r="AF10" s="40"/>
      <c r="AG10" s="690"/>
      <c r="AH10" s="690"/>
      <c r="AI10" s="690"/>
      <c r="AJ10" s="690"/>
      <c r="AK10" s="690"/>
      <c r="AL10" s="690"/>
      <c r="AM10" s="40"/>
      <c r="AN10" s="690"/>
      <c r="AO10" s="690"/>
      <c r="AP10" s="690"/>
      <c r="AQ10" s="690"/>
      <c r="AR10" s="690"/>
      <c r="AS10" s="690"/>
      <c r="AT10" s="225"/>
    </row>
    <row r="11" spans="1:242" x14ac:dyDescent="0.2">
      <c r="J11" s="78" t="s">
        <v>4</v>
      </c>
      <c r="K11" s="76">
        <v>2.8000000000000001E-2</v>
      </c>
      <c r="Y11" s="224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225"/>
    </row>
    <row r="12" spans="1:242" ht="12.75" customHeight="1" thickBot="1" x14ac:dyDescent="0.25">
      <c r="K12" s="40"/>
      <c r="L12" s="40"/>
      <c r="M12" s="715"/>
      <c r="N12" s="715"/>
      <c r="O12" s="715"/>
      <c r="P12" s="715"/>
      <c r="Q12" s="715"/>
      <c r="R12" s="715"/>
      <c r="Y12" s="224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225"/>
    </row>
    <row r="13" spans="1:242" ht="21.75" customHeight="1" x14ac:dyDescent="0.2">
      <c r="A13" s="704" t="s">
        <v>121</v>
      </c>
      <c r="B13" s="705"/>
      <c r="C13" s="708" t="s">
        <v>73</v>
      </c>
      <c r="D13" s="708" t="s">
        <v>74</v>
      </c>
      <c r="E13" s="710" t="s">
        <v>3</v>
      </c>
      <c r="F13" s="710" t="s">
        <v>82</v>
      </c>
      <c r="G13" s="712" t="s">
        <v>147</v>
      </c>
      <c r="H13" s="713"/>
      <c r="I13" s="713"/>
      <c r="J13" s="714"/>
      <c r="K13" s="697" t="s">
        <v>149</v>
      </c>
      <c r="L13" s="38"/>
      <c r="M13" s="695" t="s">
        <v>69</v>
      </c>
      <c r="N13" s="699"/>
      <c r="O13" s="700" t="s">
        <v>70</v>
      </c>
      <c r="P13" s="701"/>
      <c r="Q13" s="702" t="s">
        <v>71</v>
      </c>
      <c r="R13" s="703"/>
      <c r="S13" s="732" t="s">
        <v>153</v>
      </c>
      <c r="U13" s="691" t="s">
        <v>76</v>
      </c>
      <c r="V13" s="693" t="s">
        <v>77</v>
      </c>
      <c r="W13" s="734" t="s">
        <v>150</v>
      </c>
      <c r="Y13" s="224"/>
      <c r="Z13" s="738" t="s">
        <v>69</v>
      </c>
      <c r="AA13" s="739"/>
      <c r="AB13" s="740" t="s">
        <v>70</v>
      </c>
      <c r="AC13" s="741"/>
      <c r="AD13" s="742" t="s">
        <v>71</v>
      </c>
      <c r="AE13" s="743"/>
      <c r="AF13" s="40"/>
      <c r="AG13" s="695" t="s">
        <v>69</v>
      </c>
      <c r="AH13" s="696"/>
      <c r="AI13" s="700" t="s">
        <v>70</v>
      </c>
      <c r="AJ13" s="701"/>
      <c r="AK13" s="735" t="s">
        <v>71</v>
      </c>
      <c r="AL13" s="703"/>
      <c r="AM13" s="40"/>
      <c r="AN13" s="695" t="s">
        <v>69</v>
      </c>
      <c r="AO13" s="696"/>
      <c r="AP13" s="700" t="s">
        <v>70</v>
      </c>
      <c r="AQ13" s="701"/>
      <c r="AR13" s="735" t="s">
        <v>71</v>
      </c>
      <c r="AS13" s="703"/>
      <c r="AT13" s="225"/>
    </row>
    <row r="14" spans="1:242" s="40" customFormat="1" ht="39" thickBot="1" x14ac:dyDescent="0.25">
      <c r="A14" s="706"/>
      <c r="B14" s="707"/>
      <c r="C14" s="709"/>
      <c r="D14" s="709"/>
      <c r="E14" s="711"/>
      <c r="F14" s="711"/>
      <c r="G14" s="144" t="s">
        <v>118</v>
      </c>
      <c r="H14" s="144" t="s">
        <v>119</v>
      </c>
      <c r="I14" s="145" t="s">
        <v>120</v>
      </c>
      <c r="J14" s="146" t="s">
        <v>148</v>
      </c>
      <c r="K14" s="698"/>
      <c r="L14" s="38"/>
      <c r="M14" s="205" t="s">
        <v>36</v>
      </c>
      <c r="N14" s="207" t="s">
        <v>37</v>
      </c>
      <c r="O14" s="215" t="s">
        <v>36</v>
      </c>
      <c r="P14" s="216" t="s">
        <v>37</v>
      </c>
      <c r="Q14" s="208" t="s">
        <v>36</v>
      </c>
      <c r="R14" s="206" t="s">
        <v>37</v>
      </c>
      <c r="S14" s="733"/>
      <c r="U14" s="692"/>
      <c r="V14" s="694"/>
      <c r="W14" s="734"/>
      <c r="Y14" s="224"/>
      <c r="Z14" s="205" t="s">
        <v>36</v>
      </c>
      <c r="AA14" s="207" t="s">
        <v>37</v>
      </c>
      <c r="AB14" s="215" t="s">
        <v>36</v>
      </c>
      <c r="AC14" s="216" t="s">
        <v>37</v>
      </c>
      <c r="AD14" s="208" t="s">
        <v>36</v>
      </c>
      <c r="AE14" s="206" t="s">
        <v>37</v>
      </c>
      <c r="AG14" s="227" t="s">
        <v>36</v>
      </c>
      <c r="AH14" s="228" t="s">
        <v>37</v>
      </c>
      <c r="AI14" s="229" t="s">
        <v>36</v>
      </c>
      <c r="AJ14" s="230" t="s">
        <v>37</v>
      </c>
      <c r="AK14" s="231" t="s">
        <v>36</v>
      </c>
      <c r="AL14" s="232" t="s">
        <v>37</v>
      </c>
      <c r="AN14" s="736" t="s">
        <v>154</v>
      </c>
      <c r="AO14" s="737"/>
      <c r="AP14" s="746" t="s">
        <v>154</v>
      </c>
      <c r="AQ14" s="747"/>
      <c r="AR14" s="748" t="s">
        <v>155</v>
      </c>
      <c r="AS14" s="749"/>
      <c r="AT14" s="225"/>
    </row>
    <row r="15" spans="1:242" s="40" customFormat="1" ht="12.75" customHeight="1" thickBot="1" x14ac:dyDescent="0.25">
      <c r="A15" s="722" t="s">
        <v>146</v>
      </c>
      <c r="B15" s="725" t="s">
        <v>95</v>
      </c>
      <c r="C15" s="485" t="s">
        <v>224</v>
      </c>
      <c r="D15" s="486" t="s">
        <v>225</v>
      </c>
      <c r="E15" s="487" t="s">
        <v>238</v>
      </c>
      <c r="F15" s="135" t="s">
        <v>122</v>
      </c>
      <c r="G15" s="127">
        <v>10773836.058800001</v>
      </c>
      <c r="H15" s="127">
        <f>185000+119000</f>
        <v>304000</v>
      </c>
      <c r="I15" s="147">
        <v>120949</v>
      </c>
      <c r="J15" s="150">
        <f>SUM(G15:I15)</f>
        <v>11198785.058800001</v>
      </c>
      <c r="K15" s="142">
        <f t="shared" ref="K15:K69" si="0">+J15*(1+$K$11)</f>
        <v>11512351.040446401</v>
      </c>
      <c r="L15" s="38"/>
      <c r="M15" s="172">
        <v>0.45</v>
      </c>
      <c r="N15" s="197">
        <f t="shared" ref="N15:N61" si="1">+$K15*M15</f>
        <v>5180557.9682008801</v>
      </c>
      <c r="O15" s="172">
        <v>0.35</v>
      </c>
      <c r="P15" s="212">
        <f t="shared" ref="P15:P61" si="2">+$K15*O15</f>
        <v>4029322.8641562401</v>
      </c>
      <c r="Q15" s="209">
        <v>0.05</v>
      </c>
      <c r="R15" s="197">
        <f t="shared" ref="R15:R61" si="3">+$K15*Q15</f>
        <v>575617.5520223201</v>
      </c>
      <c r="S15" s="200">
        <f>+M15+O15+Q15</f>
        <v>0.85000000000000009</v>
      </c>
      <c r="U15" s="163"/>
      <c r="V15" s="160" t="s">
        <v>11</v>
      </c>
      <c r="W15" s="166">
        <f>SUM(W16,W20)</f>
        <v>-5448637</v>
      </c>
      <c r="Y15" s="224"/>
      <c r="Z15" s="217">
        <f t="shared" ref="Z15:AE15" si="4">+M62</f>
        <v>0.3706532816240577</v>
      </c>
      <c r="AA15" s="219">
        <f t="shared" si="4"/>
        <v>41845379.85549055</v>
      </c>
      <c r="AB15" s="217">
        <f t="shared" si="4"/>
        <v>0.25616722917712736</v>
      </c>
      <c r="AC15" s="220">
        <f t="shared" si="4"/>
        <v>28920329.436925836</v>
      </c>
      <c r="AD15" s="218">
        <f t="shared" si="4"/>
        <v>1.5154659800825372E-2</v>
      </c>
      <c r="AE15" s="220">
        <f t="shared" si="4"/>
        <v>1710904.8466201683</v>
      </c>
      <c r="AG15" s="239">
        <f>+Z15</f>
        <v>0.3706532816240577</v>
      </c>
      <c r="AH15" s="233">
        <f>+AG15*W80</f>
        <v>-6652502.8899461059</v>
      </c>
      <c r="AI15" s="240">
        <f>+AB15</f>
        <v>0.25616722917712736</v>
      </c>
      <c r="AJ15" s="233">
        <f>+AI15*W80</f>
        <v>-4597701.7252980825</v>
      </c>
      <c r="AK15" s="241">
        <f>+AD15</f>
        <v>1.5154659800825372E-2</v>
      </c>
      <c r="AL15" s="234">
        <f>+AK15*W80</f>
        <v>-271996.56152888422</v>
      </c>
      <c r="AN15" s="744">
        <f>+AH15+AA15</f>
        <v>35192876.965544447</v>
      </c>
      <c r="AO15" s="745"/>
      <c r="AP15" s="744">
        <f>+AJ15+AC15+K70</f>
        <v>24322627.711627752</v>
      </c>
      <c r="AQ15" s="745"/>
      <c r="AR15" s="744">
        <f>+AL15+AE15</f>
        <v>1438908.2850912842</v>
      </c>
      <c r="AS15" s="750"/>
      <c r="AT15" s="225"/>
    </row>
    <row r="16" spans="1:242" s="40" customFormat="1" x14ac:dyDescent="0.2">
      <c r="A16" s="723"/>
      <c r="B16" s="726"/>
      <c r="C16" s="488" t="s">
        <v>229</v>
      </c>
      <c r="D16" s="489" t="s">
        <v>230</v>
      </c>
      <c r="E16" s="490" t="s">
        <v>231</v>
      </c>
      <c r="F16" s="140" t="s">
        <v>122</v>
      </c>
      <c r="G16" s="128">
        <v>20536038.006599996</v>
      </c>
      <c r="H16" s="128">
        <f>91500+83000</f>
        <v>174500</v>
      </c>
      <c r="I16" s="148">
        <f>118195</f>
        <v>118195</v>
      </c>
      <c r="J16" s="151">
        <f t="shared" ref="J16:J69" si="5">SUM(G16:I16)</f>
        <v>20828733.006599996</v>
      </c>
      <c r="K16" s="143">
        <f t="shared" si="0"/>
        <v>21411937.530784797</v>
      </c>
      <c r="L16" s="38"/>
      <c r="M16" s="195">
        <v>0.55000000000000004</v>
      </c>
      <c r="N16" s="198">
        <f t="shared" si="1"/>
        <v>11776565.64193164</v>
      </c>
      <c r="O16" s="195">
        <v>0.3</v>
      </c>
      <c r="P16" s="196">
        <f t="shared" si="2"/>
        <v>6423581.2592354389</v>
      </c>
      <c r="Q16" s="210">
        <v>0.01</v>
      </c>
      <c r="R16" s="198">
        <f t="shared" si="3"/>
        <v>214119.37530784798</v>
      </c>
      <c r="S16" s="201">
        <f t="shared" ref="S16:S61" si="6">+M16+O16+Q16</f>
        <v>0.8600000000000001</v>
      </c>
      <c r="U16" s="164"/>
      <c r="V16" s="161" t="s">
        <v>12</v>
      </c>
      <c r="W16" s="167">
        <f>SUM(W17:W19)</f>
        <v>0</v>
      </c>
      <c r="Y16" s="224"/>
      <c r="AT16" s="225"/>
    </row>
    <row r="17" spans="1:46" s="40" customFormat="1" ht="12.75" customHeight="1" x14ac:dyDescent="0.2">
      <c r="A17" s="723"/>
      <c r="B17" s="726"/>
      <c r="C17" s="488" t="s">
        <v>232</v>
      </c>
      <c r="D17" s="489" t="s">
        <v>233</v>
      </c>
      <c r="E17" s="490" t="s">
        <v>234</v>
      </c>
      <c r="F17" s="140" t="s">
        <v>122</v>
      </c>
      <c r="G17" s="128">
        <v>10510292.321999997</v>
      </c>
      <c r="H17" s="128">
        <f>185000+119000</f>
        <v>304000</v>
      </c>
      <c r="I17" s="148">
        <v>120949</v>
      </c>
      <c r="J17" s="151">
        <f t="shared" si="5"/>
        <v>10935241.321999997</v>
      </c>
      <c r="K17" s="143">
        <f t="shared" si="0"/>
        <v>11241428.079015996</v>
      </c>
      <c r="L17" s="38"/>
      <c r="M17" s="195">
        <v>0.6</v>
      </c>
      <c r="N17" s="198">
        <f t="shared" si="1"/>
        <v>6744856.8474095976</v>
      </c>
      <c r="O17" s="195">
        <v>0.25</v>
      </c>
      <c r="P17" s="196">
        <f t="shared" si="2"/>
        <v>2810357.0197539991</v>
      </c>
      <c r="Q17" s="210">
        <v>0</v>
      </c>
      <c r="R17" s="198">
        <f t="shared" si="3"/>
        <v>0</v>
      </c>
      <c r="S17" s="201">
        <f t="shared" si="6"/>
        <v>0.85</v>
      </c>
      <c r="U17" s="165">
        <v>53103050000000</v>
      </c>
      <c r="V17" s="162" t="s">
        <v>13</v>
      </c>
      <c r="W17" s="168">
        <v>0</v>
      </c>
      <c r="Y17" s="224"/>
      <c r="AT17" s="225"/>
    </row>
    <row r="18" spans="1:46" s="40" customFormat="1" ht="13.5" customHeight="1" thickBot="1" x14ac:dyDescent="0.25">
      <c r="A18" s="723"/>
      <c r="B18" s="726"/>
      <c r="C18" s="488" t="s">
        <v>235</v>
      </c>
      <c r="D18" s="489" t="s">
        <v>236</v>
      </c>
      <c r="E18" s="490" t="s">
        <v>237</v>
      </c>
      <c r="F18" s="140" t="s">
        <v>122</v>
      </c>
      <c r="G18" s="128">
        <v>9388465.8500000015</v>
      </c>
      <c r="H18" s="128">
        <f>185000+119000</f>
        <v>304000</v>
      </c>
      <c r="I18" s="148">
        <v>120949</v>
      </c>
      <c r="J18" s="151">
        <f t="shared" si="5"/>
        <v>9813414.8500000015</v>
      </c>
      <c r="K18" s="143">
        <f t="shared" si="0"/>
        <v>10088190.465800002</v>
      </c>
      <c r="L18" s="38"/>
      <c r="M18" s="195">
        <v>0.45</v>
      </c>
      <c r="N18" s="198">
        <f t="shared" si="1"/>
        <v>4539685.7096100012</v>
      </c>
      <c r="O18" s="195">
        <v>0.45</v>
      </c>
      <c r="P18" s="196">
        <f t="shared" si="2"/>
        <v>4539685.7096100012</v>
      </c>
      <c r="Q18" s="210">
        <v>0.05</v>
      </c>
      <c r="R18" s="198">
        <f t="shared" si="3"/>
        <v>504409.52329000016</v>
      </c>
      <c r="S18" s="201">
        <f t="shared" si="6"/>
        <v>0.95000000000000007</v>
      </c>
      <c r="U18" s="165">
        <v>53103060000000</v>
      </c>
      <c r="V18" s="162" t="s">
        <v>14</v>
      </c>
      <c r="W18" s="168">
        <v>0</v>
      </c>
      <c r="Y18" s="235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7"/>
    </row>
    <row r="19" spans="1:46" s="40" customFormat="1" x14ac:dyDescent="0.2">
      <c r="A19" s="723"/>
      <c r="B19" s="726"/>
      <c r="C19" s="86"/>
      <c r="D19" s="138"/>
      <c r="E19" s="490" t="s">
        <v>257</v>
      </c>
      <c r="F19" s="140" t="s">
        <v>122</v>
      </c>
      <c r="G19" s="128">
        <v>7804140</v>
      </c>
      <c r="H19" s="128">
        <f>185000+119000</f>
        <v>304000</v>
      </c>
      <c r="I19" s="148">
        <v>0</v>
      </c>
      <c r="J19" s="151">
        <f t="shared" si="5"/>
        <v>8108140</v>
      </c>
      <c r="K19" s="143">
        <f t="shared" si="0"/>
        <v>8335167.9199999999</v>
      </c>
      <c r="L19" s="38"/>
      <c r="M19" s="195">
        <v>0.4</v>
      </c>
      <c r="N19" s="198">
        <f t="shared" si="1"/>
        <v>3334067.1680000001</v>
      </c>
      <c r="O19" s="195">
        <v>0.3</v>
      </c>
      <c r="P19" s="196">
        <f t="shared" si="2"/>
        <v>2500550.3759999997</v>
      </c>
      <c r="Q19" s="210">
        <v>0.05</v>
      </c>
      <c r="R19" s="198">
        <f t="shared" si="3"/>
        <v>416758.39600000001</v>
      </c>
      <c r="S19" s="201">
        <f t="shared" si="6"/>
        <v>0.75</v>
      </c>
      <c r="U19" s="165">
        <v>53103080010000</v>
      </c>
      <c r="V19" s="162" t="s">
        <v>15</v>
      </c>
      <c r="W19" s="168">
        <v>0</v>
      </c>
    </row>
    <row r="20" spans="1:46" s="40" customFormat="1" x14ac:dyDescent="0.2">
      <c r="A20" s="723"/>
      <c r="B20" s="726"/>
      <c r="C20" s="86"/>
      <c r="D20" s="138"/>
      <c r="E20" s="139"/>
      <c r="F20" s="140" t="s">
        <v>122</v>
      </c>
      <c r="G20" s="128">
        <v>0</v>
      </c>
      <c r="H20" s="128">
        <v>0</v>
      </c>
      <c r="I20" s="148">
        <v>0</v>
      </c>
      <c r="J20" s="151">
        <f t="shared" si="5"/>
        <v>0</v>
      </c>
      <c r="K20" s="143">
        <f t="shared" si="0"/>
        <v>0</v>
      </c>
      <c r="L20" s="38"/>
      <c r="M20" s="195">
        <v>0</v>
      </c>
      <c r="N20" s="198">
        <f t="shared" si="1"/>
        <v>0</v>
      </c>
      <c r="O20" s="195">
        <v>0</v>
      </c>
      <c r="P20" s="196">
        <f t="shared" si="2"/>
        <v>0</v>
      </c>
      <c r="Q20" s="210">
        <v>0</v>
      </c>
      <c r="R20" s="198">
        <f t="shared" si="3"/>
        <v>0</v>
      </c>
      <c r="S20" s="201">
        <f t="shared" si="6"/>
        <v>0</v>
      </c>
      <c r="U20" s="164"/>
      <c r="V20" s="161" t="s">
        <v>16</v>
      </c>
      <c r="W20" s="238">
        <f>SUM(W21:W39)</f>
        <v>-5448637</v>
      </c>
    </row>
    <row r="21" spans="1:46" s="40" customFormat="1" x14ac:dyDescent="0.2">
      <c r="A21" s="723"/>
      <c r="B21" s="726"/>
      <c r="C21" s="86"/>
      <c r="D21" s="138"/>
      <c r="E21" s="139"/>
      <c r="F21" s="140" t="s">
        <v>122</v>
      </c>
      <c r="G21" s="128">
        <v>0</v>
      </c>
      <c r="H21" s="128">
        <v>0</v>
      </c>
      <c r="I21" s="148">
        <v>0</v>
      </c>
      <c r="J21" s="151">
        <f t="shared" si="5"/>
        <v>0</v>
      </c>
      <c r="K21" s="143">
        <f t="shared" si="0"/>
        <v>0</v>
      </c>
      <c r="L21" s="38"/>
      <c r="M21" s="195">
        <v>0</v>
      </c>
      <c r="N21" s="198">
        <f t="shared" si="1"/>
        <v>0</v>
      </c>
      <c r="O21" s="195">
        <v>0</v>
      </c>
      <c r="P21" s="196">
        <f t="shared" si="2"/>
        <v>0</v>
      </c>
      <c r="Q21" s="210">
        <v>0</v>
      </c>
      <c r="R21" s="198">
        <f t="shared" si="3"/>
        <v>0</v>
      </c>
      <c r="S21" s="201">
        <f t="shared" si="6"/>
        <v>0</v>
      </c>
      <c r="U21" s="165">
        <v>53201010100000</v>
      </c>
      <c r="V21" s="162" t="s">
        <v>17</v>
      </c>
      <c r="W21" s="289">
        <v>3148740</v>
      </c>
    </row>
    <row r="22" spans="1:46" s="40" customFormat="1" x14ac:dyDescent="0.2">
      <c r="A22" s="723"/>
      <c r="B22" s="726"/>
      <c r="C22" s="86"/>
      <c r="D22" s="138"/>
      <c r="E22" s="139"/>
      <c r="F22" s="140" t="s">
        <v>122</v>
      </c>
      <c r="G22" s="128">
        <v>0</v>
      </c>
      <c r="H22" s="128">
        <v>0</v>
      </c>
      <c r="I22" s="148">
        <v>0</v>
      </c>
      <c r="J22" s="151">
        <f t="shared" si="5"/>
        <v>0</v>
      </c>
      <c r="K22" s="143">
        <f t="shared" si="0"/>
        <v>0</v>
      </c>
      <c r="L22" s="38"/>
      <c r="M22" s="195">
        <v>0</v>
      </c>
      <c r="N22" s="198">
        <f t="shared" si="1"/>
        <v>0</v>
      </c>
      <c r="O22" s="195">
        <v>0</v>
      </c>
      <c r="P22" s="196">
        <f t="shared" si="2"/>
        <v>0</v>
      </c>
      <c r="Q22" s="210">
        <v>0</v>
      </c>
      <c r="R22" s="198">
        <f t="shared" si="3"/>
        <v>0</v>
      </c>
      <c r="S22" s="201">
        <f t="shared" si="6"/>
        <v>0</v>
      </c>
      <c r="U22" s="165">
        <v>53202010100000</v>
      </c>
      <c r="V22" s="162" t="s">
        <v>18</v>
      </c>
      <c r="W22" s="289">
        <v>0</v>
      </c>
    </row>
    <row r="23" spans="1:46" s="40" customFormat="1" x14ac:dyDescent="0.2">
      <c r="A23" s="723"/>
      <c r="B23" s="726"/>
      <c r="C23" s="86"/>
      <c r="D23" s="138"/>
      <c r="E23" s="139"/>
      <c r="F23" s="140" t="s">
        <v>122</v>
      </c>
      <c r="G23" s="128">
        <v>0</v>
      </c>
      <c r="H23" s="128">
        <v>0</v>
      </c>
      <c r="I23" s="148">
        <v>0</v>
      </c>
      <c r="J23" s="151">
        <f t="shared" si="5"/>
        <v>0</v>
      </c>
      <c r="K23" s="143">
        <f t="shared" si="0"/>
        <v>0</v>
      </c>
      <c r="L23" s="38"/>
      <c r="M23" s="195">
        <v>0</v>
      </c>
      <c r="N23" s="198">
        <f t="shared" si="1"/>
        <v>0</v>
      </c>
      <c r="O23" s="195">
        <v>0</v>
      </c>
      <c r="P23" s="196">
        <f t="shared" si="2"/>
        <v>0</v>
      </c>
      <c r="Q23" s="210">
        <v>0</v>
      </c>
      <c r="R23" s="198">
        <f t="shared" si="3"/>
        <v>0</v>
      </c>
      <c r="S23" s="201">
        <f t="shared" si="6"/>
        <v>0</v>
      </c>
      <c r="U23" s="165">
        <v>53203010100000</v>
      </c>
      <c r="V23" s="162" t="s">
        <v>19</v>
      </c>
      <c r="W23" s="289">
        <v>-927377</v>
      </c>
    </row>
    <row r="24" spans="1:46" s="40" customFormat="1" ht="13.5" thickBot="1" x14ac:dyDescent="0.25">
      <c r="A24" s="723"/>
      <c r="B24" s="727"/>
      <c r="C24" s="158"/>
      <c r="D24" s="129"/>
      <c r="E24" s="130"/>
      <c r="F24" s="131" t="s">
        <v>122</v>
      </c>
      <c r="G24" s="132">
        <v>0</v>
      </c>
      <c r="H24" s="132">
        <v>0</v>
      </c>
      <c r="I24" s="149">
        <v>0</v>
      </c>
      <c r="J24" s="152">
        <f t="shared" si="5"/>
        <v>0</v>
      </c>
      <c r="K24" s="141">
        <f t="shared" si="0"/>
        <v>0</v>
      </c>
      <c r="L24" s="38"/>
      <c r="M24" s="202">
        <v>0</v>
      </c>
      <c r="N24" s="199">
        <f t="shared" si="1"/>
        <v>0</v>
      </c>
      <c r="O24" s="202">
        <v>0</v>
      </c>
      <c r="P24" s="213">
        <f t="shared" si="2"/>
        <v>0</v>
      </c>
      <c r="Q24" s="211">
        <v>0</v>
      </c>
      <c r="R24" s="199">
        <f t="shared" si="3"/>
        <v>0</v>
      </c>
      <c r="S24" s="203">
        <f t="shared" si="6"/>
        <v>0</v>
      </c>
      <c r="U24" s="165">
        <v>53203030000000</v>
      </c>
      <c r="V24" s="162" t="s">
        <v>20</v>
      </c>
      <c r="W24" s="289">
        <v>0</v>
      </c>
    </row>
    <row r="25" spans="1:46" s="40" customFormat="1" ht="12.75" customHeight="1" x14ac:dyDescent="0.2">
      <c r="A25" s="723"/>
      <c r="B25" s="725" t="s">
        <v>94</v>
      </c>
      <c r="C25" s="485" t="s">
        <v>226</v>
      </c>
      <c r="D25" s="486" t="s">
        <v>227</v>
      </c>
      <c r="E25" s="487" t="s">
        <v>228</v>
      </c>
      <c r="F25" s="135" t="s">
        <v>122</v>
      </c>
      <c r="G25" s="127">
        <v>11695016</v>
      </c>
      <c r="H25" s="127">
        <f>91500+83000</f>
        <v>174500</v>
      </c>
      <c r="I25" s="147">
        <v>120949</v>
      </c>
      <c r="J25" s="150">
        <f t="shared" si="5"/>
        <v>11990465</v>
      </c>
      <c r="K25" s="142">
        <f t="shared" si="0"/>
        <v>12326198.02</v>
      </c>
      <c r="L25" s="38"/>
      <c r="M25" s="172">
        <v>0.35</v>
      </c>
      <c r="N25" s="197">
        <f t="shared" si="1"/>
        <v>4314169.307</v>
      </c>
      <c r="O25" s="172">
        <v>0.3</v>
      </c>
      <c r="P25" s="212">
        <f t="shared" si="2"/>
        <v>3697859.406</v>
      </c>
      <c r="Q25" s="209">
        <v>0</v>
      </c>
      <c r="R25" s="197">
        <f t="shared" si="3"/>
        <v>0</v>
      </c>
      <c r="S25" s="200">
        <f t="shared" si="6"/>
        <v>0.64999999999999991</v>
      </c>
      <c r="U25" s="165">
        <v>53204030000000</v>
      </c>
      <c r="V25" s="162" t="s">
        <v>21</v>
      </c>
      <c r="W25" s="289">
        <v>0</v>
      </c>
      <c r="AG25" s="29"/>
    </row>
    <row r="26" spans="1:46" s="40" customFormat="1" ht="12.75" customHeight="1" x14ac:dyDescent="0.2">
      <c r="A26" s="723"/>
      <c r="B26" s="726"/>
      <c r="C26" s="86"/>
      <c r="D26" s="138"/>
      <c r="E26" s="139"/>
      <c r="F26" s="140" t="s">
        <v>122</v>
      </c>
      <c r="G26" s="128">
        <v>0</v>
      </c>
      <c r="H26" s="128">
        <v>0</v>
      </c>
      <c r="I26" s="148">
        <v>0</v>
      </c>
      <c r="J26" s="151">
        <f t="shared" si="5"/>
        <v>0</v>
      </c>
      <c r="K26" s="143">
        <f t="shared" si="0"/>
        <v>0</v>
      </c>
      <c r="L26" s="38"/>
      <c r="M26" s="195">
        <v>0</v>
      </c>
      <c r="N26" s="198">
        <f t="shared" si="1"/>
        <v>0</v>
      </c>
      <c r="O26" s="195">
        <v>0</v>
      </c>
      <c r="P26" s="196">
        <f t="shared" si="2"/>
        <v>0</v>
      </c>
      <c r="Q26" s="210">
        <v>0</v>
      </c>
      <c r="R26" s="198">
        <f t="shared" si="3"/>
        <v>0</v>
      </c>
      <c r="S26" s="201">
        <f t="shared" si="6"/>
        <v>0</v>
      </c>
      <c r="U26" s="165">
        <v>53204100100001</v>
      </c>
      <c r="V26" s="162" t="s">
        <v>22</v>
      </c>
      <c r="W26" s="289">
        <v>0</v>
      </c>
      <c r="AG26" s="29"/>
    </row>
    <row r="27" spans="1:46" s="40" customFormat="1" ht="12.75" customHeight="1" x14ac:dyDescent="0.2">
      <c r="A27" s="723"/>
      <c r="B27" s="726"/>
      <c r="C27" s="86"/>
      <c r="D27" s="138"/>
      <c r="E27" s="139"/>
      <c r="F27" s="140" t="s">
        <v>122</v>
      </c>
      <c r="G27" s="128">
        <v>0</v>
      </c>
      <c r="H27" s="128">
        <v>0</v>
      </c>
      <c r="I27" s="148">
        <v>0</v>
      </c>
      <c r="J27" s="151">
        <f t="shared" si="5"/>
        <v>0</v>
      </c>
      <c r="K27" s="143">
        <f t="shared" si="0"/>
        <v>0</v>
      </c>
      <c r="L27" s="38"/>
      <c r="M27" s="195">
        <v>0</v>
      </c>
      <c r="N27" s="198">
        <f t="shared" si="1"/>
        <v>0</v>
      </c>
      <c r="O27" s="195">
        <v>0</v>
      </c>
      <c r="P27" s="196">
        <f t="shared" si="2"/>
        <v>0</v>
      </c>
      <c r="Q27" s="210">
        <v>0</v>
      </c>
      <c r="R27" s="198">
        <f t="shared" si="3"/>
        <v>0</v>
      </c>
      <c r="S27" s="201">
        <f t="shared" si="6"/>
        <v>0</v>
      </c>
      <c r="U27" s="165">
        <v>53204130100000</v>
      </c>
      <c r="V27" s="162" t="s">
        <v>23</v>
      </c>
      <c r="W27" s="289">
        <v>0</v>
      </c>
      <c r="AG27" s="29"/>
    </row>
    <row r="28" spans="1:46" s="40" customFormat="1" ht="12.75" customHeight="1" x14ac:dyDescent="0.2">
      <c r="A28" s="723"/>
      <c r="B28" s="726"/>
      <c r="C28" s="86"/>
      <c r="D28" s="138"/>
      <c r="E28" s="139"/>
      <c r="F28" s="140" t="s">
        <v>122</v>
      </c>
      <c r="G28" s="128">
        <v>0</v>
      </c>
      <c r="H28" s="128">
        <v>0</v>
      </c>
      <c r="I28" s="148">
        <v>0</v>
      </c>
      <c r="J28" s="151">
        <f t="shared" si="5"/>
        <v>0</v>
      </c>
      <c r="K28" s="143">
        <f t="shared" si="0"/>
        <v>0</v>
      </c>
      <c r="L28" s="38"/>
      <c r="M28" s="195">
        <v>0</v>
      </c>
      <c r="N28" s="198">
        <f t="shared" si="1"/>
        <v>0</v>
      </c>
      <c r="O28" s="195">
        <v>0</v>
      </c>
      <c r="P28" s="196">
        <f t="shared" si="2"/>
        <v>0</v>
      </c>
      <c r="Q28" s="210">
        <v>0</v>
      </c>
      <c r="R28" s="198">
        <f t="shared" si="3"/>
        <v>0</v>
      </c>
      <c r="S28" s="201">
        <f t="shared" si="6"/>
        <v>0</v>
      </c>
      <c r="U28" s="165">
        <v>53205010100000</v>
      </c>
      <c r="V28" s="162" t="s">
        <v>24</v>
      </c>
      <c r="W28" s="289">
        <v>-2200000</v>
      </c>
      <c r="AG28" s="29"/>
    </row>
    <row r="29" spans="1:46" s="40" customFormat="1" ht="12.75" customHeight="1" x14ac:dyDescent="0.2">
      <c r="A29" s="723"/>
      <c r="B29" s="726"/>
      <c r="C29" s="86"/>
      <c r="D29" s="138"/>
      <c r="E29" s="139"/>
      <c r="F29" s="140" t="s">
        <v>122</v>
      </c>
      <c r="G29" s="128">
        <v>0</v>
      </c>
      <c r="H29" s="128">
        <v>0</v>
      </c>
      <c r="I29" s="148">
        <v>0</v>
      </c>
      <c r="J29" s="151">
        <f t="shared" si="5"/>
        <v>0</v>
      </c>
      <c r="K29" s="143">
        <f t="shared" si="0"/>
        <v>0</v>
      </c>
      <c r="L29" s="38"/>
      <c r="M29" s="195">
        <v>0</v>
      </c>
      <c r="N29" s="198">
        <f t="shared" si="1"/>
        <v>0</v>
      </c>
      <c r="O29" s="195">
        <v>0</v>
      </c>
      <c r="P29" s="196">
        <f t="shared" si="2"/>
        <v>0</v>
      </c>
      <c r="Q29" s="210">
        <v>0</v>
      </c>
      <c r="R29" s="198">
        <f t="shared" si="3"/>
        <v>0</v>
      </c>
      <c r="S29" s="201">
        <f t="shared" si="6"/>
        <v>0</v>
      </c>
      <c r="U29" s="165">
        <v>53205020100000</v>
      </c>
      <c r="V29" s="162" t="s">
        <v>25</v>
      </c>
      <c r="W29" s="289">
        <v>-350000</v>
      </c>
      <c r="AG29" s="29"/>
    </row>
    <row r="30" spans="1:46" s="40" customFormat="1" ht="12.75" customHeight="1" x14ac:dyDescent="0.2">
      <c r="A30" s="723"/>
      <c r="B30" s="726"/>
      <c r="C30" s="86"/>
      <c r="D30" s="138"/>
      <c r="E30" s="139"/>
      <c r="F30" s="140" t="s">
        <v>122</v>
      </c>
      <c r="G30" s="128">
        <v>0</v>
      </c>
      <c r="H30" s="128">
        <v>0</v>
      </c>
      <c r="I30" s="148">
        <v>0</v>
      </c>
      <c r="J30" s="151">
        <f t="shared" si="5"/>
        <v>0</v>
      </c>
      <c r="K30" s="143">
        <f t="shared" si="0"/>
        <v>0</v>
      </c>
      <c r="L30" s="38"/>
      <c r="M30" s="195">
        <v>0</v>
      </c>
      <c r="N30" s="198">
        <f t="shared" si="1"/>
        <v>0</v>
      </c>
      <c r="O30" s="195">
        <v>0</v>
      </c>
      <c r="P30" s="196">
        <f t="shared" si="2"/>
        <v>0</v>
      </c>
      <c r="Q30" s="210">
        <v>0</v>
      </c>
      <c r="R30" s="198">
        <f t="shared" si="3"/>
        <v>0</v>
      </c>
      <c r="S30" s="201">
        <f t="shared" si="6"/>
        <v>0</v>
      </c>
      <c r="U30" s="165">
        <v>53205030100000</v>
      </c>
      <c r="V30" s="162" t="s">
        <v>26</v>
      </c>
      <c r="W30" s="289">
        <v>-300000</v>
      </c>
      <c r="AG30" s="29"/>
    </row>
    <row r="31" spans="1:46" s="40" customFormat="1" ht="12.75" customHeight="1" x14ac:dyDescent="0.2">
      <c r="A31" s="723"/>
      <c r="B31" s="726"/>
      <c r="C31" s="86"/>
      <c r="D31" s="138"/>
      <c r="E31" s="139"/>
      <c r="F31" s="140" t="s">
        <v>122</v>
      </c>
      <c r="G31" s="128">
        <v>0</v>
      </c>
      <c r="H31" s="128">
        <v>0</v>
      </c>
      <c r="I31" s="148">
        <v>0</v>
      </c>
      <c r="J31" s="151">
        <f t="shared" si="5"/>
        <v>0</v>
      </c>
      <c r="K31" s="143">
        <f t="shared" si="0"/>
        <v>0</v>
      </c>
      <c r="L31" s="38"/>
      <c r="M31" s="195">
        <v>0</v>
      </c>
      <c r="N31" s="198">
        <f t="shared" si="1"/>
        <v>0</v>
      </c>
      <c r="O31" s="195">
        <v>0</v>
      </c>
      <c r="P31" s="196">
        <f t="shared" si="2"/>
        <v>0</v>
      </c>
      <c r="Q31" s="210">
        <v>0</v>
      </c>
      <c r="R31" s="198">
        <f t="shared" si="3"/>
        <v>0</v>
      </c>
      <c r="S31" s="201">
        <f t="shared" si="6"/>
        <v>0</v>
      </c>
      <c r="U31" s="165">
        <v>53205050100000</v>
      </c>
      <c r="V31" s="162" t="s">
        <v>27</v>
      </c>
      <c r="W31" s="289">
        <v>-660000</v>
      </c>
      <c r="AG31" s="29"/>
    </row>
    <row r="32" spans="1:46" s="40" customFormat="1" ht="12.75" customHeight="1" x14ac:dyDescent="0.2">
      <c r="A32" s="723"/>
      <c r="B32" s="726"/>
      <c r="C32" s="86"/>
      <c r="D32" s="138"/>
      <c r="E32" s="139"/>
      <c r="F32" s="140" t="s">
        <v>122</v>
      </c>
      <c r="G32" s="128">
        <v>0</v>
      </c>
      <c r="H32" s="128">
        <v>0</v>
      </c>
      <c r="I32" s="148">
        <v>0</v>
      </c>
      <c r="J32" s="151">
        <f t="shared" si="5"/>
        <v>0</v>
      </c>
      <c r="K32" s="143">
        <f t="shared" si="0"/>
        <v>0</v>
      </c>
      <c r="L32" s="38"/>
      <c r="M32" s="195">
        <v>0</v>
      </c>
      <c r="N32" s="198">
        <f t="shared" si="1"/>
        <v>0</v>
      </c>
      <c r="O32" s="195">
        <v>0</v>
      </c>
      <c r="P32" s="196">
        <f t="shared" si="2"/>
        <v>0</v>
      </c>
      <c r="Q32" s="210">
        <v>0</v>
      </c>
      <c r="R32" s="198">
        <f t="shared" si="3"/>
        <v>0</v>
      </c>
      <c r="S32" s="201">
        <f t="shared" si="6"/>
        <v>0</v>
      </c>
      <c r="U32" s="165">
        <v>53205060100000</v>
      </c>
      <c r="V32" s="162" t="s">
        <v>28</v>
      </c>
      <c r="W32" s="289">
        <v>0</v>
      </c>
      <c r="AG32" s="29"/>
    </row>
    <row r="33" spans="1:33" s="40" customFormat="1" ht="12.75" customHeight="1" x14ac:dyDescent="0.2">
      <c r="A33" s="723"/>
      <c r="B33" s="726"/>
      <c r="C33" s="86"/>
      <c r="D33" s="138"/>
      <c r="E33" s="139"/>
      <c r="F33" s="140" t="s">
        <v>122</v>
      </c>
      <c r="G33" s="128">
        <v>0</v>
      </c>
      <c r="H33" s="128">
        <v>0</v>
      </c>
      <c r="I33" s="148">
        <v>0</v>
      </c>
      <c r="J33" s="151">
        <f t="shared" si="5"/>
        <v>0</v>
      </c>
      <c r="K33" s="143">
        <f t="shared" si="0"/>
        <v>0</v>
      </c>
      <c r="L33" s="38"/>
      <c r="M33" s="195">
        <v>0</v>
      </c>
      <c r="N33" s="198">
        <f t="shared" si="1"/>
        <v>0</v>
      </c>
      <c r="O33" s="195">
        <v>0</v>
      </c>
      <c r="P33" s="196">
        <f t="shared" si="2"/>
        <v>0</v>
      </c>
      <c r="Q33" s="210">
        <v>0</v>
      </c>
      <c r="R33" s="198">
        <f t="shared" si="3"/>
        <v>0</v>
      </c>
      <c r="S33" s="201">
        <f t="shared" si="6"/>
        <v>0</v>
      </c>
      <c r="U33" s="165">
        <v>53205070100000</v>
      </c>
      <c r="V33" s="162" t="s">
        <v>29</v>
      </c>
      <c r="W33" s="289">
        <v>-480000</v>
      </c>
      <c r="AG33" s="29"/>
    </row>
    <row r="34" spans="1:33" s="40" customFormat="1" ht="12.75" customHeight="1" thickBot="1" x14ac:dyDescent="0.25">
      <c r="A34" s="723"/>
      <c r="B34" s="727"/>
      <c r="C34" s="158"/>
      <c r="D34" s="129"/>
      <c r="E34" s="130"/>
      <c r="F34" s="131" t="s">
        <v>122</v>
      </c>
      <c r="G34" s="132">
        <v>0</v>
      </c>
      <c r="H34" s="132">
        <v>0</v>
      </c>
      <c r="I34" s="149">
        <v>0</v>
      </c>
      <c r="J34" s="152">
        <f t="shared" si="5"/>
        <v>0</v>
      </c>
      <c r="K34" s="141">
        <f t="shared" si="0"/>
        <v>0</v>
      </c>
      <c r="L34" s="38"/>
      <c r="M34" s="202">
        <v>0</v>
      </c>
      <c r="N34" s="199">
        <f t="shared" si="1"/>
        <v>0</v>
      </c>
      <c r="O34" s="202">
        <v>0</v>
      </c>
      <c r="P34" s="213">
        <f t="shared" si="2"/>
        <v>0</v>
      </c>
      <c r="Q34" s="211">
        <v>0</v>
      </c>
      <c r="R34" s="199">
        <f t="shared" si="3"/>
        <v>0</v>
      </c>
      <c r="S34" s="203">
        <f t="shared" si="6"/>
        <v>0</v>
      </c>
      <c r="U34" s="165">
        <v>53208010100000</v>
      </c>
      <c r="V34" s="162" t="s">
        <v>30</v>
      </c>
      <c r="W34" s="289">
        <v>0</v>
      </c>
      <c r="AG34" s="29"/>
    </row>
    <row r="35" spans="1:33" s="40" customFormat="1" ht="12.75" customHeight="1" x14ac:dyDescent="0.2">
      <c r="A35" s="723"/>
      <c r="B35" s="725" t="s">
        <v>93</v>
      </c>
      <c r="C35" s="157"/>
      <c r="D35" s="133"/>
      <c r="E35" s="134"/>
      <c r="F35" s="135" t="s">
        <v>122</v>
      </c>
      <c r="G35" s="127">
        <v>0</v>
      </c>
      <c r="H35" s="127">
        <v>0</v>
      </c>
      <c r="I35" s="147">
        <v>0</v>
      </c>
      <c r="J35" s="150">
        <f t="shared" si="5"/>
        <v>0</v>
      </c>
      <c r="K35" s="142">
        <f t="shared" si="0"/>
        <v>0</v>
      </c>
      <c r="L35" s="38"/>
      <c r="M35" s="172">
        <v>0</v>
      </c>
      <c r="N35" s="197">
        <f t="shared" si="1"/>
        <v>0</v>
      </c>
      <c r="O35" s="172">
        <v>0.35</v>
      </c>
      <c r="P35" s="212">
        <f t="shared" si="2"/>
        <v>0</v>
      </c>
      <c r="Q35" s="209">
        <v>0</v>
      </c>
      <c r="R35" s="197">
        <f t="shared" si="3"/>
        <v>0</v>
      </c>
      <c r="S35" s="200">
        <f t="shared" si="6"/>
        <v>0.35</v>
      </c>
      <c r="U35" s="165">
        <v>53208070100001</v>
      </c>
      <c r="V35" s="162" t="s">
        <v>31</v>
      </c>
      <c r="W35" s="289">
        <v>-180000</v>
      </c>
      <c r="AG35" s="29"/>
    </row>
    <row r="36" spans="1:33" s="40" customFormat="1" ht="12.75" customHeight="1" x14ac:dyDescent="0.2">
      <c r="A36" s="723"/>
      <c r="B36" s="726"/>
      <c r="C36" s="86"/>
      <c r="D36" s="138"/>
      <c r="E36" s="139"/>
      <c r="F36" s="140" t="s">
        <v>122</v>
      </c>
      <c r="G36" s="128">
        <v>0</v>
      </c>
      <c r="H36" s="128">
        <v>0</v>
      </c>
      <c r="I36" s="148">
        <v>0</v>
      </c>
      <c r="J36" s="151">
        <f t="shared" si="5"/>
        <v>0</v>
      </c>
      <c r="K36" s="143">
        <f t="shared" si="0"/>
        <v>0</v>
      </c>
      <c r="L36" s="38"/>
      <c r="M36" s="195">
        <v>0</v>
      </c>
      <c r="N36" s="198">
        <f t="shared" si="1"/>
        <v>0</v>
      </c>
      <c r="O36" s="195">
        <v>0</v>
      </c>
      <c r="P36" s="196">
        <f t="shared" si="2"/>
        <v>0</v>
      </c>
      <c r="Q36" s="210">
        <v>0</v>
      </c>
      <c r="R36" s="198">
        <f t="shared" si="3"/>
        <v>0</v>
      </c>
      <c r="S36" s="201">
        <f t="shared" si="6"/>
        <v>0</v>
      </c>
      <c r="U36" s="165">
        <v>53208100100001</v>
      </c>
      <c r="V36" s="162" t="s">
        <v>133</v>
      </c>
      <c r="W36" s="289">
        <v>0</v>
      </c>
      <c r="AG36" s="29"/>
    </row>
    <row r="37" spans="1:33" s="40" customFormat="1" ht="12.75" customHeight="1" x14ac:dyDescent="0.2">
      <c r="A37" s="723"/>
      <c r="B37" s="726"/>
      <c r="C37" s="86"/>
      <c r="D37" s="138"/>
      <c r="E37" s="139"/>
      <c r="F37" s="140" t="s">
        <v>122</v>
      </c>
      <c r="G37" s="128">
        <v>0</v>
      </c>
      <c r="H37" s="128">
        <v>0</v>
      </c>
      <c r="I37" s="148">
        <v>0</v>
      </c>
      <c r="J37" s="151">
        <f t="shared" si="5"/>
        <v>0</v>
      </c>
      <c r="K37" s="143">
        <f t="shared" si="0"/>
        <v>0</v>
      </c>
      <c r="L37" s="38"/>
      <c r="M37" s="195">
        <v>0</v>
      </c>
      <c r="N37" s="198">
        <f t="shared" si="1"/>
        <v>0</v>
      </c>
      <c r="O37" s="195">
        <v>0</v>
      </c>
      <c r="P37" s="196">
        <f t="shared" si="2"/>
        <v>0</v>
      </c>
      <c r="Q37" s="210">
        <v>0</v>
      </c>
      <c r="R37" s="198">
        <f t="shared" si="3"/>
        <v>0</v>
      </c>
      <c r="S37" s="201">
        <f t="shared" si="6"/>
        <v>0</v>
      </c>
      <c r="U37" s="165">
        <v>53211030000000</v>
      </c>
      <c r="V37" s="162" t="s">
        <v>32</v>
      </c>
      <c r="W37" s="289">
        <v>0</v>
      </c>
      <c r="AG37" s="29"/>
    </row>
    <row r="38" spans="1:33" s="40" customFormat="1" ht="12.75" customHeight="1" x14ac:dyDescent="0.2">
      <c r="A38" s="723"/>
      <c r="B38" s="726"/>
      <c r="C38" s="86"/>
      <c r="D38" s="138"/>
      <c r="E38" s="139"/>
      <c r="F38" s="140" t="s">
        <v>122</v>
      </c>
      <c r="G38" s="128">
        <v>0</v>
      </c>
      <c r="H38" s="128">
        <v>0</v>
      </c>
      <c r="I38" s="148">
        <v>0</v>
      </c>
      <c r="J38" s="151">
        <f t="shared" si="5"/>
        <v>0</v>
      </c>
      <c r="K38" s="143">
        <f t="shared" si="0"/>
        <v>0</v>
      </c>
      <c r="L38" s="38"/>
      <c r="M38" s="195">
        <v>0</v>
      </c>
      <c r="N38" s="198">
        <f t="shared" si="1"/>
        <v>0</v>
      </c>
      <c r="O38" s="195">
        <v>0</v>
      </c>
      <c r="P38" s="196">
        <f t="shared" si="2"/>
        <v>0</v>
      </c>
      <c r="Q38" s="210">
        <v>0</v>
      </c>
      <c r="R38" s="198">
        <f t="shared" si="3"/>
        <v>0</v>
      </c>
      <c r="S38" s="201">
        <f t="shared" si="6"/>
        <v>0</v>
      </c>
      <c r="U38" s="165">
        <v>53212020100000</v>
      </c>
      <c r="V38" s="162" t="s">
        <v>100</v>
      </c>
      <c r="W38" s="289">
        <v>-3500000</v>
      </c>
      <c r="AG38" s="29"/>
    </row>
    <row r="39" spans="1:33" s="40" customFormat="1" ht="12.75" customHeight="1" thickBot="1" x14ac:dyDescent="0.25">
      <c r="A39" s="723"/>
      <c r="B39" s="727"/>
      <c r="C39" s="158"/>
      <c r="D39" s="129"/>
      <c r="E39" s="130"/>
      <c r="F39" s="131" t="s">
        <v>122</v>
      </c>
      <c r="G39" s="132">
        <v>0</v>
      </c>
      <c r="H39" s="132">
        <v>0</v>
      </c>
      <c r="I39" s="149">
        <v>0</v>
      </c>
      <c r="J39" s="152">
        <f t="shared" si="5"/>
        <v>0</v>
      </c>
      <c r="K39" s="141">
        <f t="shared" si="0"/>
        <v>0</v>
      </c>
      <c r="L39" s="38"/>
      <c r="M39" s="202">
        <v>0</v>
      </c>
      <c r="N39" s="199">
        <f t="shared" si="1"/>
        <v>0</v>
      </c>
      <c r="O39" s="202">
        <v>0</v>
      </c>
      <c r="P39" s="213">
        <f t="shared" si="2"/>
        <v>0</v>
      </c>
      <c r="Q39" s="211">
        <v>0</v>
      </c>
      <c r="R39" s="199">
        <f t="shared" si="3"/>
        <v>0</v>
      </c>
      <c r="S39" s="203">
        <f t="shared" si="6"/>
        <v>0</v>
      </c>
      <c r="U39" s="165">
        <v>53214020000000</v>
      </c>
      <c r="V39" s="162" t="s">
        <v>33</v>
      </c>
      <c r="W39" s="289">
        <v>0</v>
      </c>
      <c r="AG39" s="29"/>
    </row>
    <row r="40" spans="1:33" s="40" customFormat="1" ht="12.75" customHeight="1" x14ac:dyDescent="0.2">
      <c r="A40" s="723"/>
      <c r="B40" s="728" t="s">
        <v>123</v>
      </c>
      <c r="C40" s="495" t="s">
        <v>254</v>
      </c>
      <c r="D40" s="496" t="s">
        <v>255</v>
      </c>
      <c r="E40" s="497" t="s">
        <v>256</v>
      </c>
      <c r="F40" s="126" t="s">
        <v>122</v>
      </c>
      <c r="G40" s="127">
        <v>2304269</v>
      </c>
      <c r="H40" s="127">
        <v>304000</v>
      </c>
      <c r="I40" s="147">
        <v>117585.20000000001</v>
      </c>
      <c r="J40" s="153">
        <f t="shared" ref="J40:J61" si="7">SUM(G40:I40)</f>
        <v>2725854.2</v>
      </c>
      <c r="K40" s="155">
        <f t="shared" si="0"/>
        <v>2802178.1176000005</v>
      </c>
      <c r="L40" s="38"/>
      <c r="M40" s="172">
        <v>0</v>
      </c>
      <c r="N40" s="197">
        <f t="shared" si="1"/>
        <v>0</v>
      </c>
      <c r="O40" s="172">
        <v>0.5</v>
      </c>
      <c r="P40" s="212">
        <f t="shared" si="2"/>
        <v>1401089.0588000002</v>
      </c>
      <c r="Q40" s="209">
        <v>0</v>
      </c>
      <c r="R40" s="197">
        <f t="shared" si="3"/>
        <v>0</v>
      </c>
      <c r="S40" s="200">
        <f t="shared" si="6"/>
        <v>0.5</v>
      </c>
      <c r="U40" s="163"/>
      <c r="V40" s="160" t="s">
        <v>34</v>
      </c>
      <c r="W40" s="166">
        <f>SUM(W41,W46,W49,W60,W70,W78)</f>
        <v>-12499411</v>
      </c>
      <c r="AG40" s="29"/>
    </row>
    <row r="41" spans="1:33" s="40" customFormat="1" ht="12.75" customHeight="1" x14ac:dyDescent="0.2">
      <c r="A41" s="723"/>
      <c r="B41" s="729"/>
      <c r="C41" s="498" t="s">
        <v>254</v>
      </c>
      <c r="D41" s="499" t="s">
        <v>258</v>
      </c>
      <c r="E41" s="500" t="s">
        <v>259</v>
      </c>
      <c r="F41" s="104" t="s">
        <v>122</v>
      </c>
      <c r="G41" s="128">
        <v>12778389.367999999</v>
      </c>
      <c r="H41" s="128">
        <f>185000+119000</f>
        <v>304000</v>
      </c>
      <c r="I41" s="148">
        <v>120949.12</v>
      </c>
      <c r="J41" s="154">
        <f t="shared" ref="J41:J48" si="8">SUM(G41:I41)</f>
        <v>13203338.487999998</v>
      </c>
      <c r="K41" s="156">
        <f t="shared" si="0"/>
        <v>13573031.965663997</v>
      </c>
      <c r="L41" s="38"/>
      <c r="M41" s="195">
        <v>0.2</v>
      </c>
      <c r="N41" s="198">
        <f t="shared" si="1"/>
        <v>2714606.3931327998</v>
      </c>
      <c r="O41" s="195">
        <v>0.1</v>
      </c>
      <c r="P41" s="196">
        <f t="shared" si="2"/>
        <v>1357303.1965663999</v>
      </c>
      <c r="Q41" s="210">
        <v>0</v>
      </c>
      <c r="R41" s="198">
        <f t="shared" si="3"/>
        <v>0</v>
      </c>
      <c r="S41" s="201">
        <f t="shared" si="6"/>
        <v>0.30000000000000004</v>
      </c>
      <c r="U41" s="164"/>
      <c r="V41" s="161" t="s">
        <v>35</v>
      </c>
      <c r="W41" s="167">
        <f>SUM(W42:W45)</f>
        <v>-128411</v>
      </c>
      <c r="AG41" s="29"/>
    </row>
    <row r="42" spans="1:33" s="40" customFormat="1" ht="12.75" customHeight="1" x14ac:dyDescent="0.2">
      <c r="A42" s="723"/>
      <c r="B42" s="729"/>
      <c r="C42" s="498" t="s">
        <v>260</v>
      </c>
      <c r="D42" s="499" t="s">
        <v>261</v>
      </c>
      <c r="E42" s="500" t="s">
        <v>262</v>
      </c>
      <c r="F42" s="104" t="s">
        <v>122</v>
      </c>
      <c r="G42" s="128">
        <v>12253479.324999997</v>
      </c>
      <c r="H42" s="128">
        <f>185000+119000</f>
        <v>304000</v>
      </c>
      <c r="I42" s="148">
        <v>120949.12</v>
      </c>
      <c r="J42" s="154">
        <f t="shared" si="8"/>
        <v>12678428.444999997</v>
      </c>
      <c r="K42" s="156">
        <f t="shared" si="0"/>
        <v>13033424.441459997</v>
      </c>
      <c r="L42" s="38"/>
      <c r="M42" s="195">
        <v>0.15</v>
      </c>
      <c r="N42" s="198">
        <f t="shared" si="1"/>
        <v>1955013.6662189993</v>
      </c>
      <c r="O42" s="195">
        <v>0.1</v>
      </c>
      <c r="P42" s="196">
        <f t="shared" si="2"/>
        <v>1303342.4441459998</v>
      </c>
      <c r="Q42" s="210">
        <v>0</v>
      </c>
      <c r="R42" s="198">
        <f t="shared" si="3"/>
        <v>0</v>
      </c>
      <c r="S42" s="201">
        <f t="shared" si="6"/>
        <v>0.25</v>
      </c>
      <c r="U42" s="165">
        <v>53202020100000</v>
      </c>
      <c r="V42" s="162" t="s">
        <v>39</v>
      </c>
      <c r="W42" s="289">
        <v>0</v>
      </c>
      <c r="AG42" s="29"/>
    </row>
    <row r="43" spans="1:33" s="40" customFormat="1" ht="12.75" customHeight="1" x14ac:dyDescent="0.2">
      <c r="A43" s="723"/>
      <c r="B43" s="729"/>
      <c r="C43" s="498" t="s">
        <v>263</v>
      </c>
      <c r="D43" s="499" t="s">
        <v>264</v>
      </c>
      <c r="E43" s="500" t="s">
        <v>265</v>
      </c>
      <c r="F43" s="104" t="s">
        <v>122</v>
      </c>
      <c r="G43" s="128">
        <v>7917307.0491999984</v>
      </c>
      <c r="H43" s="128">
        <f>185000+119000</f>
        <v>304000</v>
      </c>
      <c r="I43" s="148">
        <v>117585</v>
      </c>
      <c r="J43" s="154">
        <f t="shared" si="8"/>
        <v>8338892.0491999984</v>
      </c>
      <c r="K43" s="156">
        <f t="shared" si="0"/>
        <v>8572381.0265775993</v>
      </c>
      <c r="L43" s="38"/>
      <c r="M43" s="195">
        <v>0.15</v>
      </c>
      <c r="N43" s="198">
        <f t="shared" si="1"/>
        <v>1285857.1539866398</v>
      </c>
      <c r="O43" s="195">
        <v>0.1</v>
      </c>
      <c r="P43" s="196">
        <f t="shared" si="2"/>
        <v>857238.10265776003</v>
      </c>
      <c r="Q43" s="210">
        <v>0</v>
      </c>
      <c r="R43" s="198">
        <f t="shared" si="3"/>
        <v>0</v>
      </c>
      <c r="S43" s="201">
        <f t="shared" si="6"/>
        <v>0.25</v>
      </c>
      <c r="U43" s="165">
        <v>53202030000000</v>
      </c>
      <c r="V43" s="162" t="s">
        <v>40</v>
      </c>
      <c r="W43" s="289">
        <v>0</v>
      </c>
      <c r="AG43" s="29"/>
    </row>
    <row r="44" spans="1:33" s="40" customFormat="1" ht="12.75" customHeight="1" x14ac:dyDescent="0.2">
      <c r="A44" s="723"/>
      <c r="B44" s="729"/>
      <c r="C44" s="87"/>
      <c r="D44" s="89"/>
      <c r="E44" s="90"/>
      <c r="F44" s="104" t="s">
        <v>122</v>
      </c>
      <c r="G44" s="128">
        <v>0</v>
      </c>
      <c r="H44" s="128">
        <v>0</v>
      </c>
      <c r="I44" s="148">
        <v>0</v>
      </c>
      <c r="J44" s="154">
        <f t="shared" si="8"/>
        <v>0</v>
      </c>
      <c r="K44" s="156">
        <f t="shared" si="0"/>
        <v>0</v>
      </c>
      <c r="L44" s="38"/>
      <c r="M44" s="195">
        <v>0</v>
      </c>
      <c r="N44" s="198">
        <f t="shared" si="1"/>
        <v>0</v>
      </c>
      <c r="O44" s="195">
        <v>0</v>
      </c>
      <c r="P44" s="196">
        <f t="shared" si="2"/>
        <v>0</v>
      </c>
      <c r="Q44" s="210">
        <v>0</v>
      </c>
      <c r="R44" s="198">
        <f t="shared" si="3"/>
        <v>0</v>
      </c>
      <c r="S44" s="201">
        <f t="shared" si="6"/>
        <v>0</v>
      </c>
      <c r="U44" s="165">
        <v>53211020000000</v>
      </c>
      <c r="V44" s="162" t="s">
        <v>41</v>
      </c>
      <c r="W44" s="289">
        <v>-334000</v>
      </c>
      <c r="AG44" s="29"/>
    </row>
    <row r="45" spans="1:33" s="40" customFormat="1" ht="12.75" customHeight="1" x14ac:dyDescent="0.2">
      <c r="A45" s="723"/>
      <c r="B45" s="729"/>
      <c r="C45" s="87"/>
      <c r="D45" s="89"/>
      <c r="E45" s="90"/>
      <c r="F45" s="104" t="s">
        <v>122</v>
      </c>
      <c r="G45" s="128">
        <v>0</v>
      </c>
      <c r="H45" s="128">
        <v>0</v>
      </c>
      <c r="I45" s="148">
        <v>0</v>
      </c>
      <c r="J45" s="154">
        <f t="shared" si="8"/>
        <v>0</v>
      </c>
      <c r="K45" s="156">
        <f t="shared" si="0"/>
        <v>0</v>
      </c>
      <c r="L45" s="38"/>
      <c r="M45" s="195">
        <v>0</v>
      </c>
      <c r="N45" s="198">
        <f t="shared" si="1"/>
        <v>0</v>
      </c>
      <c r="O45" s="195">
        <v>0</v>
      </c>
      <c r="P45" s="196">
        <f t="shared" si="2"/>
        <v>0</v>
      </c>
      <c r="Q45" s="210">
        <v>0</v>
      </c>
      <c r="R45" s="198">
        <f t="shared" si="3"/>
        <v>0</v>
      </c>
      <c r="S45" s="201">
        <f t="shared" si="6"/>
        <v>0</v>
      </c>
      <c r="U45" s="165">
        <v>53101004030000</v>
      </c>
      <c r="V45" s="162" t="s">
        <v>38</v>
      </c>
      <c r="W45" s="289">
        <v>205589</v>
      </c>
      <c r="AG45" s="29"/>
    </row>
    <row r="46" spans="1:33" s="40" customFormat="1" ht="12.75" customHeight="1" x14ac:dyDescent="0.2">
      <c r="A46" s="723"/>
      <c r="B46" s="729"/>
      <c r="C46" s="87"/>
      <c r="D46" s="89"/>
      <c r="E46" s="90"/>
      <c r="F46" s="104" t="s">
        <v>122</v>
      </c>
      <c r="G46" s="128">
        <v>0</v>
      </c>
      <c r="H46" s="128">
        <v>0</v>
      </c>
      <c r="I46" s="148">
        <v>0</v>
      </c>
      <c r="J46" s="154">
        <f t="shared" si="8"/>
        <v>0</v>
      </c>
      <c r="K46" s="156">
        <f t="shared" si="0"/>
        <v>0</v>
      </c>
      <c r="L46" s="38"/>
      <c r="M46" s="195">
        <v>0</v>
      </c>
      <c r="N46" s="198">
        <f t="shared" si="1"/>
        <v>0</v>
      </c>
      <c r="O46" s="195">
        <v>0</v>
      </c>
      <c r="P46" s="196">
        <f t="shared" si="2"/>
        <v>0</v>
      </c>
      <c r="Q46" s="210">
        <v>0</v>
      </c>
      <c r="R46" s="198">
        <f t="shared" si="3"/>
        <v>0</v>
      </c>
      <c r="S46" s="201">
        <f t="shared" si="6"/>
        <v>0</v>
      </c>
      <c r="U46" s="164"/>
      <c r="V46" s="161" t="s">
        <v>42</v>
      </c>
      <c r="W46" s="167">
        <f>SUM(W47:W48)</f>
        <v>0</v>
      </c>
      <c r="AG46" s="29"/>
    </row>
    <row r="47" spans="1:33" s="40" customFormat="1" ht="12.75" customHeight="1" x14ac:dyDescent="0.2">
      <c r="A47" s="723"/>
      <c r="B47" s="729"/>
      <c r="C47" s="87"/>
      <c r="D47" s="89"/>
      <c r="E47" s="90"/>
      <c r="F47" s="104" t="s">
        <v>122</v>
      </c>
      <c r="G47" s="128">
        <v>0</v>
      </c>
      <c r="H47" s="128">
        <v>0</v>
      </c>
      <c r="I47" s="148">
        <v>0</v>
      </c>
      <c r="J47" s="154">
        <f t="shared" si="8"/>
        <v>0</v>
      </c>
      <c r="K47" s="156">
        <f t="shared" si="0"/>
        <v>0</v>
      </c>
      <c r="L47" s="38"/>
      <c r="M47" s="195">
        <v>0</v>
      </c>
      <c r="N47" s="198">
        <f t="shared" si="1"/>
        <v>0</v>
      </c>
      <c r="O47" s="195">
        <v>0</v>
      </c>
      <c r="P47" s="196">
        <f t="shared" si="2"/>
        <v>0</v>
      </c>
      <c r="Q47" s="210">
        <v>0</v>
      </c>
      <c r="R47" s="198">
        <f t="shared" si="3"/>
        <v>0</v>
      </c>
      <c r="S47" s="201">
        <f t="shared" si="6"/>
        <v>0</v>
      </c>
      <c r="U47" s="165">
        <v>53205080000000</v>
      </c>
      <c r="V47" s="162" t="s">
        <v>43</v>
      </c>
      <c r="W47" s="168">
        <v>0</v>
      </c>
      <c r="AG47" s="29"/>
    </row>
    <row r="48" spans="1:33" s="40" customFormat="1" ht="12.75" customHeight="1" x14ac:dyDescent="0.2">
      <c r="A48" s="723"/>
      <c r="B48" s="729"/>
      <c r="C48" s="87"/>
      <c r="D48" s="89"/>
      <c r="E48" s="90"/>
      <c r="F48" s="104" t="s">
        <v>122</v>
      </c>
      <c r="G48" s="128">
        <v>0</v>
      </c>
      <c r="H48" s="128">
        <v>0</v>
      </c>
      <c r="I48" s="148">
        <v>0</v>
      </c>
      <c r="J48" s="154">
        <f t="shared" si="8"/>
        <v>0</v>
      </c>
      <c r="K48" s="156">
        <f t="shared" si="0"/>
        <v>0</v>
      </c>
      <c r="L48" s="38"/>
      <c r="M48" s="195">
        <v>0</v>
      </c>
      <c r="N48" s="198">
        <f t="shared" si="1"/>
        <v>0</v>
      </c>
      <c r="O48" s="195">
        <v>0</v>
      </c>
      <c r="P48" s="196">
        <f t="shared" si="2"/>
        <v>0</v>
      </c>
      <c r="Q48" s="210">
        <v>0</v>
      </c>
      <c r="R48" s="198">
        <f t="shared" si="3"/>
        <v>0</v>
      </c>
      <c r="S48" s="201">
        <f t="shared" si="6"/>
        <v>0</v>
      </c>
      <c r="U48" s="165">
        <v>53205990000000</v>
      </c>
      <c r="V48" s="162" t="s">
        <v>44</v>
      </c>
      <c r="W48" s="168">
        <v>0</v>
      </c>
      <c r="AG48" s="29"/>
    </row>
    <row r="49" spans="1:33" s="40" customFormat="1" ht="12.75" customHeight="1" x14ac:dyDescent="0.2">
      <c r="A49" s="723"/>
      <c r="B49" s="730"/>
      <c r="C49" s="87"/>
      <c r="D49" s="89"/>
      <c r="E49" s="90"/>
      <c r="F49" s="104" t="s">
        <v>122</v>
      </c>
      <c r="G49" s="128">
        <v>0</v>
      </c>
      <c r="H49" s="128">
        <v>0</v>
      </c>
      <c r="I49" s="148">
        <v>0</v>
      </c>
      <c r="J49" s="154">
        <f t="shared" si="7"/>
        <v>0</v>
      </c>
      <c r="K49" s="156">
        <f t="shared" si="0"/>
        <v>0</v>
      </c>
      <c r="L49" s="38"/>
      <c r="M49" s="195">
        <v>0</v>
      </c>
      <c r="N49" s="198">
        <f t="shared" si="1"/>
        <v>0</v>
      </c>
      <c r="O49" s="195">
        <v>0</v>
      </c>
      <c r="P49" s="196">
        <f t="shared" si="2"/>
        <v>0</v>
      </c>
      <c r="Q49" s="210">
        <v>0</v>
      </c>
      <c r="R49" s="198">
        <f t="shared" si="3"/>
        <v>0</v>
      </c>
      <c r="S49" s="201">
        <f t="shared" si="6"/>
        <v>0</v>
      </c>
      <c r="U49" s="164"/>
      <c r="V49" s="161" t="s">
        <v>45</v>
      </c>
      <c r="W49" s="167">
        <f>SUM(W50:W59)</f>
        <v>-6052000</v>
      </c>
      <c r="AG49" s="29"/>
    </row>
    <row r="50" spans="1:33" s="40" customFormat="1" ht="12.75" customHeight="1" x14ac:dyDescent="0.2">
      <c r="A50" s="723"/>
      <c r="B50" s="729"/>
      <c r="C50" s="87"/>
      <c r="D50" s="89"/>
      <c r="E50" s="90"/>
      <c r="F50" s="104" t="s">
        <v>122</v>
      </c>
      <c r="G50" s="128">
        <v>0</v>
      </c>
      <c r="H50" s="128">
        <v>0</v>
      </c>
      <c r="I50" s="148">
        <v>0</v>
      </c>
      <c r="J50" s="154">
        <f t="shared" ref="J50:J53" si="9">SUM(G50:I50)</f>
        <v>0</v>
      </c>
      <c r="K50" s="156">
        <f t="shared" si="0"/>
        <v>0</v>
      </c>
      <c r="L50" s="38"/>
      <c r="M50" s="195">
        <v>0</v>
      </c>
      <c r="N50" s="198">
        <f t="shared" si="1"/>
        <v>0</v>
      </c>
      <c r="O50" s="195">
        <v>0</v>
      </c>
      <c r="P50" s="196">
        <f t="shared" si="2"/>
        <v>0</v>
      </c>
      <c r="Q50" s="210">
        <v>0</v>
      </c>
      <c r="R50" s="198">
        <f t="shared" si="3"/>
        <v>0</v>
      </c>
      <c r="S50" s="201">
        <f t="shared" si="6"/>
        <v>0</v>
      </c>
      <c r="U50" s="165">
        <v>53203010200000</v>
      </c>
      <c r="V50" s="162" t="s">
        <v>46</v>
      </c>
      <c r="W50" s="289">
        <v>0</v>
      </c>
      <c r="AG50" s="29"/>
    </row>
    <row r="51" spans="1:33" s="40" customFormat="1" ht="12.75" customHeight="1" x14ac:dyDescent="0.2">
      <c r="A51" s="723"/>
      <c r="B51" s="729"/>
      <c r="C51" s="87"/>
      <c r="D51" s="89"/>
      <c r="E51" s="90"/>
      <c r="F51" s="104" t="s">
        <v>122</v>
      </c>
      <c r="G51" s="128">
        <v>0</v>
      </c>
      <c r="H51" s="128">
        <v>0</v>
      </c>
      <c r="I51" s="148">
        <v>0</v>
      </c>
      <c r="J51" s="154">
        <f t="shared" si="9"/>
        <v>0</v>
      </c>
      <c r="K51" s="156">
        <f t="shared" si="0"/>
        <v>0</v>
      </c>
      <c r="L51" s="38"/>
      <c r="M51" s="195">
        <v>0</v>
      </c>
      <c r="N51" s="198">
        <f t="shared" si="1"/>
        <v>0</v>
      </c>
      <c r="O51" s="195">
        <v>0</v>
      </c>
      <c r="P51" s="196">
        <f t="shared" si="2"/>
        <v>0</v>
      </c>
      <c r="Q51" s="210">
        <v>0</v>
      </c>
      <c r="R51" s="198">
        <f t="shared" si="3"/>
        <v>0</v>
      </c>
      <c r="S51" s="201">
        <f t="shared" si="6"/>
        <v>0</v>
      </c>
      <c r="U51" s="165">
        <v>53204010000000</v>
      </c>
      <c r="V51" s="162" t="s">
        <v>47</v>
      </c>
      <c r="W51" s="289">
        <v>-2500000</v>
      </c>
      <c r="AG51" s="29"/>
    </row>
    <row r="52" spans="1:33" s="40" customFormat="1" ht="12.75" customHeight="1" x14ac:dyDescent="0.2">
      <c r="A52" s="723"/>
      <c r="B52" s="729"/>
      <c r="C52" s="87"/>
      <c r="D52" s="89"/>
      <c r="E52" s="90"/>
      <c r="F52" s="104" t="s">
        <v>122</v>
      </c>
      <c r="G52" s="128">
        <v>0</v>
      </c>
      <c r="H52" s="128">
        <v>0</v>
      </c>
      <c r="I52" s="148">
        <v>0</v>
      </c>
      <c r="J52" s="154">
        <f t="shared" si="9"/>
        <v>0</v>
      </c>
      <c r="K52" s="156">
        <f t="shared" si="0"/>
        <v>0</v>
      </c>
      <c r="L52" s="38"/>
      <c r="M52" s="195">
        <v>0</v>
      </c>
      <c r="N52" s="198">
        <f t="shared" si="1"/>
        <v>0</v>
      </c>
      <c r="O52" s="195">
        <v>0</v>
      </c>
      <c r="P52" s="196">
        <f t="shared" si="2"/>
        <v>0</v>
      </c>
      <c r="Q52" s="210">
        <v>0</v>
      </c>
      <c r="R52" s="198">
        <f t="shared" si="3"/>
        <v>0</v>
      </c>
      <c r="S52" s="201">
        <f t="shared" si="6"/>
        <v>0</v>
      </c>
      <c r="U52" s="165">
        <v>53204040200000</v>
      </c>
      <c r="V52" s="162" t="s">
        <v>48</v>
      </c>
      <c r="W52" s="289">
        <v>0</v>
      </c>
      <c r="AG52" s="29"/>
    </row>
    <row r="53" spans="1:33" s="40" customFormat="1" ht="12.75" customHeight="1" x14ac:dyDescent="0.2">
      <c r="A53" s="723"/>
      <c r="B53" s="729"/>
      <c r="C53" s="87"/>
      <c r="D53" s="89"/>
      <c r="E53" s="90"/>
      <c r="F53" s="104" t="s">
        <v>122</v>
      </c>
      <c r="G53" s="128">
        <v>0</v>
      </c>
      <c r="H53" s="128">
        <v>0</v>
      </c>
      <c r="I53" s="148">
        <v>0</v>
      </c>
      <c r="J53" s="154">
        <f t="shared" si="9"/>
        <v>0</v>
      </c>
      <c r="K53" s="156">
        <f t="shared" si="0"/>
        <v>0</v>
      </c>
      <c r="L53" s="38"/>
      <c r="M53" s="195">
        <v>0</v>
      </c>
      <c r="N53" s="198">
        <f t="shared" si="1"/>
        <v>0</v>
      </c>
      <c r="O53" s="195">
        <v>0</v>
      </c>
      <c r="P53" s="196">
        <f t="shared" si="2"/>
        <v>0</v>
      </c>
      <c r="Q53" s="210">
        <v>0</v>
      </c>
      <c r="R53" s="198">
        <f t="shared" si="3"/>
        <v>0</v>
      </c>
      <c r="S53" s="201">
        <f t="shared" si="6"/>
        <v>0</v>
      </c>
      <c r="U53" s="165">
        <v>53204060000000</v>
      </c>
      <c r="V53" s="162" t="s">
        <v>49</v>
      </c>
      <c r="W53" s="289">
        <v>-100000</v>
      </c>
      <c r="AG53" s="29"/>
    </row>
    <row r="54" spans="1:33" s="40" customFormat="1" ht="12.75" customHeight="1" x14ac:dyDescent="0.2">
      <c r="A54" s="723"/>
      <c r="B54" s="730"/>
      <c r="C54" s="87"/>
      <c r="D54" s="89"/>
      <c r="E54" s="90"/>
      <c r="F54" s="104" t="s">
        <v>122</v>
      </c>
      <c r="G54" s="128">
        <v>0</v>
      </c>
      <c r="H54" s="128">
        <v>0</v>
      </c>
      <c r="I54" s="148">
        <v>0</v>
      </c>
      <c r="J54" s="154">
        <f t="shared" si="7"/>
        <v>0</v>
      </c>
      <c r="K54" s="156">
        <f t="shared" si="0"/>
        <v>0</v>
      </c>
      <c r="L54" s="38"/>
      <c r="M54" s="195">
        <v>0</v>
      </c>
      <c r="N54" s="198">
        <f t="shared" si="1"/>
        <v>0</v>
      </c>
      <c r="O54" s="195">
        <v>0</v>
      </c>
      <c r="P54" s="196">
        <f t="shared" si="2"/>
        <v>0</v>
      </c>
      <c r="Q54" s="210">
        <v>0</v>
      </c>
      <c r="R54" s="198">
        <f t="shared" si="3"/>
        <v>0</v>
      </c>
      <c r="S54" s="201">
        <f t="shared" si="6"/>
        <v>0</v>
      </c>
      <c r="U54" s="165">
        <v>53204070000000</v>
      </c>
      <c r="V54" s="162" t="s">
        <v>50</v>
      </c>
      <c r="W54" s="289">
        <v>-1250000</v>
      </c>
      <c r="AG54" s="29"/>
    </row>
    <row r="55" spans="1:33" s="40" customFormat="1" ht="12.75" customHeight="1" x14ac:dyDescent="0.2">
      <c r="A55" s="723"/>
      <c r="B55" s="730"/>
      <c r="C55" s="87"/>
      <c r="D55" s="89"/>
      <c r="E55" s="90"/>
      <c r="F55" s="104" t="s">
        <v>122</v>
      </c>
      <c r="G55" s="128">
        <v>0</v>
      </c>
      <c r="H55" s="128">
        <v>0</v>
      </c>
      <c r="I55" s="148">
        <v>0</v>
      </c>
      <c r="J55" s="154">
        <f t="shared" si="7"/>
        <v>0</v>
      </c>
      <c r="K55" s="156">
        <f t="shared" si="0"/>
        <v>0</v>
      </c>
      <c r="L55" s="38"/>
      <c r="M55" s="195">
        <v>0</v>
      </c>
      <c r="N55" s="198">
        <f t="shared" si="1"/>
        <v>0</v>
      </c>
      <c r="O55" s="195">
        <v>0</v>
      </c>
      <c r="P55" s="196">
        <f t="shared" si="2"/>
        <v>0</v>
      </c>
      <c r="Q55" s="210">
        <v>0</v>
      </c>
      <c r="R55" s="198">
        <f t="shared" si="3"/>
        <v>0</v>
      </c>
      <c r="S55" s="201">
        <f t="shared" si="6"/>
        <v>0</v>
      </c>
      <c r="U55" s="165">
        <v>53204080000000</v>
      </c>
      <c r="V55" s="162" t="s">
        <v>51</v>
      </c>
      <c r="W55" s="289">
        <v>0</v>
      </c>
      <c r="AG55" s="29"/>
    </row>
    <row r="56" spans="1:33" s="40" customFormat="1" ht="12.75" customHeight="1" x14ac:dyDescent="0.2">
      <c r="A56" s="723"/>
      <c r="B56" s="730"/>
      <c r="C56" s="87"/>
      <c r="D56" s="89"/>
      <c r="E56" s="90"/>
      <c r="F56" s="104" t="s">
        <v>122</v>
      </c>
      <c r="G56" s="128">
        <v>0</v>
      </c>
      <c r="H56" s="128">
        <v>0</v>
      </c>
      <c r="I56" s="148">
        <v>0</v>
      </c>
      <c r="J56" s="154">
        <f t="shared" si="7"/>
        <v>0</v>
      </c>
      <c r="K56" s="156">
        <f t="shared" si="0"/>
        <v>0</v>
      </c>
      <c r="L56" s="38"/>
      <c r="M56" s="195">
        <v>0</v>
      </c>
      <c r="N56" s="198">
        <f t="shared" si="1"/>
        <v>0</v>
      </c>
      <c r="O56" s="195">
        <v>0</v>
      </c>
      <c r="P56" s="196">
        <f t="shared" si="2"/>
        <v>0</v>
      </c>
      <c r="Q56" s="210">
        <v>0</v>
      </c>
      <c r="R56" s="198">
        <f t="shared" si="3"/>
        <v>0</v>
      </c>
      <c r="S56" s="201">
        <f t="shared" si="6"/>
        <v>0</v>
      </c>
      <c r="U56" s="165">
        <v>53214010000000</v>
      </c>
      <c r="V56" s="162" t="s">
        <v>52</v>
      </c>
      <c r="W56" s="289">
        <v>0</v>
      </c>
      <c r="AG56" s="29"/>
    </row>
    <row r="57" spans="1:33" s="40" customFormat="1" ht="12.75" customHeight="1" x14ac:dyDescent="0.2">
      <c r="A57" s="723"/>
      <c r="B57" s="730"/>
      <c r="C57" s="87"/>
      <c r="D57" s="89"/>
      <c r="E57" s="90"/>
      <c r="F57" s="104" t="s">
        <v>122</v>
      </c>
      <c r="G57" s="128">
        <v>0</v>
      </c>
      <c r="H57" s="128">
        <v>0</v>
      </c>
      <c r="I57" s="148">
        <v>0</v>
      </c>
      <c r="J57" s="154">
        <f t="shared" si="7"/>
        <v>0</v>
      </c>
      <c r="K57" s="156">
        <f t="shared" si="0"/>
        <v>0</v>
      </c>
      <c r="L57" s="38"/>
      <c r="M57" s="195">
        <v>0</v>
      </c>
      <c r="N57" s="198">
        <f t="shared" si="1"/>
        <v>0</v>
      </c>
      <c r="O57" s="195">
        <v>0</v>
      </c>
      <c r="P57" s="196">
        <f t="shared" si="2"/>
        <v>0</v>
      </c>
      <c r="Q57" s="210">
        <v>0</v>
      </c>
      <c r="R57" s="198">
        <f t="shared" si="3"/>
        <v>0</v>
      </c>
      <c r="S57" s="201">
        <f t="shared" si="6"/>
        <v>0</v>
      </c>
      <c r="U57" s="165">
        <v>53214040000000</v>
      </c>
      <c r="V57" s="162" t="s">
        <v>134</v>
      </c>
      <c r="W57" s="289">
        <v>-2202000</v>
      </c>
      <c r="AG57" s="29"/>
    </row>
    <row r="58" spans="1:33" s="40" customFormat="1" ht="12.75" customHeight="1" x14ac:dyDescent="0.2">
      <c r="A58" s="723"/>
      <c r="B58" s="730"/>
      <c r="C58" s="87"/>
      <c r="D58" s="89"/>
      <c r="E58" s="90"/>
      <c r="F58" s="104" t="s">
        <v>122</v>
      </c>
      <c r="G58" s="128">
        <v>0</v>
      </c>
      <c r="H58" s="128">
        <v>0</v>
      </c>
      <c r="I58" s="148">
        <v>0</v>
      </c>
      <c r="J58" s="154">
        <f t="shared" si="7"/>
        <v>0</v>
      </c>
      <c r="K58" s="156">
        <f t="shared" si="0"/>
        <v>0</v>
      </c>
      <c r="L58" s="38"/>
      <c r="M58" s="195">
        <v>0</v>
      </c>
      <c r="N58" s="198">
        <f t="shared" si="1"/>
        <v>0</v>
      </c>
      <c r="O58" s="195">
        <v>0</v>
      </c>
      <c r="P58" s="196">
        <f t="shared" si="2"/>
        <v>0</v>
      </c>
      <c r="Q58" s="210">
        <v>0</v>
      </c>
      <c r="R58" s="198">
        <f t="shared" si="3"/>
        <v>0</v>
      </c>
      <c r="S58" s="201">
        <f t="shared" si="6"/>
        <v>0</v>
      </c>
      <c r="U58" s="165">
        <v>55201010100004</v>
      </c>
      <c r="V58" s="162" t="s">
        <v>53</v>
      </c>
      <c r="W58" s="289">
        <v>0</v>
      </c>
      <c r="AG58" s="29"/>
    </row>
    <row r="59" spans="1:33" s="40" customFormat="1" ht="12.75" customHeight="1" x14ac:dyDescent="0.2">
      <c r="A59" s="723"/>
      <c r="B59" s="730"/>
      <c r="C59" s="87"/>
      <c r="D59" s="89"/>
      <c r="E59" s="90"/>
      <c r="F59" s="104" t="s">
        <v>122</v>
      </c>
      <c r="G59" s="128">
        <v>0</v>
      </c>
      <c r="H59" s="128">
        <v>0</v>
      </c>
      <c r="I59" s="148">
        <v>0</v>
      </c>
      <c r="J59" s="154">
        <f t="shared" si="7"/>
        <v>0</v>
      </c>
      <c r="K59" s="156">
        <f t="shared" si="0"/>
        <v>0</v>
      </c>
      <c r="L59" s="38"/>
      <c r="M59" s="195">
        <v>0</v>
      </c>
      <c r="N59" s="198">
        <f t="shared" si="1"/>
        <v>0</v>
      </c>
      <c r="O59" s="195">
        <v>0</v>
      </c>
      <c r="P59" s="196">
        <f t="shared" si="2"/>
        <v>0</v>
      </c>
      <c r="Q59" s="210">
        <v>0</v>
      </c>
      <c r="R59" s="198">
        <f t="shared" si="3"/>
        <v>0</v>
      </c>
      <c r="S59" s="201">
        <f t="shared" si="6"/>
        <v>0</v>
      </c>
      <c r="U59" s="165">
        <v>55201010100005</v>
      </c>
      <c r="V59" s="162" t="s">
        <v>54</v>
      </c>
      <c r="W59" s="289">
        <v>0</v>
      </c>
      <c r="AG59" s="29"/>
    </row>
    <row r="60" spans="1:33" s="40" customFormat="1" ht="12.75" customHeight="1" x14ac:dyDescent="0.2">
      <c r="A60" s="723"/>
      <c r="B60" s="730"/>
      <c r="C60" s="87"/>
      <c r="D60" s="89"/>
      <c r="E60" s="90"/>
      <c r="F60" s="104" t="s">
        <v>122</v>
      </c>
      <c r="G60" s="128">
        <v>0</v>
      </c>
      <c r="H60" s="128">
        <v>0</v>
      </c>
      <c r="I60" s="148">
        <v>0</v>
      </c>
      <c r="J60" s="154">
        <f t="shared" si="7"/>
        <v>0</v>
      </c>
      <c r="K60" s="156">
        <f t="shared" si="0"/>
        <v>0</v>
      </c>
      <c r="L60" s="38"/>
      <c r="M60" s="195">
        <v>0</v>
      </c>
      <c r="N60" s="198">
        <f t="shared" si="1"/>
        <v>0</v>
      </c>
      <c r="O60" s="195">
        <v>0</v>
      </c>
      <c r="P60" s="196">
        <f t="shared" si="2"/>
        <v>0</v>
      </c>
      <c r="Q60" s="210">
        <v>0</v>
      </c>
      <c r="R60" s="198">
        <f t="shared" si="3"/>
        <v>0</v>
      </c>
      <c r="S60" s="201">
        <f t="shared" si="6"/>
        <v>0</v>
      </c>
      <c r="U60" s="164"/>
      <c r="V60" s="161" t="s">
        <v>55</v>
      </c>
      <c r="W60" s="167">
        <f>SUM(W61:W69)</f>
        <v>1252000</v>
      </c>
      <c r="AG60" s="29"/>
    </row>
    <row r="61" spans="1:33" s="40" customFormat="1" ht="12.75" customHeight="1" thickBot="1" x14ac:dyDescent="0.25">
      <c r="A61" s="724"/>
      <c r="B61" s="731"/>
      <c r="C61" s="158"/>
      <c r="D61" s="129"/>
      <c r="E61" s="130"/>
      <c r="F61" s="131" t="s">
        <v>122</v>
      </c>
      <c r="G61" s="132">
        <v>0</v>
      </c>
      <c r="H61" s="132">
        <v>0</v>
      </c>
      <c r="I61" s="149">
        <v>0</v>
      </c>
      <c r="J61" s="152">
        <f t="shared" si="7"/>
        <v>0</v>
      </c>
      <c r="K61" s="141">
        <f t="shared" si="0"/>
        <v>0</v>
      </c>
      <c r="L61" s="38"/>
      <c r="M61" s="479">
        <v>0</v>
      </c>
      <c r="N61" s="480">
        <f t="shared" si="1"/>
        <v>0</v>
      </c>
      <c r="O61" s="479">
        <v>0</v>
      </c>
      <c r="P61" s="481">
        <f t="shared" si="2"/>
        <v>0</v>
      </c>
      <c r="Q61" s="482">
        <v>0</v>
      </c>
      <c r="R61" s="480">
        <f t="shared" si="3"/>
        <v>0</v>
      </c>
      <c r="S61" s="203">
        <f t="shared" si="6"/>
        <v>0</v>
      </c>
      <c r="U61" s="165">
        <v>53207010000000</v>
      </c>
      <c r="V61" s="162" t="s">
        <v>56</v>
      </c>
      <c r="W61" s="289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478">
        <f>SUM(K15:K61)</f>
        <v>112896288.6073488</v>
      </c>
      <c r="L62" s="29"/>
      <c r="M62" s="483">
        <f>+N62/$K$62</f>
        <v>0.3706532816240577</v>
      </c>
      <c r="N62" s="484">
        <f>SUM(N15:N61)</f>
        <v>41845379.85549055</v>
      </c>
      <c r="O62" s="483">
        <f>+P62/$K$62</f>
        <v>0.25616722917712736</v>
      </c>
      <c r="P62" s="484">
        <f>SUM(P15:P61)</f>
        <v>28920329.436925836</v>
      </c>
      <c r="Q62" s="483">
        <f>+R62/$K$62</f>
        <v>1.5154659800825372E-2</v>
      </c>
      <c r="R62" s="484">
        <f>SUM(R15:R61)</f>
        <v>1710904.8466201683</v>
      </c>
      <c r="S62" s="29"/>
      <c r="U62" s="165">
        <v>53207020000000</v>
      </c>
      <c r="V62" s="162" t="s">
        <v>57</v>
      </c>
      <c r="W62" s="289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81">
        <v>1</v>
      </c>
      <c r="L63" s="29"/>
      <c r="M63" s="29"/>
      <c r="O63" s="29"/>
      <c r="P63" s="29"/>
      <c r="Q63" s="29"/>
      <c r="R63" s="29"/>
      <c r="S63" s="29"/>
      <c r="U63" s="165">
        <v>53208020000000</v>
      </c>
      <c r="V63" s="162" t="s">
        <v>58</v>
      </c>
      <c r="W63" s="289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65">
        <v>53208990000000</v>
      </c>
      <c r="V64" s="162" t="s">
        <v>59</v>
      </c>
      <c r="W64" s="289">
        <v>2352000</v>
      </c>
      <c r="AG64" s="29"/>
    </row>
    <row r="65" spans="1:33" s="40" customFormat="1" ht="12.75" customHeight="1" x14ac:dyDescent="0.2">
      <c r="A65" s="716" t="s">
        <v>145</v>
      </c>
      <c r="B65" s="719" t="s">
        <v>125</v>
      </c>
      <c r="C65" s="157"/>
      <c r="D65" s="133"/>
      <c r="E65" s="134"/>
      <c r="F65" s="135" t="s">
        <v>124</v>
      </c>
      <c r="G65" s="127">
        <v>0</v>
      </c>
      <c r="H65" s="127">
        <v>0</v>
      </c>
      <c r="I65" s="147">
        <v>0</v>
      </c>
      <c r="J65" s="150">
        <f t="shared" si="5"/>
        <v>0</v>
      </c>
      <c r="K65" s="142">
        <f t="shared" si="0"/>
        <v>0</v>
      </c>
      <c r="L65" s="38"/>
      <c r="M65" s="29"/>
      <c r="N65" s="29"/>
      <c r="O65" s="29"/>
      <c r="P65" s="29"/>
      <c r="Q65" s="29"/>
      <c r="R65" s="29"/>
      <c r="S65" s="29"/>
      <c r="U65" s="165">
        <v>53209010000000</v>
      </c>
      <c r="V65" s="162" t="s">
        <v>60</v>
      </c>
      <c r="W65" s="289">
        <v>0</v>
      </c>
      <c r="AG65" s="29"/>
    </row>
    <row r="66" spans="1:33" s="40" customFormat="1" ht="12.75" customHeight="1" x14ac:dyDescent="0.2">
      <c r="A66" s="717"/>
      <c r="B66" s="720"/>
      <c r="C66" s="88"/>
      <c r="D66" s="136"/>
      <c r="E66" s="137"/>
      <c r="F66" s="91" t="s">
        <v>124</v>
      </c>
      <c r="G66" s="128">
        <v>0</v>
      </c>
      <c r="H66" s="128">
        <v>0</v>
      </c>
      <c r="I66" s="148">
        <v>0</v>
      </c>
      <c r="J66" s="151">
        <f t="shared" si="5"/>
        <v>0</v>
      </c>
      <c r="K66" s="143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65">
        <v>53209040000000</v>
      </c>
      <c r="V66" s="162" t="s">
        <v>61</v>
      </c>
      <c r="W66" s="289">
        <v>0</v>
      </c>
      <c r="AG66" s="29"/>
    </row>
    <row r="67" spans="1:33" s="40" customFormat="1" ht="12.75" customHeight="1" x14ac:dyDescent="0.2">
      <c r="A67" s="717"/>
      <c r="B67" s="720"/>
      <c r="C67" s="88"/>
      <c r="D67" s="136"/>
      <c r="E67" s="137"/>
      <c r="F67" s="91" t="s">
        <v>124</v>
      </c>
      <c r="G67" s="128">
        <v>0</v>
      </c>
      <c r="H67" s="128">
        <v>0</v>
      </c>
      <c r="I67" s="148">
        <v>0</v>
      </c>
      <c r="J67" s="151">
        <f t="shared" si="5"/>
        <v>0</v>
      </c>
      <c r="K67" s="143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65">
        <v>53209050000000</v>
      </c>
      <c r="V67" s="162" t="s">
        <v>62</v>
      </c>
      <c r="W67" s="289">
        <v>-1100000</v>
      </c>
      <c r="AG67" s="29"/>
    </row>
    <row r="68" spans="1:33" s="40" customFormat="1" ht="12.75" customHeight="1" x14ac:dyDescent="0.2">
      <c r="A68" s="717"/>
      <c r="B68" s="720"/>
      <c r="C68" s="86"/>
      <c r="D68" s="138"/>
      <c r="E68" s="139"/>
      <c r="F68" s="140" t="s">
        <v>124</v>
      </c>
      <c r="G68" s="128">
        <v>0</v>
      </c>
      <c r="H68" s="128">
        <v>0</v>
      </c>
      <c r="I68" s="148">
        <v>0</v>
      </c>
      <c r="J68" s="151">
        <f t="shared" si="5"/>
        <v>0</v>
      </c>
      <c r="K68" s="143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65">
        <v>53209990000000</v>
      </c>
      <c r="V68" s="162" t="s">
        <v>63</v>
      </c>
      <c r="W68" s="289">
        <v>0</v>
      </c>
      <c r="AG68" s="29"/>
    </row>
    <row r="69" spans="1:33" s="40" customFormat="1" ht="12.75" customHeight="1" thickBot="1" x14ac:dyDescent="0.25">
      <c r="A69" s="718"/>
      <c r="B69" s="721"/>
      <c r="C69" s="158"/>
      <c r="D69" s="129"/>
      <c r="E69" s="130"/>
      <c r="F69" s="131" t="s">
        <v>124</v>
      </c>
      <c r="G69" s="132">
        <v>0</v>
      </c>
      <c r="H69" s="132">
        <v>0</v>
      </c>
      <c r="I69" s="149">
        <v>0</v>
      </c>
      <c r="J69" s="152">
        <f t="shared" si="5"/>
        <v>0</v>
      </c>
      <c r="K69" s="141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65">
        <v>53210020100000</v>
      </c>
      <c r="V69" s="162" t="s">
        <v>64</v>
      </c>
      <c r="W69" s="289">
        <v>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80">
        <f>SUM(K65:K69)</f>
        <v>0</v>
      </c>
      <c r="L70" s="38"/>
      <c r="U70" s="164"/>
      <c r="V70" s="161" t="s">
        <v>65</v>
      </c>
      <c r="W70" s="167">
        <f>SUM(W71:W77)</f>
        <v>-7571000</v>
      </c>
    </row>
    <row r="71" spans="1:33" x14ac:dyDescent="0.2">
      <c r="K71" s="81">
        <v>1</v>
      </c>
      <c r="L71" s="38"/>
      <c r="M71" s="43"/>
      <c r="O71" s="43"/>
      <c r="Q71" s="43"/>
      <c r="U71" s="165">
        <v>53206030000000</v>
      </c>
      <c r="V71" s="162" t="s">
        <v>101</v>
      </c>
      <c r="W71" s="289">
        <v>0</v>
      </c>
    </row>
    <row r="72" spans="1:33" x14ac:dyDescent="0.2">
      <c r="L72" s="38"/>
      <c r="U72" s="165">
        <v>53206040000000</v>
      </c>
      <c r="V72" s="162" t="s">
        <v>102</v>
      </c>
      <c r="W72" s="289">
        <v>0</v>
      </c>
    </row>
    <row r="73" spans="1:33" x14ac:dyDescent="0.2">
      <c r="U73" s="165">
        <v>53206060000000</v>
      </c>
      <c r="V73" s="162" t="s">
        <v>103</v>
      </c>
      <c r="W73" s="289">
        <v>0</v>
      </c>
    </row>
    <row r="74" spans="1:33" x14ac:dyDescent="0.2">
      <c r="U74" s="165">
        <v>53206070000000</v>
      </c>
      <c r="V74" s="162" t="s">
        <v>104</v>
      </c>
      <c r="W74" s="289">
        <v>0</v>
      </c>
    </row>
    <row r="75" spans="1:33" ht="15.75" customHeight="1" x14ac:dyDescent="0.2">
      <c r="H75" s="159"/>
      <c r="U75" s="165">
        <v>53206990000000</v>
      </c>
      <c r="V75" s="162" t="s">
        <v>105</v>
      </c>
      <c r="W75" s="289">
        <v>-7571000</v>
      </c>
    </row>
    <row r="76" spans="1:33" x14ac:dyDescent="0.2">
      <c r="U76" s="165">
        <v>53208030000000</v>
      </c>
      <c r="V76" s="162" t="s">
        <v>106</v>
      </c>
      <c r="W76" s="289">
        <v>0</v>
      </c>
    </row>
    <row r="77" spans="1:33" x14ac:dyDescent="0.2">
      <c r="U77" s="165">
        <v>53212060000000</v>
      </c>
      <c r="V77" s="162" t="s">
        <v>99</v>
      </c>
      <c r="W77" s="289">
        <v>0</v>
      </c>
    </row>
    <row r="78" spans="1:33" x14ac:dyDescent="0.2">
      <c r="U78" s="164"/>
      <c r="V78" s="161" t="s">
        <v>66</v>
      </c>
      <c r="W78" s="167">
        <f>SUM(W79:W79)</f>
        <v>0</v>
      </c>
    </row>
    <row r="79" spans="1:33" x14ac:dyDescent="0.2">
      <c r="U79" s="165">
        <v>53204999000000</v>
      </c>
      <c r="V79" s="162" t="s">
        <v>98</v>
      </c>
      <c r="W79" s="168">
        <v>0</v>
      </c>
    </row>
    <row r="80" spans="1:33" x14ac:dyDescent="0.2">
      <c r="U80" s="169"/>
      <c r="V80" s="170" t="s">
        <v>151</v>
      </c>
      <c r="W80" s="171">
        <f>+W40+W15</f>
        <v>-17948048</v>
      </c>
    </row>
    <row r="83" ht="15.75" customHeight="1" x14ac:dyDescent="0.2"/>
    <row r="97" spans="11:12" x14ac:dyDescent="0.2">
      <c r="L97" s="173"/>
    </row>
    <row r="99" spans="11:12" x14ac:dyDescent="0.2">
      <c r="K99" s="192"/>
    </row>
    <row r="101" spans="11:12" x14ac:dyDescent="0.2">
      <c r="K101" s="174"/>
    </row>
  </sheetData>
  <sheetProtection password="9C6E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1" priority="1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2"/>
  <sheetViews>
    <sheetView showGridLines="0" topLeftCell="C1" zoomScale="90" zoomScaleNormal="90" workbookViewId="0">
      <selection activeCell="C12" sqref="C12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215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208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22"/>
      <c r="F4" s="122" t="s">
        <v>0</v>
      </c>
      <c r="G4" s="756" t="str">
        <f>+'B) Reajuste Tarifas y Ocupación'!F5</f>
        <v>DELBIENSAN (S.)</v>
      </c>
      <c r="H4" s="757"/>
      <c r="I4" s="122"/>
      <c r="J4" s="122"/>
      <c r="K4" s="122"/>
      <c r="L4" s="122"/>
      <c r="M4" s="122"/>
      <c r="N4" s="122"/>
      <c r="O4" s="122"/>
      <c r="P4" s="122"/>
      <c r="Q4" s="122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22"/>
      <c r="F5" s="122"/>
      <c r="G5" s="125"/>
      <c r="H5" s="125"/>
      <c r="I5" s="122"/>
      <c r="J5" s="122"/>
      <c r="K5" s="122"/>
      <c r="L5" s="122"/>
      <c r="M5" s="122"/>
      <c r="N5" s="122"/>
      <c r="O5" s="122"/>
      <c r="P5" s="122"/>
      <c r="Q5" s="122"/>
      <c r="IA5" s="4"/>
      <c r="IB5" s="4"/>
      <c r="IC5" s="4"/>
      <c r="ID5" s="4"/>
      <c r="IE5" s="4"/>
      <c r="IF5" s="4"/>
    </row>
    <row r="6" spans="1:245" s="6" customFormat="1" ht="15.75" x14ac:dyDescent="0.2">
      <c r="A6" s="763" t="s">
        <v>167</v>
      </c>
      <c r="B6" s="763"/>
      <c r="C6" s="763"/>
      <c r="D6" s="763"/>
      <c r="E6" s="124"/>
      <c r="F6" s="122"/>
      <c r="G6" s="125"/>
      <c r="H6" s="125"/>
      <c r="I6" s="122"/>
      <c r="J6" s="122"/>
      <c r="K6" s="122"/>
      <c r="L6" s="122"/>
      <c r="M6" s="122"/>
      <c r="N6" s="122"/>
      <c r="O6" s="122"/>
      <c r="P6" s="122"/>
      <c r="Q6" s="122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764" t="s">
        <v>116</v>
      </c>
      <c r="B8" s="766" t="s">
        <v>5</v>
      </c>
      <c r="C8" s="761" t="s">
        <v>139</v>
      </c>
      <c r="D8" s="649"/>
      <c r="E8" s="649"/>
      <c r="F8" s="649"/>
      <c r="G8" s="762"/>
      <c r="H8" s="758" t="s">
        <v>87</v>
      </c>
      <c r="I8" s="759"/>
      <c r="J8" s="759"/>
      <c r="K8" s="759"/>
      <c r="L8" s="760"/>
      <c r="M8" s="754" t="s">
        <v>127</v>
      </c>
      <c r="N8" s="754"/>
      <c r="O8" s="754"/>
      <c r="P8" s="754"/>
      <c r="Q8" s="755"/>
      <c r="R8" s="754" t="s">
        <v>128</v>
      </c>
      <c r="S8" s="754"/>
      <c r="T8" s="754"/>
      <c r="U8" s="754"/>
      <c r="V8" s="755"/>
    </row>
    <row r="9" spans="1:245" ht="64.5" thickBot="1" x14ac:dyDescent="0.25">
      <c r="A9" s="765" t="e">
        <f>NA()</f>
        <v>#N/A</v>
      </c>
      <c r="B9" s="767" t="e">
        <f>NA()</f>
        <v>#N/A</v>
      </c>
      <c r="C9" s="99" t="s">
        <v>88</v>
      </c>
      <c r="D9" s="98" t="s">
        <v>137</v>
      </c>
      <c r="E9" s="98" t="s">
        <v>138</v>
      </c>
      <c r="F9" s="98" t="s">
        <v>89</v>
      </c>
      <c r="G9" s="69" t="s">
        <v>90</v>
      </c>
      <c r="H9" s="100" t="s">
        <v>88</v>
      </c>
      <c r="I9" s="97" t="s">
        <v>137</v>
      </c>
      <c r="J9" s="97" t="s">
        <v>138</v>
      </c>
      <c r="K9" s="97" t="s">
        <v>89</v>
      </c>
      <c r="L9" s="70" t="s">
        <v>90</v>
      </c>
      <c r="M9" s="96" t="s">
        <v>88</v>
      </c>
      <c r="N9" s="97" t="s">
        <v>137</v>
      </c>
      <c r="O9" s="97" t="s">
        <v>138</v>
      </c>
      <c r="P9" s="97" t="s">
        <v>89</v>
      </c>
      <c r="Q9" s="79" t="s">
        <v>90</v>
      </c>
      <c r="R9" s="101" t="s">
        <v>88</v>
      </c>
      <c r="S9" s="97" t="s">
        <v>137</v>
      </c>
      <c r="T9" s="97" t="s">
        <v>138</v>
      </c>
      <c r="U9" s="97" t="s">
        <v>89</v>
      </c>
      <c r="V9" s="79" t="s">
        <v>90</v>
      </c>
    </row>
    <row r="10" spans="1:245" s="10" customFormat="1" x14ac:dyDescent="0.2">
      <c r="A10" s="751" t="str">
        <f>+'B) Reajuste Tarifas y Ocupación'!A12</f>
        <v>Jardín Infantil Olitas de Mar</v>
      </c>
      <c r="B10" s="399" t="str">
        <f>+'B) Reajuste Tarifas y Ocupación'!B12</f>
        <v>Media jornada</v>
      </c>
      <c r="C10" s="403">
        <f>+'B) Reajuste Tarifas y Ocupación'!M12</f>
        <v>49400</v>
      </c>
      <c r="D10" s="404">
        <f>+'B) Reajuste Tarifas y Ocupación'!N12</f>
        <v>59200</v>
      </c>
      <c r="E10" s="404">
        <f>+'B) Reajuste Tarifas y Ocupación'!O12</f>
        <v>59200</v>
      </c>
      <c r="F10" s="404">
        <f>+'B) Reajuste Tarifas y Ocupación'!P12</f>
        <v>74800</v>
      </c>
      <c r="G10" s="411">
        <f>+'B) Reajuste Tarifas y Ocupación'!Q12</f>
        <v>120100</v>
      </c>
      <c r="H10" s="414">
        <f>+'B) Reajuste Tarifas y Ocupación'!C12</f>
        <v>46100</v>
      </c>
      <c r="I10" s="415">
        <f>+'B) Reajuste Tarifas y Ocupación'!D12</f>
        <v>55400</v>
      </c>
      <c r="J10" s="415">
        <f>+'B) Reajuste Tarifas y Ocupación'!E12</f>
        <v>55400</v>
      </c>
      <c r="K10" s="415">
        <f>+'B) Reajuste Tarifas y Ocupación'!F12</f>
        <v>69900</v>
      </c>
      <c r="L10" s="419">
        <f>+'B) Reajuste Tarifas y Ocupación'!G12</f>
        <v>112200</v>
      </c>
      <c r="M10" s="355">
        <f t="shared" ref="M10:Q11" si="0">C10-H10</f>
        <v>3300</v>
      </c>
      <c r="N10" s="345">
        <f t="shared" si="0"/>
        <v>3800</v>
      </c>
      <c r="O10" s="345">
        <f t="shared" si="0"/>
        <v>3800</v>
      </c>
      <c r="P10" s="345">
        <f t="shared" si="0"/>
        <v>4900</v>
      </c>
      <c r="Q10" s="426">
        <f t="shared" si="0"/>
        <v>7900</v>
      </c>
      <c r="R10" s="430">
        <f>+'B) Reajuste Tarifas y Ocupación'!H12</f>
        <v>7.0000000000000007E-2</v>
      </c>
      <c r="S10" s="431">
        <f>+'B) Reajuste Tarifas y Ocupación'!I12</f>
        <v>7.0000000000000007E-2</v>
      </c>
      <c r="T10" s="431">
        <f>+'B) Reajuste Tarifas y Ocupación'!J12</f>
        <v>7.0000000000000007E-2</v>
      </c>
      <c r="U10" s="431">
        <f>+'B) Reajuste Tarifas y Ocupación'!K12</f>
        <v>7.0000000000000007E-2</v>
      </c>
      <c r="V10" s="432">
        <f>+'B) Reajuste Tarifas y Ocupación'!L12</f>
        <v>7.0000000000000007E-2</v>
      </c>
    </row>
    <row r="11" spans="1:245" s="10" customFormat="1" x14ac:dyDescent="0.2">
      <c r="A11" s="752"/>
      <c r="B11" s="400" t="str">
        <f>+'B) Reajuste Tarifas y Ocupación'!B13</f>
        <v>Media jornada Extendida</v>
      </c>
      <c r="C11" s="406">
        <f>+'B) Reajuste Tarifas y Ocupación'!M13</f>
        <v>56400</v>
      </c>
      <c r="D11" s="402">
        <f>+'B) Reajuste Tarifas y Ocupación'!N13</f>
        <v>67700</v>
      </c>
      <c r="E11" s="402">
        <f>+'B) Reajuste Tarifas y Ocupación'!O13</f>
        <v>67700</v>
      </c>
      <c r="F11" s="402">
        <f>+'B) Reajuste Tarifas y Ocupación'!P13</f>
        <v>107000</v>
      </c>
      <c r="G11" s="412">
        <f>+'B) Reajuste Tarifas y Ocupación'!Q13</f>
        <v>159400</v>
      </c>
      <c r="H11" s="416">
        <f>+'B) Reajuste Tarifas y Ocupación'!C13</f>
        <v>52700</v>
      </c>
      <c r="I11" s="413">
        <f>+'B) Reajuste Tarifas y Ocupación'!D13</f>
        <v>63300</v>
      </c>
      <c r="J11" s="413">
        <f>+'B) Reajuste Tarifas y Ocupación'!E13</f>
        <v>63300</v>
      </c>
      <c r="K11" s="413">
        <f>+'B) Reajuste Tarifas y Ocupación'!F13</f>
        <v>100000</v>
      </c>
      <c r="L11" s="420">
        <f>+'B) Reajuste Tarifas y Ocupación'!G13</f>
        <v>148900</v>
      </c>
      <c r="M11" s="423">
        <f t="shared" si="0"/>
        <v>3700</v>
      </c>
      <c r="N11" s="422">
        <f t="shared" si="0"/>
        <v>4400</v>
      </c>
      <c r="O11" s="422">
        <f t="shared" si="0"/>
        <v>4400</v>
      </c>
      <c r="P11" s="422">
        <f t="shared" si="0"/>
        <v>7000</v>
      </c>
      <c r="Q11" s="427">
        <f t="shared" si="0"/>
        <v>10500</v>
      </c>
      <c r="R11" s="433">
        <f>+'B) Reajuste Tarifas y Ocupación'!H13</f>
        <v>7.0000000000000007E-2</v>
      </c>
      <c r="S11" s="429">
        <f>+'B) Reajuste Tarifas y Ocupación'!I13</f>
        <v>7.0000000000000007E-2</v>
      </c>
      <c r="T11" s="429">
        <f>+'B) Reajuste Tarifas y Ocupación'!J13</f>
        <v>7.0000000000000007E-2</v>
      </c>
      <c r="U11" s="429">
        <f>+'B) Reajuste Tarifas y Ocupación'!K13</f>
        <v>7.0000000000000007E-2</v>
      </c>
      <c r="V11" s="434">
        <f>+'B) Reajuste Tarifas y Ocupación'!L13</f>
        <v>7.0000000000000007E-2</v>
      </c>
    </row>
    <row r="12" spans="1:245" s="10" customFormat="1" ht="13.5" thickBot="1" x14ac:dyDescent="0.25">
      <c r="A12" s="753"/>
      <c r="B12" s="401" t="str">
        <f>+'B) Reajuste Tarifas y Ocupación'!B14</f>
        <v>Jornada Completa</v>
      </c>
      <c r="C12" s="408">
        <f>+'B) Reajuste Tarifas y Ocupación'!M14</f>
        <v>88500</v>
      </c>
      <c r="D12" s="409">
        <f>+'B) Reajuste Tarifas y Ocupación'!N14</f>
        <v>106200</v>
      </c>
      <c r="E12" s="409">
        <f>+'B) Reajuste Tarifas y Ocupación'!O14</f>
        <v>106200</v>
      </c>
      <c r="F12" s="409">
        <f>+'B) Reajuste Tarifas y Ocupación'!P14</f>
        <v>137000</v>
      </c>
      <c r="G12" s="175">
        <f>+'B) Reajuste Tarifas y Ocupación'!Q14</f>
        <v>220300</v>
      </c>
      <c r="H12" s="417">
        <f>+'B) Reajuste Tarifas y Ocupación'!C14</f>
        <v>82700</v>
      </c>
      <c r="I12" s="418">
        <f>+'B) Reajuste Tarifas y Ocupación'!D14</f>
        <v>99300</v>
      </c>
      <c r="J12" s="418">
        <f>+'B) Reajuste Tarifas y Ocupación'!E14</f>
        <v>99300</v>
      </c>
      <c r="K12" s="418">
        <f>+'B) Reajuste Tarifas y Ocupación'!F14</f>
        <v>128000</v>
      </c>
      <c r="L12" s="421">
        <f>+'B) Reajuste Tarifas y Ocupación'!G14</f>
        <v>205800</v>
      </c>
      <c r="M12" s="424">
        <f t="shared" ref="M12" si="1">C12-H12</f>
        <v>5800</v>
      </c>
      <c r="N12" s="425">
        <f t="shared" ref="N12" si="2">D12-I12</f>
        <v>6900</v>
      </c>
      <c r="O12" s="425">
        <f t="shared" ref="O12" si="3">E12-J12</f>
        <v>6900</v>
      </c>
      <c r="P12" s="425">
        <f t="shared" ref="P12" si="4">F12-K12</f>
        <v>9000</v>
      </c>
      <c r="Q12" s="428">
        <f t="shared" ref="Q12" si="5">G12-L12</f>
        <v>14500</v>
      </c>
      <c r="R12" s="435">
        <f>+'B) Reajuste Tarifas y Ocupación'!H14</f>
        <v>7.0000000000000007E-2</v>
      </c>
      <c r="S12" s="436">
        <f>+'B) Reajuste Tarifas y Ocupación'!I14</f>
        <v>7.0000000000000007E-2</v>
      </c>
      <c r="T12" s="436">
        <f>+'B) Reajuste Tarifas y Ocupación'!J14</f>
        <v>7.0000000000000007E-2</v>
      </c>
      <c r="U12" s="436">
        <f>+'B) Reajuste Tarifas y Ocupación'!K14</f>
        <v>7.0000000000000007E-2</v>
      </c>
      <c r="V12" s="437">
        <f>+'B) Reajuste Tarifas y Ocupación'!L14</f>
        <v>7.0000000000000007E-2</v>
      </c>
    </row>
  </sheetData>
  <sheetProtection password="9C6E" sheet="1" objects="1" scenarios="1"/>
  <mergeCells count="9"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2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39"/>
  <sheetViews>
    <sheetView showGridLines="0" topLeftCell="D8" zoomScaleNormal="100" workbookViewId="0">
      <selection activeCell="L32" sqref="L32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28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2" width="19.140625" style="29" customWidth="1"/>
    <col min="13" max="13" width="16.140625" style="29" customWidth="1"/>
    <col min="14" max="14" width="17.140625" style="29" customWidth="1"/>
    <col min="15" max="15" width="14.85546875" style="29" customWidth="1"/>
    <col min="16" max="16" width="17.7109375" style="29" customWidth="1"/>
    <col min="17" max="17" width="17.140625" style="29" customWidth="1"/>
    <col min="18" max="18" width="18.140625" style="44" customWidth="1"/>
    <col min="19" max="19" width="16.28515625" style="29" customWidth="1"/>
    <col min="20" max="20" width="15.85546875" style="29" customWidth="1"/>
    <col min="21" max="21" width="14.85546875" style="29" customWidth="1"/>
    <col min="22" max="22" width="15.85546875" style="29" customWidth="1"/>
    <col min="23" max="23" width="14.28515625" style="29" customWidth="1"/>
    <col min="24" max="24" width="14.85546875" style="29" customWidth="1"/>
    <col min="25" max="25" width="14.140625" style="29" customWidth="1"/>
    <col min="26" max="26" width="16.85546875" style="29" customWidth="1"/>
    <col min="27" max="27" width="17.5703125" style="29" customWidth="1"/>
    <col min="28" max="28" width="15.28515625" style="29" customWidth="1"/>
    <col min="29" max="29" width="19.7109375" style="29" customWidth="1"/>
    <col min="30" max="30" width="17.42578125" style="29" customWidth="1"/>
    <col min="31" max="31" width="12" style="29" customWidth="1"/>
    <col min="32" max="16384" width="11.42578125" style="29"/>
  </cols>
  <sheetData>
    <row r="1" spans="2:259" s="6" customFormat="1" x14ac:dyDescent="0.2">
      <c r="C1" s="7"/>
      <c r="D1" s="7"/>
      <c r="E1" s="45" t="s">
        <v>216</v>
      </c>
      <c r="F1" s="45"/>
      <c r="G1" s="45"/>
      <c r="H1" s="45"/>
      <c r="I1" s="45"/>
      <c r="J1" s="7"/>
      <c r="K1" s="7"/>
      <c r="IM1" s="4"/>
      <c r="IN1" s="4"/>
    </row>
    <row r="2" spans="2:259" s="6" customFormat="1" x14ac:dyDescent="0.2">
      <c r="E2" s="45" t="s">
        <v>209</v>
      </c>
      <c r="F2" s="45"/>
      <c r="G2" s="45"/>
      <c r="H2" s="45"/>
      <c r="I2" s="45"/>
      <c r="IM2" s="4"/>
      <c r="IN2" s="4"/>
    </row>
    <row r="3" spans="2:259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4"/>
      <c r="D4" s="121" t="s">
        <v>0</v>
      </c>
      <c r="E4" s="193" t="str">
        <f>+'B) Reajuste Tarifas y Ocupación'!F5</f>
        <v>DELBIENSAN (S.)</v>
      </c>
      <c r="F4" s="73"/>
      <c r="G4" s="74"/>
      <c r="H4" s="74"/>
      <c r="I4" s="74"/>
      <c r="J4" s="74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4"/>
      <c r="D5" s="122"/>
      <c r="E5" s="125"/>
      <c r="F5" s="125"/>
      <c r="G5" s="125"/>
      <c r="H5" s="125"/>
      <c r="I5" s="125"/>
      <c r="J5" s="125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4"/>
      <c r="D6" s="122"/>
      <c r="E6" s="125"/>
      <c r="F6" s="125"/>
      <c r="G6" s="125"/>
      <c r="H6" s="125"/>
      <c r="I6" s="125"/>
      <c r="J6" s="125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630" t="s">
        <v>168</v>
      </c>
      <c r="C7" s="630"/>
      <c r="D7" s="630"/>
      <c r="E7" s="630"/>
      <c r="F7" s="123"/>
      <c r="G7" s="123"/>
      <c r="H7" s="123"/>
      <c r="I7" s="123"/>
      <c r="J7" s="125"/>
      <c r="K7" s="75" t="s">
        <v>4</v>
      </c>
      <c r="L7" s="76">
        <v>2.8000000000000001E-2</v>
      </c>
      <c r="N7" s="26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x14ac:dyDescent="0.2">
      <c r="B9" s="768" t="s">
        <v>116</v>
      </c>
      <c r="C9" s="708" t="s">
        <v>73</v>
      </c>
      <c r="D9" s="708" t="s">
        <v>74</v>
      </c>
      <c r="E9" s="710" t="s">
        <v>3</v>
      </c>
      <c r="F9" s="784" t="s">
        <v>82</v>
      </c>
      <c r="G9" s="770" t="s">
        <v>147</v>
      </c>
      <c r="H9" s="771"/>
      <c r="I9" s="771"/>
      <c r="J9" s="772"/>
      <c r="K9" s="773" t="s">
        <v>149</v>
      </c>
      <c r="L9" s="775" t="s">
        <v>117</v>
      </c>
      <c r="O9" s="28"/>
      <c r="P9" s="28"/>
      <c r="Q9" s="28"/>
      <c r="R9" s="28"/>
      <c r="S9" s="28"/>
      <c r="T9" s="28"/>
    </row>
    <row r="10" spans="2:259" ht="39" thickBot="1" x14ac:dyDescent="0.25">
      <c r="B10" s="769"/>
      <c r="C10" s="709"/>
      <c r="D10" s="709"/>
      <c r="E10" s="711"/>
      <c r="F10" s="785"/>
      <c r="G10" s="204" t="s">
        <v>118</v>
      </c>
      <c r="H10" s="77" t="s">
        <v>119</v>
      </c>
      <c r="I10" s="77" t="s">
        <v>120</v>
      </c>
      <c r="J10" s="242" t="s">
        <v>148</v>
      </c>
      <c r="K10" s="774"/>
      <c r="L10" s="776"/>
      <c r="M10" s="30"/>
      <c r="N10" s="63"/>
      <c r="O10" s="63"/>
      <c r="P10" s="21"/>
      <c r="Q10" s="21"/>
      <c r="R10" s="21"/>
      <c r="S10" s="30"/>
      <c r="T10" s="777"/>
      <c r="U10" s="777"/>
      <c r="V10" s="777"/>
      <c r="W10" s="777"/>
      <c r="X10" s="30"/>
    </row>
    <row r="11" spans="2:259" s="2" customFormat="1" x14ac:dyDescent="0.2">
      <c r="B11" s="778" t="str">
        <f>+'B) Reajuste Tarifas y Ocupación'!A12</f>
        <v>Jardín Infantil Olitas de Mar</v>
      </c>
      <c r="C11" s="492" t="s">
        <v>240</v>
      </c>
      <c r="D11" s="492" t="s">
        <v>241</v>
      </c>
      <c r="E11" s="492" t="s">
        <v>242</v>
      </c>
      <c r="F11" s="491" t="s">
        <v>239</v>
      </c>
      <c r="G11" s="249">
        <v>5232694.0889999997</v>
      </c>
      <c r="H11" s="194">
        <f t="shared" ref="H11:H16" si="0">185000+119000</f>
        <v>304000</v>
      </c>
      <c r="I11" s="244">
        <v>120449</v>
      </c>
      <c r="J11" s="250">
        <f>SUM(G11:I11)</f>
        <v>5657143.0889999997</v>
      </c>
      <c r="K11" s="255">
        <f>+J11*(1+$L$7)</f>
        <v>5815543.0954919998</v>
      </c>
      <c r="L11" s="781">
        <f>SUM(K11:K31)</f>
        <v>30913654.67835439</v>
      </c>
      <c r="M11" s="30"/>
      <c r="N11" s="35"/>
      <c r="O11" s="35"/>
      <c r="P11" s="64"/>
      <c r="Q11" s="64"/>
      <c r="R11" s="64"/>
      <c r="S11" s="32"/>
      <c r="T11" s="31"/>
      <c r="U11" s="31"/>
      <c r="V11" s="31"/>
      <c r="W11" s="31"/>
      <c r="X11" s="33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779"/>
      <c r="C12" s="493" t="s">
        <v>243</v>
      </c>
      <c r="D12" s="493" t="s">
        <v>244</v>
      </c>
      <c r="E12" s="493" t="s">
        <v>242</v>
      </c>
      <c r="F12" s="494" t="s">
        <v>239</v>
      </c>
      <c r="G12" s="251">
        <v>5081370</v>
      </c>
      <c r="H12" s="194">
        <f t="shared" si="0"/>
        <v>304000</v>
      </c>
      <c r="I12" s="194">
        <v>120449</v>
      </c>
      <c r="J12" s="252">
        <f t="shared" ref="J12:J31" si="1">SUM(G12:I12)</f>
        <v>5505819</v>
      </c>
      <c r="K12" s="256">
        <f t="shared" ref="K12:K31" si="2">+J12*(1+$L$7)</f>
        <v>5659981.932</v>
      </c>
      <c r="L12" s="782"/>
      <c r="M12" s="30"/>
      <c r="N12" s="35"/>
      <c r="O12" s="35"/>
      <c r="P12" s="21"/>
      <c r="Q12" s="21"/>
      <c r="R12" s="21"/>
      <c r="S12" s="32"/>
      <c r="T12" s="31"/>
      <c r="U12" s="31"/>
      <c r="V12" s="31"/>
      <c r="W12" s="31"/>
      <c r="X12" s="33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779"/>
      <c r="C13" s="493" t="s">
        <v>245</v>
      </c>
      <c r="D13" s="493" t="s">
        <v>246</v>
      </c>
      <c r="E13" s="493" t="s">
        <v>242</v>
      </c>
      <c r="F13" s="494" t="s">
        <v>239</v>
      </c>
      <c r="G13" s="251">
        <v>5194802.9280000003</v>
      </c>
      <c r="H13" s="194">
        <f t="shared" si="0"/>
        <v>304000</v>
      </c>
      <c r="I13" s="194">
        <v>120449</v>
      </c>
      <c r="J13" s="252">
        <f t="shared" si="1"/>
        <v>5619251.9280000003</v>
      </c>
      <c r="K13" s="256">
        <f t="shared" si="2"/>
        <v>5776590.9819840007</v>
      </c>
      <c r="L13" s="782"/>
      <c r="M13" s="30"/>
      <c r="N13" s="35"/>
      <c r="O13" s="35"/>
      <c r="P13" s="21"/>
      <c r="Q13" s="21"/>
      <c r="R13" s="21"/>
      <c r="S13" s="32"/>
      <c r="T13" s="31"/>
      <c r="U13" s="31"/>
      <c r="V13" s="31"/>
      <c r="W13" s="31"/>
      <c r="X13" s="33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779"/>
      <c r="C14" s="493" t="s">
        <v>247</v>
      </c>
      <c r="D14" s="493" t="s">
        <v>248</v>
      </c>
      <c r="E14" s="493" t="s">
        <v>242</v>
      </c>
      <c r="F14" s="494" t="s">
        <v>239</v>
      </c>
      <c r="G14" s="251">
        <v>4891673.6399999987</v>
      </c>
      <c r="H14" s="194">
        <f t="shared" si="0"/>
        <v>304000</v>
      </c>
      <c r="I14" s="194">
        <v>120449</v>
      </c>
      <c r="J14" s="252">
        <f t="shared" si="1"/>
        <v>5316122.6399999987</v>
      </c>
      <c r="K14" s="256">
        <f t="shared" si="2"/>
        <v>5464974.0739199985</v>
      </c>
      <c r="L14" s="782"/>
      <c r="M14" s="30"/>
      <c r="N14" s="35"/>
      <c r="O14" s="35"/>
      <c r="P14" s="21"/>
      <c r="Q14" s="21"/>
      <c r="R14" s="21"/>
      <c r="S14" s="32"/>
      <c r="T14" s="31"/>
      <c r="U14" s="31"/>
      <c r="V14" s="31"/>
      <c r="W14" s="31"/>
      <c r="X14" s="33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779"/>
      <c r="C15" s="493" t="s">
        <v>249</v>
      </c>
      <c r="D15" s="493" t="s">
        <v>250</v>
      </c>
      <c r="E15" s="493" t="s">
        <v>242</v>
      </c>
      <c r="F15" s="494" t="s">
        <v>239</v>
      </c>
      <c r="G15" s="251">
        <v>4891673.6399999987</v>
      </c>
      <c r="H15" s="194">
        <f t="shared" si="0"/>
        <v>304000</v>
      </c>
      <c r="I15" s="194">
        <v>120449</v>
      </c>
      <c r="J15" s="252">
        <f t="shared" si="1"/>
        <v>5316122.6399999987</v>
      </c>
      <c r="K15" s="256">
        <f t="shared" si="2"/>
        <v>5464974.0739199985</v>
      </c>
      <c r="L15" s="782"/>
      <c r="M15" s="30"/>
      <c r="N15" s="35"/>
      <c r="O15" s="35"/>
      <c r="P15" s="21"/>
      <c r="Q15" s="21"/>
      <c r="R15" s="21"/>
      <c r="S15" s="32"/>
      <c r="T15" s="31"/>
      <c r="U15" s="31"/>
      <c r="V15" s="31"/>
      <c r="W15" s="31"/>
      <c r="X15" s="33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779"/>
      <c r="C16" s="493" t="s">
        <v>251</v>
      </c>
      <c r="D16" s="493" t="s">
        <v>252</v>
      </c>
      <c r="E16" s="493" t="s">
        <v>300</v>
      </c>
      <c r="F16" s="494" t="s">
        <v>239</v>
      </c>
      <c r="G16" s="251">
        <v>4832740.2228000006</v>
      </c>
      <c r="H16" s="194">
        <f t="shared" si="0"/>
        <v>304000</v>
      </c>
      <c r="I16" s="194">
        <v>120449</v>
      </c>
      <c r="J16" s="252">
        <f t="shared" si="1"/>
        <v>5257189.2228000006</v>
      </c>
      <c r="K16" s="256">
        <f t="shared" si="2"/>
        <v>5404390.5210384009</v>
      </c>
      <c r="L16" s="782"/>
      <c r="M16" s="30"/>
      <c r="N16" s="35"/>
      <c r="O16" s="35"/>
      <c r="P16" s="21"/>
      <c r="Q16" s="21"/>
      <c r="R16" s="21"/>
      <c r="S16" s="32"/>
      <c r="T16" s="31"/>
      <c r="U16" s="31"/>
      <c r="V16" s="31"/>
      <c r="W16" s="31"/>
      <c r="X16" s="33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779"/>
      <c r="C17" s="493"/>
      <c r="D17" s="243" t="s">
        <v>318</v>
      </c>
      <c r="E17" s="493" t="s">
        <v>253</v>
      </c>
      <c r="F17" s="494" t="s">
        <v>239</v>
      </c>
      <c r="G17" s="251">
        <v>-2600000</v>
      </c>
      <c r="H17" s="194">
        <v>0</v>
      </c>
      <c r="I17" s="194">
        <v>0</v>
      </c>
      <c r="J17" s="252">
        <f t="shared" si="1"/>
        <v>-2600000</v>
      </c>
      <c r="K17" s="256">
        <f t="shared" si="2"/>
        <v>-2672800</v>
      </c>
      <c r="L17" s="782"/>
      <c r="M17" s="30"/>
      <c r="N17" s="35"/>
      <c r="O17" s="35"/>
      <c r="P17" s="21"/>
      <c r="Q17" s="21"/>
      <c r="R17" s="21"/>
      <c r="S17" s="32"/>
      <c r="T17" s="31"/>
      <c r="U17" s="31"/>
      <c r="V17" s="31"/>
      <c r="W17" s="31"/>
      <c r="X17" s="33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779"/>
      <c r="C18" s="243"/>
      <c r="D18" s="243" t="s">
        <v>318</v>
      </c>
      <c r="E18" s="493" t="s">
        <v>242</v>
      </c>
      <c r="F18" s="494" t="s">
        <v>239</v>
      </c>
      <c r="G18" s="251">
        <v>0</v>
      </c>
      <c r="H18" s="194">
        <v>0</v>
      </c>
      <c r="I18" s="194">
        <v>0</v>
      </c>
      <c r="J18" s="252">
        <f>SUM(G18:I18)</f>
        <v>0</v>
      </c>
      <c r="K18" s="256">
        <f>+J18*(1+$L$7)</f>
        <v>0</v>
      </c>
      <c r="L18" s="782"/>
      <c r="M18" s="30"/>
      <c r="N18" s="35"/>
      <c r="O18" s="35"/>
      <c r="P18" s="21"/>
      <c r="Q18" s="21"/>
      <c r="R18" s="21"/>
      <c r="S18" s="32"/>
      <c r="T18" s="31"/>
      <c r="U18" s="31"/>
      <c r="V18" s="31"/>
      <c r="W18" s="31"/>
      <c r="X18" s="33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779"/>
      <c r="C19" s="243" t="s">
        <v>305</v>
      </c>
      <c r="D19" s="243" t="s">
        <v>302</v>
      </c>
      <c r="E19" s="493" t="s">
        <v>301</v>
      </c>
      <c r="F19" s="494" t="s">
        <v>239</v>
      </c>
      <c r="G19" s="251">
        <v>0</v>
      </c>
      <c r="H19" s="194">
        <v>0</v>
      </c>
      <c r="I19" s="194">
        <v>0</v>
      </c>
      <c r="J19" s="252">
        <f t="shared" ref="J19:J26" si="3">SUM(G19:I19)</f>
        <v>0</v>
      </c>
      <c r="K19" s="256">
        <f t="shared" ref="K19:K26" si="4">+J19*(1+$L$7)</f>
        <v>0</v>
      </c>
      <c r="L19" s="782"/>
      <c r="M19" s="30"/>
      <c r="N19" s="35"/>
      <c r="O19" s="35"/>
      <c r="P19" s="21"/>
      <c r="Q19" s="21"/>
      <c r="R19" s="21"/>
      <c r="S19" s="32"/>
      <c r="T19" s="31"/>
      <c r="U19" s="31"/>
      <c r="V19" s="31"/>
      <c r="W19" s="31"/>
      <c r="X19" s="33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779"/>
      <c r="C20" s="243" t="s">
        <v>306</v>
      </c>
      <c r="D20" s="243" t="s">
        <v>303</v>
      </c>
      <c r="E20" s="243" t="s">
        <v>253</v>
      </c>
      <c r="F20" s="494" t="s">
        <v>239</v>
      </c>
      <c r="G20" s="251">
        <v>0</v>
      </c>
      <c r="H20" s="194">
        <v>0</v>
      </c>
      <c r="I20" s="194">
        <v>0</v>
      </c>
      <c r="J20" s="252">
        <f t="shared" si="3"/>
        <v>0</v>
      </c>
      <c r="K20" s="256">
        <f t="shared" si="4"/>
        <v>0</v>
      </c>
      <c r="L20" s="782"/>
      <c r="M20" s="30"/>
      <c r="N20" s="35"/>
      <c r="O20" s="35"/>
      <c r="P20" s="21"/>
      <c r="Q20" s="21"/>
      <c r="R20" s="21"/>
      <c r="S20" s="32"/>
      <c r="T20" s="31"/>
      <c r="U20" s="31"/>
      <c r="V20" s="31"/>
      <c r="W20" s="31"/>
      <c r="X20" s="33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779"/>
      <c r="C21" s="243" t="s">
        <v>307</v>
      </c>
      <c r="D21" s="243" t="s">
        <v>304</v>
      </c>
      <c r="E21" s="243" t="s">
        <v>253</v>
      </c>
      <c r="F21" s="494" t="s">
        <v>239</v>
      </c>
      <c r="G21" s="251">
        <v>0</v>
      </c>
      <c r="H21" s="194">
        <v>0</v>
      </c>
      <c r="I21" s="194">
        <v>0</v>
      </c>
      <c r="J21" s="252">
        <f t="shared" si="3"/>
        <v>0</v>
      </c>
      <c r="K21" s="256">
        <f t="shared" si="4"/>
        <v>0</v>
      </c>
      <c r="L21" s="782"/>
      <c r="M21" s="30"/>
      <c r="N21" s="35"/>
      <c r="O21" s="35"/>
      <c r="P21" s="21"/>
      <c r="Q21" s="21"/>
      <c r="R21" s="21"/>
      <c r="S21" s="32"/>
      <c r="T21" s="31"/>
      <c r="U21" s="31"/>
      <c r="V21" s="31"/>
      <c r="W21" s="31"/>
      <c r="X21" s="33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779"/>
      <c r="C22" s="243" t="s">
        <v>308</v>
      </c>
      <c r="D22" s="243" t="s">
        <v>309</v>
      </c>
      <c r="E22" s="243" t="s">
        <v>253</v>
      </c>
      <c r="F22" s="494" t="s">
        <v>239</v>
      </c>
      <c r="G22" s="251">
        <v>0</v>
      </c>
      <c r="H22" s="194">
        <v>0</v>
      </c>
      <c r="I22" s="194">
        <v>0</v>
      </c>
      <c r="J22" s="252">
        <f t="shared" si="3"/>
        <v>0</v>
      </c>
      <c r="K22" s="256">
        <f t="shared" si="4"/>
        <v>0</v>
      </c>
      <c r="L22" s="782"/>
      <c r="M22" s="30"/>
      <c r="N22" s="35"/>
      <c r="O22" s="35"/>
      <c r="P22" s="21"/>
      <c r="Q22" s="21"/>
      <c r="R22" s="21"/>
      <c r="S22" s="32"/>
      <c r="T22" s="31"/>
      <c r="U22" s="31"/>
      <c r="V22" s="31"/>
      <c r="W22" s="31"/>
      <c r="X22" s="33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779"/>
      <c r="C23" s="243" t="s">
        <v>310</v>
      </c>
      <c r="D23" s="243" t="s">
        <v>311</v>
      </c>
      <c r="E23" s="243" t="s">
        <v>253</v>
      </c>
      <c r="F23" s="494" t="s">
        <v>239</v>
      </c>
      <c r="G23" s="251">
        <v>0</v>
      </c>
      <c r="H23" s="194">
        <v>0</v>
      </c>
      <c r="I23" s="194">
        <v>0</v>
      </c>
      <c r="J23" s="252">
        <f t="shared" si="3"/>
        <v>0</v>
      </c>
      <c r="K23" s="256">
        <f t="shared" si="4"/>
        <v>0</v>
      </c>
      <c r="L23" s="782"/>
      <c r="M23" s="30"/>
      <c r="N23" s="35"/>
      <c r="O23" s="35"/>
      <c r="P23" s="21"/>
      <c r="Q23" s="21"/>
      <c r="R23" s="21"/>
      <c r="S23" s="32"/>
      <c r="T23" s="31"/>
      <c r="U23" s="31"/>
      <c r="V23" s="31"/>
      <c r="W23" s="31"/>
      <c r="X23" s="33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779"/>
      <c r="C24" s="243" t="s">
        <v>312</v>
      </c>
      <c r="D24" s="243" t="s">
        <v>313</v>
      </c>
      <c r="E24" s="243" t="s">
        <v>242</v>
      </c>
      <c r="F24" s="494" t="s">
        <v>239</v>
      </c>
      <c r="G24" s="251">
        <v>0</v>
      </c>
      <c r="H24" s="194">
        <v>0</v>
      </c>
      <c r="I24" s="194">
        <v>0</v>
      </c>
      <c r="J24" s="252">
        <f t="shared" si="3"/>
        <v>0</v>
      </c>
      <c r="K24" s="256">
        <f t="shared" si="4"/>
        <v>0</v>
      </c>
      <c r="L24" s="782"/>
      <c r="M24" s="30"/>
      <c r="N24" s="35"/>
      <c r="O24" s="35"/>
      <c r="P24" s="21"/>
      <c r="Q24" s="21"/>
      <c r="R24" s="21"/>
      <c r="S24" s="32"/>
      <c r="T24" s="31"/>
      <c r="U24" s="31"/>
      <c r="V24" s="31"/>
      <c r="W24" s="31"/>
      <c r="X24" s="33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x14ac:dyDescent="0.2">
      <c r="B25" s="779"/>
      <c r="C25" s="243" t="s">
        <v>314</v>
      </c>
      <c r="D25" s="243" t="s">
        <v>315</v>
      </c>
      <c r="E25" s="243" t="s">
        <v>300</v>
      </c>
      <c r="F25" s="494" t="s">
        <v>239</v>
      </c>
      <c r="G25" s="251">
        <v>0</v>
      </c>
      <c r="H25" s="194">
        <v>0</v>
      </c>
      <c r="I25" s="194">
        <v>0</v>
      </c>
      <c r="J25" s="252">
        <f t="shared" si="3"/>
        <v>0</v>
      </c>
      <c r="K25" s="256">
        <f t="shared" si="4"/>
        <v>0</v>
      </c>
      <c r="L25" s="782"/>
      <c r="M25" s="30"/>
      <c r="N25" s="35"/>
      <c r="O25" s="35"/>
      <c r="P25" s="21"/>
      <c r="Q25" s="21"/>
      <c r="R25" s="21"/>
      <c r="S25" s="32"/>
      <c r="T25" s="31"/>
      <c r="U25" s="31"/>
      <c r="V25" s="31"/>
      <c r="W25" s="31"/>
      <c r="X25" s="33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x14ac:dyDescent="0.2">
      <c r="B26" s="779"/>
      <c r="C26" s="243" t="s">
        <v>316</v>
      </c>
      <c r="D26" s="243" t="s">
        <v>303</v>
      </c>
      <c r="E26" s="243" t="s">
        <v>317</v>
      </c>
      <c r="F26" s="247" t="s">
        <v>239</v>
      </c>
      <c r="G26" s="251">
        <v>0</v>
      </c>
      <c r="H26" s="194">
        <v>0</v>
      </c>
      <c r="I26" s="194">
        <v>0</v>
      </c>
      <c r="J26" s="252">
        <f t="shared" si="3"/>
        <v>0</v>
      </c>
      <c r="K26" s="256">
        <f t="shared" si="4"/>
        <v>0</v>
      </c>
      <c r="L26" s="782"/>
      <c r="M26" s="30"/>
      <c r="N26" s="35"/>
      <c r="O26" s="35"/>
      <c r="P26" s="21"/>
      <c r="Q26" s="21"/>
      <c r="R26" s="21"/>
      <c r="S26" s="32"/>
      <c r="T26" s="31"/>
      <c r="U26" s="31"/>
      <c r="V26" s="31"/>
      <c r="W26" s="31"/>
      <c r="X26" s="33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x14ac:dyDescent="0.2">
      <c r="B27" s="779"/>
      <c r="C27" s="243"/>
      <c r="D27" s="243"/>
      <c r="E27" s="243"/>
      <c r="F27" s="247"/>
      <c r="G27" s="251">
        <v>0</v>
      </c>
      <c r="H27" s="194">
        <v>0</v>
      </c>
      <c r="I27" s="194">
        <v>0</v>
      </c>
      <c r="J27" s="252">
        <f t="shared" si="1"/>
        <v>0</v>
      </c>
      <c r="K27" s="256">
        <f t="shared" si="2"/>
        <v>0</v>
      </c>
      <c r="L27" s="782"/>
      <c r="M27" s="30"/>
      <c r="N27" s="35"/>
      <c r="O27" s="35"/>
      <c r="P27" s="21"/>
      <c r="Q27" s="21"/>
      <c r="R27" s="21"/>
      <c r="S27" s="32"/>
      <c r="T27" s="31"/>
      <c r="U27" s="31"/>
      <c r="V27" s="31"/>
      <c r="W27" s="31"/>
      <c r="X27" s="33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x14ac:dyDescent="0.2">
      <c r="B28" s="779"/>
      <c r="C28" s="243"/>
      <c r="D28" s="243"/>
      <c r="E28" s="243"/>
      <c r="F28" s="247"/>
      <c r="G28" s="251">
        <v>0</v>
      </c>
      <c r="H28" s="194">
        <v>0</v>
      </c>
      <c r="I28" s="194">
        <v>0</v>
      </c>
      <c r="J28" s="252">
        <f t="shared" si="1"/>
        <v>0</v>
      </c>
      <c r="K28" s="256">
        <f t="shared" si="2"/>
        <v>0</v>
      </c>
      <c r="L28" s="782"/>
      <c r="M28" s="30"/>
      <c r="N28" s="35"/>
      <c r="O28" s="35"/>
      <c r="P28" s="21"/>
      <c r="Q28" s="21"/>
      <c r="R28" s="21"/>
      <c r="S28" s="32"/>
      <c r="T28" s="31"/>
      <c r="U28" s="31"/>
      <c r="V28" s="31"/>
      <c r="W28" s="31"/>
      <c r="X28" s="33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x14ac:dyDescent="0.2">
      <c r="B29" s="779"/>
      <c r="C29" s="243"/>
      <c r="D29" s="243"/>
      <c r="E29" s="243"/>
      <c r="F29" s="247"/>
      <c r="G29" s="251">
        <v>0</v>
      </c>
      <c r="H29" s="194">
        <v>0</v>
      </c>
      <c r="I29" s="194">
        <v>0</v>
      </c>
      <c r="J29" s="252">
        <f t="shared" si="1"/>
        <v>0</v>
      </c>
      <c r="K29" s="256">
        <f t="shared" si="2"/>
        <v>0</v>
      </c>
      <c r="L29" s="782"/>
      <c r="M29" s="30"/>
      <c r="N29" s="35"/>
      <c r="O29" s="35"/>
      <c r="P29" s="21"/>
      <c r="Q29" s="21"/>
      <c r="R29" s="21"/>
      <c r="S29" s="32"/>
      <c r="T29" s="31"/>
      <c r="U29" s="31"/>
      <c r="V29" s="31"/>
      <c r="W29" s="31"/>
      <c r="X29" s="33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779"/>
      <c r="C30" s="243"/>
      <c r="D30" s="243"/>
      <c r="E30" s="243"/>
      <c r="F30" s="247"/>
      <c r="G30" s="251">
        <v>0</v>
      </c>
      <c r="H30" s="194">
        <v>0</v>
      </c>
      <c r="I30" s="194">
        <v>0</v>
      </c>
      <c r="J30" s="252">
        <f t="shared" si="1"/>
        <v>0</v>
      </c>
      <c r="K30" s="256">
        <f t="shared" si="2"/>
        <v>0</v>
      </c>
      <c r="L30" s="782"/>
      <c r="M30" s="30"/>
      <c r="N30" s="35"/>
      <c r="O30" s="35"/>
      <c r="P30" s="21"/>
      <c r="Q30" s="21"/>
      <c r="R30" s="21"/>
      <c r="S30" s="32"/>
      <c r="T30" s="31"/>
      <c r="U30" s="31"/>
      <c r="V30" s="31"/>
      <c r="W30" s="31"/>
      <c r="X30" s="33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780"/>
      <c r="C31" s="245"/>
      <c r="D31" s="245"/>
      <c r="E31" s="245"/>
      <c r="F31" s="248"/>
      <c r="G31" s="253">
        <v>0</v>
      </c>
      <c r="H31" s="246">
        <v>0</v>
      </c>
      <c r="I31" s="246">
        <v>0</v>
      </c>
      <c r="J31" s="254">
        <f t="shared" si="1"/>
        <v>0</v>
      </c>
      <c r="K31" s="257">
        <f t="shared" si="2"/>
        <v>0</v>
      </c>
      <c r="L31" s="783"/>
      <c r="M31" s="30"/>
      <c r="N31" s="35"/>
      <c r="O31" s="35"/>
      <c r="P31" s="35"/>
      <c r="Q31" s="35"/>
      <c r="R31" s="35"/>
      <c r="S31" s="36"/>
      <c r="T31" s="35"/>
      <c r="U31" s="35"/>
      <c r="V31" s="35"/>
      <c r="W31" s="35"/>
      <c r="X31" s="37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</row>
    <row r="32" spans="2:259" ht="16.5" thickBot="1" x14ac:dyDescent="0.25">
      <c r="B32" s="27"/>
      <c r="C32" s="46"/>
      <c r="D32" s="46"/>
      <c r="E32" s="47"/>
      <c r="F32" s="47"/>
      <c r="G32" s="47"/>
      <c r="H32" s="47"/>
      <c r="I32" s="47"/>
      <c r="J32" s="41"/>
      <c r="K32" s="258" t="s">
        <v>96</v>
      </c>
      <c r="L32" s="259">
        <f>SUM(L11:L31)</f>
        <v>30913654.67835439</v>
      </c>
      <c r="M32" s="28"/>
      <c r="N32" s="28"/>
      <c r="O32" s="28"/>
      <c r="P32" s="35"/>
      <c r="Q32" s="35"/>
      <c r="R32" s="35"/>
      <c r="S32" s="38"/>
      <c r="T32" s="38"/>
      <c r="U32" s="39"/>
      <c r="V32" s="39"/>
      <c r="W32" s="40"/>
      <c r="X32" s="40"/>
    </row>
    <row r="33" spans="2:24" x14ac:dyDescent="0.2">
      <c r="B33" s="27"/>
      <c r="C33" s="46"/>
      <c r="D33" s="46"/>
      <c r="E33" s="47"/>
      <c r="F33" s="47"/>
      <c r="G33" s="47"/>
      <c r="H33" s="47"/>
      <c r="I33" s="47"/>
      <c r="J33" s="41"/>
      <c r="K33" s="41"/>
      <c r="L33" s="41"/>
      <c r="M33" s="28"/>
      <c r="N33" s="28"/>
      <c r="O33" s="28"/>
      <c r="P33" s="35"/>
      <c r="Q33" s="35"/>
      <c r="R33" s="35"/>
      <c r="S33" s="38"/>
      <c r="T33" s="38"/>
      <c r="U33" s="39"/>
      <c r="V33" s="39"/>
      <c r="W33" s="40"/>
      <c r="X33" s="40"/>
    </row>
    <row r="34" spans="2:24" x14ac:dyDescent="0.2">
      <c r="B34" s="27"/>
      <c r="C34" s="27"/>
      <c r="D34" s="27"/>
      <c r="E34" s="27"/>
      <c r="F34" s="27"/>
      <c r="G34" s="27"/>
      <c r="H34" s="27"/>
      <c r="I34" s="27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9"/>
      <c r="V34" s="39"/>
      <c r="W34" s="40"/>
      <c r="X34" s="40"/>
    </row>
    <row r="35" spans="2:24" x14ac:dyDescent="0.2">
      <c r="B35" s="27"/>
      <c r="C35" s="27"/>
      <c r="D35" s="27"/>
      <c r="E35" s="27"/>
      <c r="F35" s="27"/>
      <c r="G35" s="27"/>
      <c r="H35" s="27"/>
      <c r="I35" s="27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  <c r="V35" s="39"/>
      <c r="W35" s="40"/>
      <c r="X35" s="40"/>
    </row>
    <row r="36" spans="2:24" x14ac:dyDescent="0.2">
      <c r="B36" s="27"/>
      <c r="C36" s="27"/>
      <c r="D36" s="27"/>
      <c r="E36" s="27"/>
      <c r="F36" s="27"/>
      <c r="G36" s="27"/>
      <c r="H36" s="27"/>
      <c r="I36" s="27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9"/>
      <c r="V36" s="39"/>
      <c r="W36" s="40"/>
      <c r="X36" s="40"/>
    </row>
    <row r="37" spans="2:24" x14ac:dyDescent="0.2">
      <c r="B37" s="27"/>
      <c r="C37" s="27"/>
      <c r="D37" s="27"/>
      <c r="E37" s="27"/>
      <c r="F37" s="27"/>
      <c r="G37" s="27"/>
      <c r="H37" s="27"/>
      <c r="I37" s="27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9"/>
      <c r="V37" s="39"/>
      <c r="W37" s="40"/>
      <c r="X37" s="40"/>
    </row>
    <row r="38" spans="2:24" x14ac:dyDescent="0.2">
      <c r="B38" s="27"/>
      <c r="C38" s="27"/>
      <c r="D38" s="27"/>
      <c r="E38" s="27"/>
      <c r="F38" s="27"/>
      <c r="G38" s="27"/>
      <c r="H38" s="27"/>
      <c r="I38" s="27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  <c r="V38" s="39"/>
      <c r="W38" s="40"/>
      <c r="X38" s="40"/>
    </row>
    <row r="39" spans="2:24" x14ac:dyDescent="0.2">
      <c r="B39" s="27"/>
      <c r="C39" s="27"/>
      <c r="D39" s="27"/>
      <c r="E39" s="27"/>
      <c r="F39" s="27"/>
      <c r="G39" s="27"/>
      <c r="H39" s="27"/>
      <c r="I39" s="27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9"/>
      <c r="V39" s="39"/>
      <c r="W39" s="40"/>
      <c r="X39" s="40"/>
    </row>
  </sheetData>
  <sheetProtection password="9C6E" sheet="1" objects="1" scenarios="1"/>
  <mergeCells count="12">
    <mergeCell ref="G9:J9"/>
    <mergeCell ref="K9:K10"/>
    <mergeCell ref="L9:L10"/>
    <mergeCell ref="T10:W10"/>
    <mergeCell ref="B11:B31"/>
    <mergeCell ref="L11:L31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8"/>
  <sheetViews>
    <sheetView showGridLines="0" workbookViewId="0">
      <selection activeCell="O20" sqref="O20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217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210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791" t="str">
        <f>+'B) Reajuste Tarifas y Ocupación'!F5</f>
        <v>DELBIENSAN (S.)</v>
      </c>
      <c r="E4" s="592"/>
      <c r="F4" s="792"/>
      <c r="G4" s="279"/>
      <c r="H4" s="279"/>
      <c r="I4" s="279"/>
      <c r="J4" s="279"/>
      <c r="K4" s="279"/>
      <c r="L4" s="279"/>
      <c r="N4" s="279"/>
      <c r="P4" s="279"/>
    </row>
    <row r="5" spans="1:19" x14ac:dyDescent="0.2">
      <c r="A5" s="9"/>
      <c r="B5" s="20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P5" s="279"/>
    </row>
    <row r="6" spans="1:19" x14ac:dyDescent="0.2">
      <c r="A6" s="9"/>
      <c r="B6" s="20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P6" s="279"/>
    </row>
    <row r="7" spans="1:19" ht="12.75" customHeight="1" x14ac:dyDescent="0.2">
      <c r="A7" s="804" t="s">
        <v>131</v>
      </c>
      <c r="B7" s="805"/>
      <c r="C7" s="805"/>
      <c r="D7" s="805"/>
      <c r="E7" s="805"/>
      <c r="F7" s="805"/>
      <c r="G7" s="805"/>
      <c r="H7" s="805"/>
      <c r="I7" s="805"/>
      <c r="J7" s="805"/>
      <c r="K7" s="805"/>
      <c r="L7" s="805"/>
      <c r="M7" s="805"/>
      <c r="N7" s="805"/>
      <c r="O7" s="806"/>
      <c r="P7" s="71"/>
    </row>
    <row r="8" spans="1:19" x14ac:dyDescent="0.2">
      <c r="A8" s="807"/>
      <c r="B8" s="808"/>
      <c r="C8" s="808"/>
      <c r="D8" s="808"/>
      <c r="E8" s="808"/>
      <c r="F8" s="808"/>
      <c r="G8" s="808"/>
      <c r="H8" s="808"/>
      <c r="I8" s="808"/>
      <c r="J8" s="808"/>
      <c r="K8" s="808"/>
      <c r="L8" s="808"/>
      <c r="M8" s="808"/>
      <c r="N8" s="808"/>
      <c r="O8" s="809"/>
      <c r="P8" s="71"/>
    </row>
    <row r="9" spans="1:19" x14ac:dyDescent="0.2">
      <c r="A9" s="810"/>
      <c r="B9" s="811"/>
      <c r="C9" s="811"/>
      <c r="D9" s="811"/>
      <c r="E9" s="811"/>
      <c r="F9" s="811"/>
      <c r="G9" s="811"/>
      <c r="H9" s="811"/>
      <c r="I9" s="811"/>
      <c r="J9" s="811"/>
      <c r="K9" s="811"/>
      <c r="L9" s="811"/>
      <c r="M9" s="811"/>
      <c r="N9" s="811"/>
      <c r="O9" s="812"/>
      <c r="P9" s="71"/>
    </row>
    <row r="10" spans="1:19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1:19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</row>
    <row r="12" spans="1:19" ht="15.75" x14ac:dyDescent="0.2">
      <c r="A12" s="763" t="s">
        <v>169</v>
      </c>
      <c r="B12" s="763"/>
      <c r="C12" s="763"/>
      <c r="D12" s="763"/>
      <c r="E12" s="280"/>
      <c r="F12" s="61"/>
      <c r="G12" s="61"/>
      <c r="H12" s="61"/>
      <c r="I12" s="60"/>
      <c r="J12" s="60"/>
      <c r="K12" s="61"/>
      <c r="L12" s="61"/>
      <c r="M12" s="61"/>
      <c r="N12" s="61"/>
      <c r="O12" s="61"/>
      <c r="P12" s="61"/>
    </row>
    <row r="13" spans="1:19" ht="13.5" thickBot="1" x14ac:dyDescent="0.25">
      <c r="A13" s="9"/>
      <c r="B13" s="20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P13" s="279"/>
    </row>
    <row r="14" spans="1:19" ht="20.25" customHeight="1" x14ac:dyDescent="0.2">
      <c r="A14" s="795" t="s">
        <v>136</v>
      </c>
      <c r="B14" s="797" t="s">
        <v>5</v>
      </c>
      <c r="C14" s="599" t="s">
        <v>139</v>
      </c>
      <c r="D14" s="600"/>
      <c r="E14" s="600"/>
      <c r="F14" s="600"/>
      <c r="G14" s="601"/>
      <c r="H14" s="801" t="s">
        <v>152</v>
      </c>
      <c r="I14" s="802"/>
      <c r="J14" s="802"/>
      <c r="K14" s="802"/>
      <c r="L14" s="803"/>
      <c r="M14" s="799" t="s">
        <v>112</v>
      </c>
      <c r="N14" s="800"/>
      <c r="O14" s="793" t="s">
        <v>113</v>
      </c>
      <c r="P14" s="794"/>
      <c r="Q14" s="789" t="s">
        <v>132</v>
      </c>
    </row>
    <row r="15" spans="1:19" ht="70.5" customHeight="1" thickBot="1" x14ac:dyDescent="0.25">
      <c r="A15" s="796"/>
      <c r="B15" s="798"/>
      <c r="C15" s="438" t="s">
        <v>88</v>
      </c>
      <c r="D15" s="439" t="s">
        <v>137</v>
      </c>
      <c r="E15" s="439" t="s">
        <v>138</v>
      </c>
      <c r="F15" s="439" t="s">
        <v>89</v>
      </c>
      <c r="G15" s="440" t="s">
        <v>90</v>
      </c>
      <c r="H15" s="441" t="s">
        <v>88</v>
      </c>
      <c r="I15" s="442" t="s">
        <v>137</v>
      </c>
      <c r="J15" s="442" t="s">
        <v>138</v>
      </c>
      <c r="K15" s="442" t="s">
        <v>89</v>
      </c>
      <c r="L15" s="443" t="s">
        <v>90</v>
      </c>
      <c r="M15" s="444" t="s">
        <v>72</v>
      </c>
      <c r="N15" s="242" t="s">
        <v>86</v>
      </c>
      <c r="O15" s="445" t="s">
        <v>72</v>
      </c>
      <c r="P15" s="242" t="s">
        <v>86</v>
      </c>
      <c r="Q15" s="790"/>
    </row>
    <row r="16" spans="1:19" ht="12.75" customHeight="1" thickBot="1" x14ac:dyDescent="0.25">
      <c r="A16" s="786" t="str">
        <f>'B) Reajuste Tarifas y Ocupación'!A12</f>
        <v>Jardín Infantil Olitas de Mar</v>
      </c>
      <c r="B16" s="446" t="str">
        <f>+'B) Reajuste Tarifas y Ocupación'!B12</f>
        <v>Media jornada</v>
      </c>
      <c r="C16" s="403">
        <f>+'B) Reajuste Tarifas y Ocupación'!M12</f>
        <v>49400</v>
      </c>
      <c r="D16" s="404">
        <f>+'B) Reajuste Tarifas y Ocupación'!N12</f>
        <v>59200</v>
      </c>
      <c r="E16" s="404">
        <f>+'B) Reajuste Tarifas y Ocupación'!O12</f>
        <v>59200</v>
      </c>
      <c r="F16" s="404">
        <f>+'B) Reajuste Tarifas y Ocupación'!P12</f>
        <v>74800</v>
      </c>
      <c r="G16" s="405">
        <f>+'B) Reajuste Tarifas y Ocupación'!Q12</f>
        <v>120100</v>
      </c>
      <c r="H16" s="449">
        <f t="shared" ref="H16:K17" si="0">IFERROR(C16/$Q16,0)</f>
        <v>0.52</v>
      </c>
      <c r="I16" s="176">
        <f t="shared" si="0"/>
        <v>0.62315789473684213</v>
      </c>
      <c r="J16" s="176">
        <f t="shared" si="0"/>
        <v>0.62315789473684213</v>
      </c>
      <c r="K16" s="176">
        <f t="shared" si="0"/>
        <v>0.78736842105263161</v>
      </c>
      <c r="L16" s="177">
        <f t="shared" ref="L16" si="1">IFERROR(G16/$Q16,0)</f>
        <v>1.2642105263157895</v>
      </c>
      <c r="M16" s="505" t="s">
        <v>283</v>
      </c>
      <c r="N16" s="260">
        <v>80000</v>
      </c>
      <c r="O16" s="505" t="s">
        <v>284</v>
      </c>
      <c r="P16" s="260">
        <v>110000</v>
      </c>
      <c r="Q16" s="451">
        <f>AVERAGE(N16,P16)</f>
        <v>95000</v>
      </c>
      <c r="R16" s="21"/>
      <c r="S16" s="22"/>
    </row>
    <row r="17" spans="1:19" ht="12.75" customHeight="1" x14ac:dyDescent="0.2">
      <c r="A17" s="787"/>
      <c r="B17" s="447" t="str">
        <f>+'B) Reajuste Tarifas y Ocupación'!B13</f>
        <v>Media jornada Extendida</v>
      </c>
      <c r="C17" s="406">
        <f>+'B) Reajuste Tarifas y Ocupación'!M13</f>
        <v>56400</v>
      </c>
      <c r="D17" s="402">
        <f>+'B) Reajuste Tarifas y Ocupación'!N13</f>
        <v>67700</v>
      </c>
      <c r="E17" s="402">
        <f>+'B) Reajuste Tarifas y Ocupación'!O13</f>
        <v>67700</v>
      </c>
      <c r="F17" s="402">
        <f>+'B) Reajuste Tarifas y Ocupación'!P13</f>
        <v>107000</v>
      </c>
      <c r="G17" s="407">
        <f>+'B) Reajuste Tarifas y Ocupación'!Q13</f>
        <v>159400</v>
      </c>
      <c r="H17" s="179">
        <f t="shared" si="0"/>
        <v>0.94</v>
      </c>
      <c r="I17" s="178">
        <f t="shared" si="0"/>
        <v>1.1283333333333334</v>
      </c>
      <c r="J17" s="178">
        <f t="shared" si="0"/>
        <v>1.1283333333333334</v>
      </c>
      <c r="K17" s="178">
        <f t="shared" si="0"/>
        <v>1.7833333333333334</v>
      </c>
      <c r="L17" s="450">
        <f t="shared" ref="L17" si="2">IFERROR(G17/$Q17,0)</f>
        <v>2.6566666666666667</v>
      </c>
      <c r="M17" s="505" t="s">
        <v>283</v>
      </c>
      <c r="N17" s="260">
        <v>0</v>
      </c>
      <c r="O17" s="505" t="s">
        <v>284</v>
      </c>
      <c r="P17" s="261">
        <v>120000</v>
      </c>
      <c r="Q17" s="452">
        <f>AVERAGE(N17,P17)</f>
        <v>60000</v>
      </c>
      <c r="R17" s="21"/>
      <c r="S17" s="22"/>
    </row>
    <row r="18" spans="1:19" ht="13.5" thickBot="1" x14ac:dyDescent="0.25">
      <c r="A18" s="788"/>
      <c r="B18" s="448" t="str">
        <f>+'B) Reajuste Tarifas y Ocupación'!B14</f>
        <v>Jornada Completa</v>
      </c>
      <c r="C18" s="408">
        <f>+'B) Reajuste Tarifas y Ocupación'!M14</f>
        <v>88500</v>
      </c>
      <c r="D18" s="409">
        <f>+'B) Reajuste Tarifas y Ocupación'!N14</f>
        <v>106200</v>
      </c>
      <c r="E18" s="409">
        <f>+'B) Reajuste Tarifas y Ocupación'!O14</f>
        <v>106200</v>
      </c>
      <c r="F18" s="409">
        <f>+'B) Reajuste Tarifas y Ocupación'!P14</f>
        <v>137000</v>
      </c>
      <c r="G18" s="410">
        <f>+'B) Reajuste Tarifas y Ocupación'!Q14</f>
        <v>220300</v>
      </c>
      <c r="H18" s="264">
        <f t="shared" ref="H18" si="3">IFERROR(C18/$Q18,0)</f>
        <v>0.39333333333333331</v>
      </c>
      <c r="I18" s="265">
        <f t="shared" ref="I18" si="4">IFERROR(D18/$Q18,0)</f>
        <v>0.47199999999999998</v>
      </c>
      <c r="J18" s="265">
        <f t="shared" ref="J18" si="5">IFERROR(E18/$Q18,0)</f>
        <v>0.47199999999999998</v>
      </c>
      <c r="K18" s="265">
        <f t="shared" ref="K18" si="6">IFERROR(F18/$Q18,0)</f>
        <v>0.60888888888888892</v>
      </c>
      <c r="L18" s="266">
        <f t="shared" ref="L18" si="7">IFERROR(G18/$Q18,0)</f>
        <v>0.97911111111111115</v>
      </c>
      <c r="M18" s="262" t="s">
        <v>283</v>
      </c>
      <c r="N18" s="263">
        <v>180000</v>
      </c>
      <c r="O18" s="262" t="s">
        <v>285</v>
      </c>
      <c r="P18" s="263">
        <v>270000</v>
      </c>
      <c r="Q18" s="453">
        <f t="shared" ref="Q18" si="8">AVERAGE(N18,P18)</f>
        <v>225000</v>
      </c>
      <c r="R18" s="21"/>
      <c r="S18" s="22"/>
    </row>
  </sheetData>
  <sheetProtection password="9C6E" sheet="1" objects="1" scenarios="1"/>
  <mergeCells count="11"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Directora Jardin Infantil - EECC Maria José Leniz</dc:creator>
  <cp:lastModifiedBy>630 Loreto Mondaca</cp:lastModifiedBy>
  <dcterms:created xsi:type="dcterms:W3CDTF">2019-08-29T16:17:18Z</dcterms:created>
  <dcterms:modified xsi:type="dcterms:W3CDTF">2019-12-20T13:18:28Z</dcterms:modified>
</cp:coreProperties>
</file>