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300 PUBLICO ASISTENCIA\LORETO\TARIFAS 2021\PLANILLAS PARA PUBLICAR\"/>
    </mc:Choice>
  </mc:AlternateContent>
  <xr:revisionPtr revIDLastSave="0" documentId="8_{EEC17929-0557-471F-B94F-0BDCCF6C2EA1}" xr6:coauthVersionLast="46" xr6:coauthVersionMax="46" xr10:uidLastSave="{00000000-0000-0000-0000-000000000000}"/>
  <workbookProtection workbookPassword="9C6E" lockStructure="1"/>
  <bookViews>
    <workbookView xWindow="-120" yWindow="-120" windowWidth="29040" windowHeight="15840" tabRatio="929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Egresos'!$A$1:$N$29</definedName>
    <definedName name="__xlnm_Print_Area_1">'C) Costos Directos'!$A$1:$H$38</definedName>
    <definedName name="__xlnm_Print_Area_2">'E) Resumen Tarifado '!$A$4:$G$12</definedName>
    <definedName name="__xlnm_Print_Titles">'A) Resumen Ingresos y Egresos'!$1:$19</definedName>
    <definedName name="__xlnm_Print_Titles_1">'C) Costos Directos'!$1:$11</definedName>
    <definedName name="__xlnm_Print_Titles_2">NA()</definedName>
    <definedName name="_xlnm.Print_Area" localSheetId="2">'A) Resumen Ingresos y Egresos'!$A$1:$N$29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Egresos'!$1:$19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2" l="1"/>
  <c r="Q15" i="7" l="1"/>
  <c r="M30" i="2" s="1"/>
  <c r="P15" i="7"/>
  <c r="L30" i="2" s="1"/>
  <c r="O15" i="7"/>
  <c r="K30" i="2" s="1"/>
  <c r="N15" i="7"/>
  <c r="J30" i="2" s="1"/>
  <c r="D133" i="3" l="1"/>
  <c r="D135" i="3"/>
  <c r="D137" i="3"/>
  <c r="D130" i="3"/>
  <c r="D125" i="3"/>
  <c r="D127" i="3"/>
  <c r="D123" i="3"/>
  <c r="D119" i="3"/>
  <c r="D115" i="3"/>
  <c r="D116" i="3"/>
  <c r="D102" i="3"/>
  <c r="D100" i="3"/>
  <c r="D94" i="3"/>
  <c r="D95" i="3"/>
  <c r="D98" i="3"/>
  <c r="D91" i="3"/>
  <c r="D71" i="3"/>
  <c r="D54" i="3"/>
  <c r="D51" i="3"/>
  <c r="D37" i="3"/>
  <c r="D33" i="3"/>
  <c r="D22" i="3"/>
  <c r="P43" i="3"/>
  <c r="O43" i="3"/>
  <c r="D53" i="3" s="1"/>
  <c r="P61" i="3"/>
  <c r="D138" i="3" s="1"/>
  <c r="O61" i="3"/>
  <c r="D72" i="3" s="1"/>
  <c r="P60" i="3"/>
  <c r="O60" i="3"/>
  <c r="P59" i="3"/>
  <c r="D136" i="3" s="1"/>
  <c r="O59" i="3"/>
  <c r="P58" i="3"/>
  <c r="O58" i="3"/>
  <c r="P57" i="3"/>
  <c r="D134" i="3" s="1"/>
  <c r="O57" i="3"/>
  <c r="P56" i="3"/>
  <c r="O56" i="3"/>
  <c r="P55" i="3"/>
  <c r="D132" i="3" s="1"/>
  <c r="D131" i="3" s="1"/>
  <c r="O55" i="3"/>
  <c r="D66" i="3" s="1"/>
  <c r="P53" i="3"/>
  <c r="O53" i="3"/>
  <c r="D64" i="3" s="1"/>
  <c r="P52" i="3"/>
  <c r="D128" i="3" s="1"/>
  <c r="O52" i="3"/>
  <c r="P51" i="3"/>
  <c r="O51" i="3"/>
  <c r="P50" i="3"/>
  <c r="D126" i="3" s="1"/>
  <c r="O50" i="3"/>
  <c r="D60" i="3" s="1"/>
  <c r="P49" i="3"/>
  <c r="O49" i="3"/>
  <c r="P48" i="3"/>
  <c r="D124" i="3" s="1"/>
  <c r="D122" i="3" s="1"/>
  <c r="O48" i="3"/>
  <c r="D58" i="3" s="1"/>
  <c r="P47" i="3"/>
  <c r="O47" i="3"/>
  <c r="P45" i="3"/>
  <c r="D121" i="3" s="1"/>
  <c r="O45" i="3"/>
  <c r="P44" i="3"/>
  <c r="D120" i="3" s="1"/>
  <c r="O44" i="3"/>
  <c r="P42" i="3"/>
  <c r="D118" i="3" s="1"/>
  <c r="O42" i="3"/>
  <c r="D52" i="3" s="1"/>
  <c r="P41" i="3"/>
  <c r="D117" i="3" s="1"/>
  <c r="O41" i="3"/>
  <c r="P40" i="3"/>
  <c r="O40" i="3"/>
  <c r="D50" i="3" s="1"/>
  <c r="P39" i="3"/>
  <c r="P38" i="3"/>
  <c r="D114" i="3" s="1"/>
  <c r="O38" i="3"/>
  <c r="D48" i="3" s="1"/>
  <c r="P36" i="3"/>
  <c r="O36" i="3"/>
  <c r="P34" i="3"/>
  <c r="O34" i="3"/>
  <c r="P33" i="3"/>
  <c r="O33" i="3"/>
  <c r="P30" i="3"/>
  <c r="D104" i="3" s="1"/>
  <c r="O30" i="3"/>
  <c r="P29" i="3"/>
  <c r="D103" i="3" s="1"/>
  <c r="O29" i="3"/>
  <c r="P28" i="3"/>
  <c r="O28" i="3"/>
  <c r="P27" i="3"/>
  <c r="D101" i="3" s="1"/>
  <c r="O27" i="3"/>
  <c r="P26" i="3"/>
  <c r="O26" i="3"/>
  <c r="P25" i="3"/>
  <c r="D99" i="3" s="1"/>
  <c r="O25" i="3"/>
  <c r="P24" i="3"/>
  <c r="P23" i="3"/>
  <c r="D97" i="3" s="1"/>
  <c r="O23" i="3"/>
  <c r="D31" i="3" s="1"/>
  <c r="P22" i="3"/>
  <c r="D96" i="3" s="1"/>
  <c r="O22" i="3"/>
  <c r="D30" i="3" s="1"/>
  <c r="P21" i="3"/>
  <c r="O21" i="3"/>
  <c r="D29" i="3" s="1"/>
  <c r="P20" i="3"/>
  <c r="O20" i="3"/>
  <c r="D28" i="3" s="1"/>
  <c r="P19" i="3"/>
  <c r="D93" i="3" s="1"/>
  <c r="O19" i="3"/>
  <c r="P18" i="3"/>
  <c r="D92" i="3" s="1"/>
  <c r="O18" i="3"/>
  <c r="D26" i="3" s="1"/>
  <c r="P17" i="3"/>
  <c r="P16" i="3"/>
  <c r="O16" i="3"/>
  <c r="P15" i="3"/>
  <c r="O15" i="3"/>
  <c r="P14" i="3"/>
  <c r="D88" i="3" s="1"/>
  <c r="O14" i="3"/>
  <c r="G140" i="3"/>
  <c r="G139" i="3" s="1"/>
  <c r="D139" i="3"/>
  <c r="G138" i="3"/>
  <c r="G137" i="3"/>
  <c r="H137" i="3" s="1"/>
  <c r="G136" i="3"/>
  <c r="G135" i="3"/>
  <c r="H135" i="3" s="1"/>
  <c r="G134" i="3"/>
  <c r="G133" i="3"/>
  <c r="H133" i="3" s="1"/>
  <c r="G132" i="3"/>
  <c r="G130" i="3"/>
  <c r="G129" i="3"/>
  <c r="G128" i="3"/>
  <c r="G127" i="3"/>
  <c r="G126" i="3"/>
  <c r="G125" i="3"/>
  <c r="G124" i="3"/>
  <c r="G123" i="3"/>
  <c r="G121" i="3"/>
  <c r="G120" i="3"/>
  <c r="G119" i="3"/>
  <c r="G118" i="3"/>
  <c r="G117" i="3"/>
  <c r="G116" i="3"/>
  <c r="G115" i="3"/>
  <c r="H115" i="3" s="1"/>
  <c r="G114" i="3"/>
  <c r="G112" i="3"/>
  <c r="G111" i="3" s="1"/>
  <c r="D111" i="3"/>
  <c r="G110" i="3"/>
  <c r="H110" i="3" s="1"/>
  <c r="G109" i="3"/>
  <c r="H109" i="3" s="1"/>
  <c r="G108" i="3"/>
  <c r="H108" i="3" s="1"/>
  <c r="G107" i="3"/>
  <c r="H107" i="3" s="1"/>
  <c r="D106" i="3"/>
  <c r="G104" i="3"/>
  <c r="G103" i="3"/>
  <c r="G102" i="3"/>
  <c r="G101" i="3"/>
  <c r="G100" i="3"/>
  <c r="H100" i="3" s="1"/>
  <c r="G99" i="3"/>
  <c r="G98" i="3"/>
  <c r="G97" i="3"/>
  <c r="G96" i="3"/>
  <c r="G95" i="3"/>
  <c r="G94" i="3"/>
  <c r="G93" i="3"/>
  <c r="G92" i="3"/>
  <c r="G91" i="3"/>
  <c r="G90" i="3"/>
  <c r="H90" i="3" s="1"/>
  <c r="G89" i="3"/>
  <c r="H89" i="3" s="1"/>
  <c r="G88" i="3"/>
  <c r="G87" i="3"/>
  <c r="H87" i="3" s="1"/>
  <c r="F86" i="3"/>
  <c r="G86" i="3" s="1"/>
  <c r="H86" i="3" s="1"/>
  <c r="F85" i="3"/>
  <c r="G85" i="3" s="1"/>
  <c r="H85" i="3" s="1"/>
  <c r="G83" i="3"/>
  <c r="H83" i="3" s="1"/>
  <c r="G82" i="3"/>
  <c r="G81" i="3"/>
  <c r="H81" i="3" s="1"/>
  <c r="G80" i="3"/>
  <c r="H88" i="3" l="1"/>
  <c r="H104" i="3"/>
  <c r="H114" i="3"/>
  <c r="D113" i="3"/>
  <c r="H93" i="3"/>
  <c r="H97" i="3"/>
  <c r="H101" i="3"/>
  <c r="H124" i="3"/>
  <c r="H128" i="3"/>
  <c r="H94" i="3"/>
  <c r="H98" i="3"/>
  <c r="H120" i="3"/>
  <c r="H91" i="3"/>
  <c r="H95" i="3"/>
  <c r="H103" i="3"/>
  <c r="H117" i="3"/>
  <c r="H121" i="3"/>
  <c r="H126" i="3"/>
  <c r="H130" i="3"/>
  <c r="H138" i="3"/>
  <c r="H136" i="3"/>
  <c r="H134" i="3"/>
  <c r="H125" i="3"/>
  <c r="H129" i="3"/>
  <c r="H127" i="3"/>
  <c r="H119" i="3"/>
  <c r="H116" i="3"/>
  <c r="H118" i="3"/>
  <c r="H102" i="3"/>
  <c r="H99" i="3"/>
  <c r="D84" i="3"/>
  <c r="H92" i="3"/>
  <c r="H96" i="3"/>
  <c r="G79" i="3"/>
  <c r="O39" i="3"/>
  <c r="D49" i="3" s="1"/>
  <c r="O24" i="3"/>
  <c r="D32" i="3" s="1"/>
  <c r="O17" i="3"/>
  <c r="D25" i="3" s="1"/>
  <c r="G113" i="3"/>
  <c r="G122" i="3"/>
  <c r="G131" i="3"/>
  <c r="G106" i="3"/>
  <c r="H106" i="3"/>
  <c r="G84" i="3"/>
  <c r="H132" i="3"/>
  <c r="H112" i="3"/>
  <c r="H111" i="3" s="1"/>
  <c r="H123" i="3"/>
  <c r="H140" i="3"/>
  <c r="H139" i="3" s="1"/>
  <c r="H131" i="3" l="1"/>
  <c r="H113" i="3"/>
  <c r="H122" i="3"/>
  <c r="H105" i="3" s="1"/>
  <c r="H84" i="3"/>
  <c r="J84" i="3" s="1"/>
  <c r="G78" i="3"/>
  <c r="G105" i="3"/>
  <c r="G141" i="3" s="1"/>
  <c r="B26" i="12" l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E13" i="5"/>
  <c r="G13" i="5"/>
  <c r="C13" i="5"/>
  <c r="A13" i="5"/>
  <c r="G15" i="5"/>
  <c r="F15" i="5"/>
  <c r="E15" i="5"/>
  <c r="D15" i="5"/>
  <c r="C15" i="5"/>
  <c r="B15" i="5"/>
  <c r="B14" i="5"/>
  <c r="B13" i="5"/>
  <c r="A78" i="3"/>
  <c r="A30" i="2"/>
  <c r="A10" i="2"/>
  <c r="J31" i="2"/>
  <c r="K31" i="2"/>
  <c r="F31" i="2" s="1"/>
  <c r="L31" i="2"/>
  <c r="G31" i="2" s="1"/>
  <c r="M31" i="2"/>
  <c r="H31" i="2" s="1"/>
  <c r="I31" i="2"/>
  <c r="P38" i="2"/>
  <c r="D38" i="2"/>
  <c r="M37" i="2"/>
  <c r="H37" i="2" s="1"/>
  <c r="L37" i="2"/>
  <c r="G37" i="2" s="1"/>
  <c r="K37" i="2"/>
  <c r="F37" i="2" s="1"/>
  <c r="J37" i="2"/>
  <c r="E37" i="2" s="1"/>
  <c r="I37" i="2"/>
  <c r="M36" i="2"/>
  <c r="H36" i="2" s="1"/>
  <c r="L36" i="2"/>
  <c r="G36" i="2" s="1"/>
  <c r="K36" i="2"/>
  <c r="F36" i="2" s="1"/>
  <c r="J36" i="2"/>
  <c r="E36" i="2" s="1"/>
  <c r="I36" i="2"/>
  <c r="B36" i="2"/>
  <c r="P35" i="2"/>
  <c r="M35" i="2"/>
  <c r="J35" i="2"/>
  <c r="I35" i="2"/>
  <c r="E35" i="2"/>
  <c r="D35" i="2"/>
  <c r="L35" i="2"/>
  <c r="F35" i="2"/>
  <c r="H35" i="2"/>
  <c r="G35" i="2"/>
  <c r="B33" i="2"/>
  <c r="P32" i="2"/>
  <c r="D32" i="2"/>
  <c r="M32" i="2"/>
  <c r="G30" i="2"/>
  <c r="F30" i="2"/>
  <c r="E30" i="2"/>
  <c r="B30" i="2"/>
  <c r="B29" i="7"/>
  <c r="B30" i="7"/>
  <c r="B31" i="7"/>
  <c r="A29" i="7"/>
  <c r="H31" i="7"/>
  <c r="H29" i="7"/>
  <c r="Q17" i="7"/>
  <c r="P17" i="7"/>
  <c r="O17" i="7"/>
  <c r="N17" i="7"/>
  <c r="F13" i="5"/>
  <c r="D13" i="5"/>
  <c r="H30" i="2" l="1"/>
  <c r="H32" i="2" s="1"/>
  <c r="F32" i="2"/>
  <c r="I38" i="2"/>
  <c r="F38" i="2"/>
  <c r="G32" i="2"/>
  <c r="M38" i="2"/>
  <c r="M39" i="2" s="1"/>
  <c r="I32" i="2"/>
  <c r="I39" i="2" s="1"/>
  <c r="J32" i="2"/>
  <c r="H38" i="2"/>
  <c r="G38" i="2"/>
  <c r="L26" i="12"/>
  <c r="D80" i="3" s="1"/>
  <c r="L32" i="2"/>
  <c r="L38" i="2"/>
  <c r="E31" i="2"/>
  <c r="E32" i="2" s="1"/>
  <c r="E38" i="2"/>
  <c r="D39" i="2"/>
  <c r="K38" i="2"/>
  <c r="P39" i="2"/>
  <c r="D10" i="2" s="1"/>
  <c r="N35" i="2"/>
  <c r="K32" i="2"/>
  <c r="K35" i="2"/>
  <c r="O35" i="2" s="1"/>
  <c r="J38" i="2"/>
  <c r="H80" i="3" l="1"/>
  <c r="D82" i="3"/>
  <c r="H82" i="3" s="1"/>
  <c r="D79" i="3"/>
  <c r="D78" i="3" s="1"/>
  <c r="D141" i="3" s="1"/>
  <c r="J39" i="2"/>
  <c r="G39" i="2"/>
  <c r="F39" i="2"/>
  <c r="H39" i="2"/>
  <c r="N38" i="2"/>
  <c r="L39" i="2"/>
  <c r="K140" i="3"/>
  <c r="O32" i="2"/>
  <c r="Q35" i="2"/>
  <c r="E39" i="2"/>
  <c r="N32" i="2"/>
  <c r="K39" i="2"/>
  <c r="O38" i="2"/>
  <c r="Q38" i="2" s="1"/>
  <c r="N39" i="2" l="1"/>
  <c r="B10" i="2" s="1"/>
  <c r="H79" i="3"/>
  <c r="H78" i="3" s="1"/>
  <c r="H141" i="3" s="1"/>
  <c r="F10" i="2" s="1"/>
  <c r="O39" i="2"/>
  <c r="C10" i="2" s="1"/>
  <c r="Q32" i="2"/>
  <c r="Q39" i="2" s="1"/>
  <c r="E10" i="2" l="1"/>
  <c r="F20" i="3" l="1"/>
  <c r="F19" i="3"/>
  <c r="J23" i="9" l="1"/>
  <c r="J22" i="9"/>
  <c r="J21" i="9"/>
  <c r="J24" i="9" l="1"/>
  <c r="H12" i="5"/>
  <c r="I12" i="5"/>
  <c r="J12" i="5"/>
  <c r="K12" i="5"/>
  <c r="L12" i="5"/>
  <c r="R12" i="5"/>
  <c r="M14" i="7"/>
  <c r="V12" i="5"/>
  <c r="K14" i="7"/>
  <c r="P14" i="7" s="1"/>
  <c r="J14" i="7"/>
  <c r="O14" i="7" s="1"/>
  <c r="I14" i="7"/>
  <c r="S12" i="5" s="1"/>
  <c r="T12" i="5" l="1"/>
  <c r="N14" i="7"/>
  <c r="U12" i="5"/>
  <c r="Q14" i="7"/>
  <c r="B23" i="2"/>
  <c r="J24" i="2" l="1"/>
  <c r="K24" i="2"/>
  <c r="L24" i="2"/>
  <c r="M24" i="2"/>
  <c r="I24" i="2"/>
  <c r="Q17" i="1"/>
  <c r="B17" i="1"/>
  <c r="R11" i="5"/>
  <c r="H11" i="5"/>
  <c r="I11" i="5"/>
  <c r="J11" i="5"/>
  <c r="K11" i="5"/>
  <c r="L11" i="5"/>
  <c r="B11" i="5"/>
  <c r="P23" i="2"/>
  <c r="H27" i="7"/>
  <c r="M13" i="7"/>
  <c r="C11" i="5" s="1"/>
  <c r="M11" i="5" s="1"/>
  <c r="L13" i="7"/>
  <c r="Q13" i="7" s="1"/>
  <c r="M23" i="2" s="1"/>
  <c r="K13" i="7"/>
  <c r="P13" i="7" s="1"/>
  <c r="F17" i="1" s="1"/>
  <c r="J13" i="7"/>
  <c r="O13" i="7" s="1"/>
  <c r="E17" i="1" s="1"/>
  <c r="I13" i="7"/>
  <c r="N13" i="7" l="1"/>
  <c r="J23" i="2" s="1"/>
  <c r="V11" i="5"/>
  <c r="K17" i="1"/>
  <c r="T11" i="5"/>
  <c r="U11" i="5"/>
  <c r="S11" i="5"/>
  <c r="F11" i="5"/>
  <c r="P11" i="5" s="1"/>
  <c r="L23" i="2"/>
  <c r="E11" i="5"/>
  <c r="O11" i="5" s="1"/>
  <c r="G17" i="1"/>
  <c r="L17" i="1" s="1"/>
  <c r="C17" i="1"/>
  <c r="H17" i="1" s="1"/>
  <c r="K23" i="2"/>
  <c r="D11" i="5"/>
  <c r="N11" i="5" s="1"/>
  <c r="I23" i="2"/>
  <c r="G11" i="5"/>
  <c r="Q11" i="5" s="1"/>
  <c r="J17" i="1"/>
  <c r="B27" i="7"/>
  <c r="B28" i="7"/>
  <c r="D17" i="1" l="1"/>
  <c r="I17" i="1" s="1"/>
  <c r="P25" i="2"/>
  <c r="M25" i="2"/>
  <c r="K25" i="2"/>
  <c r="I25" i="2"/>
  <c r="L25" i="2"/>
  <c r="E23" i="2"/>
  <c r="G24" i="2"/>
  <c r="E24" i="2"/>
  <c r="H23" i="2"/>
  <c r="F23" i="2"/>
  <c r="D23" i="2"/>
  <c r="E25" i="2" l="1"/>
  <c r="J25" i="2"/>
  <c r="O25" i="2" s="1"/>
  <c r="G23" i="2"/>
  <c r="G25" i="2" s="1"/>
  <c r="F24" i="2"/>
  <c r="F25" i="2" s="1"/>
  <c r="D24" i="2"/>
  <c r="D25" i="2" s="1"/>
  <c r="H24" i="2"/>
  <c r="H25" i="2" s="1"/>
  <c r="N25" i="2" l="1"/>
  <c r="Q25" i="2" s="1"/>
  <c r="D18" i="3" l="1"/>
  <c r="G20" i="3" l="1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18" i="12"/>
  <c r="K18" i="12" s="1"/>
  <c r="I21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20" i="2"/>
  <c r="AP15" i="13" l="1"/>
  <c r="AN15" i="13"/>
  <c r="AR15" i="13"/>
  <c r="C12" i="5"/>
  <c r="M12" i="5" s="1"/>
  <c r="C18" i="1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20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0" i="2"/>
  <c r="P26" i="2"/>
  <c r="P28" i="2" s="1"/>
  <c r="P22" i="2" l="1"/>
  <c r="P29" i="2" l="1"/>
  <c r="P40" i="2" s="1"/>
  <c r="K27" i="2"/>
  <c r="F27" i="2" s="1"/>
  <c r="K21" i="2"/>
  <c r="F21" i="2" s="1"/>
  <c r="J12" i="7"/>
  <c r="O12" i="7" s="1"/>
  <c r="H26" i="7"/>
  <c r="T10" i="5" l="1"/>
  <c r="K20" i="2"/>
  <c r="E16" i="1" l="1"/>
  <c r="J16" i="1" s="1"/>
  <c r="E10" i="5"/>
  <c r="O10" i="5" s="1"/>
  <c r="F20" i="2"/>
  <c r="F22" i="2" s="1"/>
  <c r="K22" i="2"/>
  <c r="K26" i="2" l="1"/>
  <c r="D9" i="2"/>
  <c r="D11" i="2" s="1"/>
  <c r="F26" i="2" l="1"/>
  <c r="F28" i="2" s="1"/>
  <c r="F29" i="2" s="1"/>
  <c r="F40" i="2" s="1"/>
  <c r="K28" i="2"/>
  <c r="K29" i="2" s="1"/>
  <c r="K40" i="2" s="1"/>
  <c r="E4" i="12"/>
  <c r="B11" i="12"/>
  <c r="J25" i="12"/>
  <c r="K25" i="12" s="1"/>
  <c r="J24" i="12"/>
  <c r="K24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41" i="12" s="1"/>
  <c r="D14" i="3" l="1"/>
  <c r="D16" i="3" s="1"/>
  <c r="C16" i="1" l="1"/>
  <c r="H16" i="1" s="1"/>
  <c r="J27" i="2" l="1"/>
  <c r="E27" i="2" s="1"/>
  <c r="L27" i="2"/>
  <c r="M27" i="2"/>
  <c r="I27" i="2"/>
  <c r="I26" i="2"/>
  <c r="D26" i="2" s="1"/>
  <c r="J21" i="2"/>
  <c r="E21" i="2" s="1"/>
  <c r="L21" i="2"/>
  <c r="G21" i="2" s="1"/>
  <c r="M21" i="2"/>
  <c r="D21" i="2"/>
  <c r="B26" i="2"/>
  <c r="B20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6" i="2"/>
  <c r="H26" i="2" s="1"/>
  <c r="H28" i="7"/>
  <c r="A26" i="7"/>
  <c r="B26" i="7"/>
  <c r="M20" i="2"/>
  <c r="H20" i="2" s="1"/>
  <c r="D20" i="2"/>
  <c r="A16" i="1"/>
  <c r="C8" i="2"/>
  <c r="B8" i="2"/>
  <c r="D22" i="2" l="1"/>
  <c r="H21" i="2"/>
  <c r="M22" i="2"/>
  <c r="D27" i="2"/>
  <c r="I28" i="2"/>
  <c r="H27" i="2"/>
  <c r="M28" i="2"/>
  <c r="G27" i="2"/>
  <c r="I22" i="2"/>
  <c r="G20" i="2"/>
  <c r="L22" i="2"/>
  <c r="L26" i="2"/>
  <c r="L28" i="2" s="1"/>
  <c r="F10" i="5"/>
  <c r="P10" i="5" s="1"/>
  <c r="C10" i="5"/>
  <c r="M10" i="5" s="1"/>
  <c r="G10" i="5"/>
  <c r="Q10" i="5" s="1"/>
  <c r="M29" i="2" l="1"/>
  <c r="M40" i="2" s="1"/>
  <c r="L29" i="2"/>
  <c r="L40" i="2" s="1"/>
  <c r="I29" i="2"/>
  <c r="I40" i="2" s="1"/>
  <c r="G26" i="2"/>
  <c r="J4" i="9" l="1"/>
  <c r="Q18" i="1" l="1"/>
  <c r="H18" i="1" l="1"/>
  <c r="I18" i="1"/>
  <c r="J18" i="1"/>
  <c r="K18" i="1"/>
  <c r="L18" i="1"/>
  <c r="G4" i="5"/>
  <c r="D4" i="1"/>
  <c r="B10" i="5" l="1"/>
  <c r="A10" i="5"/>
  <c r="A20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K74" i="3" l="1"/>
  <c r="G18" i="3"/>
  <c r="H41" i="3"/>
  <c r="H40" i="3" s="1"/>
  <c r="H39" i="3" s="1"/>
  <c r="G40" i="3"/>
  <c r="G39" i="3" s="1"/>
  <c r="H19" i="3"/>
  <c r="H18" i="3" s="1"/>
  <c r="J18" i="3" s="1"/>
  <c r="G14" i="3" l="1"/>
  <c r="G15" i="3" l="1"/>
  <c r="A9" i="5"/>
  <c r="B9" i="5"/>
  <c r="H15" i="3" l="1"/>
  <c r="G13" i="3"/>
  <c r="G22" i="2"/>
  <c r="H22" i="2"/>
  <c r="G28" i="2"/>
  <c r="D28" i="2"/>
  <c r="H28" i="2"/>
  <c r="H29" i="2" l="1"/>
  <c r="H40" i="2" s="1"/>
  <c r="G29" i="2"/>
  <c r="G40" i="2" s="1"/>
  <c r="G12" i="3"/>
  <c r="G75" i="3" s="1"/>
  <c r="D29" i="2"/>
  <c r="D40" i="2" s="1"/>
  <c r="H14" i="3" l="1"/>
  <c r="D13" i="3"/>
  <c r="H13" i="3" l="1"/>
  <c r="H12" i="3" s="1"/>
  <c r="H75" i="3" s="1"/>
  <c r="D12" i="3"/>
  <c r="D75" i="3" s="1"/>
  <c r="K75" i="3" l="1"/>
  <c r="H142" i="3"/>
  <c r="K141" i="3" s="1"/>
  <c r="F9" i="2"/>
  <c r="F11" i="2" s="1"/>
  <c r="G9" i="2" l="1"/>
  <c r="G10" i="2"/>
  <c r="J26" i="2"/>
  <c r="H10" i="2" l="1"/>
  <c r="I10" i="2" s="1"/>
  <c r="G11" i="2"/>
  <c r="L10" i="2" s="1"/>
  <c r="H9" i="2"/>
  <c r="J28" i="2"/>
  <c r="E26" i="2"/>
  <c r="E28" i="2" s="1"/>
  <c r="H11" i="2" l="1"/>
  <c r="N28" i="2"/>
  <c r="O28" i="2"/>
  <c r="Q28" i="2" l="1"/>
  <c r="L9" i="2"/>
  <c r="L11" i="2" s="1"/>
  <c r="D10" i="5" l="1"/>
  <c r="N10" i="5" s="1"/>
  <c r="J20" i="2"/>
  <c r="J22" i="2" s="1"/>
  <c r="J29" i="2" s="1"/>
  <c r="J40" i="2" s="1"/>
  <c r="E20" i="2" l="1"/>
  <c r="E22" i="2" s="1"/>
  <c r="E29" i="2" s="1"/>
  <c r="E40" i="2" s="1"/>
  <c r="O22" i="2"/>
  <c r="O29" i="2" s="1"/>
  <c r="O40" i="2" s="1"/>
  <c r="N22" i="2" l="1"/>
  <c r="Q22" i="2" s="1"/>
  <c r="Q29" i="2" s="1"/>
  <c r="Q40" i="2" s="1"/>
  <c r="N29" i="2" l="1"/>
  <c r="C9" i="2"/>
  <c r="C11" i="2" s="1"/>
  <c r="N40" i="2" l="1"/>
  <c r="B9" i="2"/>
  <c r="E9" i="2" l="1"/>
  <c r="E11" i="2" s="1"/>
  <c r="B11" i="2"/>
  <c r="I9" i="2"/>
  <c r="I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</authors>
  <commentList>
    <comment ref="N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<sst xmlns="http://schemas.openxmlformats.org/spreadsheetml/2006/main" count="727" uniqueCount="368">
  <si>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</si>
  <si>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</si>
  <si>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</si>
  <si>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</si>
  <si>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</si>
  <si>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</si>
  <si>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</si>
  <si>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</si>
  <si>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</si>
  <si>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</si>
  <si>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</si>
  <si>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</si>
  <si>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</si>
  <si>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</si>
  <si>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</si>
  <si>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</si>
  <si>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</si>
  <si>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</si>
  <si>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</si>
  <si>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</si>
  <si>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</si>
  <si>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</si>
  <si>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</si>
  <si>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</si>
  <si>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</si>
  <si>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</si>
  <si>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</si>
  <si>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</si>
  <si>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</si>
  <si>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</si>
  <si>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</si>
  <si>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</si>
  <si>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</si>
  <si>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</si>
  <si>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</si>
  <si>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</si>
  <si>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</si>
  <si>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</si>
  <si>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</si>
  <si>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</si>
  <si>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</si>
  <si>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</si>
  <si>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</si>
  <si>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</si>
  <si>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</si>
  <si>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</si>
  <si>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</si>
  <si>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</si>
  <si>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</si>
  <si>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</si>
  <si>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</si>
  <si>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</si>
  <si>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</si>
  <si>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</si>
  <si>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</si>
  <si>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</si>
  <si>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</si>
  <si>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</si>
  <si>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</si>
  <si>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</si>
  <si>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</si>
  <si>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</si>
  <si>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</si>
  <si>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</si>
  <si>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</si>
  <si>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</si>
  <si>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</si>
  <si>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</si>
  <si>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</si>
  <si>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</si>
  <si>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</si>
  <si>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</si>
  <si>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</si>
  <si>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</si>
  <si>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</si>
  <si>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</si>
  <si>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</si>
  <si>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</si>
  <si>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</si>
  <si>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</si>
  <si>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</si>
  <si>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</si>
  <si>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</si>
  <si>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</si>
  <si>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</si>
  <si>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</si>
  <si>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</si>
  <si>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</si>
  <si>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</si>
  <si>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</si>
  <si>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</si>
  <si>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</si>
  <si>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</si>
  <si>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</si>
  <si>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</si>
  <si>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</si>
  <si>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</si>
  <si>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</si>
  <si>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</si>
  <si>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</si>
  <si>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</si>
  <si>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</si>
  <si>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</si>
  <si>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</si>
  <si>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</si>
  <si>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</si>
  <si>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</si>
  <si>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</si>
  <si>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</si>
  <si>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</si>
  <si>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</si>
  <si>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</si>
  <si>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</si>
  <si>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</si>
  <si>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</si>
  <si>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</si>
  <si>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</si>
  <si>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</si>
  <si>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</si>
  <si>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</si>
  <si>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</si>
  <si>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</si>
  <si>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</si>
  <si>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</si>
  <si>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</si>
  <si>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</si>
  <si>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</si>
  <si>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</si>
  <si>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</si>
  <si>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</si>
  <si>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</si>
  <si>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</si>
  <si>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</si>
  <si>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</si>
  <si>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</si>
  <si>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</si>
  <si>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</si>
  <si>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</si>
  <si>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Mensualidad 2020</t>
  </si>
  <si>
    <t>COSTO DIRECTO ESTIMADO 2020</t>
  </si>
  <si>
    <t>ÁREA APOYO A. EDUCACIONAL</t>
  </si>
  <si>
    <t>ADMINISTRACIÓN CENTRAL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</si>
  <si>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</si>
  <si>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</si>
  <si>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</si>
  <si>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</si>
  <si>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</si>
  <si>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</si>
  <si>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</si>
  <si>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</si>
  <si>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</si>
  <si>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</si>
  <si>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</si>
  <si>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</si>
  <si>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</si>
  <si>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</si>
  <si>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</si>
  <si>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</si>
  <si>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</si>
  <si>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</si>
  <si>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</si>
  <si>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</si>
  <si>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</si>
  <si>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</si>
  <si>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</si>
  <si>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</si>
  <si>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</si>
  <si>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</si>
  <si>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</si>
  <si>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</si>
  <si>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</si>
  <si>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</si>
  <si>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</si>
  <si>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</si>
  <si>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</si>
  <si>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</si>
  <si>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</si>
  <si>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</si>
  <si>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</si>
  <si>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</si>
  <si>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</si>
  <si>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</si>
  <si>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</si>
  <si>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</si>
  <si>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</si>
  <si>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</si>
  <si>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</si>
  <si>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</si>
  <si>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</si>
  <si>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</si>
  <si>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</si>
  <si>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</si>
  <si>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</si>
  <si>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</si>
  <si>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</si>
  <si>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</si>
  <si>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</si>
  <si>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</si>
  <si>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</si>
  <si>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</si>
  <si>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</si>
  <si>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</si>
  <si>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</si>
  <si>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</si>
  <si>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</si>
  <si>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</si>
  <si>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</si>
  <si>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</si>
  <si>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</si>
  <si>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</si>
  <si>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</si>
  <si>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</si>
  <si>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</si>
  <si>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</si>
  <si>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</si>
  <si>
    <t>Tarifa 2021</t>
  </si>
  <si>
    <t>Matrícula 2021</t>
  </si>
  <si>
    <t>Mensualidad 2021</t>
  </si>
  <si>
    <t>Propuesta Mensualidad 2021</t>
  </si>
  <si>
    <t>REMUNERACIONES 2020</t>
  </si>
  <si>
    <t>Costo Total por Servidor Reajustado 2021</t>
  </si>
  <si>
    <t>Costo Total anual por Servidor 2020</t>
  </si>
  <si>
    <t>Meta Ocupación niños 2021</t>
  </si>
  <si>
    <t>Gasto Total empresa</t>
  </si>
  <si>
    <t>Gasto Total Empresa</t>
  </si>
  <si>
    <t>OTROS MANTEN. Y REP.MENORES</t>
  </si>
  <si>
    <t>PROD.QUIMIC,FARMACEUTICOS IND. (BOTIQUIN)</t>
  </si>
  <si>
    <t>PRODUCTOS QUIMICOS (EXTINTOR)</t>
  </si>
  <si>
    <t>CUOTA DE PADRES</t>
  </si>
  <si>
    <t>AFL</t>
  </si>
  <si>
    <t>PAF</t>
  </si>
  <si>
    <t>IVONNE</t>
  </si>
  <si>
    <t xml:space="preserve">CARO </t>
  </si>
  <si>
    <t>Jardín Infantil MAR Y CIELO</t>
  </si>
  <si>
    <t>KAREN</t>
  </si>
  <si>
    <t>BARRIA</t>
  </si>
  <si>
    <t>JENIFER</t>
  </si>
  <si>
    <t>CHAVEZ</t>
  </si>
  <si>
    <t>NICOLE</t>
  </si>
  <si>
    <t>SANZANA</t>
  </si>
  <si>
    <t xml:space="preserve">CAMILA </t>
  </si>
  <si>
    <t>ALVARADO</t>
  </si>
  <si>
    <t>AUX. ASEO</t>
  </si>
  <si>
    <t>NN</t>
  </si>
  <si>
    <t>MANIPULADORA DE ALIM</t>
  </si>
  <si>
    <t>EDUC.PARV</t>
  </si>
  <si>
    <t>TECNICO EN PARV</t>
  </si>
  <si>
    <t>Jardín Infantil TURRÓN</t>
  </si>
  <si>
    <t>Jardín Infantil CONE (Militar)</t>
  </si>
  <si>
    <t>CONSIDERACIONES A PROYECCIÓN DE INGRESOS Y COSTOS:</t>
  </si>
  <si>
    <t>Capc maxima</t>
  </si>
  <si>
    <t>1.-</t>
  </si>
  <si>
    <t>PROYECCIÓN  CONSIDERADA:</t>
  </si>
  <si>
    <t>MEDIA JORNADA</t>
  </si>
  <si>
    <t>DOBLE JORNADA</t>
  </si>
  <si>
    <t>COMPLETA C/ALIM.</t>
  </si>
  <si>
    <t>PROYECCIÓN CONSIDERADA POR NIVEL Y JORNADA DE ATENCIÓN</t>
  </si>
  <si>
    <t>JORNADA</t>
  </si>
  <si>
    <t>MEDIO MENOR</t>
  </si>
  <si>
    <t>MEDIO MAYOR</t>
  </si>
  <si>
    <t>PRE KINDER</t>
  </si>
  <si>
    <t>KINDER</t>
  </si>
  <si>
    <t>TOTAL</t>
  </si>
  <si>
    <t>JORNADA COMPLETA</t>
  </si>
  <si>
    <t>2.-</t>
  </si>
  <si>
    <t>3.-</t>
  </si>
  <si>
    <t>DIRECTORA</t>
  </si>
  <si>
    <t>NIVELES</t>
  </si>
  <si>
    <t>EDUCADORAS</t>
  </si>
  <si>
    <t>TÉCNICOS</t>
  </si>
  <si>
    <t>1 J.C.</t>
  </si>
  <si>
    <t>BIENMAG</t>
  </si>
  <si>
    <t>PROYECCIÓN DE NIÑOS AÑO 2021 = 56 NIÑOS.</t>
  </si>
  <si>
    <t>SE CONSIDERAN 2 JORNADAS DE ATENCIÓN: MEDIA JORNADA Y JORNADA COMPLETA.</t>
  </si>
  <si>
    <t>EC CARLA BARRERA MORALES</t>
  </si>
  <si>
    <t>E A C GLORIA BARRIA</t>
  </si>
  <si>
    <t xml:space="preserve">EP IVONNE CARO </t>
  </si>
  <si>
    <t>E C MILENNA MIRANDA</t>
  </si>
  <si>
    <t xml:space="preserve">CARLOS </t>
  </si>
  <si>
    <t>BARRERA</t>
  </si>
  <si>
    <t>MARISOL</t>
  </si>
  <si>
    <t>CHIGUAY</t>
  </si>
  <si>
    <t>OPERADOR CONTABLE</t>
  </si>
  <si>
    <t>ADMINISTRATIVO CONTABLE</t>
  </si>
  <si>
    <t>GABRIELA</t>
  </si>
  <si>
    <t>RUIZ</t>
  </si>
  <si>
    <t>ZUÑIGA</t>
  </si>
  <si>
    <t>ENC. PRESUPUESTO</t>
  </si>
  <si>
    <t>RIVERA</t>
  </si>
  <si>
    <t>CARMEN LUZ</t>
  </si>
  <si>
    <t>OBANDO</t>
  </si>
  <si>
    <t>SERGIO</t>
  </si>
  <si>
    <t>ESCOBAR</t>
  </si>
  <si>
    <t>GERALDINE</t>
  </si>
  <si>
    <t>COLLAO</t>
  </si>
  <si>
    <t>Jardín Infantil FACH (Completa)</t>
  </si>
  <si>
    <t xml:space="preserve">        Y</t>
  </si>
  <si>
    <r>
      <t xml:space="preserve">SE MANTENDRÍA NIVEL  1 EDUCADORA A CARGO DE AMBOS NIVELES Y 1 TÍA TÉCNICO EN NIVEL PRE KINDER Y 1 TÍA TÉCNICO EN NIVEL KINDER. </t>
    </r>
    <r>
      <rPr>
        <sz val="9"/>
        <color rgb="FFFF0000"/>
        <rFont val="Arial"/>
        <family val="2"/>
      </rPr>
      <t xml:space="preserve"> </t>
    </r>
  </si>
  <si>
    <t>4.-</t>
  </si>
  <si>
    <t>FONDO PARA INDEMNIZACIÓN UN 1% DEL TOTAL DE GASTO EN REMUNERACIÓN.</t>
  </si>
  <si>
    <t>5.-</t>
  </si>
  <si>
    <t>6.-</t>
  </si>
  <si>
    <t>7.-</t>
  </si>
  <si>
    <t>8.-</t>
  </si>
  <si>
    <t>11.-</t>
  </si>
  <si>
    <t>12.-</t>
  </si>
  <si>
    <t>13.-</t>
  </si>
  <si>
    <t>SE CONSIDERA ZAPATOS PARA MANIPULADORA, DE ACUERDO A FORMATO SE CLASIFICA EN PERSONAL DE COCINA.</t>
  </si>
  <si>
    <t>14.-</t>
  </si>
  <si>
    <t>15.-</t>
  </si>
  <si>
    <t>16.-</t>
  </si>
  <si>
    <t>17.-</t>
  </si>
  <si>
    <t>18.-</t>
  </si>
  <si>
    <t>19.-</t>
  </si>
  <si>
    <t>AUMENTO DE CONSUMOS BÁSICOS (AGUA, LUZ Y GAS) EN UN 3% .</t>
  </si>
  <si>
    <t>EQUIPOS COMPUTACIONALES CONSIDERA: $2.400.000 COMPRAR 1 COMPUTADOR DIRECCIÓN Y 3 NOTEBOOK PARA SALAS.</t>
  </si>
  <si>
    <t>SEGURO DE INMUEBLES: AUN NO ESTA VALOR LICITACION 2021, SE USA VALOR 2020 REAJUSTADO 3% / $1.549.590 *3,4% ….$1.602.276.-</t>
  </si>
  <si>
    <t xml:space="preserve">     2  J.C.</t>
  </si>
  <si>
    <t>MATERIALES PARA MANTENCIÓN Y REPARACIÓN, AQUÍ SE CONSIDERA: $200.000 MATERIALES PARA REPARACIONES FORTUITAS.</t>
  </si>
  <si>
    <t>9.-</t>
  </si>
  <si>
    <t>10.-</t>
  </si>
  <si>
    <t>MAYORDOMO GENERAL</t>
  </si>
  <si>
    <t>ENCARGADA DE DEUDORES</t>
  </si>
  <si>
    <t>VICTOR</t>
  </si>
  <si>
    <t>DIAZ</t>
  </si>
  <si>
    <t>CAJERO</t>
  </si>
  <si>
    <t>SEBASTIAN</t>
  </si>
  <si>
    <t>MATULICH</t>
  </si>
  <si>
    <t>ANGELICA</t>
  </si>
  <si>
    <t>TESORERA - RENDICUENTA</t>
  </si>
  <si>
    <t>ADM. ADQUISICIONES</t>
  </si>
  <si>
    <t>AURELIA</t>
  </si>
  <si>
    <t>ENC. RR.HH.</t>
  </si>
  <si>
    <t>ADM CENTRAL</t>
  </si>
  <si>
    <t>CASAS FISCALES</t>
  </si>
  <si>
    <t>ADM. SEGUROS</t>
  </si>
  <si>
    <t>ADM. CS FISCALES</t>
  </si>
  <si>
    <t>% ocup</t>
  </si>
  <si>
    <t>ALIMENTACIÓN PARA EL PERSONAL: SE CONSIDERA VALOR AÑO 2020 $2.240, 6 TÍAS FFPP.</t>
  </si>
  <si>
    <t>MATERIALES DE OFICINA CONSIDERA: MATERIAL PARA USO DIRECCIÓN Y EDUCATIVO $190.000+ 1 TERMOLAMINADORA $50.000 Y 1 GUILLOTINA $40.000</t>
  </si>
  <si>
    <t>20.-</t>
  </si>
  <si>
    <t>MOBILIARIO CONSIDERA: 4 SILLAS DE ESCRITORIO ERGONOMICAS PARA CADA SALA, EXIGIDO POR SIE.</t>
  </si>
  <si>
    <r>
      <t xml:space="preserve">TEXTOS Y OTROS MATERIALES DE ENSEÑANZA: ESTE ITEM CONSIDERA UNA PARTE DEL </t>
    </r>
    <r>
      <rPr>
        <b/>
        <i/>
        <sz val="9"/>
        <rFont val="Arial"/>
        <family val="2"/>
      </rPr>
      <t>MATERIAL DIDACTICO</t>
    </r>
    <r>
      <rPr>
        <sz val="9"/>
        <rFont val="Arial"/>
        <family val="2"/>
      </rPr>
      <t xml:space="preserve"> . OBSERVADO POR SECREDUC $ 2.000.000.-(LA MITAD DE LO NECESARIO) AÑO 2019</t>
    </r>
  </si>
  <si>
    <t>MANTENCIÓN Y REPARACIONES MOBILIARIO Y OTROS , CONSIDERA $ 8.361.151.- PLAN MANTENCION 2021</t>
  </si>
  <si>
    <t>SERVICIOS DE IMPRESIÓN, ARRIENDO MENSUAL FOTOCOPIADORA DIMACOFI SEGÚN CANTIDAD DE FOTOCOPIAS SACADAS.(PROMEDIO)</t>
  </si>
  <si>
    <t>GASTOS MENORES, SE CONSIDERA FOFI 8 DE $ 72.460.-</t>
  </si>
  <si>
    <t>VESTUARIO CONSIDERA POLERA DELANTAL $ 35.000.- DIRECTORA, EDUCADORAS, TÉCNICOS Y AUXILIAR SERVICIOS, TOTAL 10</t>
  </si>
  <si>
    <t>CURSOS DE CAPACITACIÓN SE GESTIONARÁN LA MAYORÍA DE LAS CAPACITACIONES CON ORGANISMOS COMO SECREDUC, IST. $ 240.000.-</t>
  </si>
  <si>
    <t>PROD. QUÍMICOS/FARMACÉUTICOS:  SE CONSIDERA LA RECARGA DE LOS 3 BOTIQUINES.</t>
  </si>
  <si>
    <t>21.-</t>
  </si>
  <si>
    <t>PROD. QUÍMICOS/FARMACÉUTICOS:  SE CONSIDERA LA RECARGA DE LOS 4 EXTINTORES DEL JARDÍN. $ 25.240.- C/U</t>
  </si>
  <si>
    <t>LOS MATERIALES DE ASEO SUBEN CONSIDERABLEMENTE CONSIDERANDO SANITIZACIÓN Y LOS EPP A UTILIZAR POR PANDEMIA.</t>
  </si>
  <si>
    <t>SE ELIMINAN COSTOS DE ENSEÑANZA $2000000</t>
  </si>
  <si>
    <t>SE REBAJAN LAS MANTENCIONES A LAS TERCERA PARTE $ 8361151 A 2500000</t>
  </si>
  <si>
    <t>Diurna</t>
  </si>
  <si>
    <t>Nocturna</t>
  </si>
  <si>
    <t>Media Jornada</t>
  </si>
  <si>
    <t>Sala Cuna Mar y Cielo</t>
  </si>
  <si>
    <t>SALA CUNA MAR Y CIELO</t>
  </si>
  <si>
    <t>JI (80%)</t>
  </si>
  <si>
    <t>SC (20%)</t>
  </si>
  <si>
    <t xml:space="preserve"> COSTOS DIRECTOS COMUNES  "JARDIN INFANTIL Y SALA CUNA MAR Y CIELO"</t>
  </si>
  <si>
    <t xml:space="preserve">6 POR $32.500 </t>
  </si>
  <si>
    <t>4 POR $ 25.240</t>
  </si>
  <si>
    <t>8 POR $ 72.460</t>
  </si>
  <si>
    <t>4 POR $29.990</t>
  </si>
  <si>
    <t>12 POR $31.950</t>
  </si>
  <si>
    <t>2 POR $75.000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</si>
</sst>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&quot;$&quot;\ * #,##0_-;\-&quot;$&quot;\ * #,##0_-;_-&quot;$&quot;\ * &quot;-&quot;_-;_-@_-"/>
    <numFmt numFmtId="165" formatCode="_-* #,##0.00\ &quot;€&quot;_-;\-* #,##0.00\ &quot;€&quot;_-;_-* &quot;-&quot;??\ &quot;€&quot;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[$€]* #,##0.00_-;\-[$€]* #,##0.00_-;_-[$€]* &quot;-&quot;??_-;_-@_-"/>
    <numFmt numFmtId="184" formatCode="_-[$€-2]\ * #,##0.00_-;\-[$€-2]\ * #,##0.00_-;_-[$€-2]\ * &quot;-&quot;??_-"/>
  </numFmts>
  <fonts count="48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rgb="FFFF00FF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CC"/>
      <name val="Arial"/>
      <family val="2"/>
    </font>
    <font>
      <sz val="10"/>
      <color rgb="FF00A249"/>
      <name val="Arial"/>
      <family val="2"/>
    </font>
    <font>
      <b/>
      <i/>
      <sz val="9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6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  <fill>
      <patternFill patternType="gray125">
        <bgColor rgb="FFFFFF00"/>
      </patternFill>
    </fill>
    <fill>
      <patternFill patternType="gray125">
        <bgColor theme="3" tint="0.79998168889431442"/>
      </patternFill>
    </fill>
    <fill>
      <patternFill patternType="gray125">
        <bgColor theme="0" tint="-0.14999847407452621"/>
      </patternFill>
    </fill>
    <fill>
      <patternFill patternType="gray125">
        <bgColor theme="3" tint="0.79995117038483843"/>
      </patternFill>
    </fill>
    <fill>
      <patternFill patternType="solid">
        <fgColor rgb="FF002060"/>
        <bgColor indexed="64"/>
      </patternFill>
    </fill>
    <fill>
      <patternFill patternType="solid">
        <fgColor rgb="FF69D8FF"/>
        <bgColor indexed="64"/>
      </patternFill>
    </fill>
    <fill>
      <patternFill patternType="gray125">
        <bgColor rgb="FF69D8FF"/>
      </patternFill>
    </fill>
  </fills>
  <borders count="2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</borders>
  <cellStyleXfs count="32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2" fontId="13" fillId="0" borderId="0"/>
    <xf numFmtId="166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9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2" fontId="13" fillId="0" borderId="0" applyFill="0" applyBorder="0" applyAlignment="0" applyProtection="0"/>
    <xf numFmtId="166" fontId="13" fillId="0" borderId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164" fontId="13" fillId="0" borderId="0" applyFont="0" applyFill="0" applyBorder="0" applyAlignment="0" applyProtection="0"/>
  </cellStyleXfs>
  <cellXfs count="1033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8" fontId="12" fillId="9" borderId="0" xfId="13" applyNumberFormat="1" applyFont="1" applyFill="1" applyBorder="1" applyAlignment="1" applyProtection="1">
      <alignment vertical="center"/>
    </xf>
    <xf numFmtId="166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5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Border="1" applyProtection="1"/>
    <xf numFmtId="177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169" fontId="12" fillId="0" borderId="0" xfId="16" applyFont="1" applyFill="1" applyBorder="1" applyAlignment="1" applyProtection="1">
      <alignment horizontal="center" vertical="center"/>
    </xf>
    <xf numFmtId="0" fontId="12" fillId="21" borderId="10" xfId="0" applyFont="1" applyFill="1" applyBorder="1" applyAlignment="1" applyProtection="1">
      <alignment horizontal="center" vertical="center"/>
    </xf>
    <xf numFmtId="0" fontId="12" fillId="20" borderId="21" xfId="0" applyFont="1" applyFill="1" applyBorder="1" applyAlignment="1" applyProtection="1">
      <alignment horizontal="center" vertical="center" wrapText="1"/>
    </xf>
    <xf numFmtId="1" fontId="0" fillId="0" borderId="2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7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7" fontId="23" fillId="30" borderId="29" xfId="0" applyNumberFormat="1" applyFont="1" applyFill="1" applyBorder="1" applyAlignment="1" applyProtection="1">
      <alignment vertical="center"/>
    </xf>
    <xf numFmtId="0" fontId="12" fillId="31" borderId="34" xfId="0" applyFont="1" applyFill="1" applyBorder="1" applyAlignment="1" applyProtection="1">
      <alignment horizontal="center" vertical="center" wrapText="1"/>
    </xf>
    <xf numFmtId="167" fontId="12" fillId="32" borderId="35" xfId="13" applyNumberFormat="1" applyFont="1" applyFill="1" applyBorder="1" applyAlignment="1" applyProtection="1">
      <alignment vertical="center"/>
    </xf>
    <xf numFmtId="168" fontId="12" fillId="35" borderId="39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3" xfId="0" applyFont="1" applyFill="1" applyBorder="1" applyAlignment="1" applyProtection="1">
      <alignment horizontal="center" vertical="center" wrapText="1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7" fontId="12" fillId="26" borderId="23" xfId="0" applyNumberFormat="1" applyFont="1" applyFill="1" applyBorder="1" applyAlignment="1" applyProtection="1">
      <alignment horizontal="center" vertical="center"/>
    </xf>
    <xf numFmtId="170" fontId="12" fillId="19" borderId="23" xfId="16" applyNumberFormat="1" applyFont="1" applyFill="1" applyBorder="1" applyAlignment="1" applyProtection="1">
      <alignment horizontal="center" vertical="center"/>
    </xf>
    <xf numFmtId="0" fontId="12" fillId="16" borderId="31" xfId="0" applyFont="1" applyFill="1" applyBorder="1" applyAlignment="1" applyProtection="1">
      <alignment horizontal="center" vertical="center" wrapText="1"/>
    </xf>
    <xf numFmtId="177" fontId="0" fillId="26" borderId="23" xfId="0" applyNumberFormat="1" applyFont="1" applyFill="1" applyBorder="1" applyAlignment="1" applyProtection="1">
      <alignment horizontal="center" vertical="center"/>
    </xf>
    <xf numFmtId="177" fontId="22" fillId="26" borderId="18" xfId="0" applyNumberFormat="1" applyFont="1" applyFill="1" applyBorder="1" applyAlignment="1" applyProtection="1">
      <alignment horizontal="right" vertical="center"/>
    </xf>
    <xf numFmtId="169" fontId="14" fillId="19" borderId="6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0" fontId="0" fillId="12" borderId="32" xfId="0" applyFont="1" applyFill="1" applyBorder="1" applyAlignment="1" applyProtection="1">
      <alignment horizontal="left" vertical="center"/>
      <protection locked="0"/>
    </xf>
    <xf numFmtId="0" fontId="0" fillId="12" borderId="40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Alignment="1" applyProtection="1">
      <alignment horizontal="left" vertical="center"/>
      <protection locked="0"/>
    </xf>
    <xf numFmtId="0" fontId="0" fillId="12" borderId="24" xfId="0" applyFont="1" applyFill="1" applyBorder="1" applyAlignment="1" applyProtection="1">
      <alignment horizontal="left" vertical="center"/>
      <protection locked="0"/>
    </xf>
    <xf numFmtId="0" fontId="0" fillId="12" borderId="24" xfId="0" applyFont="1" applyFill="1" applyBorder="1" applyProtection="1">
      <protection locked="0"/>
    </xf>
    <xf numFmtId="0" fontId="0" fillId="12" borderId="20" xfId="0" applyFont="1" applyFill="1" applyBorder="1" applyProtection="1">
      <protection locked="0"/>
    </xf>
    <xf numFmtId="169" fontId="13" fillId="0" borderId="23" xfId="16" applyBorder="1" applyAlignment="1" applyProtection="1">
      <alignment horizontal="center" vertical="center"/>
    </xf>
    <xf numFmtId="169" fontId="12" fillId="16" borderId="23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2" fillId="35" borderId="61" xfId="0" applyNumberFormat="1" applyFont="1" applyFill="1" applyBorder="1" applyAlignment="1" applyProtection="1">
      <alignment horizontal="center" vertical="center" wrapText="1"/>
    </xf>
    <xf numFmtId="168" fontId="12" fillId="35" borderId="64" xfId="0" applyNumberFormat="1" applyFont="1" applyFill="1" applyBorder="1" applyAlignment="1" applyProtection="1">
      <alignment horizontal="center" vertical="center" wrapText="1"/>
    </xf>
    <xf numFmtId="0" fontId="0" fillId="12" borderId="66" xfId="0" applyFont="1" applyFill="1" applyBorder="1" applyProtection="1">
      <protection locked="0"/>
    </xf>
    <xf numFmtId="170" fontId="0" fillId="12" borderId="68" xfId="13" applyNumberFormat="1" applyFont="1" applyFill="1" applyBorder="1" applyAlignment="1" applyProtection="1">
      <alignment horizontal="center" vertical="center"/>
      <protection locked="0"/>
    </xf>
    <xf numFmtId="168" fontId="12" fillId="35" borderId="75" xfId="0" applyNumberFormat="1" applyFont="1" applyFill="1" applyBorder="1" applyAlignment="1" applyProtection="1">
      <alignment horizontal="center" vertical="center" wrapText="1"/>
    </xf>
    <xf numFmtId="168" fontId="12" fillId="35" borderId="76" xfId="0" applyNumberFormat="1" applyFont="1" applyFill="1" applyBorder="1" applyAlignment="1" applyProtection="1">
      <alignment horizontal="center" vertical="center" wrapText="1"/>
    </xf>
    <xf numFmtId="168" fontId="12" fillId="35" borderId="77" xfId="0" applyNumberFormat="1" applyFont="1" applyFill="1" applyBorder="1" applyAlignment="1" applyProtection="1">
      <alignment horizontal="center" vertical="center" wrapText="1"/>
    </xf>
    <xf numFmtId="0" fontId="12" fillId="16" borderId="78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69" fontId="30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178" fontId="0" fillId="12" borderId="86" xfId="13" applyNumberFormat="1" applyFont="1" applyFill="1" applyBorder="1" applyAlignment="1" applyProtection="1">
      <alignment vertical="center"/>
      <protection locked="0"/>
    </xf>
    <xf numFmtId="178" fontId="0" fillId="12" borderId="87" xfId="13" applyNumberFormat="1" applyFont="1" applyFill="1" applyBorder="1" applyAlignment="1" applyProtection="1">
      <alignment vertical="center"/>
      <protection locked="0"/>
    </xf>
    <xf numFmtId="0" fontId="0" fillId="12" borderId="88" xfId="0" applyFont="1" applyFill="1" applyBorder="1" applyAlignment="1" applyProtection="1">
      <alignment horizontal="left" vertical="center"/>
      <protection locked="0"/>
    </xf>
    <xf numFmtId="0" fontId="0" fillId="12" borderId="88" xfId="0" applyFont="1" applyFill="1" applyBorder="1" applyProtection="1">
      <protection locked="0"/>
    </xf>
    <xf numFmtId="0" fontId="0" fillId="12" borderId="89" xfId="0" applyFont="1" applyFill="1" applyBorder="1" applyProtection="1">
      <protection locked="0"/>
    </xf>
    <xf numFmtId="178" fontId="0" fillId="12" borderId="88" xfId="13" applyNumberFormat="1" applyFont="1" applyFill="1" applyBorder="1" applyAlignment="1" applyProtection="1">
      <alignment vertical="center"/>
      <protection locked="0"/>
    </xf>
    <xf numFmtId="0" fontId="0" fillId="12" borderId="86" xfId="0" applyFont="1" applyFill="1" applyBorder="1" applyAlignment="1" applyProtection="1">
      <alignment horizontal="left" vertical="center"/>
      <protection locked="0"/>
    </xf>
    <xf numFmtId="0" fontId="0" fillId="12" borderId="86" xfId="0" applyFont="1" applyFill="1" applyBorder="1" applyProtection="1">
      <protection locked="0"/>
    </xf>
    <xf numFmtId="0" fontId="0" fillId="12" borderId="91" xfId="0" applyFont="1" applyFill="1" applyBorder="1" applyProtection="1">
      <protection locked="0"/>
    </xf>
    <xf numFmtId="0" fontId="0" fillId="12" borderId="84" xfId="0" applyFont="1" applyFill="1" applyBorder="1" applyAlignment="1" applyProtection="1">
      <alignment horizontal="left" vertical="center"/>
      <protection locked="0"/>
    </xf>
    <xf numFmtId="0" fontId="0" fillId="12" borderId="84" xfId="0" applyFont="1" applyFill="1" applyBorder="1" applyProtection="1">
      <protection locked="0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12" borderId="87" xfId="0" applyFont="1" applyFill="1" applyBorder="1" applyProtection="1">
      <protection locked="0"/>
    </xf>
    <xf numFmtId="0" fontId="0" fillId="12" borderId="93" xfId="0" applyFont="1" applyFill="1" applyBorder="1" applyProtection="1">
      <protection locked="0"/>
    </xf>
    <xf numFmtId="177" fontId="0" fillId="0" borderId="94" xfId="0" applyNumberFormat="1" applyFont="1" applyFill="1" applyBorder="1" applyAlignment="1" applyProtection="1">
      <alignment horizontal="right" vertical="center"/>
    </xf>
    <xf numFmtId="177" fontId="0" fillId="0" borderId="96" xfId="0" applyNumberFormat="1" applyFont="1" applyFill="1" applyBorder="1" applyAlignment="1" applyProtection="1">
      <alignment horizontal="right" vertical="center"/>
    </xf>
    <xf numFmtId="177" fontId="0" fillId="0" borderId="97" xfId="0" applyNumberFormat="1" applyFont="1" applyFill="1" applyBorder="1" applyAlignment="1" applyProtection="1">
      <alignment horizontal="right" vertical="center"/>
    </xf>
    <xf numFmtId="0" fontId="12" fillId="16" borderId="66" xfId="0" applyFont="1" applyFill="1" applyBorder="1" applyAlignment="1" applyProtection="1">
      <alignment horizontal="center" vertical="center" wrapText="1"/>
    </xf>
    <xf numFmtId="0" fontId="12" fillId="16" borderId="24" xfId="0" applyFont="1" applyFill="1" applyBorder="1" applyAlignment="1" applyProtection="1">
      <alignment horizontal="center" vertical="center" wrapText="1"/>
    </xf>
    <xf numFmtId="0" fontId="12" fillId="16" borderId="46" xfId="0" applyFont="1" applyFill="1" applyBorder="1" applyAlignment="1" applyProtection="1">
      <alignment horizontal="center" vertical="center" wrapText="1"/>
    </xf>
    <xf numFmtId="178" fontId="0" fillId="12" borderId="91" xfId="13" applyNumberFormat="1" applyFont="1" applyFill="1" applyBorder="1" applyAlignment="1" applyProtection="1">
      <alignment vertical="center"/>
      <protection locked="0"/>
    </xf>
    <xf numFmtId="178" fontId="0" fillId="12" borderId="93" xfId="13" applyNumberFormat="1" applyFont="1" applyFill="1" applyBorder="1" applyAlignment="1" applyProtection="1">
      <alignment vertical="center"/>
      <protection locked="0"/>
    </xf>
    <xf numFmtId="178" fontId="0" fillId="12" borderId="89" xfId="13" applyNumberFormat="1" applyFont="1" applyFill="1" applyBorder="1" applyAlignment="1" applyProtection="1">
      <alignment vertical="center"/>
      <protection locked="0"/>
    </xf>
    <xf numFmtId="177" fontId="0" fillId="29" borderId="96" xfId="0" applyNumberFormat="1" applyFont="1" applyFill="1" applyBorder="1" applyAlignment="1" applyProtection="1">
      <alignment horizontal="right" vertical="center"/>
    </xf>
    <xf numFmtId="177" fontId="0" fillId="29" borderId="97" xfId="0" applyNumberFormat="1" applyFont="1" applyFill="1" applyBorder="1" applyAlignment="1" applyProtection="1">
      <alignment horizontal="right" vertical="center"/>
    </xf>
    <xf numFmtId="177" fontId="0" fillId="29" borderId="94" xfId="0" applyNumberFormat="1" applyFont="1" applyFill="1" applyBorder="1" applyAlignment="1" applyProtection="1">
      <alignment horizontal="right" vertical="center"/>
    </xf>
    <xf numFmtId="177" fontId="0" fillId="29" borderId="90" xfId="0" applyNumberFormat="1" applyFont="1" applyFill="1" applyBorder="1" applyAlignment="1" applyProtection="1">
      <alignment horizontal="right" vertical="center"/>
    </xf>
    <xf numFmtId="177" fontId="0" fillId="29" borderId="98" xfId="0" applyNumberFormat="1" applyFont="1" applyFill="1" applyBorder="1" applyAlignment="1" applyProtection="1">
      <alignment horizontal="right" vertical="center"/>
    </xf>
    <xf numFmtId="177" fontId="0" fillId="0" borderId="90" xfId="0" applyNumberFormat="1" applyFont="1" applyFill="1" applyBorder="1" applyAlignment="1" applyProtection="1">
      <alignment horizontal="right" vertical="center"/>
    </xf>
    <xf numFmtId="177" fontId="0" fillId="0" borderId="98" xfId="0" applyNumberFormat="1" applyFont="1" applyFill="1" applyBorder="1" applyAlignment="1" applyProtection="1">
      <alignment horizontal="right" vertical="center"/>
    </xf>
    <xf numFmtId="0" fontId="0" fillId="12" borderId="99" xfId="0" applyFont="1" applyFill="1" applyBorder="1" applyAlignment="1" applyProtection="1">
      <alignment horizontal="left" vertical="center"/>
      <protection locked="0"/>
    </xf>
    <xf numFmtId="0" fontId="0" fillId="12" borderId="100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87" xfId="0" applyFont="1" applyFill="1" applyBorder="1" applyAlignment="1" applyProtection="1">
      <alignment horizontal="left" vertical="center"/>
    </xf>
    <xf numFmtId="0" fontId="10" fillId="20" borderId="87" xfId="0" applyFont="1" applyFill="1" applyBorder="1" applyAlignment="1" applyProtection="1">
      <alignment horizontal="left" vertical="center"/>
    </xf>
    <xf numFmtId="175" fontId="18" fillId="0" borderId="87" xfId="0" applyNumberFormat="1" applyFont="1" applyFill="1" applyBorder="1" applyAlignment="1" applyProtection="1">
      <alignment horizontal="left"/>
    </xf>
    <xf numFmtId="0" fontId="12" fillId="21" borderId="87" xfId="0" applyFont="1" applyFill="1" applyBorder="1" applyAlignment="1" applyProtection="1">
      <alignment horizontal="center" vertical="center"/>
    </xf>
    <xf numFmtId="0" fontId="12" fillId="20" borderId="87" xfId="0" applyFont="1" applyFill="1" applyBorder="1" applyAlignment="1" applyProtection="1">
      <alignment horizontal="center" vertical="center" wrapText="1"/>
    </xf>
    <xf numFmtId="1" fontId="0" fillId="0" borderId="87" xfId="0" applyNumberFormat="1" applyFont="1" applyFill="1" applyBorder="1" applyAlignment="1" applyProtection="1">
      <alignment horizontal="center" vertical="center" wrapText="1"/>
    </xf>
    <xf numFmtId="168" fontId="10" fillId="23" borderId="87" xfId="13" applyNumberFormat="1" applyFont="1" applyFill="1" applyBorder="1" applyAlignment="1" applyProtection="1">
      <alignment horizontal="center" vertical="center"/>
    </xf>
    <xf numFmtId="168" fontId="10" fillId="20" borderId="87" xfId="13" applyNumberFormat="1" applyFont="1" applyFill="1" applyBorder="1" applyAlignment="1" applyProtection="1">
      <alignment horizontal="center" vertical="center"/>
    </xf>
    <xf numFmtId="168" fontId="0" fillId="12" borderId="87" xfId="13" applyNumberFormat="1" applyFont="1" applyFill="1" applyBorder="1" applyAlignment="1" applyProtection="1">
      <alignment vertical="center"/>
      <protection locked="0"/>
    </xf>
    <xf numFmtId="0" fontId="12" fillId="31" borderId="87" xfId="0" applyFont="1" applyFill="1" applyBorder="1" applyAlignment="1" applyProtection="1">
      <alignment horizontal="center" vertical="center" wrapText="1"/>
    </xf>
    <xf numFmtId="0" fontId="12" fillId="32" borderId="87" xfId="0" applyFont="1" applyFill="1" applyBorder="1" applyAlignment="1" applyProtection="1">
      <alignment horizontal="left" vertical="center"/>
    </xf>
    <xf numFmtId="168" fontId="12" fillId="31" borderId="87" xfId="0" applyNumberFormat="1" applyFont="1" applyFill="1" applyBorder="1" applyAlignment="1" applyProtection="1">
      <alignment horizontal="center" vertical="center" wrapText="1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80" fontId="13" fillId="37" borderId="122" xfId="16" applyNumberFormat="1" applyFill="1" applyBorder="1" applyAlignment="1" applyProtection="1">
      <alignment horizontal="center" vertical="center"/>
    </xf>
    <xf numFmtId="180" fontId="13" fillId="37" borderId="123" xfId="16" applyNumberFormat="1" applyFill="1" applyBorder="1" applyAlignment="1" applyProtection="1">
      <alignment horizontal="center" vertical="center"/>
    </xf>
    <xf numFmtId="180" fontId="13" fillId="37" borderId="124" xfId="16" applyNumberFormat="1" applyFill="1" applyBorder="1" applyAlignment="1" applyProtection="1">
      <alignment horizontal="center" vertical="center"/>
    </xf>
    <xf numFmtId="180" fontId="13" fillId="37" borderId="125" xfId="16" applyNumberFormat="1" applyFill="1" applyBorder="1" applyAlignment="1" applyProtection="1">
      <alignment horizontal="center" vertical="center"/>
    </xf>
    <xf numFmtId="179" fontId="0" fillId="12" borderId="122" xfId="13" applyNumberFormat="1" applyFont="1" applyFill="1" applyBorder="1" applyAlignment="1" applyProtection="1">
      <alignment horizontal="center" vertical="center"/>
      <protection locked="0"/>
    </xf>
    <xf numFmtId="179" fontId="0" fillId="12" borderId="127" xfId="13" applyNumberFormat="1" applyFont="1" applyFill="1" applyBorder="1" applyAlignment="1" applyProtection="1">
      <alignment horizontal="center" vertical="center"/>
      <protection locked="0"/>
    </xf>
    <xf numFmtId="179" fontId="12" fillId="29" borderId="123" xfId="0" applyNumberFormat="1" applyFont="1" applyFill="1" applyBorder="1" applyAlignment="1" applyProtection="1">
      <alignment vertical="center"/>
    </xf>
    <xf numFmtId="179" fontId="12" fillId="29" borderId="128" xfId="0" applyNumberFormat="1" applyFont="1" applyFill="1" applyBorder="1" applyAlignment="1" applyProtection="1">
      <alignment vertical="center"/>
    </xf>
    <xf numFmtId="170" fontId="0" fillId="46" borderId="73" xfId="13" applyNumberFormat="1" applyFont="1" applyFill="1" applyBorder="1" applyAlignment="1" applyProtection="1">
      <alignment horizontal="center" vertical="center"/>
    </xf>
    <xf numFmtId="169" fontId="13" fillId="0" borderId="0" xfId="16" applyProtection="1"/>
    <xf numFmtId="181" fontId="13" fillId="0" borderId="0" xfId="13" applyNumberFormat="1" applyProtection="1"/>
    <xf numFmtId="0" fontId="22" fillId="12" borderId="48" xfId="0" applyFont="1" applyFill="1" applyBorder="1" applyAlignment="1" applyProtection="1">
      <alignment horizontal="center" vertical="center"/>
      <protection locked="0"/>
    </xf>
    <xf numFmtId="178" fontId="0" fillId="12" borderId="124" xfId="13" applyNumberFormat="1" applyFont="1" applyFill="1" applyBorder="1" applyAlignment="1" applyProtection="1">
      <alignment vertical="center"/>
      <protection locked="0"/>
    </xf>
    <xf numFmtId="9" fontId="0" fillId="12" borderId="125" xfId="0" applyNumberFormat="1" applyFont="1" applyFill="1" applyBorder="1" applyAlignment="1" applyProtection="1">
      <alignment horizontal="center" vertical="center"/>
      <protection locked="0"/>
    </xf>
    <xf numFmtId="177" fontId="0" fillId="0" borderId="126" xfId="0" applyNumberFormat="1" applyFont="1" applyFill="1" applyBorder="1" applyAlignment="1" applyProtection="1">
      <alignment horizontal="right" vertical="center"/>
    </xf>
    <xf numFmtId="177" fontId="0" fillId="0" borderId="91" xfId="0" applyNumberFormat="1" applyFont="1" applyFill="1" applyBorder="1" applyAlignment="1" applyProtection="1">
      <alignment horizontal="right" vertical="center"/>
    </xf>
    <xf numFmtId="177" fontId="0" fillId="0" borderId="134" xfId="0" applyNumberFormat="1" applyFont="1" applyFill="1" applyBorder="1" applyAlignment="1" applyProtection="1">
      <alignment horizontal="right" vertical="center"/>
    </xf>
    <xf numFmtId="177" fontId="0" fillId="0" borderId="120" xfId="0" applyNumberFormat="1" applyFont="1" applyFill="1" applyBorder="1" applyAlignment="1" applyProtection="1">
      <alignment horizontal="right" vertical="center"/>
    </xf>
    <xf numFmtId="9" fontId="0" fillId="11" borderId="123" xfId="0" applyNumberFormat="1" applyFont="1" applyFill="1" applyBorder="1" applyAlignment="1" applyProtection="1">
      <alignment horizontal="center" vertical="center"/>
    </xf>
    <xf numFmtId="9" fontId="0" fillId="11" borderId="126" xfId="0" applyNumberFormat="1" applyFont="1" applyFill="1" applyBorder="1" applyAlignment="1" applyProtection="1">
      <alignment horizontal="center" vertical="center"/>
    </xf>
    <xf numFmtId="9" fontId="0" fillId="12" borderId="129" xfId="0" applyNumberFormat="1" applyFont="1" applyFill="1" applyBorder="1" applyAlignment="1" applyProtection="1">
      <alignment horizontal="center" vertical="center"/>
      <protection locked="0"/>
    </xf>
    <xf numFmtId="9" fontId="0" fillId="11" borderId="128" xfId="0" applyNumberFormat="1" applyFont="1" applyFill="1" applyBorder="1" applyAlignment="1" applyProtection="1">
      <alignment horizontal="center" vertical="center"/>
    </xf>
    <xf numFmtId="0" fontId="12" fillId="16" borderId="136" xfId="0" applyFont="1" applyFill="1" applyBorder="1" applyAlignment="1" applyProtection="1">
      <alignment horizontal="center" vertical="center" wrapText="1"/>
    </xf>
    <xf numFmtId="0" fontId="9" fillId="14" borderId="129" xfId="0" applyFont="1" applyFill="1" applyBorder="1" applyAlignment="1" applyProtection="1">
      <alignment horizontal="center" vertical="center"/>
    </xf>
    <xf numFmtId="0" fontId="9" fillId="47" borderId="128" xfId="0" applyFont="1" applyFill="1" applyBorder="1" applyAlignment="1" applyProtection="1">
      <alignment horizontal="center" vertical="center"/>
    </xf>
    <xf numFmtId="0" fontId="9" fillId="14" borderId="120" xfId="0" applyFont="1" applyFill="1" applyBorder="1" applyAlignment="1" applyProtection="1">
      <alignment horizontal="center" vertical="center"/>
    </xf>
    <xf numFmtId="0" fontId="9" fillId="47" borderId="140" xfId="0" applyFont="1" applyFill="1" applyBorder="1" applyAlignment="1" applyProtection="1">
      <alignment horizontal="center" vertical="center"/>
    </xf>
    <xf numFmtId="169" fontId="0" fillId="12" borderId="103" xfId="16" applyFont="1" applyFill="1" applyBorder="1" applyAlignment="1" applyProtection="1">
      <alignment horizontal="center" vertical="center"/>
      <protection locked="0"/>
    </xf>
    <xf numFmtId="169" fontId="0" fillId="12" borderId="141" xfId="16" applyFont="1" applyFill="1" applyBorder="1" applyAlignment="1" applyProtection="1">
      <alignment horizontal="center" vertical="center"/>
      <protection locked="0"/>
    </xf>
    <xf numFmtId="169" fontId="0" fillId="12" borderId="140" xfId="16" applyFont="1" applyFill="1" applyBorder="1" applyAlignment="1" applyProtection="1">
      <alignment horizontal="center" vertical="center"/>
      <protection locked="0"/>
    </xf>
    <xf numFmtId="177" fontId="0" fillId="0" borderId="123" xfId="0" applyNumberFormat="1" applyFont="1" applyFill="1" applyBorder="1" applyAlignment="1" applyProtection="1">
      <alignment horizontal="right" vertical="center"/>
    </xf>
    <xf numFmtId="177" fontId="0" fillId="0" borderId="128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8" borderId="129" xfId="0" applyFont="1" applyFill="1" applyBorder="1" applyAlignment="1" applyProtection="1">
      <alignment horizontal="center" vertical="center"/>
    </xf>
    <xf numFmtId="0" fontId="9" fillId="48" borderId="128" xfId="0" applyFont="1" applyFill="1" applyBorder="1" applyAlignment="1" applyProtection="1">
      <alignment horizontal="center" vertical="center"/>
    </xf>
    <xf numFmtId="169" fontId="31" fillId="0" borderId="105" xfId="16" applyFont="1" applyFill="1" applyBorder="1" applyAlignment="1" applyProtection="1">
      <alignment horizontal="center" vertical="center"/>
    </xf>
    <xf numFmtId="169" fontId="31" fillId="0" borderId="108" xfId="16" applyFont="1" applyFill="1" applyBorder="1" applyAlignment="1" applyProtection="1">
      <alignment horizontal="center" vertical="center"/>
    </xf>
    <xf numFmtId="177" fontId="0" fillId="27" borderId="107" xfId="0" applyNumberFormat="1" applyFont="1" applyFill="1" applyBorder="1" applyAlignment="1" applyProtection="1">
      <alignment horizontal="right" vertical="center"/>
    </xf>
    <xf numFmtId="177" fontId="0" fillId="27" borderId="144" xfId="0" applyNumberFormat="1" applyFont="1" applyFill="1" applyBorder="1" applyAlignment="1" applyProtection="1">
      <alignment horizontal="right" vertical="center"/>
    </xf>
    <xf numFmtId="0" fontId="0" fillId="11" borderId="146" xfId="0" applyFont="1" applyFill="1" applyBorder="1" applyProtection="1"/>
    <xf numFmtId="0" fontId="0" fillId="11" borderId="147" xfId="0" applyFont="1" applyFill="1" applyBorder="1" applyProtection="1"/>
    <xf numFmtId="0" fontId="0" fillId="11" borderId="148" xfId="0" applyFont="1" applyFill="1" applyBorder="1" applyProtection="1"/>
    <xf numFmtId="0" fontId="0" fillId="11" borderId="136" xfId="0" applyFont="1" applyFill="1" applyBorder="1" applyProtection="1"/>
    <xf numFmtId="0" fontId="0" fillId="11" borderId="83" xfId="0" applyFont="1" applyFill="1" applyBorder="1" applyProtection="1"/>
    <xf numFmtId="0" fontId="24" fillId="0" borderId="136" xfId="0" applyFont="1" applyBorder="1" applyAlignment="1" applyProtection="1">
      <alignment vertical="center"/>
    </xf>
    <xf numFmtId="0" fontId="9" fillId="14" borderId="130" xfId="0" applyFont="1" applyFill="1" applyBorder="1" applyAlignment="1" applyProtection="1">
      <alignment horizontal="center" vertical="center"/>
    </xf>
    <xf numFmtId="0" fontId="9" fillId="14" borderId="145" xfId="0" applyFont="1" applyFill="1" applyBorder="1" applyAlignment="1" applyProtection="1">
      <alignment horizontal="center" vertical="center"/>
    </xf>
    <xf numFmtId="0" fontId="9" fillId="48" borderId="130" xfId="0" applyFont="1" applyFill="1" applyBorder="1" applyAlignment="1" applyProtection="1">
      <alignment horizontal="center" vertical="center"/>
    </xf>
    <xf numFmtId="0" fontId="9" fillId="48" borderId="145" xfId="0" applyFont="1" applyFill="1" applyBorder="1" applyAlignment="1" applyProtection="1">
      <alignment horizontal="center" vertical="center"/>
    </xf>
    <xf numFmtId="0" fontId="9" fillId="47" borderId="130" xfId="0" applyFont="1" applyFill="1" applyBorder="1" applyAlignment="1" applyProtection="1">
      <alignment horizontal="center" vertical="center"/>
    </xf>
    <xf numFmtId="0" fontId="9" fillId="47" borderId="145" xfId="0" applyFont="1" applyFill="1" applyBorder="1" applyAlignment="1" applyProtection="1">
      <alignment horizontal="center" vertical="center"/>
    </xf>
    <xf numFmtId="177" fontId="0" fillId="26" borderId="122" xfId="0" applyNumberFormat="1" applyFont="1" applyFill="1" applyBorder="1" applyAlignment="1" applyProtection="1">
      <alignment horizontal="right" vertical="center"/>
    </xf>
    <xf numFmtId="177" fontId="0" fillId="26" borderId="123" xfId="0" applyNumberFormat="1" applyFont="1" applyFill="1" applyBorder="1" applyAlignment="1" applyProtection="1">
      <alignment horizontal="right" vertical="center"/>
    </xf>
    <xf numFmtId="0" fontId="0" fillId="11" borderId="137" xfId="0" applyFont="1" applyFill="1" applyBorder="1" applyProtection="1"/>
    <xf numFmtId="0" fontId="0" fillId="11" borderId="143" xfId="0" applyFont="1" applyFill="1" applyBorder="1" applyProtection="1"/>
    <xf numFmtId="0" fontId="0" fillId="11" borderId="79" xfId="0" applyFont="1" applyFill="1" applyBorder="1" applyProtection="1"/>
    <xf numFmtId="168" fontId="10" fillId="20" borderId="87" xfId="13" applyNumberFormat="1" applyFont="1" applyFill="1" applyBorder="1" applyAlignment="1" applyProtection="1">
      <alignment horizontal="center" vertical="center"/>
      <protection locked="0"/>
    </xf>
    <xf numFmtId="9" fontId="0" fillId="44" borderId="101" xfId="0" applyNumberFormat="1" applyFont="1" applyFill="1" applyBorder="1" applyAlignment="1" applyProtection="1">
      <alignment horizontal="center" vertical="center"/>
    </xf>
    <xf numFmtId="9" fontId="0" fillId="44" borderId="122" xfId="0" applyNumberFormat="1" applyFont="1" applyFill="1" applyBorder="1" applyAlignment="1" applyProtection="1">
      <alignment horizontal="center" vertical="center"/>
    </xf>
    <xf numFmtId="169" fontId="0" fillId="44" borderId="122" xfId="16" applyFont="1" applyFill="1" applyBorder="1" applyAlignment="1" applyProtection="1">
      <alignment horizontal="center" vertical="center"/>
    </xf>
    <xf numFmtId="0" fontId="12" fillId="16" borderId="145" xfId="0" applyFont="1" applyFill="1" applyBorder="1" applyAlignment="1" applyProtection="1">
      <alignment horizontal="center" vertical="center" wrapText="1"/>
    </xf>
    <xf numFmtId="178" fontId="0" fillId="12" borderId="122" xfId="13" applyNumberFormat="1" applyFont="1" applyFill="1" applyBorder="1" applyAlignment="1" applyProtection="1">
      <alignment vertical="center"/>
      <protection locked="0"/>
    </xf>
    <xf numFmtId="0" fontId="0" fillId="12" borderId="127" xfId="0" applyFont="1" applyFill="1" applyBorder="1" applyAlignment="1" applyProtection="1">
      <alignment horizontal="left" vertical="center"/>
      <protection locked="0"/>
    </xf>
    <xf numFmtId="178" fontId="0" fillId="12" borderId="127" xfId="13" applyNumberFormat="1" applyFont="1" applyFill="1" applyBorder="1" applyAlignment="1" applyProtection="1">
      <alignment vertical="center"/>
      <protection locked="0"/>
    </xf>
    <xf numFmtId="177" fontId="22" fillId="28" borderId="65" xfId="0" applyNumberFormat="1" applyFont="1" applyFill="1" applyBorder="1" applyAlignment="1" applyProtection="1">
      <alignment vertical="center"/>
    </xf>
    <xf numFmtId="168" fontId="0" fillId="12" borderId="123" xfId="13" applyNumberFormat="1" applyFont="1" applyFill="1" applyBorder="1" applyAlignment="1" applyProtection="1">
      <alignment vertical="center"/>
      <protection locked="0"/>
    </xf>
    <xf numFmtId="0" fontId="0" fillId="12" borderId="125" xfId="0" applyFont="1" applyFill="1" applyBorder="1" applyAlignment="1" applyProtection="1">
      <alignment horizontal="left" vertical="center"/>
      <protection locked="0"/>
    </xf>
    <xf numFmtId="168" fontId="0" fillId="12" borderId="126" xfId="13" applyNumberFormat="1" applyFont="1" applyFill="1" applyBorder="1" applyAlignment="1" applyProtection="1">
      <alignment vertical="center"/>
      <protection locked="0"/>
    </xf>
    <xf numFmtId="0" fontId="0" fillId="12" borderId="129" xfId="0" applyFont="1" applyFill="1" applyBorder="1" applyAlignment="1" applyProtection="1">
      <alignment horizontal="left" vertical="center"/>
      <protection locked="0"/>
    </xf>
    <xf numFmtId="168" fontId="0" fillId="12" borderId="128" xfId="13" applyNumberFormat="1" applyFont="1" applyFill="1" applyBorder="1" applyAlignment="1" applyProtection="1">
      <alignment vertical="center"/>
      <protection locked="0"/>
    </xf>
    <xf numFmtId="180" fontId="13" fillId="37" borderId="129" xfId="16" applyNumberFormat="1" applyFill="1" applyBorder="1" applyAlignment="1" applyProtection="1">
      <alignment horizontal="center" vertical="center"/>
    </xf>
    <xf numFmtId="180" fontId="13" fillId="37" borderId="127" xfId="16" applyNumberFormat="1" applyFill="1" applyBorder="1" applyAlignment="1" applyProtection="1">
      <alignment horizontal="center" vertical="center"/>
    </xf>
    <xf numFmtId="180" fontId="13" fillId="37" borderId="128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0" fontId="0" fillId="0" borderId="162" xfId="0" applyFont="1" applyFill="1" applyBorder="1" applyAlignment="1" applyProtection="1">
      <alignment horizontal="left" vertical="center"/>
    </xf>
    <xf numFmtId="1" fontId="0" fillId="44" borderId="21" xfId="0" applyNumberFormat="1" applyFont="1" applyFill="1" applyBorder="1" applyAlignment="1" applyProtection="1">
      <alignment horizontal="center" vertical="center" wrapText="1"/>
    </xf>
    <xf numFmtId="175" fontId="31" fillId="0" borderId="162" xfId="0" applyNumberFormat="1" applyFont="1" applyFill="1" applyBorder="1" applyAlignment="1" applyProtection="1">
      <alignment horizontal="left"/>
    </xf>
    <xf numFmtId="175" fontId="18" fillId="0" borderId="162" xfId="0" applyNumberFormat="1" applyFont="1" applyFill="1" applyBorder="1" applyAlignment="1" applyProtection="1">
      <alignment horizontal="left"/>
    </xf>
    <xf numFmtId="168" fontId="0" fillId="12" borderId="124" xfId="13" applyNumberFormat="1" applyFont="1" applyFill="1" applyBorder="1" applyAlignment="1" applyProtection="1">
      <alignment vertical="center"/>
      <protection locked="0"/>
    </xf>
    <xf numFmtId="176" fontId="18" fillId="12" borderId="124" xfId="12" applyNumberFormat="1" applyFont="1" applyFill="1" applyBorder="1" applyAlignment="1" applyProtection="1">
      <alignment vertical="center"/>
      <protection locked="0"/>
    </xf>
    <xf numFmtId="168" fontId="18" fillId="12" borderId="124" xfId="13" applyNumberFormat="1" applyFont="1" applyFill="1" applyBorder="1" applyAlignment="1" applyProtection="1">
      <alignment vertical="center"/>
      <protection locked="0"/>
    </xf>
    <xf numFmtId="0" fontId="10" fillId="20" borderId="162" xfId="0" applyFont="1" applyFill="1" applyBorder="1" applyAlignment="1" applyProtection="1">
      <alignment horizontal="left" vertical="center"/>
    </xf>
    <xf numFmtId="175" fontId="18" fillId="0" borderId="121" xfId="0" applyNumberFormat="1" applyFont="1" applyFill="1" applyBorder="1" applyAlignment="1" applyProtection="1">
      <alignment horizontal="left"/>
    </xf>
    <xf numFmtId="168" fontId="10" fillId="20" borderId="124" xfId="13" applyNumberFormat="1" applyFont="1" applyFill="1" applyBorder="1" applyAlignment="1" applyProtection="1">
      <alignment horizontal="center" vertical="center"/>
    </xf>
    <xf numFmtId="168" fontId="10" fillId="22" borderId="124" xfId="13" applyNumberFormat="1" applyFont="1" applyFill="1" applyBorder="1" applyAlignment="1" applyProtection="1">
      <alignment vertical="center"/>
    </xf>
    <xf numFmtId="0" fontId="10" fillId="23" borderId="162" xfId="0" applyFont="1" applyFill="1" applyBorder="1" applyAlignment="1" applyProtection="1">
      <alignment horizontal="left" vertical="center"/>
    </xf>
    <xf numFmtId="0" fontId="12" fillId="32" borderId="36" xfId="0" applyFont="1" applyFill="1" applyBorder="1" applyAlignment="1" applyProtection="1">
      <alignment vertical="center"/>
    </xf>
    <xf numFmtId="168" fontId="10" fillId="28" borderId="166" xfId="13" applyNumberFormat="1" applyFont="1" applyFill="1" applyBorder="1" applyAlignment="1" applyProtection="1">
      <alignment vertical="center"/>
    </xf>
    <xf numFmtId="168" fontId="10" fillId="20" borderId="165" xfId="13" applyNumberFormat="1" applyFont="1" applyFill="1" applyBorder="1" applyAlignment="1" applyProtection="1">
      <alignment horizontal="center" vertical="center"/>
    </xf>
    <xf numFmtId="168" fontId="10" fillId="23" borderId="165" xfId="13" applyNumberFormat="1" applyFont="1" applyFill="1" applyBorder="1" applyAlignment="1" applyProtection="1">
      <alignment horizontal="center" vertical="center"/>
    </xf>
    <xf numFmtId="168" fontId="10" fillId="20" borderId="166" xfId="13" applyNumberFormat="1" applyFont="1" applyFill="1" applyBorder="1" applyAlignment="1" applyProtection="1">
      <alignment vertical="center"/>
    </xf>
    <xf numFmtId="168" fontId="10" fillId="28" borderId="160" xfId="13" applyNumberFormat="1" applyFont="1" applyFill="1" applyBorder="1" applyAlignment="1" applyProtection="1">
      <alignment vertical="center"/>
    </xf>
    <xf numFmtId="168" fontId="10" fillId="23" borderId="166" xfId="13" applyNumberFormat="1" applyFont="1" applyFill="1" applyBorder="1" applyAlignment="1" applyProtection="1">
      <alignment horizontal="center" vertical="center"/>
    </xf>
    <xf numFmtId="168" fontId="18" fillId="29" borderId="124" xfId="13" applyNumberFormat="1" applyFont="1" applyFill="1" applyBorder="1" applyAlignment="1" applyProtection="1">
      <alignment vertical="center"/>
    </xf>
    <xf numFmtId="168" fontId="10" fillId="23" borderId="124" xfId="13" applyNumberFormat="1" applyFont="1" applyFill="1" applyBorder="1" applyAlignment="1" applyProtection="1">
      <alignment horizontal="center" vertical="center"/>
    </xf>
    <xf numFmtId="168" fontId="10" fillId="24" borderId="124" xfId="13" applyNumberFormat="1" applyFont="1" applyFill="1" applyBorder="1" applyAlignment="1" applyProtection="1">
      <alignment vertical="center"/>
    </xf>
    <xf numFmtId="168" fontId="10" fillId="20" borderId="124" xfId="13" applyNumberFormat="1" applyFont="1" applyFill="1" applyBorder="1" applyAlignment="1" applyProtection="1">
      <alignment vertical="center"/>
    </xf>
    <xf numFmtId="167" fontId="12" fillId="32" borderId="124" xfId="13" applyNumberFormat="1" applyFont="1" applyFill="1" applyBorder="1" applyAlignment="1" applyProtection="1">
      <alignment vertical="center"/>
    </xf>
    <xf numFmtId="167" fontId="12" fillId="33" borderId="124" xfId="13" applyNumberFormat="1" applyFont="1" applyFill="1" applyBorder="1" applyAlignment="1" applyProtection="1">
      <alignment vertical="center"/>
    </xf>
    <xf numFmtId="0" fontId="12" fillId="17" borderId="124" xfId="0" applyFont="1" applyFill="1" applyBorder="1" applyAlignment="1" applyProtection="1">
      <alignment horizontal="center" vertical="center" wrapText="1"/>
    </xf>
    <xf numFmtId="174" fontId="12" fillId="17" borderId="124" xfId="12" applyNumberFormat="1" applyFont="1" applyFill="1" applyBorder="1" applyAlignment="1" applyProtection="1">
      <alignment horizontal="center" vertical="center" wrapText="1"/>
    </xf>
    <xf numFmtId="0" fontId="10" fillId="17" borderId="124" xfId="0" applyFont="1" applyFill="1" applyBorder="1" applyAlignment="1" applyProtection="1">
      <alignment horizontal="center" vertical="center"/>
    </xf>
    <xf numFmtId="168" fontId="12" fillId="41" borderId="124" xfId="13" applyNumberFormat="1" applyFont="1" applyFill="1" applyBorder="1" applyAlignment="1" applyProtection="1">
      <alignment vertical="center"/>
    </xf>
    <xf numFmtId="168" fontId="12" fillId="42" borderId="124" xfId="13" applyNumberFormat="1" applyFont="1" applyFill="1" applyBorder="1" applyAlignment="1" applyProtection="1">
      <alignment vertical="center"/>
    </xf>
    <xf numFmtId="168" fontId="18" fillId="1" borderId="124" xfId="13" applyNumberFormat="1" applyFont="1" applyFill="1" applyBorder="1" applyAlignment="1" applyProtection="1">
      <alignment vertical="center"/>
    </xf>
    <xf numFmtId="176" fontId="18" fillId="1" borderId="124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164" xfId="0" applyNumberFormat="1" applyBorder="1" applyAlignment="1" applyProtection="1">
      <alignment horizontal="center"/>
    </xf>
    <xf numFmtId="1" fontId="0" fillId="0" borderId="168" xfId="0" applyNumberFormat="1" applyBorder="1" applyAlignment="1" applyProtection="1"/>
    <xf numFmtId="168" fontId="0" fillId="46" borderId="12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8" fontId="0" fillId="0" borderId="0" xfId="0" applyNumberFormat="1" applyFont="1" applyAlignment="1" applyProtection="1">
      <alignment vertical="center"/>
    </xf>
    <xf numFmtId="168" fontId="12" fillId="0" borderId="0" xfId="0" applyNumberFormat="1" applyFont="1" applyAlignment="1" applyProtection="1">
      <alignment vertical="center"/>
    </xf>
    <xf numFmtId="0" fontId="0" fillId="12" borderId="68" xfId="0" applyFont="1" applyFill="1" applyBorder="1" applyAlignment="1" applyProtection="1">
      <alignment horizontal="left" vertical="center"/>
      <protection locked="0"/>
    </xf>
    <xf numFmtId="179" fontId="0" fillId="12" borderId="169" xfId="13" applyNumberFormat="1" applyFont="1" applyFill="1" applyBorder="1" applyAlignment="1" applyProtection="1">
      <alignment horizontal="center" vertical="center"/>
      <protection locked="0"/>
    </xf>
    <xf numFmtId="179" fontId="12" fillId="29" borderId="170" xfId="0" applyNumberFormat="1" applyFont="1" applyFill="1" applyBorder="1" applyAlignment="1" applyProtection="1">
      <alignment vertical="center"/>
    </xf>
    <xf numFmtId="168" fontId="0" fillId="0" borderId="177" xfId="0" applyNumberFormat="1" applyFont="1" applyFill="1" applyBorder="1" applyAlignment="1" applyProtection="1">
      <alignment vertical="center"/>
    </xf>
    <xf numFmtId="168" fontId="12" fillId="35" borderId="178" xfId="0" applyNumberFormat="1" applyFont="1" applyFill="1" applyBorder="1" applyAlignment="1" applyProtection="1">
      <alignment horizontal="center" vertical="center" wrapText="1"/>
    </xf>
    <xf numFmtId="168" fontId="12" fillId="35" borderId="179" xfId="0" applyNumberFormat="1" applyFont="1" applyFill="1" applyBorder="1" applyAlignment="1" applyProtection="1">
      <alignment horizontal="center" vertical="center" wrapText="1"/>
    </xf>
    <xf numFmtId="168" fontId="12" fillId="35" borderId="180" xfId="0" applyNumberFormat="1" applyFont="1" applyFill="1" applyBorder="1" applyAlignment="1" applyProtection="1">
      <alignment horizontal="center" vertical="center" wrapText="1"/>
    </xf>
    <xf numFmtId="168" fontId="0" fillId="10" borderId="124" xfId="13" applyNumberFormat="1" applyFont="1" applyFill="1" applyBorder="1" applyAlignment="1" applyProtection="1">
      <alignment horizontal="right" vertical="center"/>
    </xf>
    <xf numFmtId="173" fontId="0" fillId="0" borderId="124" xfId="12" applyNumberFormat="1" applyFont="1" applyFill="1" applyBorder="1" applyAlignment="1" applyProtection="1">
      <alignment vertical="center"/>
    </xf>
    <xf numFmtId="168" fontId="0" fillId="0" borderId="111" xfId="0" applyNumberFormat="1" applyFont="1" applyFill="1" applyBorder="1" applyAlignment="1" applyProtection="1">
      <alignment vertical="center"/>
    </xf>
    <xf numFmtId="168" fontId="13" fillId="0" borderId="122" xfId="13" applyNumberFormat="1" applyFont="1" applyFill="1" applyBorder="1" applyAlignment="1" applyProtection="1">
      <alignment vertical="center"/>
    </xf>
    <xf numFmtId="168" fontId="0" fillId="10" borderId="122" xfId="13" applyNumberFormat="1" applyFont="1" applyFill="1" applyBorder="1" applyAlignment="1" applyProtection="1">
      <alignment horizontal="right" vertical="center"/>
    </xf>
    <xf numFmtId="168" fontId="12" fillId="40" borderId="183" xfId="0" applyNumberFormat="1" applyFont="1" applyFill="1" applyBorder="1" applyAlignment="1" applyProtection="1">
      <alignment vertical="center"/>
    </xf>
    <xf numFmtId="168" fontId="12" fillId="40" borderId="127" xfId="13" applyNumberFormat="1" applyFont="1" applyFill="1" applyBorder="1" applyAlignment="1" applyProtection="1">
      <alignment vertical="center"/>
    </xf>
    <xf numFmtId="168" fontId="12" fillId="40" borderId="127" xfId="13" applyNumberFormat="1" applyFont="1" applyFill="1" applyBorder="1" applyAlignment="1" applyProtection="1">
      <alignment horizontal="right" vertical="center"/>
    </xf>
    <xf numFmtId="168" fontId="0" fillId="0" borderId="122" xfId="13" applyNumberFormat="1" applyFont="1" applyFill="1" applyBorder="1" applyAlignment="1" applyProtection="1">
      <alignment vertical="center"/>
    </xf>
    <xf numFmtId="168" fontId="13" fillId="0" borderId="68" xfId="13" applyNumberFormat="1" applyFont="1" applyFill="1" applyBorder="1" applyAlignment="1" applyProtection="1">
      <alignment vertical="center"/>
    </xf>
    <xf numFmtId="168" fontId="13" fillId="0" borderId="123" xfId="13" applyNumberFormat="1" applyFont="1" applyFill="1" applyBorder="1" applyAlignment="1" applyProtection="1">
      <alignment vertical="center"/>
    </xf>
    <xf numFmtId="173" fontId="0" fillId="0" borderId="125" xfId="12" applyNumberFormat="1" applyFont="1" applyFill="1" applyBorder="1" applyAlignment="1" applyProtection="1">
      <alignment vertical="center"/>
    </xf>
    <xf numFmtId="173" fontId="0" fillId="0" borderId="126" xfId="12" applyNumberFormat="1" applyFont="1" applyFill="1" applyBorder="1" applyAlignment="1" applyProtection="1">
      <alignment vertical="center"/>
    </xf>
    <xf numFmtId="168" fontId="12" fillId="40" borderId="129" xfId="13" applyNumberFormat="1" applyFont="1" applyFill="1" applyBorder="1" applyAlignment="1" applyProtection="1">
      <alignment vertical="center"/>
    </xf>
    <xf numFmtId="168" fontId="12" fillId="40" borderId="128" xfId="13" applyNumberFormat="1" applyFont="1" applyFill="1" applyBorder="1" applyAlignment="1" applyProtection="1">
      <alignment vertical="center"/>
    </xf>
    <xf numFmtId="168" fontId="0" fillId="10" borderId="163" xfId="13" applyNumberFormat="1" applyFont="1" applyFill="1" applyBorder="1" applyAlignment="1" applyProtection="1">
      <alignment horizontal="right" vertical="center"/>
    </xf>
    <xf numFmtId="168" fontId="0" fillId="10" borderId="141" xfId="13" applyNumberFormat="1" applyFont="1" applyFill="1" applyBorder="1" applyAlignment="1" applyProtection="1">
      <alignment horizontal="right" vertical="center"/>
    </xf>
    <xf numFmtId="168" fontId="12" fillId="40" borderId="140" xfId="13" applyNumberFormat="1" applyFont="1" applyFill="1" applyBorder="1" applyAlignment="1" applyProtection="1">
      <alignment horizontal="right" vertical="center"/>
    </xf>
    <xf numFmtId="168" fontId="0" fillId="0" borderId="68" xfId="13" applyNumberFormat="1" applyFont="1" applyFill="1" applyBorder="1" applyAlignment="1" applyProtection="1">
      <alignment vertical="center"/>
    </xf>
    <xf numFmtId="168" fontId="13" fillId="44" borderId="73" xfId="13" applyNumberFormat="1" applyFont="1" applyFill="1" applyBorder="1" applyAlignment="1" applyProtection="1">
      <alignment vertical="center"/>
    </xf>
    <xf numFmtId="173" fontId="0" fillId="12" borderId="134" xfId="12" applyNumberFormat="1" applyFont="1" applyFill="1" applyBorder="1" applyAlignment="1" applyProtection="1">
      <alignment vertical="center"/>
      <protection locked="0"/>
    </xf>
    <xf numFmtId="168" fontId="12" fillId="40" borderId="120" xfId="13" applyNumberFormat="1" applyFont="1" applyFill="1" applyBorder="1" applyAlignment="1" applyProtection="1">
      <alignment vertical="center"/>
    </xf>
    <xf numFmtId="168" fontId="12" fillId="40" borderId="153" xfId="13" applyNumberFormat="1" applyFont="1" applyFill="1" applyBorder="1" applyAlignment="1" applyProtection="1">
      <alignment horizontal="right" vertical="center"/>
    </xf>
    <xf numFmtId="0" fontId="12" fillId="15" borderId="161" xfId="0" applyFont="1" applyFill="1" applyBorder="1" applyAlignment="1" applyProtection="1">
      <alignment horizontal="center" vertical="center" wrapText="1"/>
    </xf>
    <xf numFmtId="168" fontId="17" fillId="36" borderId="112" xfId="0" applyNumberFormat="1" applyFont="1" applyFill="1" applyBorder="1" applyAlignment="1" applyProtection="1">
      <alignment horizontal="center" vertical="center" wrapText="1"/>
    </xf>
    <xf numFmtId="168" fontId="17" fillId="36" borderId="193" xfId="0" applyNumberFormat="1" applyFont="1" applyFill="1" applyBorder="1" applyAlignment="1" applyProtection="1">
      <alignment horizontal="center" vertical="center" wrapText="1"/>
    </xf>
    <xf numFmtId="0" fontId="17" fillId="36" borderId="111" xfId="0" applyFont="1" applyFill="1" applyBorder="1" applyAlignment="1" applyProtection="1">
      <alignment horizontal="center" vertical="center" wrapText="1"/>
    </xf>
    <xf numFmtId="0" fontId="17" fillId="25" borderId="194" xfId="0" applyFont="1" applyFill="1" applyBorder="1" applyAlignment="1" applyProtection="1">
      <alignment horizontal="center" vertical="center" wrapText="1"/>
    </xf>
    <xf numFmtId="0" fontId="17" fillId="25" borderId="191" xfId="0" applyFont="1" applyFill="1" applyBorder="1" applyAlignment="1" applyProtection="1">
      <alignment horizontal="center" vertical="center" wrapText="1"/>
    </xf>
    <xf numFmtId="0" fontId="17" fillId="25" borderId="112" xfId="0" applyFont="1" applyFill="1" applyBorder="1" applyAlignment="1" applyProtection="1">
      <alignment horizontal="center" vertical="center" wrapText="1"/>
    </xf>
    <xf numFmtId="0" fontId="12" fillId="15" borderId="115" xfId="0" applyFont="1" applyFill="1" applyBorder="1" applyAlignment="1" applyProtection="1">
      <alignment horizontal="center" vertical="center" wrapText="1"/>
    </xf>
    <xf numFmtId="0" fontId="12" fillId="0" borderId="195" xfId="0" applyFont="1" applyFill="1" applyBorder="1" applyAlignment="1" applyProtection="1">
      <alignment horizontal="left" vertical="center"/>
    </xf>
    <xf numFmtId="168" fontId="0" fillId="29" borderId="171" xfId="13" applyNumberFormat="1" applyFont="1" applyFill="1" applyBorder="1" applyAlignment="1" applyProtection="1">
      <alignment vertical="center"/>
    </xf>
    <xf numFmtId="168" fontId="0" fillId="29" borderId="177" xfId="13" applyNumberFormat="1" applyFont="1" applyFill="1" applyBorder="1" applyAlignment="1" applyProtection="1">
      <alignment vertical="center"/>
    </xf>
    <xf numFmtId="168" fontId="12" fillId="29" borderId="196" xfId="13" applyNumberFormat="1" applyFont="1" applyFill="1" applyBorder="1" applyAlignment="1" applyProtection="1">
      <alignment vertical="center"/>
    </xf>
    <xf numFmtId="168" fontId="0" fillId="19" borderId="197" xfId="13" applyNumberFormat="1" applyFont="1" applyFill="1" applyBorder="1" applyAlignment="1" applyProtection="1">
      <alignment vertical="center"/>
    </xf>
    <xf numFmtId="168" fontId="0" fillId="19" borderId="198" xfId="13" applyNumberFormat="1" applyFont="1" applyFill="1" applyBorder="1" applyAlignment="1" applyProtection="1">
      <alignment vertical="center"/>
    </xf>
    <xf numFmtId="168" fontId="12" fillId="19" borderId="171" xfId="13" applyNumberFormat="1" applyFont="1" applyFill="1" applyBorder="1" applyAlignment="1" applyProtection="1">
      <alignment vertical="center"/>
    </xf>
    <xf numFmtId="168" fontId="12" fillId="0" borderId="199" xfId="13" applyNumberFormat="1" applyFont="1" applyFill="1" applyBorder="1" applyAlignment="1" applyProtection="1">
      <alignment vertical="center"/>
    </xf>
    <xf numFmtId="0" fontId="12" fillId="15" borderId="200" xfId="0" applyFont="1" applyFill="1" applyBorder="1" applyAlignment="1" applyProtection="1">
      <alignment horizontal="center" vertical="center"/>
    </xf>
    <xf numFmtId="168" fontId="21" fillId="15" borderId="201" xfId="13" applyNumberFormat="1" applyFont="1" applyFill="1" applyBorder="1" applyAlignment="1" applyProtection="1">
      <alignment vertical="center"/>
    </xf>
    <xf numFmtId="168" fontId="21" fillId="15" borderId="202" xfId="13" applyNumberFormat="1" applyFont="1" applyFill="1" applyBorder="1" applyAlignment="1" applyProtection="1">
      <alignment vertical="center"/>
    </xf>
    <xf numFmtId="168" fontId="21" fillId="15" borderId="203" xfId="13" applyNumberFormat="1" applyFont="1" applyFill="1" applyBorder="1" applyAlignment="1" applyProtection="1">
      <alignment vertical="center"/>
    </xf>
    <xf numFmtId="168" fontId="12" fillId="40" borderId="172" xfId="13" applyNumberFormat="1" applyFont="1" applyFill="1" applyBorder="1" applyAlignment="1" applyProtection="1">
      <alignment horizontal="right" vertical="center"/>
    </xf>
    <xf numFmtId="168" fontId="12" fillId="40" borderId="204" xfId="13" applyNumberFormat="1" applyFont="1" applyFill="1" applyBorder="1" applyAlignment="1" applyProtection="1">
      <alignment horizontal="right" vertical="center"/>
    </xf>
    <xf numFmtId="168" fontId="12" fillId="40" borderId="205" xfId="13" applyNumberFormat="1" applyFont="1" applyFill="1" applyBorder="1" applyAlignment="1" applyProtection="1">
      <alignment vertical="center"/>
    </xf>
    <xf numFmtId="168" fontId="12" fillId="40" borderId="135" xfId="13" applyNumberFormat="1" applyFont="1" applyFill="1" applyBorder="1" applyAlignment="1" applyProtection="1">
      <alignment horizontal="right" vertical="center"/>
    </xf>
    <xf numFmtId="179" fontId="0" fillId="12" borderId="206" xfId="13" applyNumberFormat="1" applyFont="1" applyFill="1" applyBorder="1" applyAlignment="1" applyProtection="1">
      <alignment horizontal="center" vertical="center"/>
      <protection locked="0"/>
    </xf>
    <xf numFmtId="179" fontId="0" fillId="12" borderId="174" xfId="13" applyNumberFormat="1" applyFont="1" applyFill="1" applyBorder="1" applyAlignment="1" applyProtection="1">
      <alignment horizontal="center" vertical="center"/>
      <protection locked="0"/>
    </xf>
    <xf numFmtId="179" fontId="0" fillId="12" borderId="140" xfId="13" applyNumberFormat="1" applyFont="1" applyFill="1" applyBorder="1" applyAlignment="1" applyProtection="1">
      <alignment horizontal="center" vertical="center"/>
      <protection locked="0"/>
    </xf>
    <xf numFmtId="0" fontId="0" fillId="0" borderId="151" xfId="0" applyFont="1" applyFill="1" applyBorder="1" applyAlignment="1" applyProtection="1">
      <alignment horizontal="left" vertical="center"/>
    </xf>
    <xf numFmtId="0" fontId="0" fillId="0" borderId="152" xfId="0" applyFont="1" applyFill="1" applyBorder="1" applyAlignment="1" applyProtection="1">
      <alignment horizontal="left" vertical="center"/>
    </xf>
    <xf numFmtId="0" fontId="0" fillId="0" borderId="153" xfId="0" applyFont="1" applyFill="1" applyBorder="1" applyAlignment="1" applyProtection="1">
      <alignment horizontal="left" vertical="center"/>
    </xf>
    <xf numFmtId="170" fontId="0" fillId="46" borderId="122" xfId="13" applyNumberFormat="1" applyFont="1" applyFill="1" applyBorder="1" applyAlignment="1" applyProtection="1">
      <alignment horizontal="center" vertical="center"/>
    </xf>
    <xf numFmtId="167" fontId="0" fillId="0" borderId="131" xfId="13" applyNumberFormat="1" applyFont="1" applyFill="1" applyBorder="1" applyAlignment="1" applyProtection="1">
      <alignment vertical="center"/>
    </xf>
    <xf numFmtId="167" fontId="0" fillId="0" borderId="211" xfId="13" applyNumberFormat="1" applyFont="1" applyFill="1" applyBorder="1" applyAlignment="1" applyProtection="1">
      <alignment vertical="center"/>
    </xf>
    <xf numFmtId="167" fontId="0" fillId="0" borderId="132" xfId="13" applyNumberFormat="1" applyFont="1" applyFill="1" applyBorder="1" applyAlignment="1" applyProtection="1">
      <alignment vertical="center"/>
    </xf>
    <xf numFmtId="168" fontId="0" fillId="29" borderId="124" xfId="13" applyNumberFormat="1" applyFont="1" applyFill="1" applyBorder="1" applyAlignment="1" applyProtection="1">
      <alignment vertical="center"/>
    </xf>
    <xf numFmtId="168" fontId="0" fillId="29" borderId="68" xfId="13" applyNumberFormat="1" applyFont="1" applyFill="1" applyBorder="1" applyAlignment="1" applyProtection="1">
      <alignment vertical="center"/>
    </xf>
    <xf numFmtId="168" fontId="0" fillId="29" borderId="122" xfId="13" applyNumberFormat="1" applyFont="1" applyFill="1" applyBorder="1" applyAlignment="1" applyProtection="1">
      <alignment vertical="center"/>
    </xf>
    <xf numFmtId="168" fontId="0" fillId="29" borderId="123" xfId="13" applyNumberFormat="1" applyFont="1" applyFill="1" applyBorder="1" applyAlignment="1" applyProtection="1">
      <alignment vertical="center"/>
    </xf>
    <xf numFmtId="168" fontId="0" fillId="29" borderId="125" xfId="13" applyNumberFormat="1" applyFont="1" applyFill="1" applyBorder="1" applyAlignment="1" applyProtection="1">
      <alignment vertical="center"/>
    </xf>
    <xf numFmtId="168" fontId="0" fillId="29" borderId="126" xfId="13" applyNumberFormat="1" applyFont="1" applyFill="1" applyBorder="1" applyAlignment="1" applyProtection="1">
      <alignment vertical="center"/>
    </xf>
    <xf numFmtId="168" fontId="0" fillId="29" borderId="129" xfId="13" applyNumberFormat="1" applyFont="1" applyFill="1" applyBorder="1" applyAlignment="1" applyProtection="1">
      <alignment vertical="center"/>
    </xf>
    <xf numFmtId="168" fontId="0" fillId="29" borderId="127" xfId="13" applyNumberFormat="1" applyFont="1" applyFill="1" applyBorder="1" applyAlignment="1" applyProtection="1">
      <alignment vertical="center"/>
    </xf>
    <xf numFmtId="168" fontId="0" fillId="29" borderId="128" xfId="13" applyNumberFormat="1" applyFont="1" applyFill="1" applyBorder="1" applyAlignment="1" applyProtection="1">
      <alignment vertical="center"/>
    </xf>
    <xf numFmtId="168" fontId="0" fillId="29" borderId="73" xfId="13" applyNumberFormat="1" applyFont="1" applyFill="1" applyBorder="1" applyAlignment="1" applyProtection="1">
      <alignment vertical="center"/>
    </xf>
    <xf numFmtId="168" fontId="0" fillId="29" borderId="134" xfId="13" applyNumberFormat="1" applyFont="1" applyFill="1" applyBorder="1" applyAlignment="1" applyProtection="1">
      <alignment vertical="center"/>
    </xf>
    <xf numFmtId="168" fontId="0" fillId="37" borderId="68" xfId="13" applyNumberFormat="1" applyFont="1" applyFill="1" applyBorder="1" applyAlignment="1" applyProtection="1">
      <alignment vertical="center"/>
    </xf>
    <xf numFmtId="168" fontId="0" fillId="37" borderId="122" xfId="13" applyNumberFormat="1" applyFont="1" applyFill="1" applyBorder="1" applyAlignment="1" applyProtection="1">
      <alignment vertical="center"/>
    </xf>
    <xf numFmtId="168" fontId="0" fillId="37" borderId="73" xfId="13" applyNumberFormat="1" applyFont="1" applyFill="1" applyBorder="1" applyAlignment="1" applyProtection="1">
      <alignment vertical="center"/>
    </xf>
    <xf numFmtId="168" fontId="0" fillId="0" borderId="73" xfId="13" applyNumberFormat="1" applyFont="1" applyFill="1" applyBorder="1" applyAlignment="1" applyProtection="1">
      <alignment vertical="center"/>
    </xf>
    <xf numFmtId="170" fontId="0" fillId="0" borderId="68" xfId="0" applyNumberFormat="1" applyFont="1" applyFill="1" applyBorder="1" applyAlignment="1" applyProtection="1">
      <alignment horizontal="center" vertical="center"/>
    </xf>
    <xf numFmtId="170" fontId="0" fillId="0" borderId="122" xfId="0" applyNumberFormat="1" applyFont="1" applyFill="1" applyBorder="1" applyAlignment="1" applyProtection="1">
      <alignment horizontal="center" vertical="center"/>
    </xf>
    <xf numFmtId="170" fontId="0" fillId="0" borderId="123" xfId="0" applyNumberFormat="1" applyFont="1" applyFill="1" applyBorder="1" applyAlignment="1" applyProtection="1">
      <alignment horizontal="center" vertical="center"/>
    </xf>
    <xf numFmtId="168" fontId="12" fillId="35" borderId="212" xfId="0" applyNumberFormat="1" applyFont="1" applyFill="1" applyBorder="1" applyAlignment="1" applyProtection="1">
      <alignment horizontal="center" vertical="center" wrapText="1"/>
    </xf>
    <xf numFmtId="168" fontId="12" fillId="35" borderId="213" xfId="0" applyNumberFormat="1" applyFont="1" applyFill="1" applyBorder="1" applyAlignment="1" applyProtection="1">
      <alignment horizontal="center" vertical="center" wrapText="1"/>
    </xf>
    <xf numFmtId="168" fontId="12" fillId="35" borderId="214" xfId="0" applyNumberFormat="1" applyFont="1" applyFill="1" applyBorder="1" applyAlignment="1" applyProtection="1">
      <alignment horizontal="center" vertical="center" wrapText="1"/>
    </xf>
    <xf numFmtId="168" fontId="12" fillId="15" borderId="215" xfId="0" applyNumberFormat="1" applyFont="1" applyFill="1" applyBorder="1" applyAlignment="1" applyProtection="1">
      <alignment horizontal="center" vertical="center" wrapText="1"/>
    </xf>
    <xf numFmtId="168" fontId="12" fillId="15" borderId="213" xfId="0" applyNumberFormat="1" applyFont="1" applyFill="1" applyBorder="1" applyAlignment="1" applyProtection="1">
      <alignment horizontal="center" vertical="center" wrapText="1"/>
    </xf>
    <xf numFmtId="168" fontId="12" fillId="15" borderId="216" xfId="0" applyNumberFormat="1" applyFont="1" applyFill="1" applyBorder="1" applyAlignment="1" applyProtection="1">
      <alignment horizontal="center" vertical="center" wrapText="1"/>
    </xf>
    <xf numFmtId="0" fontId="12" fillId="15" borderId="212" xfId="0" applyFont="1" applyFill="1" applyBorder="1" applyAlignment="1" applyProtection="1">
      <alignment horizontal="center" vertical="center"/>
    </xf>
    <xf numFmtId="0" fontId="12" fillId="15" borderId="217" xfId="0" applyFont="1" applyFill="1" applyBorder="1" applyAlignment="1" applyProtection="1">
      <alignment horizontal="center" vertical="center"/>
    </xf>
    <xf numFmtId="167" fontId="0" fillId="0" borderId="218" xfId="13" applyNumberFormat="1" applyFont="1" applyFill="1" applyBorder="1" applyAlignment="1" applyProtection="1">
      <alignment vertical="center"/>
    </xf>
    <xf numFmtId="167" fontId="0" fillId="0" borderId="219" xfId="13" applyNumberFormat="1" applyFont="1" applyFill="1" applyBorder="1" applyAlignment="1" applyProtection="1">
      <alignment vertical="center"/>
    </xf>
    <xf numFmtId="167" fontId="0" fillId="0" borderId="220" xfId="13" applyNumberFormat="1" applyFont="1" applyFill="1" applyBorder="1" applyAlignment="1" applyProtection="1">
      <alignment vertical="center"/>
    </xf>
    <xf numFmtId="180" fontId="13" fillId="37" borderId="68" xfId="16" applyNumberFormat="1" applyFill="1" applyBorder="1" applyAlignment="1" applyProtection="1">
      <alignment horizontal="center" vertical="center"/>
    </xf>
    <xf numFmtId="180" fontId="13" fillId="37" borderId="126" xfId="16" applyNumberFormat="1" applyFill="1" applyBorder="1" applyAlignment="1" applyProtection="1">
      <alignment horizontal="center" vertical="center"/>
    </xf>
    <xf numFmtId="168" fontId="0" fillId="29" borderId="151" xfId="13" applyNumberFormat="1" applyFont="1" applyFill="1" applyBorder="1" applyAlignment="1" applyProtection="1">
      <alignment vertical="center"/>
    </xf>
    <xf numFmtId="168" fontId="0" fillId="29" borderId="152" xfId="13" applyNumberFormat="1" applyFont="1" applyFill="1" applyBorder="1" applyAlignment="1" applyProtection="1">
      <alignment vertical="center"/>
    </xf>
    <xf numFmtId="168" fontId="0" fillId="29" borderId="153" xfId="13" applyNumberFormat="1" applyFont="1" applyFill="1" applyBorder="1" applyAlignment="1" applyProtection="1">
      <alignment vertical="center"/>
    </xf>
    <xf numFmtId="168" fontId="13" fillId="0" borderId="73" xfId="13" applyNumberFormat="1" applyFont="1" applyFill="1" applyBorder="1" applyAlignment="1" applyProtection="1">
      <alignment vertical="center"/>
    </xf>
    <xf numFmtId="168" fontId="12" fillId="40" borderId="130" xfId="13" applyNumberFormat="1" applyFont="1" applyFill="1" applyBorder="1" applyAlignment="1" applyProtection="1">
      <alignment vertical="center"/>
    </xf>
    <xf numFmtId="168" fontId="12" fillId="40" borderId="204" xfId="13" applyNumberFormat="1" applyFont="1" applyFill="1" applyBorder="1" applyAlignment="1" applyProtection="1">
      <alignment vertical="center"/>
    </xf>
    <xf numFmtId="168" fontId="12" fillId="40" borderId="145" xfId="13" applyNumberFormat="1" applyFont="1" applyFill="1" applyBorder="1" applyAlignment="1" applyProtection="1">
      <alignment vertical="center"/>
    </xf>
    <xf numFmtId="173" fontId="0" fillId="0" borderId="134" xfId="12" applyNumberFormat="1" applyFont="1" applyFill="1" applyBorder="1" applyAlignment="1" applyProtection="1">
      <alignment vertical="center"/>
    </xf>
    <xf numFmtId="168" fontId="0" fillId="0" borderId="104" xfId="13" applyNumberFormat="1" applyFont="1" applyFill="1" applyBorder="1" applyAlignment="1" applyProtection="1">
      <alignment vertical="center"/>
    </xf>
    <xf numFmtId="168" fontId="0" fillId="0" borderId="182" xfId="13" applyNumberFormat="1" applyFont="1" applyFill="1" applyBorder="1" applyAlignment="1" applyProtection="1">
      <alignment vertical="center"/>
    </xf>
    <xf numFmtId="168" fontId="0" fillId="0" borderId="158" xfId="13" applyNumberFormat="1" applyFont="1" applyFill="1" applyBorder="1" applyAlignment="1" applyProtection="1">
      <alignment vertical="center"/>
    </xf>
    <xf numFmtId="168" fontId="21" fillId="32" borderId="207" xfId="13" applyNumberFormat="1" applyFont="1" applyFill="1" applyBorder="1" applyAlignment="1" applyProtection="1">
      <alignment vertical="center" wrapText="1"/>
    </xf>
    <xf numFmtId="168" fontId="21" fillId="32" borderId="169" xfId="13" applyNumberFormat="1" applyFont="1" applyFill="1" applyBorder="1" applyAlignment="1" applyProtection="1">
      <alignment vertical="center" wrapText="1"/>
    </xf>
    <xf numFmtId="168" fontId="21" fillId="32" borderId="170" xfId="13" applyNumberFormat="1" applyFont="1" applyFill="1" applyBorder="1" applyAlignment="1" applyProtection="1">
      <alignment vertical="center" wrapText="1"/>
    </xf>
    <xf numFmtId="168" fontId="21" fillId="32" borderId="173" xfId="13" applyNumberFormat="1" applyFont="1" applyFill="1" applyBorder="1" applyAlignment="1" applyProtection="1">
      <alignment vertical="center" wrapText="1"/>
    </xf>
    <xf numFmtId="168" fontId="21" fillId="32" borderId="222" xfId="13" applyNumberFormat="1" applyFont="1" applyFill="1" applyBorder="1" applyAlignment="1" applyProtection="1">
      <alignment vertical="center" wrapText="1"/>
    </xf>
    <xf numFmtId="168" fontId="21" fillId="32" borderId="223" xfId="13" applyNumberFormat="1" applyFont="1" applyFill="1" applyBorder="1" applyAlignment="1" applyProtection="1">
      <alignment vertical="center" wrapText="1"/>
    </xf>
    <xf numFmtId="168" fontId="21" fillId="32" borderId="224" xfId="13" applyNumberFormat="1" applyFont="1" applyFill="1" applyBorder="1" applyAlignment="1" applyProtection="1">
      <alignment vertical="center" wrapText="1"/>
    </xf>
    <xf numFmtId="168" fontId="21" fillId="32" borderId="208" xfId="13" applyNumberFormat="1" applyFont="1" applyFill="1" applyBorder="1" applyAlignment="1" applyProtection="1">
      <alignment vertical="center" wrapText="1"/>
    </xf>
    <xf numFmtId="168" fontId="21" fillId="32" borderId="70" xfId="13" applyNumberFormat="1" applyFont="1" applyFill="1" applyBorder="1" applyAlignment="1" applyProtection="1">
      <alignment vertical="center" wrapText="1"/>
    </xf>
    <xf numFmtId="168" fontId="21" fillId="32" borderId="71" xfId="13" applyNumberFormat="1" applyFont="1" applyFill="1" applyBorder="1" applyAlignment="1" applyProtection="1">
      <alignment vertical="center" wrapText="1"/>
    </xf>
    <xf numFmtId="168" fontId="21" fillId="32" borderId="74" xfId="13" applyNumberFormat="1" applyFont="1" applyFill="1" applyBorder="1" applyAlignment="1" applyProtection="1">
      <alignment vertical="center" wrapText="1"/>
    </xf>
    <xf numFmtId="168" fontId="21" fillId="32" borderId="85" xfId="13" applyNumberFormat="1" applyFont="1" applyFill="1" applyBorder="1" applyAlignment="1" applyProtection="1">
      <alignment vertical="center" wrapText="1"/>
    </xf>
    <xf numFmtId="177" fontId="22" fillId="26" borderId="85" xfId="0" applyNumberFormat="1" applyFont="1" applyFill="1" applyBorder="1" applyAlignment="1" applyProtection="1">
      <alignment horizontal="right" vertical="center"/>
    </xf>
    <xf numFmtId="9" fontId="0" fillId="12" borderId="130" xfId="0" applyNumberFormat="1" applyFont="1" applyFill="1" applyBorder="1" applyAlignment="1" applyProtection="1">
      <alignment horizontal="center" vertical="center"/>
      <protection locked="0"/>
    </xf>
    <xf numFmtId="177" fontId="0" fillId="0" borderId="205" xfId="0" applyNumberFormat="1" applyFont="1" applyFill="1" applyBorder="1" applyAlignment="1" applyProtection="1">
      <alignment horizontal="right" vertical="center"/>
    </xf>
    <xf numFmtId="177" fontId="0" fillId="0" borderId="145" xfId="0" applyNumberFormat="1" applyFont="1" applyFill="1" applyBorder="1" applyAlignment="1" applyProtection="1">
      <alignment horizontal="right" vertical="center"/>
    </xf>
    <xf numFmtId="169" fontId="0" fillId="12" borderId="225" xfId="16" applyFont="1" applyFill="1" applyBorder="1" applyAlignment="1" applyProtection="1">
      <alignment horizontal="center" vertical="center"/>
      <protection locked="0"/>
    </xf>
    <xf numFmtId="169" fontId="14" fillId="19" borderId="70" xfId="16" applyFont="1" applyFill="1" applyBorder="1" applyAlignment="1" applyProtection="1">
      <alignment horizontal="center" vertical="center"/>
    </xf>
    <xf numFmtId="177" fontId="22" fillId="26" borderId="72" xfId="0" applyNumberFormat="1" applyFont="1" applyFill="1" applyBorder="1" applyAlignment="1" applyProtection="1">
      <alignment horizontal="right" vertical="center"/>
    </xf>
    <xf numFmtId="168" fontId="0" fillId="49" borderId="124" xfId="13" applyNumberFormat="1" applyFont="1" applyFill="1" applyBorder="1" applyAlignment="1" applyProtection="1">
      <alignment vertical="center"/>
      <protection locked="0"/>
    </xf>
    <xf numFmtId="168" fontId="18" fillId="49" borderId="124" xfId="13" applyNumberFormat="1" applyFont="1" applyFill="1" applyBorder="1" applyAlignment="1" applyProtection="1">
      <alignment vertical="center"/>
      <protection locked="0"/>
    </xf>
    <xf numFmtId="176" fontId="18" fillId="49" borderId="124" xfId="12" applyNumberFormat="1" applyFont="1" applyFill="1" applyBorder="1" applyAlignment="1" applyProtection="1">
      <alignment vertical="center"/>
      <protection locked="0"/>
    </xf>
    <xf numFmtId="0" fontId="0" fillId="46" borderId="73" xfId="0" applyFont="1" applyFill="1" applyBorder="1" applyAlignment="1" applyProtection="1">
      <alignment horizontal="left" vertical="center"/>
    </xf>
    <xf numFmtId="0" fontId="0" fillId="46" borderId="173" xfId="0" applyFont="1" applyFill="1" applyBorder="1" applyAlignment="1" applyProtection="1">
      <alignment horizontal="left" vertical="center"/>
    </xf>
    <xf numFmtId="0" fontId="0" fillId="46" borderId="67" xfId="0" applyFont="1" applyFill="1" applyBorder="1" applyAlignment="1" applyProtection="1">
      <alignment horizontal="left" vertical="center"/>
    </xf>
    <xf numFmtId="178" fontId="0" fillId="46" borderId="230" xfId="13" applyNumberFormat="1" applyFont="1" applyFill="1" applyBorder="1" applyAlignment="1" applyProtection="1">
      <alignment vertical="center"/>
    </xf>
    <xf numFmtId="168" fontId="12" fillId="35" borderId="68" xfId="0" applyNumberFormat="1" applyFont="1" applyFill="1" applyBorder="1" applyAlignment="1" applyProtection="1">
      <alignment horizontal="center" vertical="center" wrapText="1"/>
    </xf>
    <xf numFmtId="168" fontId="12" fillId="35" borderId="122" xfId="0" applyNumberFormat="1" applyFont="1" applyFill="1" applyBorder="1" applyAlignment="1" applyProtection="1">
      <alignment horizontal="center" vertical="center" wrapText="1"/>
    </xf>
    <xf numFmtId="168" fontId="12" fillId="35" borderId="123" xfId="0" applyNumberFormat="1" applyFont="1" applyFill="1" applyBorder="1" applyAlignment="1" applyProtection="1">
      <alignment horizontal="center" vertical="center" wrapText="1"/>
    </xf>
    <xf numFmtId="178" fontId="0" fillId="46" borderId="231" xfId="13" applyNumberFormat="1" applyFont="1" applyFill="1" applyBorder="1" applyAlignment="1" applyProtection="1">
      <alignment vertical="center"/>
    </xf>
    <xf numFmtId="178" fontId="0" fillId="46" borderId="232" xfId="13" applyNumberFormat="1" applyFont="1" applyFill="1" applyBorder="1" applyAlignment="1" applyProtection="1">
      <alignment vertical="center"/>
    </xf>
    <xf numFmtId="178" fontId="0" fillId="46" borderId="129" xfId="13" applyNumberFormat="1" applyFont="1" applyFill="1" applyBorder="1" applyAlignment="1" applyProtection="1">
      <alignment vertical="center"/>
    </xf>
    <xf numFmtId="178" fontId="0" fillId="46" borderId="127" xfId="13" applyNumberFormat="1" applyFont="1" applyFill="1" applyBorder="1" applyAlignment="1" applyProtection="1">
      <alignment vertical="center"/>
    </xf>
    <xf numFmtId="178" fontId="0" fillId="46" borderId="128" xfId="13" applyNumberFormat="1" applyFont="1" applyFill="1" applyBorder="1" applyAlignment="1" applyProtection="1">
      <alignment vertical="center"/>
    </xf>
    <xf numFmtId="170" fontId="0" fillId="12" borderId="231" xfId="13" applyNumberFormat="1" applyFont="1" applyFill="1" applyBorder="1" applyAlignment="1" applyProtection="1">
      <alignment horizontal="center" vertical="center"/>
      <protection locked="0"/>
    </xf>
    <xf numFmtId="170" fontId="0" fillId="46" borderId="230" xfId="13" applyNumberFormat="1" applyFont="1" applyFill="1" applyBorder="1" applyAlignment="1" applyProtection="1">
      <alignment horizontal="center" vertical="center"/>
    </xf>
    <xf numFmtId="170" fontId="0" fillId="12" borderId="129" xfId="13" applyNumberFormat="1" applyFont="1" applyFill="1" applyBorder="1" applyAlignment="1" applyProtection="1">
      <alignment horizontal="center" vertical="center"/>
      <protection locked="0"/>
    </xf>
    <xf numFmtId="170" fontId="0" fillId="46" borderId="127" xfId="13" applyNumberFormat="1" applyFont="1" applyFill="1" applyBorder="1" applyAlignment="1" applyProtection="1">
      <alignment horizontal="center" vertical="center"/>
    </xf>
    <xf numFmtId="168" fontId="12" fillId="15" borderId="209" xfId="0" applyNumberFormat="1" applyFont="1" applyFill="1" applyBorder="1" applyAlignment="1" applyProtection="1">
      <alignment horizontal="center" vertical="center" wrapText="1"/>
    </xf>
    <xf numFmtId="168" fontId="12" fillId="15" borderId="223" xfId="0" applyNumberFormat="1" applyFont="1" applyFill="1" applyBorder="1" applyAlignment="1" applyProtection="1">
      <alignment horizontal="center" vertical="center" wrapText="1"/>
    </xf>
    <xf numFmtId="168" fontId="12" fillId="15" borderId="186" xfId="0" applyNumberFormat="1" applyFont="1" applyFill="1" applyBorder="1" applyAlignment="1" applyProtection="1">
      <alignment horizontal="center" vertical="center" wrapText="1"/>
    </xf>
    <xf numFmtId="168" fontId="12" fillId="15" borderId="229" xfId="0" applyNumberFormat="1" applyFont="1" applyFill="1" applyBorder="1" applyAlignment="1" applyProtection="1">
      <alignment horizontal="center" vertical="center" wrapText="1"/>
    </xf>
    <xf numFmtId="178" fontId="0" fillId="29" borderId="231" xfId="13" applyNumberFormat="1" applyFont="1" applyFill="1" applyBorder="1" applyAlignment="1" applyProtection="1">
      <alignment vertical="center"/>
    </xf>
    <xf numFmtId="178" fontId="0" fillId="29" borderId="230" xfId="13" applyNumberFormat="1" applyFont="1" applyFill="1" applyBorder="1" applyAlignment="1" applyProtection="1">
      <alignment vertical="center"/>
    </xf>
    <xf numFmtId="178" fontId="0" fillId="29" borderId="232" xfId="13" applyNumberFormat="1" applyFont="1" applyFill="1" applyBorder="1" applyAlignment="1" applyProtection="1">
      <alignment vertical="center"/>
    </xf>
    <xf numFmtId="178" fontId="0" fillId="29" borderId="129" xfId="13" applyNumberFormat="1" applyFont="1" applyFill="1" applyBorder="1" applyAlignment="1" applyProtection="1">
      <alignment vertical="center"/>
    </xf>
    <xf numFmtId="178" fontId="0" fillId="29" borderId="127" xfId="13" applyNumberFormat="1" applyFont="1" applyFill="1" applyBorder="1" applyAlignment="1" applyProtection="1">
      <alignment vertical="center"/>
    </xf>
    <xf numFmtId="178" fontId="0" fillId="29" borderId="128" xfId="13" applyNumberFormat="1" applyFont="1" applyFill="1" applyBorder="1" applyAlignment="1" applyProtection="1">
      <alignment vertical="center"/>
    </xf>
    <xf numFmtId="0" fontId="12" fillId="16" borderId="236" xfId="0" applyFont="1" applyFill="1" applyBorder="1" applyAlignment="1" applyProtection="1">
      <alignment horizontal="center" vertical="center" wrapText="1"/>
    </xf>
    <xf numFmtId="177" fontId="0" fillId="29" borderId="73" xfId="0" applyNumberFormat="1" applyFont="1" applyFill="1" applyBorder="1" applyAlignment="1" applyProtection="1">
      <alignment vertical="center"/>
    </xf>
    <xf numFmtId="177" fontId="0" fillId="29" borderId="237" xfId="0" applyNumberFormat="1" applyFont="1" applyFill="1" applyBorder="1" applyAlignment="1" applyProtection="1">
      <alignment vertical="center"/>
    </xf>
    <xf numFmtId="177" fontId="0" fillId="29" borderId="120" xfId="0" applyNumberFormat="1" applyFont="1" applyFill="1" applyBorder="1" applyAlignment="1" applyProtection="1">
      <alignment vertical="center"/>
    </xf>
    <xf numFmtId="177" fontId="0" fillId="29" borderId="131" xfId="0" applyNumberFormat="1" applyFont="1" applyFill="1" applyBorder="1" applyAlignment="1" applyProtection="1">
      <alignment horizontal="right" vertical="center"/>
    </xf>
    <xf numFmtId="177" fontId="0" fillId="29" borderId="238" xfId="0" applyNumberFormat="1" applyFont="1" applyFill="1" applyBorder="1" applyAlignment="1" applyProtection="1">
      <alignment horizontal="right" vertical="center"/>
    </xf>
    <xf numFmtId="177" fontId="0" fillId="29" borderId="132" xfId="0" applyNumberFormat="1" applyFont="1" applyFill="1" applyBorder="1" applyAlignment="1" applyProtection="1">
      <alignment horizontal="right" vertical="center"/>
    </xf>
    <xf numFmtId="177" fontId="21" fillId="28" borderId="210" xfId="0" applyNumberFormat="1" applyFont="1" applyFill="1" applyBorder="1" applyAlignment="1" applyProtection="1">
      <alignment horizontal="center" vertical="center"/>
    </xf>
    <xf numFmtId="168" fontId="12" fillId="15" borderId="228" xfId="0" applyNumberFormat="1" applyFont="1" applyFill="1" applyBorder="1" applyAlignment="1" applyProtection="1">
      <alignment horizontal="center" vertical="center" wrapText="1"/>
    </xf>
    <xf numFmtId="168" fontId="12" fillId="15" borderId="193" xfId="0" applyNumberFormat="1" applyFont="1" applyFill="1" applyBorder="1" applyAlignment="1" applyProtection="1">
      <alignment horizontal="center" vertical="center" wrapText="1"/>
    </xf>
    <xf numFmtId="168" fontId="12" fillId="15" borderId="243" xfId="0" applyNumberFormat="1" applyFont="1" applyFill="1" applyBorder="1" applyAlignment="1" applyProtection="1">
      <alignment horizontal="center" vertical="center" wrapText="1"/>
    </xf>
    <xf numFmtId="168" fontId="12" fillId="15" borderId="244" xfId="0" applyNumberFormat="1" applyFont="1" applyFill="1" applyBorder="1" applyAlignment="1" applyProtection="1">
      <alignment horizontal="center" vertical="center" wrapText="1"/>
    </xf>
    <xf numFmtId="168" fontId="0" fillId="37" borderId="231" xfId="13" applyNumberFormat="1" applyFont="1" applyFill="1" applyBorder="1" applyAlignment="1" applyProtection="1">
      <alignment vertical="center"/>
    </xf>
    <xf numFmtId="168" fontId="0" fillId="37" borderId="230" xfId="13" applyNumberFormat="1" applyFont="1" applyFill="1" applyBorder="1" applyAlignment="1" applyProtection="1">
      <alignment vertical="center"/>
    </xf>
    <xf numFmtId="168" fontId="0" fillId="37" borderId="237" xfId="13" applyNumberFormat="1" applyFont="1" applyFill="1" applyBorder="1" applyAlignment="1" applyProtection="1">
      <alignment vertical="center"/>
    </xf>
    <xf numFmtId="168" fontId="0" fillId="0" borderId="231" xfId="13" applyNumberFormat="1" applyFont="1" applyFill="1" applyBorder="1" applyAlignment="1" applyProtection="1">
      <alignment vertical="center"/>
    </xf>
    <xf numFmtId="168" fontId="0" fillId="0" borderId="230" xfId="13" applyNumberFormat="1" applyFont="1" applyFill="1" applyBorder="1" applyAlignment="1" applyProtection="1">
      <alignment vertical="center"/>
    </xf>
    <xf numFmtId="168" fontId="0" fillId="0" borderId="237" xfId="13" applyNumberFormat="1" applyFont="1" applyFill="1" applyBorder="1" applyAlignment="1" applyProtection="1">
      <alignment vertical="center"/>
    </xf>
    <xf numFmtId="170" fontId="0" fillId="0" borderId="231" xfId="0" applyNumberFormat="1" applyFont="1" applyFill="1" applyBorder="1" applyAlignment="1" applyProtection="1">
      <alignment horizontal="center" vertical="center"/>
    </xf>
    <xf numFmtId="170" fontId="0" fillId="0" borderId="230" xfId="0" applyNumberFormat="1" applyFont="1" applyFill="1" applyBorder="1" applyAlignment="1" applyProtection="1">
      <alignment horizontal="center" vertical="center"/>
    </xf>
    <xf numFmtId="170" fontId="0" fillId="0" borderId="232" xfId="0" applyNumberFormat="1" applyFont="1" applyFill="1" applyBorder="1" applyAlignment="1" applyProtection="1">
      <alignment horizontal="center" vertical="center"/>
    </xf>
    <xf numFmtId="168" fontId="0" fillId="37" borderId="129" xfId="13" applyNumberFormat="1" applyFont="1" applyFill="1" applyBorder="1" applyAlignment="1" applyProtection="1">
      <alignment vertical="center"/>
    </xf>
    <xf numFmtId="168" fontId="0" fillId="37" borderId="127" xfId="13" applyNumberFormat="1" applyFont="1" applyFill="1" applyBorder="1" applyAlignment="1" applyProtection="1">
      <alignment vertical="center"/>
    </xf>
    <xf numFmtId="168" fontId="0" fillId="37" borderId="120" xfId="13" applyNumberFormat="1" applyFont="1" applyFill="1" applyBorder="1" applyAlignment="1" applyProtection="1">
      <alignment vertical="center"/>
    </xf>
    <xf numFmtId="168" fontId="0" fillId="0" borderId="129" xfId="13" applyNumberFormat="1" applyFont="1" applyFill="1" applyBorder="1" applyAlignment="1" applyProtection="1">
      <alignment vertical="center"/>
    </xf>
    <xf numFmtId="168" fontId="0" fillId="0" borderId="127" xfId="13" applyNumberFormat="1" applyFont="1" applyFill="1" applyBorder="1" applyAlignment="1" applyProtection="1">
      <alignment vertical="center"/>
    </xf>
    <xf numFmtId="168" fontId="0" fillId="0" borderId="120" xfId="13" applyNumberFormat="1" applyFont="1" applyFill="1" applyBorder="1" applyAlignment="1" applyProtection="1">
      <alignment vertical="center"/>
    </xf>
    <xf numFmtId="170" fontId="0" fillId="0" borderId="129" xfId="0" applyNumberFormat="1" applyFont="1" applyFill="1" applyBorder="1" applyAlignment="1" applyProtection="1">
      <alignment horizontal="center" vertical="center"/>
    </xf>
    <xf numFmtId="170" fontId="0" fillId="0" borderId="127" xfId="0" applyNumberFormat="1" applyFont="1" applyFill="1" applyBorder="1" applyAlignment="1" applyProtection="1">
      <alignment horizontal="center" vertical="center"/>
    </xf>
    <xf numFmtId="170" fontId="0" fillId="0" borderId="128" xfId="0" applyNumberFormat="1" applyFont="1" applyFill="1" applyBorder="1" applyAlignment="1" applyProtection="1">
      <alignment horizontal="center" vertical="center"/>
    </xf>
    <xf numFmtId="168" fontId="12" fillId="15" borderId="245" xfId="0" applyNumberFormat="1" applyFont="1" applyFill="1" applyBorder="1" applyAlignment="1" applyProtection="1">
      <alignment horizontal="center" vertical="center" wrapText="1"/>
    </xf>
    <xf numFmtId="170" fontId="0" fillId="46" borderId="237" xfId="13" applyNumberFormat="1" applyFont="1" applyFill="1" applyBorder="1" applyAlignment="1" applyProtection="1">
      <alignment horizontal="center" vertical="center"/>
    </xf>
    <xf numFmtId="170" fontId="0" fillId="46" borderId="120" xfId="13" applyNumberFormat="1" applyFont="1" applyFill="1" applyBorder="1" applyAlignment="1" applyProtection="1">
      <alignment horizontal="center" vertical="center"/>
    </xf>
    <xf numFmtId="168" fontId="0" fillId="28" borderId="124" xfId="13" applyNumberFormat="1" applyFont="1" applyFill="1" applyBorder="1" applyAlignment="1" applyProtection="1">
      <alignment vertical="center"/>
    </xf>
    <xf numFmtId="181" fontId="13" fillId="28" borderId="230" xfId="13" applyNumberFormat="1" applyFill="1" applyBorder="1"/>
    <xf numFmtId="0" fontId="12" fillId="44" borderId="230" xfId="0" applyFont="1" applyFill="1" applyBorder="1" applyAlignment="1" applyProtection="1">
      <alignment horizontal="center" vertical="center"/>
    </xf>
    <xf numFmtId="168" fontId="12" fillId="44" borderId="124" xfId="13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Fill="1" applyBorder="1" applyProtection="1">
      <protection locked="0"/>
    </xf>
    <xf numFmtId="0" fontId="37" fillId="0" borderId="0" xfId="0" applyFont="1" applyFill="1" applyProtection="1">
      <protection locked="0"/>
    </xf>
    <xf numFmtId="0" fontId="38" fillId="0" borderId="230" xfId="0" applyFont="1" applyBorder="1" applyAlignment="1" applyProtection="1">
      <alignment horizontal="center"/>
      <protection locked="0"/>
    </xf>
    <xf numFmtId="9" fontId="39" fillId="0" borderId="230" xfId="0" applyNumberFormat="1" applyFont="1" applyFill="1" applyBorder="1" applyAlignment="1" applyProtection="1">
      <alignment horizontal="center"/>
      <protection locked="0"/>
    </xf>
    <xf numFmtId="0" fontId="38" fillId="0" borderId="230" xfId="0" applyFont="1" applyFill="1" applyBorder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38" fillId="0" borderId="230" xfId="0" applyFont="1" applyBorder="1" applyProtection="1">
      <protection locked="0"/>
    </xf>
    <xf numFmtId="169" fontId="30" fillId="0" borderId="230" xfId="16" applyFont="1" applyBorder="1" applyProtection="1">
      <protection locked="0"/>
    </xf>
    <xf numFmtId="1" fontId="38" fillId="0" borderId="230" xfId="0" applyNumberFormat="1" applyFont="1" applyFill="1" applyBorder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168" fontId="35" fillId="35" borderId="230" xfId="0" applyNumberFormat="1" applyFont="1" applyFill="1" applyBorder="1" applyAlignment="1" applyProtection="1">
      <alignment horizontal="center" vertical="center" wrapText="1"/>
      <protection locked="0"/>
    </xf>
    <xf numFmtId="168" fontId="12" fillId="35" borderId="230" xfId="0" applyNumberFormat="1" applyFont="1" applyFill="1" applyBorder="1" applyAlignment="1" applyProtection="1">
      <alignment horizontal="center" vertical="center" wrapText="1"/>
      <protection locked="0"/>
    </xf>
    <xf numFmtId="0" fontId="12" fillId="16" borderId="23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179" fontId="0" fillId="12" borderId="230" xfId="13" applyNumberFormat="1" applyFont="1" applyFill="1" applyBorder="1" applyAlignment="1" applyProtection="1">
      <alignment horizontal="center" vertical="center"/>
      <protection locked="0"/>
    </xf>
    <xf numFmtId="179" fontId="12" fillId="12" borderId="23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179" fontId="22" fillId="50" borderId="230" xfId="0" applyNumberFormat="1" applyFont="1" applyFill="1" applyBorder="1" applyProtection="1"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12" fillId="12" borderId="230" xfId="0" applyFont="1" applyFill="1" applyBorder="1" applyProtection="1">
      <protection locked="0"/>
    </xf>
    <xf numFmtId="0" fontId="0" fillId="12" borderId="230" xfId="0" applyFill="1" applyBorder="1" applyProtection="1"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12" fillId="50" borderId="230" xfId="0" applyFont="1" applyFill="1" applyBorder="1" applyProtection="1"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0" fillId="51" borderId="236" xfId="0" applyFill="1" applyBorder="1" applyProtection="1">
      <protection locked="0"/>
    </xf>
    <xf numFmtId="0" fontId="0" fillId="51" borderId="19" xfId="0" applyFill="1" applyBorder="1" applyProtection="1">
      <protection locked="0"/>
    </xf>
    <xf numFmtId="0" fontId="0" fillId="51" borderId="225" xfId="0" applyFill="1" applyBorder="1" applyProtection="1">
      <protection locked="0"/>
    </xf>
    <xf numFmtId="0" fontId="12" fillId="51" borderId="173" xfId="0" applyFont="1" applyFill="1" applyBorder="1" applyAlignment="1" applyProtection="1">
      <alignment horizontal="center" vertical="center" wrapText="1"/>
      <protection locked="0"/>
    </xf>
    <xf numFmtId="0" fontId="0" fillId="52" borderId="236" xfId="0" applyFill="1" applyBorder="1" applyProtection="1">
      <protection locked="0"/>
    </xf>
    <xf numFmtId="0" fontId="0" fillId="52" borderId="19" xfId="0" applyFill="1" applyBorder="1" applyProtection="1">
      <protection locked="0"/>
    </xf>
    <xf numFmtId="0" fontId="12" fillId="51" borderId="173" xfId="0" applyFont="1" applyFill="1" applyBorder="1" applyAlignment="1" applyProtection="1">
      <alignment vertical="center" wrapText="1"/>
      <protection locked="0"/>
    </xf>
    <xf numFmtId="0" fontId="0" fillId="52" borderId="225" xfId="0" applyFill="1" applyBorder="1" applyProtection="1">
      <protection locked="0"/>
    </xf>
    <xf numFmtId="0" fontId="29" fillId="52" borderId="173" xfId="0" applyFont="1" applyFill="1" applyBorder="1" applyAlignment="1" applyProtection="1">
      <alignment horizontal="left" vertical="center" wrapText="1"/>
      <protection locked="0"/>
    </xf>
    <xf numFmtId="0" fontId="0" fillId="52" borderId="0" xfId="0" applyFill="1" applyBorder="1" applyProtection="1">
      <protection locked="0"/>
    </xf>
    <xf numFmtId="0" fontId="42" fillId="52" borderId="0" xfId="0" applyFont="1" applyFill="1" applyBorder="1" applyProtection="1">
      <protection locked="0"/>
    </xf>
    <xf numFmtId="0" fontId="0" fillId="52" borderId="246" xfId="0" applyFill="1" applyBorder="1" applyProtection="1">
      <protection locked="0"/>
    </xf>
    <xf numFmtId="0" fontId="0" fillId="52" borderId="247" xfId="0" applyFill="1" applyBorder="1" applyProtection="1">
      <protection locked="0"/>
    </xf>
    <xf numFmtId="0" fontId="0" fillId="52" borderId="248" xfId="0" applyFill="1" applyBorder="1" applyProtection="1">
      <protection locked="0"/>
    </xf>
    <xf numFmtId="0" fontId="43" fillId="52" borderId="248" xfId="0" applyFont="1" applyFill="1" applyBorder="1" applyProtection="1">
      <protection locked="0"/>
    </xf>
    <xf numFmtId="0" fontId="38" fillId="51" borderId="0" xfId="0" applyFont="1" applyFill="1" applyBorder="1" applyAlignment="1" applyProtection="1">
      <alignment horizontal="left" vertical="center" wrapText="1"/>
      <protection locked="0"/>
    </xf>
    <xf numFmtId="0" fontId="38" fillId="51" borderId="246" xfId="0" applyFont="1" applyFill="1" applyBorder="1" applyAlignment="1" applyProtection="1">
      <alignment horizontal="left" vertical="center" wrapText="1"/>
      <protection locked="0"/>
    </xf>
    <xf numFmtId="0" fontId="12" fillId="51" borderId="173" xfId="0" applyFont="1" applyFill="1" applyBorder="1" applyAlignment="1" applyProtection="1">
      <alignment horizontal="center" vertical="center"/>
      <protection locked="0"/>
    </xf>
    <xf numFmtId="0" fontId="12" fillId="51" borderId="173" xfId="0" applyFont="1" applyFill="1" applyBorder="1" applyAlignment="1" applyProtection="1">
      <alignment vertical="center"/>
      <protection locked="0"/>
    </xf>
    <xf numFmtId="0" fontId="0" fillId="52" borderId="204" xfId="0" applyFill="1" applyBorder="1" applyAlignment="1" applyProtection="1">
      <alignment horizontal="center"/>
      <protection locked="0"/>
    </xf>
    <xf numFmtId="0" fontId="0" fillId="52" borderId="249" xfId="0" applyFill="1" applyBorder="1" applyProtection="1">
      <protection locked="0"/>
    </xf>
    <xf numFmtId="0" fontId="0" fillId="52" borderId="182" xfId="0" applyFill="1" applyBorder="1" applyAlignment="1" applyProtection="1">
      <alignment horizontal="center"/>
      <protection locked="0"/>
    </xf>
    <xf numFmtId="0" fontId="37" fillId="51" borderId="0" xfId="0" applyFont="1" applyFill="1" applyBorder="1" applyAlignment="1" applyProtection="1">
      <alignment vertical="center" wrapText="1"/>
      <protection locked="0"/>
    </xf>
    <xf numFmtId="0" fontId="37" fillId="51" borderId="246" xfId="0" applyFont="1" applyFill="1" applyBorder="1" applyAlignment="1" applyProtection="1">
      <alignment vertical="center" wrapText="1"/>
      <protection locked="0"/>
    </xf>
    <xf numFmtId="0" fontId="0" fillId="52" borderId="173" xfId="0" applyFill="1" applyBorder="1" applyProtection="1">
      <protection locked="0"/>
    </xf>
    <xf numFmtId="0" fontId="12" fillId="51" borderId="173" xfId="0" applyFont="1" applyFill="1" applyBorder="1" applyAlignment="1" applyProtection="1">
      <alignment horizontal="center"/>
      <protection locked="0"/>
    </xf>
    <xf numFmtId="0" fontId="0" fillId="51" borderId="173" xfId="0" applyFill="1" applyBorder="1" applyProtection="1">
      <protection locked="0"/>
    </xf>
    <xf numFmtId="0" fontId="0" fillId="52" borderId="169" xfId="0" applyFill="1" applyBorder="1" applyProtection="1">
      <protection locked="0"/>
    </xf>
    <xf numFmtId="0" fontId="0" fillId="51" borderId="0" xfId="0" applyFill="1" applyBorder="1" applyProtection="1">
      <protection locked="0"/>
    </xf>
    <xf numFmtId="0" fontId="0" fillId="51" borderId="246" xfId="0" applyFill="1" applyBorder="1" applyProtection="1">
      <protection locked="0"/>
    </xf>
    <xf numFmtId="0" fontId="0" fillId="52" borderId="182" xfId="0" applyFill="1" applyBorder="1" applyProtection="1">
      <protection locked="0"/>
    </xf>
    <xf numFmtId="0" fontId="0" fillId="51" borderId="247" xfId="0" applyFill="1" applyBorder="1" applyProtection="1">
      <protection locked="0"/>
    </xf>
    <xf numFmtId="0" fontId="0" fillId="12" borderId="250" xfId="0" applyFont="1" applyFill="1" applyBorder="1" applyAlignment="1" applyProtection="1">
      <alignment horizontal="left" vertical="center"/>
      <protection locked="0"/>
    </xf>
    <xf numFmtId="0" fontId="0" fillId="12" borderId="251" xfId="0" applyFont="1" applyFill="1" applyBorder="1" applyAlignment="1" applyProtection="1">
      <alignment horizontal="left" vertical="center"/>
      <protection locked="0"/>
    </xf>
    <xf numFmtId="0" fontId="0" fillId="12" borderId="251" xfId="0" applyFont="1" applyFill="1" applyBorder="1" applyProtection="1">
      <protection locked="0"/>
    </xf>
    <xf numFmtId="0" fontId="0" fillId="12" borderId="252" xfId="0" applyFont="1" applyFill="1" applyBorder="1" applyProtection="1"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0" fontId="0" fillId="12" borderId="230" xfId="0" applyFont="1" applyFill="1" applyBorder="1" applyAlignment="1" applyProtection="1">
      <alignment horizontal="left" vertical="center"/>
      <protection locked="0"/>
    </xf>
    <xf numFmtId="0" fontId="0" fillId="12" borderId="230" xfId="0" applyFont="1" applyFill="1" applyBorder="1" applyProtection="1">
      <protection locked="0"/>
    </xf>
    <xf numFmtId="0" fontId="0" fillId="12" borderId="237" xfId="0" applyFont="1" applyFill="1" applyBorder="1" applyProtection="1">
      <protection locked="0"/>
    </xf>
    <xf numFmtId="0" fontId="0" fillId="12" borderId="140" xfId="0" applyFont="1" applyFill="1" applyBorder="1" applyAlignment="1" applyProtection="1">
      <alignment horizontal="left" vertical="center"/>
      <protection locked="0"/>
    </xf>
    <xf numFmtId="0" fontId="0" fillId="12" borderId="127" xfId="0" applyFont="1" applyFill="1" applyBorder="1" applyProtection="1">
      <protection locked="0"/>
    </xf>
    <xf numFmtId="0" fontId="0" fillId="12" borderId="120" xfId="0" applyFont="1" applyFill="1" applyBorder="1" applyProtection="1">
      <protection locked="0"/>
    </xf>
    <xf numFmtId="0" fontId="0" fillId="12" borderId="225" xfId="0" applyFont="1" applyFill="1" applyBorder="1" applyAlignment="1" applyProtection="1">
      <alignment horizontal="left" vertical="center"/>
      <protection locked="0"/>
    </xf>
    <xf numFmtId="0" fontId="0" fillId="12" borderId="204" xfId="0" applyFont="1" applyFill="1" applyBorder="1" applyAlignment="1" applyProtection="1">
      <alignment horizontal="left" vertical="center"/>
      <protection locked="0"/>
    </xf>
    <xf numFmtId="0" fontId="0" fillId="12" borderId="204" xfId="0" applyFont="1" applyFill="1" applyBorder="1" applyProtection="1">
      <protection locked="0"/>
    </xf>
    <xf numFmtId="0" fontId="0" fillId="12" borderId="253" xfId="0" applyFont="1" applyFill="1" applyBorder="1" applyAlignment="1" applyProtection="1">
      <alignment horizontal="left" vertical="center"/>
      <protection locked="0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0" fontId="0" fillId="12" borderId="223" xfId="0" applyFont="1" applyFill="1" applyBorder="1" applyProtection="1">
      <protection locked="0"/>
    </xf>
    <xf numFmtId="0" fontId="0" fillId="12" borderId="224" xfId="0" applyFont="1" applyFill="1" applyBorder="1" applyProtection="1">
      <protection locked="0"/>
    </xf>
    <xf numFmtId="0" fontId="0" fillId="12" borderId="236" xfId="0" applyFont="1" applyFill="1" applyBorder="1" applyProtection="1">
      <protection locked="0"/>
    </xf>
    <xf numFmtId="0" fontId="37" fillId="0" borderId="0" xfId="0" applyFont="1" applyAlignment="1" applyProtection="1">
      <alignment horizontal="left"/>
      <protection locked="0"/>
    </xf>
    <xf numFmtId="0" fontId="0" fillId="52" borderId="225" xfId="0" applyFill="1" applyBorder="1" applyAlignment="1" applyProtection="1">
      <alignment horizontal="center"/>
      <protection locked="0"/>
    </xf>
    <xf numFmtId="0" fontId="0" fillId="52" borderId="246" xfId="0" applyFill="1" applyBorder="1" applyAlignment="1" applyProtection="1">
      <alignment horizontal="center"/>
      <protection locked="0"/>
    </xf>
    <xf numFmtId="0" fontId="0" fillId="52" borderId="249" xfId="0" applyFill="1" applyBorder="1" applyAlignment="1" applyProtection="1">
      <alignment horizontal="center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7" fillId="0" borderId="0" xfId="0" applyFont="1" applyFill="1" applyAlignment="1" applyProtection="1">
      <alignment horizontal="left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Fill="1" applyProtection="1">
      <protection locked="0"/>
    </xf>
    <xf numFmtId="0" fontId="45" fillId="0" borderId="0" xfId="0" applyFont="1" applyProtection="1">
      <protection locked="0"/>
    </xf>
    <xf numFmtId="178" fontId="0" fillId="12" borderId="251" xfId="13" applyNumberFormat="1" applyFont="1" applyFill="1" applyBorder="1" applyAlignment="1" applyProtection="1">
      <alignment vertical="center"/>
      <protection locked="0"/>
    </xf>
    <xf numFmtId="178" fontId="0" fillId="12" borderId="252" xfId="13" applyNumberFormat="1" applyFont="1" applyFill="1" applyBorder="1" applyAlignment="1" applyProtection="1">
      <alignment vertical="center"/>
      <protection locked="0"/>
    </xf>
    <xf numFmtId="178" fontId="0" fillId="12" borderId="230" xfId="13" applyNumberFormat="1" applyFont="1" applyFill="1" applyBorder="1" applyAlignment="1" applyProtection="1">
      <alignment vertical="center"/>
      <protection locked="0"/>
    </xf>
    <xf numFmtId="178" fontId="0" fillId="12" borderId="237" xfId="13" applyNumberFormat="1" applyFont="1" applyFill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0" fontId="0" fillId="46" borderId="251" xfId="0" applyFill="1" applyBorder="1" applyAlignment="1">
      <alignment horizontal="left" vertical="center"/>
    </xf>
    <xf numFmtId="168" fontId="13" fillId="1" borderId="251" xfId="13" applyNumberFormat="1" applyFill="1" applyBorder="1" applyAlignment="1">
      <alignment vertical="center"/>
    </xf>
    <xf numFmtId="168" fontId="13" fillId="1" borderId="252" xfId="13" applyNumberFormat="1" applyFill="1" applyBorder="1" applyAlignment="1">
      <alignment vertical="center"/>
    </xf>
    <xf numFmtId="168" fontId="13" fillId="1" borderId="254" xfId="13" applyNumberFormat="1" applyFill="1" applyBorder="1" applyAlignment="1">
      <alignment vertical="center"/>
    </xf>
    <xf numFmtId="168" fontId="13" fillId="1" borderId="123" xfId="13" applyNumberFormat="1" applyFill="1" applyBorder="1" applyAlignment="1">
      <alignment vertical="center"/>
    </xf>
    <xf numFmtId="0" fontId="0" fillId="46" borderId="169" xfId="0" applyFill="1" applyBorder="1" applyAlignment="1">
      <alignment horizontal="left" vertical="center"/>
    </xf>
    <xf numFmtId="168" fontId="13" fillId="1" borderId="230" xfId="13" applyNumberFormat="1" applyFill="1" applyBorder="1" applyAlignment="1">
      <alignment vertical="center"/>
    </xf>
    <xf numFmtId="168" fontId="13" fillId="1" borderId="237" xfId="13" applyNumberFormat="1" applyFill="1" applyBorder="1" applyAlignment="1">
      <alignment vertical="center"/>
    </xf>
    <xf numFmtId="168" fontId="13" fillId="1" borderId="231" xfId="13" applyNumberFormat="1" applyFill="1" applyBorder="1" applyAlignment="1">
      <alignment vertical="center"/>
    </xf>
    <xf numFmtId="168" fontId="13" fillId="1" borderId="232" xfId="13" applyNumberFormat="1" applyFill="1" applyBorder="1" applyAlignment="1">
      <alignment vertical="center"/>
    </xf>
    <xf numFmtId="0" fontId="0" fillId="46" borderId="127" xfId="0" applyFill="1" applyBorder="1" applyAlignment="1">
      <alignment horizontal="left" vertical="center"/>
    </xf>
    <xf numFmtId="168" fontId="13" fillId="1" borderId="127" xfId="13" applyNumberFormat="1" applyFill="1" applyBorder="1" applyAlignment="1">
      <alignment vertical="center"/>
    </xf>
    <xf numFmtId="168" fontId="13" fillId="1" borderId="120" xfId="13" applyNumberFormat="1" applyFill="1" applyBorder="1" applyAlignment="1">
      <alignment vertical="center"/>
    </xf>
    <xf numFmtId="168" fontId="13" fillId="1" borderId="129" xfId="13" applyNumberFormat="1" applyFill="1" applyBorder="1" applyAlignment="1">
      <alignment vertical="center"/>
    </xf>
    <xf numFmtId="168" fontId="13" fillId="1" borderId="128" xfId="13" applyNumberFormat="1" applyFill="1" applyBorder="1" applyAlignment="1">
      <alignment vertical="center"/>
    </xf>
    <xf numFmtId="179" fontId="0" fillId="12" borderId="250" xfId="13" applyNumberFormat="1" applyFont="1" applyFill="1" applyBorder="1" applyAlignment="1" applyProtection="1">
      <alignment horizontal="center" vertical="center"/>
      <protection locked="0"/>
    </xf>
    <xf numFmtId="179" fontId="0" fillId="12" borderId="251" xfId="13" applyNumberFormat="1" applyFont="1" applyFill="1" applyBorder="1" applyAlignment="1" applyProtection="1">
      <alignment horizontal="center" vertical="center"/>
      <protection locked="0"/>
    </xf>
    <xf numFmtId="179" fontId="12" fillId="29" borderId="123" xfId="0" applyNumberFormat="1" applyFont="1" applyFill="1" applyBorder="1" applyAlignment="1">
      <alignment vertical="center"/>
    </xf>
    <xf numFmtId="179" fontId="0" fillId="53" borderId="255" xfId="13" applyNumberFormat="1" applyFont="1" applyFill="1" applyBorder="1" applyAlignment="1">
      <alignment horizontal="center" vertical="center"/>
    </xf>
    <xf numFmtId="179" fontId="0" fillId="53" borderId="169" xfId="13" applyNumberFormat="1" applyFont="1" applyFill="1" applyBorder="1" applyAlignment="1">
      <alignment horizontal="center" vertical="center"/>
    </xf>
    <xf numFmtId="179" fontId="12" fillId="54" borderId="170" xfId="0" applyNumberFormat="1" applyFont="1" applyFill="1" applyBorder="1" applyAlignment="1">
      <alignment vertical="center"/>
    </xf>
    <xf numFmtId="179" fontId="12" fillId="29" borderId="128" xfId="0" applyNumberFormat="1" applyFont="1" applyFill="1" applyBorder="1" applyAlignment="1">
      <alignment vertical="center"/>
    </xf>
    <xf numFmtId="168" fontId="0" fillId="0" borderId="111" xfId="0" applyNumberFormat="1" applyBorder="1" applyAlignment="1">
      <alignment vertical="center"/>
    </xf>
    <xf numFmtId="168" fontId="13" fillId="0" borderId="251" xfId="13" applyNumberFormat="1" applyBorder="1" applyAlignment="1">
      <alignment vertical="center"/>
    </xf>
    <xf numFmtId="168" fontId="13" fillId="0" borderId="252" xfId="13" applyNumberFormat="1" applyBorder="1" applyAlignment="1">
      <alignment vertical="center"/>
    </xf>
    <xf numFmtId="168" fontId="13" fillId="0" borderId="254" xfId="13" applyNumberFormat="1" applyBorder="1" applyAlignment="1">
      <alignment vertical="center"/>
    </xf>
    <xf numFmtId="168" fontId="13" fillId="0" borderId="123" xfId="13" applyNumberFormat="1" applyBorder="1" applyAlignment="1">
      <alignment vertical="center"/>
    </xf>
    <xf numFmtId="168" fontId="0" fillId="10" borderId="250" xfId="13" applyNumberFormat="1" applyFont="1" applyFill="1" applyBorder="1" applyAlignment="1">
      <alignment horizontal="right" vertical="center"/>
    </xf>
    <xf numFmtId="168" fontId="0" fillId="10" borderId="251" xfId="13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8" fontId="0" fillId="0" borderId="177" xfId="0" applyNumberFormat="1" applyBorder="1" applyAlignment="1">
      <alignment vertical="center"/>
    </xf>
    <xf numFmtId="173" fontId="0" fillId="0" borderId="230" xfId="12" applyNumberFormat="1" applyFont="1" applyBorder="1" applyAlignment="1">
      <alignment vertical="center"/>
    </xf>
    <xf numFmtId="173" fontId="0" fillId="0" borderId="237" xfId="12" applyNumberFormat="1" applyFont="1" applyBorder="1" applyAlignment="1">
      <alignment vertical="center"/>
    </xf>
    <xf numFmtId="173" fontId="0" fillId="0" borderId="231" xfId="12" applyNumberFormat="1" applyFont="1" applyBorder="1" applyAlignment="1">
      <alignment vertical="center"/>
    </xf>
    <xf numFmtId="173" fontId="0" fillId="0" borderId="232" xfId="12" applyNumberFormat="1" applyFont="1" applyBorder="1" applyAlignment="1">
      <alignment vertical="center"/>
    </xf>
    <xf numFmtId="168" fontId="0" fillId="10" borderId="141" xfId="13" applyNumberFormat="1" applyFont="1" applyFill="1" applyBorder="1" applyAlignment="1">
      <alignment horizontal="right" vertical="center"/>
    </xf>
    <xf numFmtId="168" fontId="0" fillId="10" borderId="230" xfId="13" applyNumberFormat="1" applyFont="1" applyFill="1" applyBorder="1" applyAlignment="1">
      <alignment horizontal="right" vertical="center"/>
    </xf>
    <xf numFmtId="168" fontId="12" fillId="40" borderId="183" xfId="0" applyNumberFormat="1" applyFont="1" applyFill="1" applyBorder="1" applyAlignment="1">
      <alignment vertical="center"/>
    </xf>
    <xf numFmtId="168" fontId="12" fillId="40" borderId="129" xfId="13" applyNumberFormat="1" applyFont="1" applyFill="1" applyBorder="1" applyAlignment="1">
      <alignment vertical="center"/>
    </xf>
    <xf numFmtId="168" fontId="12" fillId="40" borderId="127" xfId="13" applyNumberFormat="1" applyFont="1" applyFill="1" applyBorder="1" applyAlignment="1">
      <alignment vertical="center"/>
    </xf>
    <xf numFmtId="168" fontId="12" fillId="40" borderId="120" xfId="13" applyNumberFormat="1" applyFont="1" applyFill="1" applyBorder="1" applyAlignment="1">
      <alignment vertical="center"/>
    </xf>
    <xf numFmtId="168" fontId="12" fillId="40" borderId="128" xfId="13" applyNumberFormat="1" applyFont="1" applyFill="1" applyBorder="1" applyAlignment="1">
      <alignment vertical="center"/>
    </xf>
    <xf numFmtId="168" fontId="12" fillId="40" borderId="140" xfId="13" applyNumberFormat="1" applyFont="1" applyFill="1" applyBorder="1" applyAlignment="1">
      <alignment horizontal="right" vertical="center"/>
    </xf>
    <xf numFmtId="168" fontId="12" fillId="40" borderId="127" xfId="13" applyNumberFormat="1" applyFont="1" applyFill="1" applyBorder="1" applyAlignment="1">
      <alignment horizontal="right" vertical="center"/>
    </xf>
    <xf numFmtId="168" fontId="12" fillId="40" borderId="153" xfId="13" applyNumberFormat="1" applyFont="1" applyFill="1" applyBorder="1" applyAlignment="1">
      <alignment horizontal="right" vertical="center"/>
    </xf>
    <xf numFmtId="168" fontId="13" fillId="1" borderId="104" xfId="13" applyNumberFormat="1" applyFill="1" applyBorder="1" applyAlignment="1">
      <alignment vertical="center"/>
    </xf>
    <xf numFmtId="168" fontId="13" fillId="1" borderId="182" xfId="13" applyNumberFormat="1" applyFill="1" applyBorder="1" applyAlignment="1">
      <alignment vertical="center"/>
    </xf>
    <xf numFmtId="168" fontId="13" fillId="1" borderId="158" xfId="13" applyNumberFormat="1" applyFill="1" applyBorder="1" applyAlignment="1">
      <alignment vertical="center"/>
    </xf>
    <xf numFmtId="173" fontId="0" fillId="1" borderId="230" xfId="12" applyNumberFormat="1" applyFont="1" applyFill="1" applyBorder="1" applyAlignment="1">
      <alignment vertical="center"/>
    </xf>
    <xf numFmtId="173" fontId="0" fillId="1" borderId="237" xfId="12" applyNumberFormat="1" applyFont="1" applyFill="1" applyBorder="1" applyAlignment="1">
      <alignment vertical="center"/>
    </xf>
    <xf numFmtId="173" fontId="0" fillId="1" borderId="231" xfId="12" applyNumberFormat="1" applyFont="1" applyFill="1" applyBorder="1" applyAlignment="1">
      <alignment vertical="center"/>
    </xf>
    <xf numFmtId="173" fontId="0" fillId="1" borderId="232" xfId="12" applyNumberFormat="1" applyFont="1" applyFill="1" applyBorder="1" applyAlignment="1">
      <alignment vertical="center"/>
    </xf>
    <xf numFmtId="168" fontId="12" fillId="40" borderId="130" xfId="13" applyNumberFormat="1" applyFont="1" applyFill="1" applyBorder="1" applyAlignment="1">
      <alignment vertical="center"/>
    </xf>
    <xf numFmtId="168" fontId="12" fillId="40" borderId="204" xfId="13" applyNumberFormat="1" applyFont="1" applyFill="1" applyBorder="1" applyAlignment="1">
      <alignment vertical="center"/>
    </xf>
    <xf numFmtId="168" fontId="12" fillId="40" borderId="145" xfId="13" applyNumberFormat="1" applyFont="1" applyFill="1" applyBorder="1" applyAlignment="1">
      <alignment vertical="center"/>
    </xf>
    <xf numFmtId="168" fontId="12" fillId="40" borderId="128" xfId="13" applyNumberFormat="1" applyFont="1" applyFill="1" applyBorder="1" applyAlignment="1">
      <alignment horizontal="right" vertical="center"/>
    </xf>
    <xf numFmtId="167" fontId="0" fillId="0" borderId="131" xfId="13" applyNumberFormat="1" applyFont="1" applyBorder="1" applyAlignment="1">
      <alignment vertical="center"/>
    </xf>
    <xf numFmtId="168" fontId="0" fillId="29" borderId="254" xfId="13" applyNumberFormat="1" applyFont="1" applyFill="1" applyBorder="1" applyAlignment="1">
      <alignment vertical="center"/>
    </xf>
    <xf numFmtId="168" fontId="0" fillId="29" borderId="251" xfId="13" applyNumberFormat="1" applyFont="1" applyFill="1" applyBorder="1" applyAlignment="1">
      <alignment vertical="center"/>
    </xf>
    <xf numFmtId="168" fontId="0" fillId="55" borderId="251" xfId="13" applyNumberFormat="1" applyFont="1" applyFill="1" applyBorder="1" applyAlignment="1">
      <alignment vertical="center"/>
    </xf>
    <xf numFmtId="168" fontId="0" fillId="55" borderId="252" xfId="13" applyNumberFormat="1" applyFont="1" applyFill="1" applyBorder="1" applyAlignment="1">
      <alignment vertical="center"/>
    </xf>
    <xf numFmtId="168" fontId="0" fillId="1" borderId="254" xfId="13" applyNumberFormat="1" applyFont="1" applyFill="1" applyBorder="1" applyAlignment="1">
      <alignment vertical="center"/>
    </xf>
    <xf numFmtId="168" fontId="0" fillId="1" borderId="251" xfId="13" applyNumberFormat="1" applyFont="1" applyFill="1" applyBorder="1" applyAlignment="1">
      <alignment vertical="center"/>
    </xf>
    <xf numFmtId="168" fontId="0" fillId="1" borderId="252" xfId="13" applyNumberFormat="1" applyFont="1" applyFill="1" applyBorder="1" applyAlignment="1">
      <alignment vertical="center"/>
    </xf>
    <xf numFmtId="170" fontId="0" fillId="1" borderId="254" xfId="0" applyNumberFormat="1" applyFill="1" applyBorder="1" applyAlignment="1">
      <alignment horizontal="center" vertical="center"/>
    </xf>
    <xf numFmtId="170" fontId="0" fillId="1" borderId="251" xfId="0" applyNumberFormat="1" applyFill="1" applyBorder="1" applyAlignment="1">
      <alignment horizontal="center" vertical="center"/>
    </xf>
    <xf numFmtId="170" fontId="0" fillId="1" borderId="123" xfId="0" applyNumberFormat="1" applyFill="1" applyBorder="1" applyAlignment="1">
      <alignment horizontal="center" vertical="center"/>
    </xf>
    <xf numFmtId="167" fontId="0" fillId="0" borderId="238" xfId="13" applyNumberFormat="1" applyFont="1" applyBorder="1" applyAlignment="1">
      <alignment vertical="center"/>
    </xf>
    <xf numFmtId="168" fontId="0" fillId="56" borderId="231" xfId="13" applyNumberFormat="1" applyFont="1" applyFill="1" applyBorder="1" applyAlignment="1">
      <alignment vertical="center"/>
    </xf>
    <xf numFmtId="168" fontId="0" fillId="56" borderId="230" xfId="13" applyNumberFormat="1" applyFont="1" applyFill="1" applyBorder="1" applyAlignment="1">
      <alignment vertical="center"/>
    </xf>
    <xf numFmtId="168" fontId="0" fillId="55" borderId="230" xfId="13" applyNumberFormat="1" applyFont="1" applyFill="1" applyBorder="1" applyAlignment="1">
      <alignment vertical="center"/>
    </xf>
    <xf numFmtId="168" fontId="0" fillId="55" borderId="237" xfId="13" applyNumberFormat="1" applyFont="1" applyFill="1" applyBorder="1" applyAlignment="1">
      <alignment vertical="center"/>
    </xf>
    <xf numFmtId="168" fontId="0" fillId="1" borderId="231" xfId="13" applyNumberFormat="1" applyFont="1" applyFill="1" applyBorder="1" applyAlignment="1">
      <alignment vertical="center"/>
    </xf>
    <xf numFmtId="168" fontId="0" fillId="1" borderId="230" xfId="13" applyNumberFormat="1" applyFont="1" applyFill="1" applyBorder="1" applyAlignment="1">
      <alignment vertical="center"/>
    </xf>
    <xf numFmtId="168" fontId="0" fillId="1" borderId="237" xfId="13" applyNumberFormat="1" applyFont="1" applyFill="1" applyBorder="1" applyAlignment="1">
      <alignment vertical="center"/>
    </xf>
    <xf numFmtId="170" fontId="0" fillId="1" borderId="231" xfId="0" applyNumberFormat="1" applyFill="1" applyBorder="1" applyAlignment="1">
      <alignment horizontal="center" vertical="center"/>
    </xf>
    <xf numFmtId="170" fontId="0" fillId="1" borderId="230" xfId="0" applyNumberFormat="1" applyFill="1" applyBorder="1" applyAlignment="1">
      <alignment horizontal="center" vertical="center"/>
    </xf>
    <xf numFmtId="170" fontId="0" fillId="1" borderId="232" xfId="0" applyNumberFormat="1" applyFill="1" applyBorder="1" applyAlignment="1">
      <alignment horizontal="center" vertical="center"/>
    </xf>
    <xf numFmtId="167" fontId="0" fillId="0" borderId="132" xfId="13" applyNumberFormat="1" applyFont="1" applyBorder="1" applyAlignment="1">
      <alignment vertical="center"/>
    </xf>
    <xf numFmtId="168" fontId="0" fillId="29" borderId="129" xfId="13" applyNumberFormat="1" applyFont="1" applyFill="1" applyBorder="1" applyAlignment="1">
      <alignment vertical="center"/>
    </xf>
    <xf numFmtId="168" fontId="0" fillId="29" borderId="127" xfId="13" applyNumberFormat="1" applyFont="1" applyFill="1" applyBorder="1" applyAlignment="1">
      <alignment vertical="center"/>
    </xf>
    <xf numFmtId="168" fontId="0" fillId="55" borderId="127" xfId="13" applyNumberFormat="1" applyFont="1" applyFill="1" applyBorder="1" applyAlignment="1">
      <alignment vertical="center"/>
    </xf>
    <xf numFmtId="168" fontId="0" fillId="55" borderId="120" xfId="13" applyNumberFormat="1" applyFont="1" applyFill="1" applyBorder="1" applyAlignment="1">
      <alignment vertical="center"/>
    </xf>
    <xf numFmtId="168" fontId="0" fillId="1" borderId="129" xfId="13" applyNumberFormat="1" applyFont="1" applyFill="1" applyBorder="1" applyAlignment="1">
      <alignment vertical="center"/>
    </xf>
    <xf numFmtId="168" fontId="0" fillId="1" borderId="127" xfId="13" applyNumberFormat="1" applyFont="1" applyFill="1" applyBorder="1" applyAlignment="1">
      <alignment vertical="center"/>
    </xf>
    <xf numFmtId="168" fontId="0" fillId="1" borderId="120" xfId="13" applyNumberFormat="1" applyFont="1" applyFill="1" applyBorder="1" applyAlignment="1">
      <alignment vertical="center"/>
    </xf>
    <xf numFmtId="170" fontId="0" fillId="1" borderId="129" xfId="0" applyNumberFormat="1" applyFill="1" applyBorder="1" applyAlignment="1">
      <alignment horizontal="center" vertical="center"/>
    </xf>
    <xf numFmtId="170" fontId="0" fillId="1" borderId="127" xfId="0" applyNumberFormat="1" applyFill="1" applyBorder="1" applyAlignment="1">
      <alignment horizontal="center" vertical="center"/>
    </xf>
    <xf numFmtId="170" fontId="0" fillId="1" borderId="128" xfId="0" applyNumberFormat="1" applyFill="1" applyBorder="1" applyAlignment="1">
      <alignment horizontal="center" vertical="center"/>
    </xf>
    <xf numFmtId="168" fontId="0" fillId="55" borderId="250" xfId="13" applyNumberFormat="1" applyFont="1" applyFill="1" applyBorder="1" applyAlignment="1">
      <alignment vertical="center"/>
    </xf>
    <xf numFmtId="168" fontId="0" fillId="55" borderId="141" xfId="13" applyNumberFormat="1" applyFont="1" applyFill="1" applyBorder="1" applyAlignment="1">
      <alignment vertical="center"/>
    </xf>
    <xf numFmtId="168" fontId="0" fillId="55" borderId="140" xfId="13" applyNumberFormat="1" applyFont="1" applyFill="1" applyBorder="1" applyAlignment="1">
      <alignment vertical="center"/>
    </xf>
    <xf numFmtId="168" fontId="0" fillId="29" borderId="130" xfId="13" applyNumberFormat="1" applyFont="1" applyFill="1" applyBorder="1" applyAlignment="1" applyProtection="1">
      <alignment vertical="center"/>
    </xf>
    <xf numFmtId="168" fontId="0" fillId="29" borderId="204" xfId="13" applyNumberFormat="1" applyFont="1" applyFill="1" applyBorder="1" applyAlignment="1" applyProtection="1">
      <alignment vertical="center"/>
    </xf>
    <xf numFmtId="168" fontId="0" fillId="29" borderId="236" xfId="13" applyNumberFormat="1" applyFont="1" applyFill="1" applyBorder="1" applyAlignment="1" applyProtection="1">
      <alignment vertical="center"/>
    </xf>
    <xf numFmtId="168" fontId="0" fillId="29" borderId="123" xfId="13" applyNumberFormat="1" applyFont="1" applyFill="1" applyBorder="1" applyAlignment="1">
      <alignment vertical="center"/>
    </xf>
    <xf numFmtId="168" fontId="0" fillId="56" borderId="232" xfId="13" applyNumberFormat="1" applyFont="1" applyFill="1" applyBorder="1" applyAlignment="1">
      <alignment vertical="center"/>
    </xf>
    <xf numFmtId="168" fontId="0" fillId="29" borderId="128" xfId="13" applyNumberFormat="1" applyFont="1" applyFill="1" applyBorder="1" applyAlignment="1">
      <alignment vertical="center"/>
    </xf>
    <xf numFmtId="178" fontId="0" fillId="12" borderId="250" xfId="13" applyNumberFormat="1" applyFont="1" applyFill="1" applyBorder="1" applyAlignment="1" applyProtection="1">
      <alignment vertical="center"/>
      <protection locked="0"/>
    </xf>
    <xf numFmtId="178" fontId="0" fillId="12" borderId="141" xfId="13" applyNumberFormat="1" applyFont="1" applyFill="1" applyBorder="1" applyAlignment="1" applyProtection="1">
      <alignment vertical="center"/>
      <protection locked="0"/>
    </xf>
    <xf numFmtId="178" fontId="0" fillId="12" borderId="140" xfId="13" applyNumberFormat="1" applyFont="1" applyFill="1" applyBorder="1" applyAlignment="1" applyProtection="1">
      <alignment vertical="center"/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232" xfId="0" applyFont="1" applyFill="1" applyBorder="1" applyAlignment="1" applyProtection="1">
      <alignment horizontal="left" vertical="center"/>
      <protection locked="0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0" fontId="0" fillId="12" borderId="230" xfId="0" applyFill="1" applyBorder="1" applyAlignment="1" applyProtection="1">
      <alignment horizontal="left" vertical="center"/>
      <protection locked="0"/>
    </xf>
    <xf numFmtId="178" fontId="0" fillId="12" borderId="231" xfId="13" applyNumberFormat="1" applyFont="1" applyFill="1" applyBorder="1" applyAlignment="1" applyProtection="1">
      <alignment vertical="center"/>
      <protection locked="0"/>
    </xf>
    <xf numFmtId="0" fontId="0" fillId="12" borderId="182" xfId="0" applyFont="1" applyFill="1" applyBorder="1" applyAlignment="1" applyProtection="1">
      <alignment horizontal="left" vertical="center"/>
      <protection locked="0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0" fontId="0" fillId="12" borderId="254" xfId="0" applyFont="1" applyFill="1" applyBorder="1" applyAlignment="1" applyProtection="1">
      <alignment horizontal="left" vertical="center"/>
      <protection locked="0"/>
    </xf>
    <xf numFmtId="0" fontId="0" fillId="12" borderId="231" xfId="0" applyFont="1" applyFill="1" applyBorder="1" applyAlignment="1" applyProtection="1">
      <alignment horizontal="left" vertical="center"/>
      <protection locked="0"/>
    </xf>
    <xf numFmtId="0" fontId="12" fillId="17" borderId="230" xfId="0" applyFont="1" applyFill="1" applyBorder="1" applyAlignment="1">
      <alignment horizontal="center" vertical="center" wrapText="1"/>
    </xf>
    <xf numFmtId="174" fontId="12" fillId="17" borderId="230" xfId="12" applyNumberFormat="1" applyFont="1" applyFill="1" applyBorder="1" applyAlignment="1">
      <alignment horizontal="center" vertical="center" wrapText="1"/>
    </xf>
    <xf numFmtId="0" fontId="10" fillId="17" borderId="230" xfId="0" applyFont="1" applyFill="1" applyBorder="1" applyAlignment="1">
      <alignment horizontal="center" vertical="center"/>
    </xf>
    <xf numFmtId="0" fontId="12" fillId="21" borderId="198" xfId="0" applyFont="1" applyFill="1" applyBorder="1" applyAlignment="1">
      <alignment horizontal="center" vertical="center"/>
    </xf>
    <xf numFmtId="0" fontId="10" fillId="23" borderId="177" xfId="0" applyFont="1" applyFill="1" applyBorder="1" applyAlignment="1">
      <alignment horizontal="left" vertical="center"/>
    </xf>
    <xf numFmtId="168" fontId="10" fillId="23" borderId="230" xfId="13" applyNumberFormat="1" applyFont="1" applyFill="1" applyBorder="1" applyAlignment="1">
      <alignment horizontal="center" vertical="center"/>
    </xf>
    <xf numFmtId="168" fontId="10" fillId="24" borderId="230" xfId="13" applyNumberFormat="1" applyFont="1" applyFill="1" applyBorder="1" applyAlignment="1">
      <alignment vertical="center"/>
    </xf>
    <xf numFmtId="168" fontId="12" fillId="41" borderId="230" xfId="13" applyNumberFormat="1" applyFont="1" applyFill="1" applyBorder="1" applyAlignment="1">
      <alignment vertical="center"/>
    </xf>
    <xf numFmtId="168" fontId="10" fillId="23" borderId="198" xfId="13" applyNumberFormat="1" applyFont="1" applyFill="1" applyBorder="1" applyAlignment="1">
      <alignment horizontal="center" vertical="center"/>
    </xf>
    <xf numFmtId="0" fontId="12" fillId="20" borderId="165" xfId="0" applyFont="1" applyFill="1" applyBorder="1" applyAlignment="1">
      <alignment horizontal="center" vertical="center" wrapText="1"/>
    </xf>
    <xf numFmtId="0" fontId="10" fillId="20" borderId="177" xfId="0" applyFont="1" applyFill="1" applyBorder="1" applyAlignment="1">
      <alignment horizontal="left" vertical="center"/>
    </xf>
    <xf numFmtId="168" fontId="10" fillId="20" borderId="230" xfId="13" applyNumberFormat="1" applyFont="1" applyFill="1" applyBorder="1" applyAlignment="1">
      <alignment horizontal="center" vertical="center"/>
    </xf>
    <xf numFmtId="168" fontId="10" fillId="22" borderId="230" xfId="13" applyNumberFormat="1" applyFont="1" applyFill="1" applyBorder="1" applyAlignment="1">
      <alignment vertical="center"/>
    </xf>
    <xf numFmtId="168" fontId="12" fillId="42" borderId="230" xfId="13" applyNumberFormat="1" applyFont="1" applyFill="1" applyBorder="1" applyAlignment="1">
      <alignment vertical="center"/>
    </xf>
    <xf numFmtId="168" fontId="10" fillId="20" borderId="165" xfId="13" applyNumberFormat="1" applyFont="1" applyFill="1" applyBorder="1" applyAlignment="1">
      <alignment horizontal="center" vertical="center"/>
    </xf>
    <xf numFmtId="1" fontId="0" fillId="0" borderId="165" xfId="0" applyNumberFormat="1" applyBorder="1" applyAlignment="1">
      <alignment horizontal="center" vertical="center" wrapText="1"/>
    </xf>
    <xf numFmtId="175" fontId="18" fillId="0" borderId="177" xfId="0" applyNumberFormat="1" applyFont="1" applyBorder="1" applyAlignment="1">
      <alignment horizontal="left"/>
    </xf>
    <xf numFmtId="168" fontId="0" fillId="46" borderId="230" xfId="13" applyNumberFormat="1" applyFont="1" applyFill="1" applyBorder="1" applyAlignment="1">
      <alignment vertical="center"/>
    </xf>
    <xf numFmtId="168" fontId="18" fillId="1" borderId="230" xfId="13" applyNumberFormat="1" applyFont="1" applyFill="1" applyBorder="1" applyAlignment="1">
      <alignment vertical="center"/>
    </xf>
    <xf numFmtId="176" fontId="18" fillId="1" borderId="230" xfId="12" applyNumberFormat="1" applyFont="1" applyFill="1" applyBorder="1" applyAlignment="1">
      <alignment vertical="center"/>
    </xf>
    <xf numFmtId="168" fontId="18" fillId="29" borderId="230" xfId="13" applyNumberFormat="1" applyFont="1" applyFill="1" applyBorder="1" applyAlignment="1">
      <alignment vertical="center"/>
    </xf>
    <xf numFmtId="168" fontId="10" fillId="28" borderId="198" xfId="13" applyNumberFormat="1" applyFont="1" applyFill="1" applyBorder="1" applyAlignment="1">
      <alignment vertical="center"/>
    </xf>
    <xf numFmtId="168" fontId="0" fillId="12" borderId="230" xfId="13" applyNumberFormat="1" applyFont="1" applyFill="1" applyBorder="1" applyAlignment="1" applyProtection="1">
      <alignment vertical="center"/>
      <protection locked="0"/>
    </xf>
    <xf numFmtId="168" fontId="18" fillId="12" borderId="230" xfId="13" applyNumberFormat="1" applyFont="1" applyFill="1" applyBorder="1" applyAlignment="1" applyProtection="1">
      <alignment vertical="center"/>
      <protection locked="0"/>
    </xf>
    <xf numFmtId="176" fontId="18" fillId="12" borderId="230" xfId="12" applyNumberFormat="1" applyFont="1" applyFill="1" applyBorder="1" applyAlignment="1" applyProtection="1">
      <alignment vertical="center"/>
      <protection locked="0"/>
    </xf>
    <xf numFmtId="1" fontId="0" fillId="0" borderId="164" xfId="0" applyNumberFormat="1" applyBorder="1" applyAlignment="1">
      <alignment horizontal="center"/>
    </xf>
    <xf numFmtId="1" fontId="0" fillId="0" borderId="168" xfId="0" applyNumberFormat="1" applyBorder="1"/>
    <xf numFmtId="175" fontId="31" fillId="0" borderId="177" xfId="0" applyNumberFormat="1" applyFont="1" applyBorder="1" applyAlignment="1">
      <alignment horizontal="left"/>
    </xf>
    <xf numFmtId="175" fontId="18" fillId="0" borderId="177" xfId="0" applyNumberFormat="1" applyFont="1" applyBorder="1" applyAlignment="1">
      <alignment horizontal="left" wrapText="1"/>
    </xf>
    <xf numFmtId="168" fontId="0" fillId="49" borderId="230" xfId="13" applyNumberFormat="1" applyFont="1" applyFill="1" applyBorder="1" applyAlignment="1" applyProtection="1">
      <alignment vertical="center"/>
      <protection locked="0"/>
    </xf>
    <xf numFmtId="168" fontId="18" fillId="49" borderId="230" xfId="13" applyNumberFormat="1" applyFont="1" applyFill="1" applyBorder="1" applyAlignment="1" applyProtection="1">
      <alignment vertical="center"/>
      <protection locked="0"/>
    </xf>
    <xf numFmtId="176" fontId="18" fillId="49" borderId="230" xfId="12" applyNumberFormat="1" applyFont="1" applyFill="1" applyBorder="1" applyAlignment="1" applyProtection="1">
      <alignment vertical="center"/>
      <protection locked="0"/>
    </xf>
    <xf numFmtId="168" fontId="10" fillId="23" borderId="165" xfId="13" applyNumberFormat="1" applyFont="1" applyFill="1" applyBorder="1" applyAlignment="1">
      <alignment horizontal="center" vertical="center"/>
    </xf>
    <xf numFmtId="168" fontId="10" fillId="20" borderId="230" xfId="13" applyNumberFormat="1" applyFont="1" applyFill="1" applyBorder="1" applyAlignment="1">
      <alignment vertical="center"/>
    </xf>
    <xf numFmtId="168" fontId="10" fillId="20" borderId="198" xfId="13" applyNumberFormat="1" applyFont="1" applyFill="1" applyBorder="1" applyAlignment="1">
      <alignment vertical="center"/>
    </xf>
    <xf numFmtId="1" fontId="0" fillId="44" borderId="165" xfId="0" applyNumberFormat="1" applyFill="1" applyBorder="1" applyAlignment="1">
      <alignment horizontal="center" vertical="center" wrapText="1"/>
    </xf>
    <xf numFmtId="1" fontId="0" fillId="0" borderId="81" xfId="0" applyNumberFormat="1" applyBorder="1" applyAlignment="1">
      <alignment horizontal="center" vertical="center" wrapText="1"/>
    </xf>
    <xf numFmtId="175" fontId="18" fillId="0" borderId="216" xfId="0" applyNumberFormat="1" applyFont="1" applyBorder="1" applyAlignment="1">
      <alignment horizontal="left"/>
    </xf>
    <xf numFmtId="168" fontId="10" fillId="28" borderId="217" xfId="13" applyNumberFormat="1" applyFont="1" applyFill="1" applyBorder="1" applyAlignment="1">
      <alignment vertical="center"/>
    </xf>
    <xf numFmtId="0" fontId="12" fillId="31" borderId="257" xfId="0" applyFont="1" applyFill="1" applyBorder="1" applyAlignment="1">
      <alignment horizontal="center" vertical="center" wrapText="1"/>
    </xf>
    <xf numFmtId="0" fontId="12" fillId="32" borderId="258" xfId="0" applyFont="1" applyFill="1" applyBorder="1" applyAlignment="1">
      <alignment vertical="center"/>
    </xf>
    <xf numFmtId="167" fontId="12" fillId="32" borderId="87" xfId="13" applyNumberFormat="1" applyFont="1" applyFill="1" applyBorder="1" applyAlignment="1">
      <alignment vertical="center"/>
    </xf>
    <xf numFmtId="167" fontId="12" fillId="33" borderId="87" xfId="13" applyNumberFormat="1" applyFont="1" applyFill="1" applyBorder="1" applyAlignment="1">
      <alignment vertical="center"/>
    </xf>
    <xf numFmtId="167" fontId="12" fillId="32" borderId="35" xfId="13" applyNumberFormat="1" applyFont="1" applyFill="1" applyBorder="1" applyAlignment="1">
      <alignment vertical="center"/>
    </xf>
    <xf numFmtId="168" fontId="21" fillId="32" borderId="72" xfId="13" applyNumberFormat="1" applyFont="1" applyFill="1" applyBorder="1" applyAlignment="1" applyProtection="1">
      <alignment vertical="center" wrapText="1"/>
    </xf>
    <xf numFmtId="0" fontId="12" fillId="21" borderId="230" xfId="0" applyFont="1" applyFill="1" applyBorder="1" applyAlignment="1">
      <alignment horizontal="left" vertical="center"/>
    </xf>
    <xf numFmtId="0" fontId="10" fillId="23" borderId="230" xfId="0" applyFont="1" applyFill="1" applyBorder="1" applyAlignment="1">
      <alignment horizontal="left" vertical="center"/>
    </xf>
    <xf numFmtId="0" fontId="10" fillId="20" borderId="167" xfId="0" applyFont="1" applyFill="1" applyBorder="1" applyAlignment="1">
      <alignment horizontal="left" vertical="center"/>
    </xf>
    <xf numFmtId="181" fontId="12" fillId="19" borderId="182" xfId="13" applyNumberFormat="1" applyFont="1" applyFill="1" applyBorder="1" applyAlignment="1" applyProtection="1">
      <alignment horizontal="center"/>
      <protection locked="0"/>
    </xf>
    <xf numFmtId="181" fontId="12" fillId="19" borderId="182" xfId="13" applyNumberFormat="1" applyFont="1" applyFill="1" applyBorder="1" applyAlignment="1">
      <alignment horizontal="center"/>
    </xf>
    <xf numFmtId="164" fontId="0" fillId="12" borderId="230" xfId="31" applyFont="1" applyFill="1" applyBorder="1" applyAlignment="1" applyProtection="1">
      <alignment horizontal="center" vertical="center"/>
      <protection locked="0"/>
    </xf>
    <xf numFmtId="164" fontId="0" fillId="46" borderId="230" xfId="31" applyFont="1" applyFill="1" applyBorder="1" applyAlignment="1" applyProtection="1">
      <alignment horizontal="center" vertical="center"/>
    </xf>
    <xf numFmtId="164" fontId="0" fillId="49" borderId="230" xfId="31" applyFont="1" applyFill="1" applyBorder="1" applyAlignment="1" applyProtection="1">
      <alignment horizontal="center" vertical="center"/>
      <protection locked="0"/>
    </xf>
    <xf numFmtId="168" fontId="10" fillId="41" borderId="230" xfId="13" applyNumberFormat="1" applyFont="1" applyFill="1" applyBorder="1" applyAlignment="1" applyProtection="1">
      <alignment vertical="center"/>
      <protection locked="0"/>
    </xf>
    <xf numFmtId="168" fontId="10" fillId="41" borderId="230" xfId="13" applyNumberFormat="1" applyFont="1" applyFill="1" applyBorder="1" applyAlignment="1">
      <alignment vertical="center"/>
    </xf>
    <xf numFmtId="181" fontId="12" fillId="19" borderId="230" xfId="13" applyNumberFormat="1" applyFont="1" applyFill="1" applyBorder="1" applyAlignment="1" applyProtection="1">
      <alignment horizontal="center"/>
      <protection locked="0"/>
    </xf>
    <xf numFmtId="181" fontId="12" fillId="19" borderId="230" xfId="13" applyNumberFormat="1" applyFont="1" applyFill="1" applyBorder="1" applyAlignment="1">
      <alignment horizontal="center"/>
    </xf>
    <xf numFmtId="0" fontId="10" fillId="20" borderId="177" xfId="0" applyFont="1" applyFill="1" applyBorder="1" applyAlignment="1" applyProtection="1">
      <alignment horizontal="left" vertical="center"/>
      <protection locked="0"/>
    </xf>
    <xf numFmtId="0" fontId="10" fillId="20" borderId="230" xfId="0" applyFont="1" applyFill="1" applyBorder="1" applyAlignment="1">
      <alignment horizontal="left" vertical="center"/>
    </xf>
    <xf numFmtId="0" fontId="10" fillId="20" borderId="230" xfId="0" applyFont="1" applyFill="1" applyBorder="1" applyAlignment="1" applyProtection="1">
      <alignment horizontal="left" vertical="center"/>
      <protection locked="0"/>
    </xf>
    <xf numFmtId="0" fontId="0" fillId="0" borderId="260" xfId="0" applyFont="1" applyFill="1" applyBorder="1" applyAlignment="1" applyProtection="1">
      <alignment horizontal="left" vertical="center"/>
    </xf>
    <xf numFmtId="0" fontId="0" fillId="0" borderId="259" xfId="0" applyFont="1" applyFill="1" applyBorder="1" applyAlignment="1" applyProtection="1">
      <alignment horizontal="left" vertical="center"/>
    </xf>
    <xf numFmtId="0" fontId="0" fillId="0" borderId="261" xfId="0" applyFont="1" applyFill="1" applyBorder="1" applyAlignment="1" applyProtection="1">
      <alignment horizontal="left" vertical="center"/>
    </xf>
    <xf numFmtId="0" fontId="0" fillId="0" borderId="177" xfId="0" applyFont="1" applyFill="1" applyBorder="1" applyAlignment="1" applyProtection="1">
      <alignment horizontal="left" vertical="center"/>
    </xf>
    <xf numFmtId="0" fontId="0" fillId="0" borderId="258" xfId="0" applyFont="1" applyFill="1" applyBorder="1" applyAlignment="1" applyProtection="1">
      <alignment horizontal="left" vertical="center"/>
    </xf>
    <xf numFmtId="178" fontId="0" fillId="58" borderId="254" xfId="13" applyNumberFormat="1" applyFont="1" applyFill="1" applyBorder="1" applyAlignment="1" applyProtection="1">
      <alignment vertical="center"/>
      <protection locked="0"/>
    </xf>
    <xf numFmtId="178" fontId="0" fillId="58" borderId="251" xfId="13" applyNumberFormat="1" applyFont="1" applyFill="1" applyBorder="1" applyAlignment="1">
      <alignment vertical="center"/>
    </xf>
    <xf numFmtId="178" fontId="0" fillId="58" borderId="123" xfId="13" applyNumberFormat="1" applyFont="1" applyFill="1" applyBorder="1" applyAlignment="1">
      <alignment vertical="center"/>
    </xf>
    <xf numFmtId="178" fontId="0" fillId="59" borderId="231" xfId="13" applyNumberFormat="1" applyFont="1" applyFill="1" applyBorder="1" applyAlignment="1">
      <alignment vertical="center"/>
    </xf>
    <xf numFmtId="178" fontId="0" fillId="59" borderId="230" xfId="13" applyNumberFormat="1" applyFont="1" applyFill="1" applyBorder="1" applyAlignment="1">
      <alignment vertical="center"/>
    </xf>
    <xf numFmtId="178" fontId="0" fillId="59" borderId="232" xfId="13" applyNumberFormat="1" applyFont="1" applyFill="1" applyBorder="1" applyAlignment="1">
      <alignment vertical="center"/>
    </xf>
    <xf numFmtId="178" fontId="0" fillId="58" borderId="129" xfId="13" applyNumberFormat="1" applyFont="1" applyFill="1" applyBorder="1" applyAlignment="1" applyProtection="1">
      <alignment vertical="center"/>
      <protection locked="0"/>
    </xf>
    <xf numFmtId="178" fontId="0" fillId="58" borderId="127" xfId="13" applyNumberFormat="1" applyFont="1" applyFill="1" applyBorder="1" applyAlignment="1">
      <alignment vertical="center"/>
    </xf>
    <xf numFmtId="178" fontId="0" fillId="58" borderId="128" xfId="13" applyNumberFormat="1" applyFont="1" applyFill="1" applyBorder="1" applyAlignment="1">
      <alignment vertical="center"/>
    </xf>
    <xf numFmtId="0" fontId="20" fillId="0" borderId="0" xfId="20"/>
    <xf numFmtId="0" fontId="0" fillId="0" borderId="0" xfId="0" applyFont="1"/>
    <xf numFmtId="0" fontId="20" fillId="0" borderId="0" xfId="2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168" fontId="0" fillId="9" borderId="151" xfId="13" applyNumberFormat="1" applyFont="1" applyFill="1" applyBorder="1" applyAlignment="1" applyProtection="1">
      <alignment horizontal="right" vertical="center"/>
    </xf>
    <xf numFmtId="168" fontId="0" fillId="9" borderId="152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62" xfId="0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center" vertical="center"/>
      <protection locked="0"/>
    </xf>
    <xf numFmtId="168" fontId="12" fillId="15" borderId="190" xfId="0" applyNumberFormat="1" applyFont="1" applyFill="1" applyBorder="1" applyAlignment="1" applyProtection="1">
      <alignment horizontal="center" vertical="center"/>
    </xf>
    <xf numFmtId="168" fontId="12" fillId="15" borderId="175" xfId="0" applyNumberFormat="1" applyFont="1" applyFill="1" applyBorder="1" applyAlignment="1" applyProtection="1">
      <alignment horizontal="center" vertical="center"/>
    </xf>
    <xf numFmtId="168" fontId="22" fillId="39" borderId="110" xfId="0" applyNumberFormat="1" applyFont="1" applyFill="1" applyBorder="1" applyAlignment="1" applyProtection="1">
      <alignment horizontal="center" vertical="center" wrapText="1"/>
    </xf>
    <xf numFmtId="168" fontId="22" fillId="39" borderId="112" xfId="0" applyNumberFormat="1" applyFont="1" applyFill="1" applyBorder="1" applyAlignment="1" applyProtection="1">
      <alignment horizontal="center" vertical="center" wrapText="1"/>
    </xf>
    <xf numFmtId="168" fontId="22" fillId="39" borderId="115" xfId="0" applyNumberFormat="1" applyFont="1" applyFill="1" applyBorder="1" applyAlignment="1" applyProtection="1">
      <alignment horizontal="center" vertical="center" wrapText="1"/>
    </xf>
    <xf numFmtId="168" fontId="23" fillId="34" borderId="110" xfId="0" applyNumberFormat="1" applyFont="1" applyFill="1" applyBorder="1" applyAlignment="1" applyProtection="1">
      <alignment horizontal="center" vertical="center" wrapText="1"/>
    </xf>
    <xf numFmtId="168" fontId="23" fillId="34" borderId="112" xfId="0" applyNumberFormat="1" applyFont="1" applyFill="1" applyBorder="1" applyAlignment="1" applyProtection="1">
      <alignment horizontal="center" vertical="center" wrapText="1"/>
    </xf>
    <xf numFmtId="168" fontId="23" fillId="34" borderId="115" xfId="0" applyNumberFormat="1" applyFont="1" applyFill="1" applyBorder="1" applyAlignment="1" applyProtection="1">
      <alignment horizontal="center" vertical="center" wrapText="1"/>
    </xf>
    <xf numFmtId="168" fontId="28" fillId="45" borderId="192" xfId="0" applyNumberFormat="1" applyFont="1" applyFill="1" applyBorder="1" applyAlignment="1" applyProtection="1">
      <alignment horizontal="center" vertical="center" wrapText="1"/>
    </xf>
    <xf numFmtId="168" fontId="28" fillId="45" borderId="80" xfId="0" applyNumberFormat="1" applyFont="1" applyFill="1" applyBorder="1" applyAlignment="1" applyProtection="1">
      <alignment horizontal="center" vertical="center" wrapText="1"/>
    </xf>
    <xf numFmtId="168" fontId="17" fillId="34" borderId="82" xfId="0" applyNumberFormat="1" applyFont="1" applyFill="1" applyBorder="1" applyAlignment="1" applyProtection="1">
      <alignment horizontal="center" vertical="center" wrapText="1"/>
    </xf>
    <xf numFmtId="168" fontId="17" fillId="34" borderId="81" xfId="0" applyNumberFormat="1" applyFont="1" applyFill="1" applyBorder="1" applyAlignment="1" applyProtection="1">
      <alignment horizontal="center" vertical="center" wrapText="1"/>
    </xf>
    <xf numFmtId="168" fontId="17" fillId="34" borderId="26" xfId="0" applyNumberFormat="1" applyFont="1" applyFill="1" applyBorder="1" applyAlignment="1" applyProtection="1">
      <alignment horizontal="center" vertical="center" wrapText="1"/>
    </xf>
    <xf numFmtId="168" fontId="17" fillId="34" borderId="76" xfId="0" applyNumberFormat="1" applyFont="1" applyFill="1" applyBorder="1" applyAlignment="1" applyProtection="1">
      <alignment horizontal="center" vertical="center" wrapText="1"/>
    </xf>
    <xf numFmtId="168" fontId="17" fillId="34" borderId="138" xfId="0" applyNumberFormat="1" applyFont="1" applyFill="1" applyBorder="1" applyAlignment="1" applyProtection="1">
      <alignment horizontal="center" vertical="center" wrapText="1"/>
    </xf>
    <xf numFmtId="168" fontId="17" fillId="34" borderId="133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187" xfId="0" applyFont="1" applyFill="1" applyBorder="1" applyAlignment="1" applyProtection="1">
      <alignment horizontal="center" vertical="center" wrapText="1"/>
    </xf>
    <xf numFmtId="0" fontId="12" fillId="15" borderId="188" xfId="0" applyFont="1" applyFill="1" applyBorder="1" applyAlignment="1" applyProtection="1">
      <alignment horizontal="center" vertical="center" wrapText="1"/>
    </xf>
    <xf numFmtId="0" fontId="12" fillId="15" borderId="184" xfId="0" applyFont="1" applyFill="1" applyBorder="1" applyAlignment="1" applyProtection="1">
      <alignment horizontal="center" vertical="center" wrapText="1"/>
    </xf>
    <xf numFmtId="0" fontId="12" fillId="15" borderId="185" xfId="0" applyFont="1" applyFill="1" applyBorder="1" applyAlignment="1" applyProtection="1">
      <alignment horizontal="center" vertical="center" wrapText="1"/>
    </xf>
    <xf numFmtId="0" fontId="0" fillId="0" borderId="186" xfId="0" applyFont="1" applyFill="1" applyBorder="1" applyAlignment="1" applyProtection="1">
      <alignment horizontal="center" vertical="center" wrapText="1"/>
    </xf>
    <xf numFmtId="0" fontId="0" fillId="0" borderId="81" xfId="0" applyFont="1" applyFill="1" applyBorder="1" applyAlignment="1" applyProtection="1">
      <alignment horizontal="center" vertical="center" wrapText="1"/>
    </xf>
    <xf numFmtId="0" fontId="0" fillId="0" borderId="181" xfId="0" applyFont="1" applyFill="1" applyBorder="1" applyAlignment="1" applyProtection="1">
      <alignment horizontal="center" vertical="center" wrapText="1"/>
    </xf>
    <xf numFmtId="168" fontId="21" fillId="32" borderId="176" xfId="0" applyNumberFormat="1" applyFont="1" applyFill="1" applyBorder="1" applyAlignment="1" applyProtection="1">
      <alignment horizontal="center" vertical="center"/>
    </xf>
    <xf numFmtId="0" fontId="22" fillId="0" borderId="189" xfId="0" applyFont="1" applyFill="1" applyBorder="1" applyAlignment="1" applyProtection="1">
      <alignment horizontal="center" vertical="center" wrapText="1"/>
    </xf>
    <xf numFmtId="0" fontId="22" fillId="0" borderId="133" xfId="0" applyFont="1" applyFill="1" applyBorder="1" applyAlignment="1" applyProtection="1">
      <alignment horizontal="center" vertical="center" wrapText="1"/>
    </xf>
    <xf numFmtId="0" fontId="22" fillId="0" borderId="65" xfId="0" applyFont="1" applyFill="1" applyBorder="1" applyAlignment="1" applyProtection="1">
      <alignment horizontal="center" vertical="center" wrapText="1"/>
    </xf>
    <xf numFmtId="168" fontId="21" fillId="32" borderId="109" xfId="0" applyNumberFormat="1" applyFont="1" applyFill="1" applyBorder="1" applyAlignment="1" applyProtection="1">
      <alignment horizontal="right" vertical="center"/>
    </xf>
    <xf numFmtId="168" fontId="21" fillId="32" borderId="176" xfId="0" applyNumberFormat="1" applyFont="1" applyFill="1" applyBorder="1" applyAlignment="1" applyProtection="1">
      <alignment horizontal="right" vertical="center"/>
    </xf>
    <xf numFmtId="0" fontId="22" fillId="44" borderId="189" xfId="0" applyFont="1" applyFill="1" applyBorder="1" applyAlignment="1">
      <alignment horizontal="center" vertical="center" wrapText="1"/>
    </xf>
    <xf numFmtId="0" fontId="22" fillId="44" borderId="133" xfId="0" applyFont="1" applyFill="1" applyBorder="1" applyAlignment="1">
      <alignment horizontal="center" vertical="center" wrapText="1"/>
    </xf>
    <xf numFmtId="0" fontId="22" fillId="44" borderId="65" xfId="0" applyFont="1" applyFill="1" applyBorder="1" applyAlignment="1">
      <alignment horizontal="center" vertical="center" wrapText="1"/>
    </xf>
    <xf numFmtId="0" fontId="0" fillId="0" borderId="18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81" xfId="0" applyBorder="1" applyAlignment="1">
      <alignment horizontal="center" vertical="center" wrapText="1"/>
    </xf>
    <xf numFmtId="168" fontId="21" fillId="32" borderId="176" xfId="0" applyNumberFormat="1" applyFont="1" applyFill="1" applyBorder="1" applyAlignment="1">
      <alignment horizontal="center" vertical="center"/>
    </xf>
    <xf numFmtId="168" fontId="0" fillId="9" borderId="151" xfId="13" applyNumberFormat="1" applyFont="1" applyFill="1" applyBorder="1" applyAlignment="1">
      <alignment horizontal="right" vertical="center"/>
    </xf>
    <xf numFmtId="168" fontId="0" fillId="9" borderId="152" xfId="13" applyNumberFormat="1" applyFont="1" applyFill="1" applyBorder="1" applyAlignment="1">
      <alignment horizontal="right" vertical="center"/>
    </xf>
    <xf numFmtId="168" fontId="23" fillId="34" borderId="228" xfId="0" applyNumberFormat="1" applyFont="1" applyFill="1" applyBorder="1" applyAlignment="1" applyProtection="1">
      <alignment horizontal="center" vertical="center" wrapText="1"/>
    </xf>
    <xf numFmtId="168" fontId="23" fillId="34" borderId="193" xfId="0" applyNumberFormat="1" applyFont="1" applyFill="1" applyBorder="1" applyAlignment="1" applyProtection="1">
      <alignment horizontal="center" vertical="center" wrapText="1"/>
    </xf>
    <xf numFmtId="168" fontId="23" fillId="34" borderId="229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168" fontId="12" fillId="15" borderId="209" xfId="0" applyNumberFormat="1" applyFont="1" applyFill="1" applyBorder="1" applyAlignment="1" applyProtection="1">
      <alignment horizontal="center" vertical="center" wrapText="1"/>
    </xf>
    <xf numFmtId="168" fontId="12" fillId="15" borderId="233" xfId="0" applyNumberFormat="1" applyFont="1" applyFill="1" applyBorder="1" applyAlignment="1" applyProtection="1">
      <alignment horizontal="center" vertical="center" wrapText="1"/>
    </xf>
    <xf numFmtId="168" fontId="12" fillId="15" borderId="234" xfId="0" applyNumberFormat="1" applyFont="1" applyFill="1" applyBorder="1" applyAlignment="1" applyProtection="1">
      <alignment horizontal="center" vertical="center" wrapText="1"/>
    </xf>
    <xf numFmtId="0" fontId="21" fillId="46" borderId="68" xfId="0" applyFont="1" applyFill="1" applyBorder="1" applyAlignment="1" applyProtection="1">
      <alignment horizontal="center" vertical="center" wrapText="1"/>
    </xf>
    <xf numFmtId="0" fontId="21" fillId="46" borderId="156" xfId="0" applyFont="1" applyFill="1" applyBorder="1" applyAlignment="1" applyProtection="1">
      <alignment horizontal="center" vertical="center" wrapText="1"/>
    </xf>
    <xf numFmtId="0" fontId="21" fillId="46" borderId="6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1" fillId="44" borderId="209" xfId="0" applyFont="1" applyFill="1" applyBorder="1" applyAlignment="1">
      <alignment horizontal="center" vertical="center" wrapText="1"/>
    </xf>
    <xf numFmtId="0" fontId="21" fillId="44" borderId="136" xfId="0" applyFont="1" applyFill="1" applyBorder="1" applyAlignment="1">
      <alignment horizontal="center" vertical="center" wrapText="1"/>
    </xf>
    <xf numFmtId="0" fontId="21" fillId="44" borderId="210" xfId="0" applyFont="1" applyFill="1" applyBorder="1" applyAlignment="1">
      <alignment horizontal="center" vertical="center" wrapText="1"/>
    </xf>
    <xf numFmtId="0" fontId="21" fillId="0" borderId="131" xfId="0" applyFont="1" applyFill="1" applyBorder="1" applyAlignment="1" applyProtection="1">
      <alignment horizontal="center" vertical="center" wrapText="1"/>
    </xf>
    <xf numFmtId="0" fontId="21" fillId="0" borderId="55" xfId="0" applyFont="1" applyFill="1" applyBorder="1" applyAlignment="1" applyProtection="1">
      <alignment horizontal="center" vertical="center" wrapText="1"/>
    </xf>
    <xf numFmtId="0" fontId="21" fillId="0" borderId="132" xfId="0" applyFont="1" applyFill="1" applyBorder="1" applyAlignment="1" applyProtection="1">
      <alignment horizontal="center" vertical="center" wrapText="1"/>
    </xf>
    <xf numFmtId="0" fontId="22" fillId="13" borderId="149" xfId="0" applyFont="1" applyFill="1" applyBorder="1" applyAlignment="1" applyProtection="1">
      <alignment horizontal="center" vertical="center"/>
      <protection locked="0"/>
    </xf>
    <xf numFmtId="0" fontId="22" fillId="13" borderId="150" xfId="0" applyFont="1" applyFill="1" applyBorder="1" applyAlignment="1" applyProtection="1">
      <alignment horizontal="center" vertical="center"/>
      <protection locked="0"/>
    </xf>
    <xf numFmtId="168" fontId="23" fillId="34" borderId="58" xfId="0" applyNumberFormat="1" applyFont="1" applyFill="1" applyBorder="1" applyAlignment="1" applyProtection="1">
      <alignment horizontal="center" vertical="center" wrapText="1"/>
    </xf>
    <xf numFmtId="168" fontId="23" fillId="34" borderId="59" xfId="0" applyNumberFormat="1" applyFont="1" applyFill="1" applyBorder="1" applyAlignment="1" applyProtection="1">
      <alignment horizontal="center" vertical="center" wrapText="1"/>
    </xf>
    <xf numFmtId="168" fontId="23" fillId="34" borderId="60" xfId="0" applyNumberFormat="1" applyFont="1" applyFill="1" applyBorder="1" applyAlignment="1" applyProtection="1">
      <alignment horizontal="center" vertical="center" wrapText="1"/>
    </xf>
    <xf numFmtId="0" fontId="22" fillId="16" borderId="42" xfId="0" applyFont="1" applyFill="1" applyBorder="1" applyAlignment="1" applyProtection="1">
      <alignment horizontal="center" vertical="center" wrapText="1"/>
    </xf>
    <xf numFmtId="0" fontId="22" fillId="16" borderId="66" xfId="0" applyFont="1" applyFill="1" applyBorder="1" applyAlignment="1" applyProtection="1">
      <alignment horizontal="center" vertical="center" wrapText="1"/>
    </xf>
    <xf numFmtId="168" fontId="23" fillId="34" borderId="226" xfId="0" applyNumberFormat="1" applyFont="1" applyFill="1" applyBorder="1" applyAlignment="1" applyProtection="1">
      <alignment horizontal="center" vertical="center" wrapText="1"/>
    </xf>
    <xf numFmtId="168" fontId="23" fillId="34" borderId="227" xfId="0" applyNumberFormat="1" applyFont="1" applyFill="1" applyBorder="1" applyAlignment="1" applyProtection="1">
      <alignment horizontal="center" vertical="center" wrapText="1"/>
    </xf>
    <xf numFmtId="168" fontId="23" fillId="34" borderId="192" xfId="0" applyNumberFormat="1" applyFont="1" applyFill="1" applyBorder="1" applyAlignment="1" applyProtection="1">
      <alignment horizontal="center" vertical="center" wrapText="1"/>
    </xf>
    <xf numFmtId="0" fontId="22" fillId="15" borderId="28" xfId="0" applyFont="1" applyFill="1" applyBorder="1" applyAlignment="1" applyProtection="1">
      <alignment horizontal="center" vertical="center" wrapText="1"/>
    </xf>
    <xf numFmtId="0" fontId="22" fillId="15" borderId="63" xfId="0" applyFont="1" applyFill="1" applyBorder="1" applyAlignment="1" applyProtection="1">
      <alignment horizontal="center" vertical="center" wrapText="1"/>
    </xf>
    <xf numFmtId="0" fontId="22" fillId="16" borderId="154" xfId="0" applyFont="1" applyFill="1" applyBorder="1" applyAlignment="1" applyProtection="1">
      <alignment horizontal="center" vertical="center" wrapText="1"/>
    </xf>
    <xf numFmtId="0" fontId="22" fillId="16" borderId="155" xfId="0" applyFont="1" applyFill="1" applyBorder="1" applyAlignment="1" applyProtection="1">
      <alignment horizontal="center" vertical="center" wrapText="1"/>
    </xf>
    <xf numFmtId="0" fontId="22" fillId="15" borderId="151" xfId="0" applyFont="1" applyFill="1" applyBorder="1" applyAlignment="1" applyProtection="1">
      <alignment horizontal="center" vertical="center" wrapText="1"/>
    </xf>
    <xf numFmtId="0" fontId="22" fillId="15" borderId="135" xfId="0" applyFont="1" applyFill="1" applyBorder="1" applyAlignment="1" applyProtection="1">
      <alignment horizontal="center" vertical="center" wrapText="1"/>
    </xf>
    <xf numFmtId="0" fontId="21" fillId="46" borderId="254" xfId="0" applyFont="1" applyFill="1" applyBorder="1" applyAlignment="1">
      <alignment horizontal="center" vertical="center" wrapText="1"/>
    </xf>
    <xf numFmtId="0" fontId="21" fillId="46" borderId="207" xfId="0" applyFont="1" applyFill="1" applyBorder="1" applyAlignment="1">
      <alignment horizontal="center" vertical="center" wrapText="1"/>
    </xf>
    <xf numFmtId="0" fontId="21" fillId="46" borderId="129" xfId="0" applyFont="1" applyFill="1" applyBorder="1" applyAlignment="1">
      <alignment horizontal="center" vertical="center" wrapText="1"/>
    </xf>
    <xf numFmtId="0" fontId="22" fillId="12" borderId="33" xfId="0" applyFont="1" applyFill="1" applyBorder="1" applyAlignment="1" applyProtection="1">
      <alignment horizontal="center" vertical="center"/>
      <protection locked="0"/>
    </xf>
    <xf numFmtId="0" fontId="22" fillId="12" borderId="22" xfId="0" applyFont="1" applyFill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top" wrapText="1"/>
    </xf>
    <xf numFmtId="0" fontId="22" fillId="0" borderId="7" xfId="0" applyFont="1" applyFill="1" applyBorder="1" applyAlignment="1" applyProtection="1">
      <alignment horizontal="center" vertical="top" wrapText="1"/>
    </xf>
    <xf numFmtId="0" fontId="22" fillId="0" borderId="57" xfId="0" applyFont="1" applyFill="1" applyBorder="1" applyAlignment="1" applyProtection="1">
      <alignment horizontal="center" vertical="top" wrapText="1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12" fillId="17" borderId="8" xfId="0" applyFont="1" applyFill="1" applyBorder="1" applyAlignment="1" applyProtection="1">
      <alignment horizontal="center" vertical="center"/>
    </xf>
    <xf numFmtId="0" fontId="12" fillId="17" borderId="13" xfId="0" applyFont="1" applyFill="1" applyBorder="1" applyAlignment="1" applyProtection="1">
      <alignment horizontal="center" vertical="center"/>
    </xf>
    <xf numFmtId="0" fontId="10" fillId="16" borderId="8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24" xfId="0" applyFont="1" applyFill="1" applyBorder="1" applyAlignment="1" applyProtection="1">
      <alignment horizontal="center" vertical="center"/>
    </xf>
    <xf numFmtId="0" fontId="10" fillId="16" borderId="124" xfId="0" applyFont="1" applyFill="1" applyBorder="1" applyAlignment="1" applyProtection="1">
      <alignment horizontal="center" vertical="center" wrapText="1"/>
    </xf>
    <xf numFmtId="166" fontId="12" fillId="18" borderId="160" xfId="13" applyFont="1" applyFill="1" applyBorder="1" applyAlignment="1" applyProtection="1">
      <alignment horizontal="center" vertical="center" wrapText="1"/>
    </xf>
    <xf numFmtId="166" fontId="12" fillId="18" borderId="81" xfId="13" applyFont="1" applyFill="1" applyBorder="1" applyAlignment="1" applyProtection="1">
      <alignment horizontal="center" vertical="center" wrapText="1"/>
    </xf>
    <xf numFmtId="0" fontId="10" fillId="15" borderId="121" xfId="0" applyFont="1" applyFill="1" applyBorder="1" applyAlignment="1" applyProtection="1">
      <alignment horizontal="center" vertical="center"/>
    </xf>
    <xf numFmtId="0" fontId="10" fillId="15" borderId="167" xfId="0" applyFont="1" applyFill="1" applyBorder="1" applyAlignment="1" applyProtection="1">
      <alignment horizontal="center" vertical="center"/>
    </xf>
    <xf numFmtId="0" fontId="46" fillId="57" borderId="225" xfId="0" applyFont="1" applyFill="1" applyBorder="1" applyAlignment="1">
      <alignment horizontal="center" vertical="center" wrapText="1"/>
    </xf>
    <xf numFmtId="0" fontId="46" fillId="57" borderId="249" xfId="0" applyFont="1" applyFill="1" applyBorder="1" applyAlignment="1">
      <alignment horizontal="center" vertical="center" wrapText="1"/>
    </xf>
    <xf numFmtId="0" fontId="47" fillId="37" borderId="204" xfId="0" applyFont="1" applyFill="1" applyBorder="1" applyAlignment="1">
      <alignment horizontal="center" vertical="center"/>
    </xf>
    <xf numFmtId="0" fontId="47" fillId="37" borderId="182" xfId="0" applyFont="1" applyFill="1" applyBorder="1" applyAlignment="1">
      <alignment horizontal="center" vertical="center"/>
    </xf>
    <xf numFmtId="174" fontId="23" fillId="30" borderId="19" xfId="12" applyNumberFormat="1" applyFont="1" applyFill="1" applyBorder="1" applyAlignment="1" applyProtection="1">
      <alignment horizontal="right" vertical="center" wrapText="1"/>
    </xf>
    <xf numFmtId="174" fontId="23" fillId="30" borderId="27" xfId="12" applyNumberFormat="1" applyFont="1" applyFill="1" applyBorder="1" applyAlignment="1" applyProtection="1">
      <alignment horizontal="right" vertical="center" wrapText="1"/>
    </xf>
    <xf numFmtId="166" fontId="12" fillId="18" borderId="217" xfId="13" applyFont="1" applyFill="1" applyBorder="1" applyAlignment="1">
      <alignment horizontal="center" vertical="center" wrapText="1"/>
    </xf>
    <xf numFmtId="166" fontId="12" fillId="18" borderId="81" xfId="13" applyFont="1" applyFill="1" applyBorder="1" applyAlignment="1">
      <alignment horizontal="center" vertical="center" wrapText="1"/>
    </xf>
    <xf numFmtId="0" fontId="12" fillId="17" borderId="213" xfId="0" applyFont="1" applyFill="1" applyBorder="1" applyAlignment="1">
      <alignment horizontal="center" vertical="center"/>
    </xf>
    <xf numFmtId="0" fontId="12" fillId="17" borderId="256" xfId="0" applyFont="1" applyFill="1" applyBorder="1" applyAlignment="1">
      <alignment horizontal="center" vertical="center"/>
    </xf>
    <xf numFmtId="0" fontId="10" fillId="15" borderId="216" xfId="0" applyFont="1" applyFill="1" applyBorder="1" applyAlignment="1">
      <alignment horizontal="center" vertical="center"/>
    </xf>
    <xf numFmtId="0" fontId="10" fillId="15" borderId="167" xfId="0" applyFont="1" applyFill="1" applyBorder="1" applyAlignment="1">
      <alignment horizontal="center" vertical="center"/>
    </xf>
    <xf numFmtId="0" fontId="10" fillId="16" borderId="230" xfId="0" applyFont="1" applyFill="1" applyBorder="1" applyAlignment="1">
      <alignment horizontal="center" vertical="center" wrapText="1"/>
    </xf>
    <xf numFmtId="0" fontId="10" fillId="17" borderId="230" xfId="0" applyFont="1" applyFill="1" applyBorder="1" applyAlignment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 wrapText="1"/>
    </xf>
    <xf numFmtId="0" fontId="12" fillId="17" borderId="24" xfId="0" applyFont="1" applyFill="1" applyBorder="1" applyAlignment="1" applyProtection="1">
      <alignment horizontal="center" vertical="center" wrapText="1"/>
    </xf>
    <xf numFmtId="0" fontId="12" fillId="17" borderId="106" xfId="0" applyFont="1" applyFill="1" applyBorder="1" applyAlignment="1" applyProtection="1">
      <alignment horizontal="center" vertical="center" wrapText="1"/>
    </xf>
    <xf numFmtId="0" fontId="10" fillId="15" borderId="24" xfId="0" applyFont="1" applyFill="1" applyBorder="1" applyAlignment="1" applyProtection="1">
      <alignment horizontal="center" vertical="center" wrapText="1"/>
    </xf>
    <xf numFmtId="0" fontId="10" fillId="15" borderId="106" xfId="0" applyFont="1" applyFill="1" applyBorder="1" applyAlignment="1" applyProtection="1">
      <alignment horizontal="center" vertical="center" wrapText="1"/>
    </xf>
    <xf numFmtId="0" fontId="17" fillId="14" borderId="131" xfId="0" applyFont="1" applyFill="1" applyBorder="1" applyAlignment="1" applyProtection="1">
      <alignment horizontal="center" vertical="center"/>
    </xf>
    <xf numFmtId="0" fontId="17" fillId="14" borderId="102" xfId="0" applyFont="1" applyFill="1" applyBorder="1" applyAlignment="1" applyProtection="1">
      <alignment horizontal="center" vertical="center"/>
    </xf>
    <xf numFmtId="0" fontId="12" fillId="26" borderId="54" xfId="0" applyFont="1" applyFill="1" applyBorder="1" applyAlignment="1" applyProtection="1">
      <alignment horizontal="center" vertical="center" wrapText="1"/>
    </xf>
    <xf numFmtId="0" fontId="12" fillId="26" borderId="92" xfId="0" applyFont="1" applyFill="1" applyBorder="1" applyAlignment="1" applyProtection="1">
      <alignment horizontal="center" vertical="center" wrapText="1"/>
    </xf>
    <xf numFmtId="0" fontId="17" fillId="14" borderId="139" xfId="0" applyFont="1" applyFill="1" applyBorder="1" applyAlignment="1" applyProtection="1">
      <alignment horizontal="center" vertical="center"/>
    </xf>
    <xf numFmtId="0" fontId="17" fillId="48" borderId="131" xfId="0" applyFont="1" applyFill="1" applyBorder="1" applyAlignment="1" applyProtection="1">
      <alignment horizontal="center" vertical="center"/>
    </xf>
    <xf numFmtId="0" fontId="17" fillId="48" borderId="102" xfId="0" applyFont="1" applyFill="1" applyBorder="1" applyAlignment="1" applyProtection="1">
      <alignment horizontal="center" vertical="center"/>
    </xf>
    <xf numFmtId="0" fontId="17" fillId="47" borderId="139" xfId="0" applyFont="1" applyFill="1" applyBorder="1" applyAlignment="1" applyProtection="1">
      <alignment horizontal="center" vertical="center"/>
    </xf>
    <xf numFmtId="0" fontId="17" fillId="47" borderId="102" xfId="0" applyFont="1" applyFill="1" applyBorder="1" applyAlignment="1" applyProtection="1">
      <alignment horizontal="center" vertical="center"/>
    </xf>
    <xf numFmtId="0" fontId="12" fillId="16" borderId="47" xfId="0" applyFont="1" applyFill="1" applyBorder="1" applyAlignment="1" applyProtection="1">
      <alignment horizontal="center" vertical="center" wrapText="1"/>
    </xf>
    <xf numFmtId="0" fontId="12" fillId="16" borderId="51" xfId="0" applyFont="1" applyFill="1" applyBorder="1" applyAlignment="1" applyProtection="1">
      <alignment horizontal="center" vertical="center" wrapText="1"/>
    </xf>
    <xf numFmtId="0" fontId="12" fillId="16" borderId="55" xfId="0" applyFont="1" applyFill="1" applyBorder="1" applyAlignment="1" applyProtection="1">
      <alignment horizontal="center" vertical="center" wrapText="1"/>
    </xf>
    <xf numFmtId="0" fontId="12" fillId="16" borderId="56" xfId="0" applyFont="1" applyFill="1" applyBorder="1" applyAlignment="1" applyProtection="1">
      <alignment horizontal="center" vertical="center" wrapText="1"/>
    </xf>
    <xf numFmtId="0" fontId="12" fillId="16" borderId="44" xfId="0" applyFont="1" applyFill="1" applyBorder="1" applyAlignment="1" applyProtection="1">
      <alignment horizontal="center" vertical="center"/>
    </xf>
    <xf numFmtId="0" fontId="12" fillId="16" borderId="7" xfId="0" applyFont="1" applyFill="1" applyBorder="1" applyAlignment="1" applyProtection="1">
      <alignment horizontal="center" vertical="center"/>
    </xf>
    <xf numFmtId="0" fontId="12" fillId="16" borderId="44" xfId="0" applyFont="1" applyFill="1" applyBorder="1" applyAlignment="1" applyProtection="1">
      <alignment horizontal="center" vertical="center" wrapText="1"/>
    </xf>
    <xf numFmtId="0" fontId="12" fillId="16" borderId="7" xfId="0" applyFont="1" applyFill="1" applyBorder="1" applyAlignment="1" applyProtection="1">
      <alignment horizontal="center" vertical="center" wrapText="1"/>
    </xf>
    <xf numFmtId="0" fontId="21" fillId="16" borderId="45" xfId="0" applyFont="1" applyFill="1" applyBorder="1" applyAlignment="1" applyProtection="1">
      <alignment horizontal="center" vertical="center" wrapText="1"/>
    </xf>
    <xf numFmtId="0" fontId="21" fillId="16" borderId="52" xfId="0" applyFont="1" applyFill="1" applyBorder="1" applyAlignment="1" applyProtection="1">
      <alignment horizontal="center" vertical="center" wrapText="1"/>
    </xf>
    <xf numFmtId="0" fontId="21" fillId="16" borderId="5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2" fillId="47" borderId="90" xfId="0" applyFont="1" applyFill="1" applyBorder="1" applyAlignment="1" applyProtection="1">
      <alignment horizontal="center" vertical="center" textRotation="90" wrapText="1"/>
    </xf>
    <xf numFmtId="0" fontId="22" fillId="47" borderId="92" xfId="0" applyFont="1" applyFill="1" applyBorder="1" applyAlignment="1" applyProtection="1">
      <alignment horizontal="center" vertical="center" textRotation="90" wrapText="1"/>
    </xf>
    <xf numFmtId="0" fontId="22" fillId="47" borderId="65" xfId="0" applyFont="1" applyFill="1" applyBorder="1" applyAlignment="1" applyProtection="1">
      <alignment horizontal="center" vertical="center" textRotation="90" wrapText="1"/>
    </xf>
    <xf numFmtId="0" fontId="22" fillId="47" borderId="90" xfId="0" applyFont="1" applyFill="1" applyBorder="1" applyAlignment="1" applyProtection="1">
      <alignment horizontal="left" vertical="center" wrapText="1"/>
    </xf>
    <xf numFmtId="0" fontId="22" fillId="47" borderId="92" xfId="0" applyFont="1" applyFill="1" applyBorder="1" applyAlignment="1" applyProtection="1">
      <alignment horizontal="left" vertical="center" wrapText="1"/>
    </xf>
    <xf numFmtId="0" fontId="22" fillId="47" borderId="65" xfId="0" applyFont="1" applyFill="1" applyBorder="1" applyAlignment="1" applyProtection="1">
      <alignment horizontal="left" vertical="center" wrapText="1"/>
    </xf>
    <xf numFmtId="0" fontId="25" fillId="47" borderId="95" xfId="0" applyFont="1" applyFill="1" applyBorder="1" applyAlignment="1" applyProtection="1">
      <alignment horizontal="center" vertical="center" textRotation="90" wrapText="1"/>
    </xf>
    <xf numFmtId="0" fontId="25" fillId="47" borderId="83" xfId="0" applyFont="1" applyFill="1" applyBorder="1" applyAlignment="1" applyProtection="1">
      <alignment horizontal="center" vertical="center" textRotation="90" wrapText="1"/>
    </xf>
    <xf numFmtId="0" fontId="25" fillId="47" borderId="79" xfId="0" applyFont="1" applyFill="1" applyBorder="1" applyAlignment="1" applyProtection="1">
      <alignment horizontal="center" vertical="center" textRotation="90" wrapText="1"/>
    </xf>
    <xf numFmtId="0" fontId="22" fillId="12" borderId="96" xfId="0" applyFont="1" applyFill="1" applyBorder="1" applyAlignment="1" applyProtection="1">
      <alignment horizontal="left" vertical="center" wrapText="1"/>
      <protection locked="0"/>
    </xf>
    <xf numFmtId="0" fontId="22" fillId="12" borderId="97" xfId="0" applyFont="1" applyFill="1" applyBorder="1" applyAlignment="1" applyProtection="1">
      <alignment horizontal="left" vertical="center" wrapText="1"/>
      <protection locked="0"/>
    </xf>
    <xf numFmtId="0" fontId="22" fillId="12" borderId="94" xfId="0" applyFont="1" applyFill="1" applyBorder="1" applyAlignment="1" applyProtection="1">
      <alignment horizontal="left" vertical="center" wrapText="1"/>
      <protection locked="0"/>
    </xf>
    <xf numFmtId="0" fontId="22" fillId="12" borderId="90" xfId="0" applyFont="1" applyFill="1" applyBorder="1" applyAlignment="1" applyProtection="1">
      <alignment horizontal="left" vertical="center" wrapText="1"/>
      <protection locked="0"/>
    </xf>
    <xf numFmtId="0" fontId="22" fillId="12" borderId="133" xfId="0" applyFont="1" applyFill="1" applyBorder="1" applyAlignment="1" applyProtection="1">
      <alignment horizontal="left" vertical="center" wrapText="1"/>
      <protection locked="0"/>
    </xf>
    <xf numFmtId="0" fontId="22" fillId="12" borderId="92" xfId="0" applyFont="1" applyFill="1" applyBorder="1" applyAlignment="1" applyProtection="1">
      <alignment horizontal="left" vertical="center" wrapText="1"/>
      <protection locked="0"/>
    </xf>
    <xf numFmtId="0" fontId="22" fillId="12" borderId="65" xfId="0" applyFont="1" applyFill="1" applyBorder="1" applyAlignment="1" applyProtection="1">
      <alignment horizontal="left" vertical="center" wrapText="1"/>
      <protection locked="0"/>
    </xf>
    <xf numFmtId="0" fontId="12" fillId="16" borderId="138" xfId="0" applyFont="1" applyFill="1" applyBorder="1" applyAlignment="1" applyProtection="1">
      <alignment horizontal="center" vertical="center" wrapText="1"/>
    </xf>
    <xf numFmtId="0" fontId="12" fillId="16" borderId="65" xfId="0" applyFont="1" applyFill="1" applyBorder="1" applyAlignment="1" applyProtection="1">
      <alignment horizontal="center" vertical="center" wrapText="1"/>
    </xf>
    <xf numFmtId="0" fontId="10" fillId="16" borderId="87" xfId="0" applyFont="1" applyFill="1" applyBorder="1" applyAlignment="1" applyProtection="1">
      <alignment horizontal="center" vertical="center" wrapText="1"/>
    </xf>
    <xf numFmtId="0" fontId="17" fillId="47" borderId="131" xfId="0" applyFont="1" applyFill="1" applyBorder="1" applyAlignment="1" applyProtection="1">
      <alignment horizontal="center" vertical="center"/>
    </xf>
    <xf numFmtId="0" fontId="9" fillId="14" borderId="132" xfId="0" applyFont="1" applyFill="1" applyBorder="1" applyAlignment="1" applyProtection="1">
      <alignment horizontal="center" vertical="center"/>
    </xf>
    <xf numFmtId="0" fontId="9" fillId="14" borderId="142" xfId="0" applyFont="1" applyFill="1" applyBorder="1" applyAlignment="1" applyProtection="1">
      <alignment horizontal="center" vertical="center"/>
    </xf>
    <xf numFmtId="0" fontId="17" fillId="14" borderId="101" xfId="0" applyFont="1" applyFill="1" applyBorder="1" applyAlignment="1" applyProtection="1">
      <alignment horizontal="center" vertical="center"/>
    </xf>
    <xf numFmtId="0" fontId="17" fillId="14" borderId="91" xfId="0" applyFont="1" applyFill="1" applyBorder="1" applyAlignment="1" applyProtection="1">
      <alignment horizontal="center" vertical="center"/>
    </xf>
    <xf numFmtId="0" fontId="17" fillId="48" borderId="101" xfId="0" applyFont="1" applyFill="1" applyBorder="1" applyAlignment="1" applyProtection="1">
      <alignment horizontal="center" vertical="center"/>
    </xf>
    <xf numFmtId="0" fontId="17" fillId="48" borderId="123" xfId="0" applyFont="1" applyFill="1" applyBorder="1" applyAlignment="1" applyProtection="1">
      <alignment horizontal="center" vertical="center"/>
    </xf>
    <xf numFmtId="0" fontId="17" fillId="47" borderId="103" xfId="0" applyFont="1" applyFill="1" applyBorder="1" applyAlignment="1" applyProtection="1">
      <alignment horizontal="center" vertical="center"/>
    </xf>
    <xf numFmtId="0" fontId="17" fillId="47" borderId="123" xfId="0" applyFont="1" applyFill="1" applyBorder="1" applyAlignment="1" applyProtection="1">
      <alignment horizontal="center" vertical="center"/>
    </xf>
    <xf numFmtId="177" fontId="0" fillId="26" borderId="131" xfId="0" applyNumberFormat="1" applyFont="1" applyFill="1" applyBorder="1" applyAlignment="1" applyProtection="1">
      <alignment horizontal="center" vertical="center"/>
    </xf>
    <xf numFmtId="177" fontId="0" fillId="26" borderId="102" xfId="0" applyNumberFormat="1" applyFont="1" applyFill="1" applyBorder="1" applyAlignment="1" applyProtection="1">
      <alignment horizontal="center" vertical="center"/>
    </xf>
    <xf numFmtId="0" fontId="9" fillId="48" borderId="132" xfId="0" applyFont="1" applyFill="1" applyBorder="1" applyAlignment="1" applyProtection="1">
      <alignment horizontal="center" vertical="center"/>
    </xf>
    <xf numFmtId="0" fontId="9" fillId="48" borderId="142" xfId="0" applyFont="1" applyFill="1" applyBorder="1" applyAlignment="1" applyProtection="1">
      <alignment horizontal="center" vertical="center"/>
    </xf>
    <xf numFmtId="0" fontId="9" fillId="47" borderId="132" xfId="0" applyFont="1" applyFill="1" applyBorder="1" applyAlignment="1" applyProtection="1">
      <alignment horizontal="center" vertical="center"/>
    </xf>
    <xf numFmtId="0" fontId="9" fillId="47" borderId="142" xfId="0" applyFont="1" applyFill="1" applyBorder="1" applyAlignment="1" applyProtection="1">
      <alignment horizontal="center" vertical="center"/>
    </xf>
    <xf numFmtId="177" fontId="0" fillId="26" borderId="103" xfId="0" applyNumberFormat="1" applyFont="1" applyFill="1" applyBorder="1" applyAlignment="1" applyProtection="1">
      <alignment horizontal="center" vertical="center"/>
    </xf>
    <xf numFmtId="0" fontId="22" fillId="44" borderId="209" xfId="0" applyFont="1" applyFill="1" applyBorder="1" applyAlignment="1">
      <alignment horizontal="left" vertical="center" wrapText="1"/>
    </xf>
    <xf numFmtId="0" fontId="22" fillId="44" borderId="136" xfId="0" applyFont="1" applyFill="1" applyBorder="1" applyAlignment="1">
      <alignment horizontal="left" vertical="center" wrapText="1"/>
    </xf>
    <xf numFmtId="0" fontId="22" fillId="44" borderId="210" xfId="0" applyFont="1" applyFill="1" applyBorder="1" applyAlignment="1">
      <alignment horizontal="left" vertical="center" wrapText="1"/>
    </xf>
    <xf numFmtId="0" fontId="22" fillId="0" borderId="209" xfId="0" applyFont="1" applyFill="1" applyBorder="1" applyAlignment="1" applyProtection="1">
      <alignment horizontal="left" vertical="center" wrapText="1"/>
    </xf>
    <xf numFmtId="0" fontId="22" fillId="0" borderId="136" xfId="0" applyFont="1" applyFill="1" applyBorder="1" applyAlignment="1" applyProtection="1">
      <alignment horizontal="left" vertical="center" wrapText="1"/>
    </xf>
    <xf numFmtId="0" fontId="22" fillId="0" borderId="210" xfId="0" applyFont="1" applyFill="1" applyBorder="1" applyAlignment="1" applyProtection="1">
      <alignment horizontal="left" vertical="center" wrapText="1"/>
    </xf>
    <xf numFmtId="0" fontId="22" fillId="16" borderId="241" xfId="0" applyFont="1" applyFill="1" applyBorder="1" applyAlignment="1" applyProtection="1">
      <alignment horizontal="center" vertical="center"/>
    </xf>
    <xf numFmtId="0" fontId="22" fillId="16" borderId="242" xfId="0" applyFont="1" applyFill="1" applyBorder="1" applyAlignment="1" applyProtection="1">
      <alignment horizontal="center" vertical="center"/>
    </xf>
    <xf numFmtId="0" fontId="22" fillId="12" borderId="11" xfId="0" applyFont="1" applyFill="1" applyBorder="1" applyAlignment="1" applyProtection="1">
      <alignment horizontal="center" vertical="center"/>
      <protection locked="0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168" fontId="22" fillId="17" borderId="239" xfId="0" applyNumberFormat="1" applyFont="1" applyFill="1" applyBorder="1" applyAlignment="1" applyProtection="1">
      <alignment horizontal="center" vertical="center" wrapText="1"/>
    </xf>
    <xf numFmtId="168" fontId="22" fillId="17" borderId="227" xfId="0" applyNumberFormat="1" applyFont="1" applyFill="1" applyBorder="1" applyAlignment="1" applyProtection="1">
      <alignment horizontal="center" vertical="center" wrapText="1"/>
    </xf>
    <xf numFmtId="168" fontId="22" fillId="17" borderId="240" xfId="0" applyNumberFormat="1" applyFont="1" applyFill="1" applyBorder="1" applyAlignment="1" applyProtection="1">
      <alignment horizontal="center" vertical="center" wrapText="1"/>
    </xf>
    <xf numFmtId="168" fontId="23" fillId="34" borderId="37" xfId="0" applyNumberFormat="1" applyFont="1" applyFill="1" applyBorder="1" applyAlignment="1" applyProtection="1">
      <alignment horizontal="center" vertical="center" wrapText="1"/>
    </xf>
    <xf numFmtId="168" fontId="23" fillId="34" borderId="25" xfId="0" applyNumberFormat="1" applyFont="1" applyFill="1" applyBorder="1" applyAlignment="1" applyProtection="1">
      <alignment horizontal="center" vertical="center" wrapText="1"/>
    </xf>
    <xf numFmtId="168" fontId="23" fillId="34" borderId="38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96" xfId="0" applyFont="1" applyFill="1" applyBorder="1" applyAlignment="1" applyProtection="1">
      <alignment horizontal="center" vertical="center" wrapText="1"/>
    </xf>
    <xf numFmtId="0" fontId="12" fillId="15" borderId="98" xfId="0" applyFont="1" applyFill="1" applyBorder="1" applyAlignment="1" applyProtection="1">
      <alignment horizontal="center" vertical="center" wrapText="1"/>
    </xf>
    <xf numFmtId="0" fontId="12" fillId="15" borderId="102" xfId="0" applyFont="1" applyFill="1" applyBorder="1" applyAlignment="1" applyProtection="1">
      <alignment horizontal="center" vertical="center" wrapText="1"/>
    </xf>
    <xf numFmtId="0" fontId="12" fillId="15" borderId="5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2" fillId="11" borderId="146" xfId="0" applyFont="1" applyFill="1" applyBorder="1" applyAlignment="1" applyProtection="1">
      <alignment horizontal="center" vertical="center" wrapText="1"/>
    </xf>
    <xf numFmtId="0" fontId="22" fillId="11" borderId="136" xfId="0" applyFont="1" applyFill="1" applyBorder="1" applyAlignment="1" applyProtection="1">
      <alignment horizontal="center" vertical="center" wrapText="1"/>
    </xf>
    <xf numFmtId="177" fontId="22" fillId="29" borderId="208" xfId="0" applyNumberFormat="1" applyFont="1" applyFill="1" applyBorder="1" applyAlignment="1" applyProtection="1">
      <alignment horizontal="right" vertical="center"/>
    </xf>
    <xf numFmtId="177" fontId="22" fillId="29" borderId="133" xfId="0" applyNumberFormat="1" applyFont="1" applyFill="1" applyBorder="1" applyAlignment="1" applyProtection="1">
      <alignment horizontal="right" vertical="center"/>
    </xf>
    <xf numFmtId="177" fontId="22" fillId="29" borderId="65" xfId="0" applyNumberFormat="1" applyFont="1" applyFill="1" applyBorder="1" applyAlignment="1" applyProtection="1">
      <alignment horizontal="right" vertical="center"/>
    </xf>
    <xf numFmtId="0" fontId="12" fillId="16" borderId="157" xfId="0" applyFont="1" applyFill="1" applyBorder="1" applyAlignment="1" applyProtection="1">
      <alignment horizontal="center" vertical="center" wrapText="1"/>
    </xf>
    <xf numFmtId="0" fontId="12" fillId="16" borderId="31" xfId="0" applyFont="1" applyFill="1" applyBorder="1" applyAlignment="1" applyProtection="1">
      <alignment horizontal="center" vertical="center" wrapText="1"/>
    </xf>
    <xf numFmtId="0" fontId="12" fillId="16" borderId="43" xfId="0" applyFont="1" applyFill="1" applyBorder="1" applyAlignment="1" applyProtection="1">
      <alignment horizontal="center" vertical="center" wrapText="1"/>
    </xf>
    <xf numFmtId="0" fontId="12" fillId="16" borderId="156" xfId="0" applyFont="1" applyFill="1" applyBorder="1" applyAlignment="1" applyProtection="1">
      <alignment horizontal="center" vertical="center" wrapText="1"/>
    </xf>
    <xf numFmtId="0" fontId="22" fillId="11" borderId="254" xfId="0" applyFont="1" applyFill="1" applyBorder="1" applyAlignment="1" applyProtection="1">
      <alignment horizontal="center" vertical="center" wrapText="1"/>
    </xf>
    <xf numFmtId="0" fontId="22" fillId="11" borderId="231" xfId="0" applyFont="1" applyFill="1" applyBorder="1" applyAlignment="1" applyProtection="1">
      <alignment horizontal="center" vertical="center" wrapText="1"/>
    </xf>
    <xf numFmtId="0" fontId="22" fillId="11" borderId="129" xfId="0" applyFont="1" applyFill="1" applyBorder="1" applyAlignment="1" applyProtection="1">
      <alignment horizontal="center" vertical="center" wrapText="1"/>
    </xf>
    <xf numFmtId="0" fontId="21" fillId="16" borderId="131" xfId="0" applyFont="1" applyFill="1" applyBorder="1" applyAlignment="1" applyProtection="1">
      <alignment horizontal="center" vertical="center"/>
    </xf>
    <xf numFmtId="0" fontId="21" fillId="16" borderId="139" xfId="0" applyFont="1" applyFill="1" applyBorder="1" applyAlignment="1" applyProtection="1">
      <alignment horizontal="center" vertical="center"/>
    </xf>
    <xf numFmtId="0" fontId="21" fillId="16" borderId="235" xfId="0" applyFont="1" applyFill="1" applyBorder="1" applyAlignment="1" applyProtection="1">
      <alignment horizontal="center" vertical="center"/>
    </xf>
    <xf numFmtId="0" fontId="12" fillId="27" borderId="209" xfId="0" applyFont="1" applyFill="1" applyBorder="1" applyAlignment="1" applyProtection="1">
      <alignment horizontal="center" vertical="center" wrapText="1"/>
    </xf>
    <xf numFmtId="0" fontId="12" fillId="27" borderId="136" xfId="0" applyFont="1" applyFill="1" applyBorder="1" applyAlignment="1" applyProtection="1">
      <alignment horizontal="center" vertical="center" wrapText="1"/>
    </xf>
    <xf numFmtId="0" fontId="12" fillId="27" borderId="208" xfId="0" applyFont="1" applyFill="1" applyBorder="1" applyAlignment="1" applyProtection="1">
      <alignment horizontal="center" vertical="center" wrapText="1"/>
    </xf>
    <xf numFmtId="0" fontId="12" fillId="27" borderId="133" xfId="0" applyFont="1" applyFill="1" applyBorder="1" applyAlignment="1" applyProtection="1">
      <alignment horizontal="center" vertical="center" wrapText="1"/>
    </xf>
    <xf numFmtId="0" fontId="21" fillId="0" borderId="218" xfId="0" applyFont="1" applyFill="1" applyBorder="1" applyAlignment="1" applyProtection="1">
      <alignment horizontal="center" vertical="center" wrapText="1"/>
    </xf>
    <xf numFmtId="0" fontId="21" fillId="0" borderId="219" xfId="0" applyFont="1" applyFill="1" applyBorder="1" applyAlignment="1" applyProtection="1">
      <alignment horizontal="center" vertical="center" wrapText="1"/>
    </xf>
    <xf numFmtId="0" fontId="21" fillId="0" borderId="220" xfId="0" applyFont="1" applyFill="1" applyBorder="1" applyAlignment="1" applyProtection="1">
      <alignment horizontal="center" vertical="center" wrapText="1"/>
    </xf>
    <xf numFmtId="0" fontId="12" fillId="16" borderId="118" xfId="0" applyFont="1" applyFill="1" applyBorder="1" applyAlignment="1" applyProtection="1">
      <alignment horizontal="center" vertical="center" wrapText="1"/>
    </xf>
    <xf numFmtId="0" fontId="12" fillId="16" borderId="119" xfId="0" applyFont="1" applyFill="1" applyBorder="1" applyAlignment="1" applyProtection="1">
      <alignment horizontal="center" vertical="center" wrapText="1"/>
    </xf>
    <xf numFmtId="0" fontId="22" fillId="12" borderId="9" xfId="0" applyFont="1" applyFill="1" applyBorder="1" applyAlignment="1" applyProtection="1">
      <alignment horizontal="center" vertical="center"/>
      <protection locked="0"/>
    </xf>
    <xf numFmtId="0" fontId="22" fillId="12" borderId="10" xfId="0" applyFont="1" applyFill="1" applyBorder="1" applyAlignment="1" applyProtection="1">
      <alignment horizontal="center" vertical="center"/>
      <protection locked="0"/>
    </xf>
    <xf numFmtId="0" fontId="12" fillId="16" borderId="159" xfId="0" applyFont="1" applyFill="1" applyBorder="1" applyAlignment="1" applyProtection="1">
      <alignment horizontal="center" vertical="center"/>
    </xf>
    <xf numFmtId="0" fontId="12" fillId="16" borderId="117" xfId="0" applyFont="1" applyFill="1" applyBorder="1" applyAlignment="1" applyProtection="1">
      <alignment horizontal="center" vertical="center"/>
    </xf>
    <xf numFmtId="0" fontId="22" fillId="15" borderId="110" xfId="0" applyFont="1" applyFill="1" applyBorder="1" applyAlignment="1" applyProtection="1">
      <alignment horizontal="center" vertical="center" wrapText="1"/>
    </xf>
    <xf numFmtId="0" fontId="22" fillId="15" borderId="212" xfId="0" applyFont="1" applyFill="1" applyBorder="1" applyAlignment="1" applyProtection="1">
      <alignment horizontal="center" vertical="center" wrapText="1"/>
    </xf>
    <xf numFmtId="0" fontId="22" fillId="15" borderId="114" xfId="0" applyFont="1" applyFill="1" applyBorder="1" applyAlignment="1" applyProtection="1">
      <alignment horizontal="center" vertical="center" wrapText="1"/>
    </xf>
    <xf numFmtId="0" fontId="22" fillId="15" borderId="221" xfId="0" applyFont="1" applyFill="1" applyBorder="1" applyAlignment="1" applyProtection="1">
      <alignment horizontal="center" vertical="center" wrapText="1"/>
    </xf>
    <xf numFmtId="0" fontId="12" fillId="16" borderId="161" xfId="0" applyFont="1" applyFill="1" applyBorder="1" applyAlignment="1" applyProtection="1">
      <alignment horizontal="center" vertical="center"/>
    </xf>
    <xf numFmtId="0" fontId="12" fillId="16" borderId="113" xfId="0" applyFont="1" applyFill="1" applyBorder="1" applyAlignment="1" applyProtection="1">
      <alignment horizontal="center" vertical="center"/>
    </xf>
    <xf numFmtId="168" fontId="12" fillId="17" borderId="116" xfId="0" applyNumberFormat="1" applyFont="1" applyFill="1" applyBorder="1" applyAlignment="1" applyProtection="1">
      <alignment horizontal="center" vertical="center" wrapText="1"/>
    </xf>
    <xf numFmtId="168" fontId="12" fillId="17" borderId="112" xfId="0" applyNumberFormat="1" applyFont="1" applyFill="1" applyBorder="1" applyAlignment="1" applyProtection="1">
      <alignment horizontal="center" vertical="center" wrapText="1"/>
    </xf>
    <xf numFmtId="168" fontId="12" fillId="17" borderId="111" xfId="0" applyNumberFormat="1" applyFont="1" applyFill="1" applyBorder="1" applyAlignment="1" applyProtection="1">
      <alignment horizontal="center" vertical="center" wrapText="1"/>
    </xf>
    <xf numFmtId="0" fontId="0" fillId="38" borderId="30" xfId="0" applyFont="1" applyFill="1" applyBorder="1" applyAlignment="1" applyProtection="1">
      <alignment horizontal="left" vertical="center" wrapText="1"/>
    </xf>
    <xf numFmtId="0" fontId="0" fillId="38" borderId="19" xfId="0" applyFont="1" applyFill="1" applyBorder="1" applyAlignment="1" applyProtection="1">
      <alignment horizontal="left" vertical="center" wrapText="1"/>
    </xf>
    <xf numFmtId="0" fontId="0" fillId="38" borderId="40" xfId="0" applyFont="1" applyFill="1" applyBorder="1" applyAlignment="1" applyProtection="1">
      <alignment horizontal="left" vertical="center" wrapText="1"/>
    </xf>
    <xf numFmtId="0" fontId="0" fillId="38" borderId="31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41" xfId="0" applyFont="1" applyFill="1" applyBorder="1" applyAlignment="1" applyProtection="1">
      <alignment horizontal="left" vertical="center" wrapText="1"/>
    </xf>
    <xf numFmtId="0" fontId="0" fillId="38" borderId="20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0" fillId="52" borderId="19" xfId="0" applyFill="1" applyBorder="1" applyAlignment="1" applyProtection="1">
      <alignment horizontal="center" vertical="center" wrapText="1"/>
      <protection locked="0"/>
    </xf>
    <xf numFmtId="0" fontId="0" fillId="52" borderId="0" xfId="0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41" fillId="0" borderId="236" xfId="0" applyFont="1" applyBorder="1" applyAlignment="1" applyProtection="1">
      <alignment horizontal="center" vertical="center" wrapText="1"/>
      <protection locked="0"/>
    </xf>
    <xf numFmtId="0" fontId="41" fillId="0" borderId="19" xfId="0" applyFont="1" applyBorder="1" applyAlignment="1" applyProtection="1">
      <alignment horizontal="center" vertical="center" wrapText="1"/>
      <protection locked="0"/>
    </xf>
    <xf numFmtId="0" fontId="41" fillId="0" borderId="225" xfId="0" applyFont="1" applyBorder="1" applyAlignment="1" applyProtection="1">
      <alignment horizontal="center" vertical="center" wrapText="1"/>
      <protection locked="0"/>
    </xf>
    <xf numFmtId="0" fontId="37" fillId="51" borderId="0" xfId="0" applyFont="1" applyFill="1" applyBorder="1" applyAlignment="1" applyProtection="1">
      <alignment horizontal="left" vertical="center" wrapText="1"/>
      <protection locked="0"/>
    </xf>
    <xf numFmtId="0" fontId="37" fillId="51" borderId="246" xfId="0" applyFont="1" applyFill="1" applyBorder="1" applyAlignment="1" applyProtection="1">
      <alignment horizontal="left" vertical="center" wrapText="1"/>
      <protection locked="0"/>
    </xf>
    <xf numFmtId="0" fontId="37" fillId="51" borderId="248" xfId="0" applyFont="1" applyFill="1" applyBorder="1" applyAlignment="1" applyProtection="1">
      <alignment horizontal="left" vertical="center" wrapText="1"/>
      <protection locked="0"/>
    </xf>
    <xf numFmtId="0" fontId="37" fillId="51" borderId="249" xfId="0" applyFont="1" applyFill="1" applyBorder="1" applyAlignment="1" applyProtection="1">
      <alignment horizontal="left" vertical="center" wrapText="1"/>
      <protection locked="0"/>
    </xf>
    <xf numFmtId="0" fontId="38" fillId="51" borderId="0" xfId="0" applyFont="1" applyFill="1" applyBorder="1" applyAlignment="1" applyProtection="1">
      <alignment horizontal="left" vertical="center" wrapText="1"/>
      <protection locked="0"/>
    </xf>
    <xf numFmtId="0" fontId="38" fillId="51" borderId="246" xfId="0" applyFont="1" applyFill="1" applyBorder="1" applyAlignment="1" applyProtection="1">
      <alignment horizontal="left" vertical="center" wrapText="1"/>
      <protection locked="0"/>
    </xf>
    <xf numFmtId="0" fontId="22" fillId="12" borderId="237" xfId="0" applyFont="1" applyFill="1" applyBorder="1" applyAlignment="1" applyProtection="1">
      <alignment horizontal="center" vertical="center"/>
      <protection locked="0"/>
    </xf>
    <xf numFmtId="0" fontId="22" fillId="12" borderId="14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19" fillId="52" borderId="236" xfId="0" applyFont="1" applyFill="1" applyBorder="1" applyAlignment="1" applyProtection="1">
      <alignment horizontal="center" vertical="center"/>
      <protection locked="0"/>
    </xf>
    <xf numFmtId="0" fontId="19" fillId="52" borderId="19" xfId="0" applyFont="1" applyFill="1" applyBorder="1" applyAlignment="1" applyProtection="1">
      <alignment horizontal="center" vertical="center"/>
      <protection locked="0"/>
    </xf>
    <xf numFmtId="0" fontId="19" fillId="52" borderId="247" xfId="0" applyFont="1" applyFill="1" applyBorder="1" applyAlignment="1" applyProtection="1">
      <alignment horizontal="center" vertical="center"/>
      <protection locked="0"/>
    </xf>
    <xf numFmtId="0" fontId="19" fillId="52" borderId="248" xfId="0" applyFont="1" applyFill="1" applyBorder="1" applyAlignment="1" applyProtection="1">
      <alignment horizontal="center" vertical="center"/>
      <protection locked="0"/>
    </xf>
    <xf numFmtId="0" fontId="19" fillId="52" borderId="225" xfId="0" applyFont="1" applyFill="1" applyBorder="1" applyAlignment="1" applyProtection="1">
      <alignment horizontal="center" vertical="center"/>
      <protection locked="0"/>
    </xf>
    <xf numFmtId="0" fontId="19" fillId="52" borderId="249" xfId="0" applyFont="1" applyFill="1" applyBorder="1" applyAlignment="1" applyProtection="1">
      <alignment horizontal="center" vertical="center"/>
      <protection locked="0"/>
    </xf>
    <xf numFmtId="0" fontId="0" fillId="52" borderId="236" xfId="0" applyFill="1" applyBorder="1" applyAlignment="1" applyProtection="1">
      <alignment horizontal="left" wrapText="1"/>
      <protection locked="0"/>
    </xf>
    <xf numFmtId="0" fontId="0" fillId="52" borderId="225" xfId="0" applyFill="1" applyBorder="1" applyAlignment="1" applyProtection="1">
      <alignment horizontal="left" wrapText="1"/>
      <protection locked="0"/>
    </xf>
    <xf numFmtId="0" fontId="0" fillId="52" borderId="173" xfId="0" applyFill="1" applyBorder="1" applyAlignment="1" applyProtection="1">
      <alignment horizontal="left" wrapText="1"/>
      <protection locked="0"/>
    </xf>
    <xf numFmtId="0" fontId="0" fillId="52" borderId="246" xfId="0" applyFill="1" applyBorder="1" applyAlignment="1" applyProtection="1">
      <alignment horizontal="left" wrapText="1"/>
      <protection locked="0"/>
    </xf>
  </cellXfs>
  <cellStyles count="3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A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4">
    <dxf>
      <font>
        <color rgb="FF9C0006"/>
      </font>
    </dxf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00CC"/>
      <color rgb="FFFF0909"/>
      <color rgb="FF000099"/>
      <color rgb="FF69D8FF"/>
      <color rgb="FFFFFF66"/>
      <color rgb="FF00A249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423333</xdr:colOff>
      <xdr:row>59</xdr:row>
      <xdr:rowOff>127000</xdr:rowOff>
    </xdr:from>
    <xdr:to>
      <xdr:col>16</xdr:col>
      <xdr:colOff>653667</xdr:colOff>
      <xdr:row>113</xdr:row>
      <xdr:rowOff>99618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7729066-2FA7-4D0C-A0E0-4D962954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333" y="9493250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455083</xdr:colOff>
      <xdr:row>114</xdr:row>
      <xdr:rowOff>116416</xdr:rowOff>
    </xdr:from>
    <xdr:to>
      <xdr:col>8</xdr:col>
      <xdr:colOff>560723</xdr:colOff>
      <xdr:row>164</xdr:row>
      <xdr:rowOff>76243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7CA8B7-EB42-421D-A8D1-10107BBE2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5083" y="18213916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433917</xdr:colOff>
      <xdr:row>9</xdr:row>
      <xdr:rowOff>52917</xdr:rowOff>
    </xdr:from>
    <xdr:to>
      <xdr:col>16</xdr:col>
      <xdr:colOff>666751</xdr:colOff>
      <xdr:row>58</xdr:row>
      <xdr:rowOff>30275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1949DB6-AE6E-4016-8D14-101FE977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3917" y="1481667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\2020\TARIFAS%202021\SIMULACION%20TARIFAS%20SC\DELBIENSAN%20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20201001Tarifas 2021 Stgo 09 21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>
        <row r="9">
          <cell r="B9">
            <v>4321700</v>
          </cell>
        </row>
      </sheetData>
      <sheetData sheetId="3">
        <row r="15">
          <cell r="B15" t="str">
            <v>Diurna</v>
          </cell>
        </row>
        <row r="16">
          <cell r="B16" t="str">
            <v>Nocturna</v>
          </cell>
        </row>
        <row r="17">
          <cell r="B17" t="str">
            <v>Media Jornada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28">
          <cell r="C28"/>
          <cell r="D28"/>
          <cell r="E28"/>
          <cell r="F28"/>
          <cell r="G28"/>
        </row>
      </sheetData>
      <sheetData sheetId="4">
        <row r="13">
          <cell r="H13">
            <v>19521895.19444048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73" zoomScale="90" zoomScaleNormal="90" workbookViewId="0">
      <selection activeCell="L115" sqref="L115"/>
    </sheetView>
  </sheetViews>
  <sheetFormatPr baseColWidth="10" defaultColWidth="11.42578125" defaultRowHeight="12.75" x14ac:dyDescent="0.2"/>
  <cols>
    <col min="1" max="16384" width="11.42578125" style="73"/>
  </cols>
  <sheetData>
    <row r="1" spans="3:10" x14ac:dyDescent="0.2">
      <c r="J1" s="72"/>
    </row>
    <row r="2" spans="3:10" x14ac:dyDescent="0.2">
      <c r="J2" s="72" t="s">
        <v>84</v>
      </c>
    </row>
    <row r="3" spans="3:10" x14ac:dyDescent="0.2">
      <c r="J3" s="72"/>
    </row>
    <row r="5" spans="3:10" x14ac:dyDescent="0.2">
      <c r="C5" s="74"/>
      <c r="D5" s="74"/>
      <c r="E5" s="74"/>
      <c r="F5" s="74"/>
      <c r="G5" s="74"/>
      <c r="H5" s="74"/>
      <c r="I5" s="74"/>
      <c r="J5" s="74"/>
    </row>
    <row r="6" spans="3:10" x14ac:dyDescent="0.2">
      <c r="C6" s="74"/>
      <c r="D6" s="74"/>
      <c r="E6" s="74"/>
      <c r="F6" s="74"/>
      <c r="G6" s="74"/>
      <c r="H6" s="74"/>
      <c r="I6" s="74"/>
      <c r="J6" s="74"/>
    </row>
    <row r="7" spans="3:10" x14ac:dyDescent="0.2">
      <c r="C7" s="74"/>
      <c r="D7" s="74"/>
      <c r="E7" s="74"/>
      <c r="F7" s="74"/>
      <c r="G7" s="74"/>
      <c r="H7" s="74"/>
      <c r="I7" s="74"/>
      <c r="J7" s="74"/>
    </row>
    <row r="8" spans="3:10" x14ac:dyDescent="0.2">
      <c r="C8" s="74"/>
      <c r="D8" s="74"/>
      <c r="E8" s="74"/>
      <c r="F8" s="74"/>
      <c r="G8" s="74"/>
      <c r="H8" s="74"/>
      <c r="I8" s="74"/>
      <c r="J8" s="74"/>
    </row>
    <row r="9" spans="3:10" x14ac:dyDescent="0.2">
      <c r="C9" s="74"/>
      <c r="D9" s="74"/>
      <c r="E9" s="74"/>
      <c r="F9" s="74"/>
      <c r="G9" s="74"/>
      <c r="H9" s="74"/>
      <c r="I9" s="74"/>
      <c r="J9" s="74"/>
    </row>
    <row r="10" spans="3:10" x14ac:dyDescent="0.2">
      <c r="C10" s="74"/>
      <c r="D10" s="74"/>
      <c r="E10" s="74"/>
      <c r="F10" s="74"/>
      <c r="G10" s="74"/>
      <c r="H10" s="74"/>
      <c r="I10" s="74"/>
      <c r="J10" s="74"/>
    </row>
    <row r="11" spans="3:10" x14ac:dyDescent="0.2">
      <c r="C11" s="74"/>
      <c r="D11" s="74"/>
      <c r="E11" s="74"/>
      <c r="F11" s="74"/>
      <c r="G11" s="74"/>
      <c r="H11" s="74"/>
      <c r="I11" s="74"/>
      <c r="J11" s="74"/>
    </row>
    <row r="12" spans="3:10" x14ac:dyDescent="0.2">
      <c r="C12" s="74"/>
      <c r="D12" s="74"/>
      <c r="E12" s="74"/>
      <c r="F12" s="74"/>
      <c r="G12" s="74"/>
      <c r="H12" s="74"/>
      <c r="I12" s="74"/>
      <c r="J12" s="74"/>
    </row>
    <row r="13" spans="3:10" x14ac:dyDescent="0.2">
      <c r="C13" s="74"/>
      <c r="D13" s="74"/>
      <c r="E13" s="74"/>
      <c r="F13" s="74"/>
      <c r="G13" s="74"/>
      <c r="H13" s="74"/>
      <c r="I13" s="74"/>
      <c r="J13" s="74"/>
    </row>
    <row r="14" spans="3:10" x14ac:dyDescent="0.2">
      <c r="C14" s="74"/>
      <c r="D14" s="74"/>
      <c r="E14" s="74"/>
      <c r="F14" s="74"/>
      <c r="G14" s="74"/>
      <c r="H14" s="74"/>
      <c r="I14" s="74"/>
      <c r="J14" s="74"/>
    </row>
    <row r="15" spans="3:10" x14ac:dyDescent="0.2">
      <c r="C15" s="74"/>
      <c r="D15" s="74"/>
      <c r="E15" s="74"/>
      <c r="F15" s="74"/>
      <c r="G15" s="74"/>
      <c r="H15" s="74"/>
      <c r="I15" s="74"/>
      <c r="J15" s="74"/>
    </row>
    <row r="16" spans="3:10" x14ac:dyDescent="0.2">
      <c r="C16" s="74"/>
      <c r="D16" s="74"/>
      <c r="E16" s="74"/>
      <c r="F16" s="74"/>
      <c r="G16" s="74"/>
      <c r="H16" s="74"/>
      <c r="I16" s="74"/>
      <c r="J16" s="74"/>
    </row>
    <row r="17" spans="3:10" x14ac:dyDescent="0.2">
      <c r="C17" s="74"/>
      <c r="D17" s="74"/>
      <c r="E17" s="74"/>
      <c r="F17" s="74"/>
      <c r="G17" s="74"/>
      <c r="H17" s="74"/>
      <c r="I17" s="74"/>
      <c r="J17" s="74"/>
    </row>
    <row r="18" spans="3:10" x14ac:dyDescent="0.2">
      <c r="C18" s="74"/>
      <c r="D18" s="74"/>
      <c r="E18" s="74"/>
      <c r="F18" s="74"/>
      <c r="G18" s="74"/>
      <c r="H18" s="74"/>
      <c r="I18" s="74"/>
      <c r="J18" s="74"/>
    </row>
    <row r="19" spans="3:10" x14ac:dyDescent="0.2">
      <c r="C19" s="74"/>
      <c r="D19" s="74"/>
      <c r="E19" s="74"/>
      <c r="F19" s="74"/>
      <c r="G19" s="74"/>
      <c r="H19" s="74"/>
      <c r="I19" s="74"/>
      <c r="J19" s="74"/>
    </row>
    <row r="20" spans="3:10" x14ac:dyDescent="0.2">
      <c r="C20" s="74"/>
      <c r="D20" s="74"/>
      <c r="E20" s="74"/>
      <c r="F20" s="74"/>
      <c r="G20" s="74"/>
      <c r="H20" s="74"/>
      <c r="I20" s="74"/>
      <c r="J20" s="74"/>
    </row>
    <row r="21" spans="3:10" x14ac:dyDescent="0.2">
      <c r="C21" s="74"/>
      <c r="D21" s="74"/>
      <c r="E21" s="74"/>
      <c r="F21" s="74"/>
      <c r="G21" s="74"/>
      <c r="H21" s="74"/>
      <c r="I21" s="74"/>
      <c r="J21" s="74"/>
    </row>
    <row r="22" spans="3:10" x14ac:dyDescent="0.2">
      <c r="C22" s="74"/>
      <c r="D22" s="74"/>
      <c r="E22" s="74"/>
      <c r="F22" s="74"/>
      <c r="G22" s="74"/>
      <c r="H22" s="74"/>
      <c r="I22" s="74"/>
      <c r="J22" s="74"/>
    </row>
    <row r="23" spans="3:10" x14ac:dyDescent="0.2">
      <c r="C23" s="74"/>
      <c r="D23" s="74"/>
      <c r="E23" s="74"/>
      <c r="F23" s="74"/>
      <c r="G23" s="74"/>
      <c r="H23" s="74"/>
      <c r="I23" s="74"/>
      <c r="J23" s="74"/>
    </row>
    <row r="24" spans="3:10" x14ac:dyDescent="0.2">
      <c r="C24" s="74"/>
      <c r="D24" s="74"/>
      <c r="E24" s="74"/>
      <c r="F24" s="74"/>
      <c r="G24" s="74"/>
      <c r="H24" s="74"/>
      <c r="I24" s="74"/>
      <c r="J24" s="74"/>
    </row>
    <row r="25" spans="3:10" x14ac:dyDescent="0.2">
      <c r="C25" s="74"/>
      <c r="D25" s="74"/>
      <c r="E25" s="74"/>
      <c r="F25" s="74"/>
      <c r="G25" s="74"/>
      <c r="H25" s="74"/>
      <c r="I25" s="74"/>
      <c r="J25" s="74"/>
    </row>
    <row r="26" spans="3:10" x14ac:dyDescent="0.2">
      <c r="C26" s="74"/>
      <c r="D26" s="74"/>
      <c r="E26" s="74"/>
      <c r="F26" s="74"/>
      <c r="G26" s="74"/>
      <c r="H26" s="74"/>
      <c r="I26" s="74"/>
      <c r="J26" s="74"/>
    </row>
    <row r="27" spans="3:10" x14ac:dyDescent="0.2">
      <c r="C27" s="74"/>
      <c r="D27" s="74"/>
      <c r="E27" s="74"/>
      <c r="F27" s="74"/>
      <c r="G27" s="74"/>
      <c r="H27" s="74"/>
      <c r="I27" s="74"/>
      <c r="J27" s="74"/>
    </row>
    <row r="28" spans="3:10" x14ac:dyDescent="0.2">
      <c r="C28" s="74"/>
      <c r="D28" s="74"/>
      <c r="E28" s="74"/>
      <c r="F28" s="74"/>
      <c r="G28" s="74"/>
      <c r="H28" s="74"/>
      <c r="I28" s="74"/>
      <c r="J28" s="74"/>
    </row>
    <row r="29" spans="3:10" x14ac:dyDescent="0.2">
      <c r="C29" s="74"/>
      <c r="D29" s="74"/>
      <c r="E29" s="74"/>
      <c r="F29" s="74"/>
      <c r="G29" s="74"/>
      <c r="H29" s="74"/>
      <c r="I29" s="74"/>
      <c r="J29" s="74"/>
    </row>
    <row r="30" spans="3:10" x14ac:dyDescent="0.2">
      <c r="C30" s="74"/>
      <c r="D30" s="74"/>
      <c r="E30" s="74"/>
      <c r="F30" s="74"/>
      <c r="G30" s="74"/>
      <c r="H30" s="74"/>
      <c r="I30" s="74"/>
      <c r="J30" s="74"/>
    </row>
    <row r="31" spans="3:10" x14ac:dyDescent="0.2">
      <c r="C31" s="74"/>
      <c r="D31" s="74"/>
      <c r="E31" s="74"/>
      <c r="F31" s="74"/>
      <c r="G31" s="74"/>
      <c r="H31" s="74"/>
      <c r="I31" s="74"/>
      <c r="J31" s="74"/>
    </row>
    <row r="32" spans="3:10" x14ac:dyDescent="0.2">
      <c r="C32" s="74"/>
      <c r="D32" s="74"/>
      <c r="E32" s="74"/>
      <c r="F32" s="74"/>
      <c r="G32" s="74"/>
      <c r="H32" s="74"/>
      <c r="I32" s="74"/>
      <c r="J32" s="74"/>
    </row>
    <row r="33" spans="3:10" x14ac:dyDescent="0.2">
      <c r="C33" s="74"/>
      <c r="D33" s="74"/>
      <c r="E33" s="74"/>
      <c r="F33" s="74"/>
      <c r="G33" s="74"/>
      <c r="H33" s="74"/>
      <c r="I33" s="74"/>
      <c r="J33" s="74"/>
    </row>
    <row r="34" spans="3:10" x14ac:dyDescent="0.2">
      <c r="C34" s="74"/>
      <c r="D34" s="74"/>
      <c r="E34" s="74"/>
      <c r="F34" s="74"/>
      <c r="G34" s="74"/>
      <c r="H34" s="74"/>
      <c r="I34" s="74"/>
      <c r="J34" s="74"/>
    </row>
    <row r="35" spans="3:10" x14ac:dyDescent="0.2">
      <c r="C35" s="74"/>
      <c r="D35" s="74"/>
      <c r="E35" s="74"/>
      <c r="F35" s="74"/>
      <c r="G35" s="74"/>
      <c r="H35" s="74"/>
      <c r="I35" s="74"/>
      <c r="J35" s="74"/>
    </row>
    <row r="36" spans="3:10" x14ac:dyDescent="0.2">
      <c r="C36" s="74"/>
      <c r="D36" s="74"/>
      <c r="E36" s="74"/>
      <c r="F36" s="74"/>
      <c r="G36" s="74"/>
      <c r="H36" s="74"/>
      <c r="I36" s="74"/>
      <c r="J36" s="74"/>
    </row>
    <row r="37" spans="3:10" x14ac:dyDescent="0.2">
      <c r="C37" s="74"/>
      <c r="D37" s="74"/>
      <c r="E37" s="74"/>
      <c r="F37" s="74"/>
      <c r="G37" s="74"/>
      <c r="H37" s="74"/>
      <c r="I37" s="74"/>
      <c r="J37" s="74"/>
    </row>
    <row r="38" spans="3:10" x14ac:dyDescent="0.2">
      <c r="C38" s="74"/>
      <c r="D38" s="74"/>
      <c r="E38" s="74"/>
      <c r="F38" s="74"/>
      <c r="G38" s="74"/>
      <c r="H38" s="74"/>
      <c r="I38" s="74"/>
      <c r="J38" s="74"/>
    </row>
    <row r="39" spans="3:10" x14ac:dyDescent="0.2">
      <c r="C39" s="74"/>
      <c r="D39" s="74"/>
      <c r="E39" s="74"/>
      <c r="F39" s="74"/>
      <c r="G39" s="74"/>
      <c r="H39" s="74"/>
      <c r="I39" s="74"/>
      <c r="J39" s="74"/>
    </row>
    <row r="40" spans="3:10" x14ac:dyDescent="0.2">
      <c r="C40" s="74"/>
      <c r="D40" s="74"/>
      <c r="E40" s="74"/>
      <c r="F40" s="74"/>
      <c r="G40" s="74"/>
      <c r="H40" s="74"/>
      <c r="I40" s="74"/>
      <c r="J40" s="74"/>
    </row>
    <row r="41" spans="3:10" x14ac:dyDescent="0.2">
      <c r="C41" s="74"/>
      <c r="D41" s="74"/>
      <c r="E41" s="74"/>
      <c r="F41" s="74"/>
      <c r="G41" s="74"/>
      <c r="H41" s="74"/>
      <c r="I41" s="74"/>
      <c r="J41" s="74"/>
    </row>
    <row r="42" spans="3:10" x14ac:dyDescent="0.2">
      <c r="C42" s="74"/>
      <c r="D42" s="74"/>
      <c r="E42" s="74"/>
      <c r="F42" s="74"/>
      <c r="G42" s="74"/>
      <c r="H42" s="74"/>
      <c r="I42" s="74"/>
      <c r="J42" s="74"/>
    </row>
    <row r="43" spans="3:10" x14ac:dyDescent="0.2">
      <c r="C43" s="74"/>
      <c r="D43" s="74"/>
      <c r="E43" s="74"/>
      <c r="F43" s="74"/>
      <c r="G43" s="74"/>
      <c r="H43" s="74"/>
      <c r="I43" s="74"/>
      <c r="J43" s="74"/>
    </row>
    <row r="44" spans="3:10" x14ac:dyDescent="0.2">
      <c r="C44" s="74"/>
      <c r="D44" s="74"/>
      <c r="E44" s="74"/>
      <c r="F44" s="74"/>
      <c r="G44" s="74"/>
      <c r="H44" s="74"/>
      <c r="I44" s="74"/>
      <c r="J44" s="74"/>
    </row>
    <row r="45" spans="3:10" x14ac:dyDescent="0.2">
      <c r="C45" s="74"/>
      <c r="D45" s="74"/>
      <c r="E45" s="74"/>
      <c r="F45" s="74"/>
      <c r="G45" s="74"/>
      <c r="H45" s="74"/>
      <c r="I45" s="74"/>
      <c r="J45" s="74"/>
    </row>
    <row r="46" spans="3:10" x14ac:dyDescent="0.2">
      <c r="C46" s="74"/>
      <c r="D46" s="74"/>
      <c r="E46" s="74"/>
      <c r="F46" s="74"/>
      <c r="G46" s="74"/>
      <c r="H46" s="74"/>
      <c r="I46" s="74"/>
      <c r="J46" s="74"/>
    </row>
    <row r="47" spans="3:10" x14ac:dyDescent="0.2">
      <c r="C47" s="74"/>
      <c r="D47" s="74"/>
      <c r="E47" s="74"/>
      <c r="F47" s="74"/>
      <c r="G47" s="74"/>
      <c r="H47" s="74"/>
      <c r="I47" s="74"/>
      <c r="J47" s="74"/>
    </row>
    <row r="48" spans="3:10" x14ac:dyDescent="0.2">
      <c r="C48" s="74"/>
      <c r="D48" s="74"/>
      <c r="E48" s="74"/>
      <c r="F48" s="74"/>
      <c r="G48" s="74"/>
      <c r="H48" s="74"/>
      <c r="I48" s="74"/>
      <c r="J48" s="74"/>
    </row>
    <row r="49" spans="3:10" x14ac:dyDescent="0.2">
      <c r="C49" s="74"/>
      <c r="D49" s="74"/>
      <c r="E49" s="74"/>
      <c r="F49" s="74"/>
      <c r="G49" s="74"/>
      <c r="H49" s="74"/>
      <c r="I49" s="74"/>
      <c r="J49" s="74"/>
    </row>
    <row r="50" spans="3:10" x14ac:dyDescent="0.2">
      <c r="C50" s="74"/>
      <c r="D50" s="74"/>
      <c r="E50" s="74"/>
      <c r="F50" s="74"/>
      <c r="G50" s="74"/>
      <c r="H50" s="74"/>
      <c r="I50" s="74"/>
      <c r="J50" s="74"/>
    </row>
    <row r="51" spans="3:10" x14ac:dyDescent="0.2">
      <c r="C51" s="74"/>
      <c r="D51" s="74"/>
      <c r="E51" s="74"/>
      <c r="F51" s="74"/>
      <c r="G51" s="74"/>
      <c r="H51" s="74"/>
      <c r="I51" s="74"/>
      <c r="J51" s="74"/>
    </row>
    <row r="52" spans="3:10" x14ac:dyDescent="0.2">
      <c r="C52" s="74"/>
      <c r="D52" s="74"/>
      <c r="E52" s="74"/>
      <c r="F52" s="74"/>
      <c r="G52" s="74"/>
      <c r="H52" s="74"/>
      <c r="I52" s="74"/>
      <c r="J52" s="74"/>
    </row>
  </sheetData>
  <sheetProtection algorithmName="SHA-512" hashValue="uBoflSCksIORnJxIyMqiDo/WmBiBSRAzAu6cWsBPnZC9DPWoTyLBO64t10p3ctSMEv4PrGgWUoIg//7CSIWNlA==" saltValue="n9bbUl1tG55BTt+SxXzj+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V77"/>
  <sheetViews>
    <sheetView showGridLines="0" topLeftCell="A40" zoomScale="110" zoomScaleNormal="110" workbookViewId="0">
      <selection activeCell="O77" sqref="O77"/>
    </sheetView>
  </sheetViews>
  <sheetFormatPr baseColWidth="10" defaultColWidth="11.42578125" defaultRowHeight="12.75" x14ac:dyDescent="0.2"/>
  <cols>
    <col min="1" max="9" width="11.42578125" style="84"/>
    <col min="10" max="11" width="13.28515625" style="84" customWidth="1"/>
    <col min="12" max="16384" width="11.42578125" style="84"/>
  </cols>
  <sheetData>
    <row r="1" spans="1:17" x14ac:dyDescent="0.2">
      <c r="J1" s="268"/>
      <c r="K1" s="274"/>
    </row>
    <row r="2" spans="1:17" x14ac:dyDescent="0.2">
      <c r="J2" s="268" t="s">
        <v>202</v>
      </c>
      <c r="K2" s="274"/>
    </row>
    <row r="4" spans="1:17" ht="19.5" customHeight="1" x14ac:dyDescent="0.2">
      <c r="I4" s="269" t="s">
        <v>0</v>
      </c>
      <c r="J4" s="946" t="str">
        <f>+'B) Reajuste Tarifas y Ocupación'!F5</f>
        <v>(DEPTO./DELEG.)</v>
      </c>
      <c r="K4" s="947"/>
    </row>
    <row r="6" spans="1:17" ht="12.75" customHeight="1" x14ac:dyDescent="0.2">
      <c r="A6" s="273" t="s">
        <v>123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7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9" spans="1:17" x14ac:dyDescent="0.2">
      <c r="B9" s="468" t="s">
        <v>202</v>
      </c>
      <c r="C9" s="468"/>
    </row>
    <row r="10" spans="1:17" ht="15.75" x14ac:dyDescent="0.2">
      <c r="B10" s="269" t="s">
        <v>0</v>
      </c>
      <c r="C10" s="1018" t="s">
        <v>271</v>
      </c>
      <c r="D10" s="1019"/>
    </row>
    <row r="12" spans="1:17" x14ac:dyDescent="0.2">
      <c r="B12" s="1020" t="s">
        <v>123</v>
      </c>
      <c r="C12" s="1020"/>
      <c r="D12" s="1020"/>
      <c r="E12" s="1020"/>
      <c r="F12" s="1020"/>
      <c r="G12" s="1020"/>
      <c r="H12" s="1020"/>
      <c r="I12" s="1020"/>
      <c r="J12" s="1020"/>
      <c r="K12" s="85"/>
      <c r="L12" s="85"/>
      <c r="M12" s="85"/>
      <c r="N12" s="85"/>
      <c r="O12" s="85"/>
      <c r="P12" s="85"/>
      <c r="Q12" s="85"/>
    </row>
    <row r="13" spans="1:17" x14ac:dyDescent="0.2">
      <c r="A13" s="469"/>
      <c r="B13" s="1020"/>
      <c r="C13" s="1020"/>
      <c r="D13" s="1020"/>
      <c r="E13" s="1020"/>
      <c r="F13" s="1020"/>
      <c r="G13" s="1020"/>
      <c r="H13" s="1020"/>
      <c r="I13" s="1020"/>
      <c r="J13" s="1020"/>
      <c r="K13" s="470"/>
      <c r="L13" s="470"/>
      <c r="M13" s="470"/>
      <c r="N13" s="471"/>
      <c r="O13" s="472"/>
      <c r="P13" s="472"/>
      <c r="Q13" s="472"/>
    </row>
    <row r="15" spans="1:17" x14ac:dyDescent="0.2">
      <c r="A15" s="473"/>
      <c r="H15" s="474"/>
      <c r="I15" s="475"/>
      <c r="J15" s="475"/>
      <c r="K15" s="475"/>
      <c r="L15" s="476"/>
    </row>
    <row r="16" spans="1:17" ht="15.75" x14ac:dyDescent="0.25">
      <c r="A16" s="477"/>
      <c r="B16" s="478" t="s">
        <v>249</v>
      </c>
      <c r="C16" s="479"/>
      <c r="D16" s="479"/>
      <c r="E16" s="479"/>
      <c r="F16" s="479"/>
      <c r="G16" s="479"/>
      <c r="H16" s="480"/>
      <c r="I16" s="481"/>
      <c r="J16" s="481"/>
      <c r="K16" s="481"/>
      <c r="L16" s="482"/>
      <c r="M16" s="479"/>
      <c r="N16" s="479"/>
      <c r="O16" s="479"/>
      <c r="P16" s="479"/>
      <c r="Q16" s="479"/>
    </row>
    <row r="17" spans="1:17" ht="15.75" x14ac:dyDescent="0.25">
      <c r="A17" s="477"/>
      <c r="B17" s="478"/>
      <c r="C17" s="479"/>
      <c r="D17" s="479"/>
      <c r="E17" s="479"/>
      <c r="F17" s="483" t="s">
        <v>250</v>
      </c>
      <c r="G17" s="483"/>
      <c r="H17" s="484" t="s">
        <v>337</v>
      </c>
      <c r="I17" s="485"/>
      <c r="J17" s="481"/>
      <c r="K17" s="481"/>
      <c r="L17" s="482"/>
      <c r="M17" s="479"/>
      <c r="N17" s="479"/>
      <c r="O17" s="479"/>
      <c r="P17" s="479"/>
      <c r="Q17" s="479"/>
    </row>
    <row r="18" spans="1:17" x14ac:dyDescent="0.2">
      <c r="A18" s="486" t="s">
        <v>251</v>
      </c>
      <c r="B18" s="487" t="s">
        <v>272</v>
      </c>
      <c r="C18" s="479"/>
      <c r="D18" s="479"/>
      <c r="F18" s="488">
        <v>117</v>
      </c>
      <c r="G18" s="489"/>
      <c r="H18" s="484">
        <v>0.48</v>
      </c>
      <c r="I18" s="490"/>
      <c r="J18" s="481"/>
      <c r="K18" s="481"/>
      <c r="L18" s="482"/>
      <c r="M18" s="479"/>
      <c r="N18" s="479"/>
      <c r="O18" s="479"/>
      <c r="P18" s="479"/>
      <c r="Q18" s="479"/>
    </row>
    <row r="19" spans="1:17" x14ac:dyDescent="0.2">
      <c r="A19" s="486"/>
      <c r="B19" s="479"/>
      <c r="C19" s="479"/>
      <c r="D19" s="479"/>
      <c r="E19" s="479"/>
      <c r="F19" s="479"/>
      <c r="G19" s="479"/>
      <c r="H19" s="480"/>
      <c r="I19" s="481"/>
      <c r="J19" s="481"/>
      <c r="K19" s="481"/>
      <c r="L19" s="482"/>
      <c r="M19" s="479"/>
      <c r="N19" s="479"/>
      <c r="O19" s="479"/>
      <c r="P19" s="479"/>
      <c r="Q19" s="479"/>
    </row>
    <row r="20" spans="1:17" ht="60" x14ac:dyDescent="0.2">
      <c r="B20" s="491" t="s">
        <v>252</v>
      </c>
      <c r="E20" s="492" t="s">
        <v>87</v>
      </c>
      <c r="F20" s="493" t="s">
        <v>136</v>
      </c>
      <c r="G20" s="493" t="s">
        <v>137</v>
      </c>
      <c r="H20" s="493" t="s">
        <v>88</v>
      </c>
      <c r="I20" s="493" t="s">
        <v>89</v>
      </c>
      <c r="J20" s="494" t="s">
        <v>134</v>
      </c>
    </row>
    <row r="21" spans="1:17" x14ac:dyDescent="0.2">
      <c r="B21" s="495" t="s">
        <v>253</v>
      </c>
      <c r="E21" s="496">
        <v>44</v>
      </c>
      <c r="F21" s="496">
        <v>0</v>
      </c>
      <c r="G21" s="496">
        <v>0</v>
      </c>
      <c r="H21" s="496">
        <v>0</v>
      </c>
      <c r="I21" s="496">
        <v>2</v>
      </c>
      <c r="J21" s="497">
        <f>SUM(E21:I21)</f>
        <v>46</v>
      </c>
    </row>
    <row r="22" spans="1:17" x14ac:dyDescent="0.2">
      <c r="B22" s="495" t="s">
        <v>254</v>
      </c>
      <c r="E22" s="496">
        <v>0</v>
      </c>
      <c r="F22" s="496">
        <v>0</v>
      </c>
      <c r="G22" s="496">
        <v>0</v>
      </c>
      <c r="H22" s="496">
        <v>0</v>
      </c>
      <c r="I22" s="496">
        <v>0</v>
      </c>
      <c r="J22" s="497">
        <f>SUM(E22:I22)</f>
        <v>0</v>
      </c>
    </row>
    <row r="23" spans="1:17" x14ac:dyDescent="0.2">
      <c r="B23" s="495" t="s">
        <v>255</v>
      </c>
      <c r="E23" s="496">
        <v>10</v>
      </c>
      <c r="F23" s="496">
        <v>0</v>
      </c>
      <c r="G23" s="496">
        <v>0</v>
      </c>
      <c r="H23" s="496">
        <v>0</v>
      </c>
      <c r="I23" s="496">
        <v>0</v>
      </c>
      <c r="J23" s="497">
        <f>SUM(E23:I23)</f>
        <v>10</v>
      </c>
    </row>
    <row r="24" spans="1:17" ht="15.75" x14ac:dyDescent="0.25">
      <c r="E24" s="498"/>
      <c r="F24" s="475"/>
      <c r="G24" s="475"/>
      <c r="H24" s="475"/>
      <c r="J24" s="499">
        <f>SUM(J21:J23)</f>
        <v>56</v>
      </c>
    </row>
    <row r="25" spans="1:17" x14ac:dyDescent="0.2">
      <c r="E25" s="498"/>
      <c r="F25" s="475"/>
      <c r="G25" s="475"/>
      <c r="H25" s="475"/>
      <c r="J25" s="475"/>
    </row>
    <row r="26" spans="1:17" ht="25.5" x14ac:dyDescent="0.2">
      <c r="B26" s="1021" t="s">
        <v>256</v>
      </c>
      <c r="C26" s="1021"/>
      <c r="E26" s="493" t="s">
        <v>257</v>
      </c>
      <c r="F26" s="493" t="s">
        <v>258</v>
      </c>
      <c r="G26" s="493" t="s">
        <v>259</v>
      </c>
      <c r="H26" s="493" t="s">
        <v>260</v>
      </c>
      <c r="I26" s="493" t="s">
        <v>261</v>
      </c>
      <c r="J26" s="494" t="s">
        <v>262</v>
      </c>
    </row>
    <row r="27" spans="1:17" x14ac:dyDescent="0.2">
      <c r="A27" s="500"/>
      <c r="B27" s="1021"/>
      <c r="C27" s="1021"/>
      <c r="E27" s="501" t="s">
        <v>253</v>
      </c>
      <c r="F27" s="502">
        <v>10</v>
      </c>
      <c r="G27" s="502">
        <v>15</v>
      </c>
      <c r="H27" s="502">
        <v>16</v>
      </c>
      <c r="I27" s="502">
        <v>5</v>
      </c>
      <c r="J27" s="502">
        <v>46</v>
      </c>
    </row>
    <row r="28" spans="1:17" x14ac:dyDescent="0.2">
      <c r="A28" s="500"/>
      <c r="B28" s="1021"/>
      <c r="C28" s="1021"/>
      <c r="E28" s="501" t="s">
        <v>254</v>
      </c>
      <c r="F28" s="502">
        <v>0</v>
      </c>
      <c r="G28" s="502">
        <v>0</v>
      </c>
      <c r="H28" s="502">
        <v>0</v>
      </c>
      <c r="I28" s="502">
        <v>0</v>
      </c>
      <c r="J28" s="502">
        <v>0</v>
      </c>
    </row>
    <row r="29" spans="1:17" x14ac:dyDescent="0.2">
      <c r="A29" s="500"/>
      <c r="B29" s="500"/>
      <c r="C29" s="503"/>
      <c r="E29" s="501" t="s">
        <v>263</v>
      </c>
      <c r="F29" s="502">
        <v>0</v>
      </c>
      <c r="G29" s="502">
        <v>0</v>
      </c>
      <c r="H29" s="502">
        <v>0</v>
      </c>
      <c r="I29" s="502">
        <v>10</v>
      </c>
      <c r="J29" s="502">
        <v>10</v>
      </c>
    </row>
    <row r="30" spans="1:17" ht="15.75" x14ac:dyDescent="0.25">
      <c r="E30" s="504" t="s">
        <v>262</v>
      </c>
      <c r="F30" s="504">
        <v>10</v>
      </c>
      <c r="G30" s="504">
        <v>15</v>
      </c>
      <c r="H30" s="504">
        <v>16</v>
      </c>
      <c r="I30" s="504">
        <v>15</v>
      </c>
      <c r="J30" s="499">
        <v>56</v>
      </c>
    </row>
    <row r="33" spans="1:22" x14ac:dyDescent="0.2">
      <c r="O33" s="505"/>
      <c r="P33" s="505"/>
      <c r="Q33" s="505"/>
    </row>
    <row r="34" spans="1:22" x14ac:dyDescent="0.2">
      <c r="A34" s="486" t="s">
        <v>264</v>
      </c>
      <c r="B34" s="1022" t="s">
        <v>297</v>
      </c>
      <c r="C34" s="1022"/>
      <c r="D34" s="1022"/>
      <c r="E34" s="1022"/>
      <c r="F34" s="1022"/>
      <c r="G34" s="1022"/>
      <c r="H34" s="1022"/>
      <c r="I34" s="1022"/>
      <c r="J34" s="1022"/>
      <c r="K34" s="1022"/>
      <c r="L34" s="1022"/>
      <c r="M34" s="1022"/>
      <c r="N34" s="1022"/>
      <c r="O34" s="506"/>
      <c r="P34" s="506"/>
      <c r="Q34" s="506"/>
    </row>
    <row r="35" spans="1:22" x14ac:dyDescent="0.2">
      <c r="A35" s="477" t="s">
        <v>265</v>
      </c>
      <c r="B35" s="558" t="s">
        <v>273</v>
      </c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</row>
    <row r="36" spans="1:22" x14ac:dyDescent="0.2">
      <c r="A36" s="477"/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  <c r="Q36" s="558"/>
    </row>
    <row r="38" spans="1:22" ht="15.75" x14ac:dyDescent="0.2">
      <c r="B38" s="1009">
        <v>2021</v>
      </c>
      <c r="C38" s="1010"/>
      <c r="D38" s="1010"/>
      <c r="E38" s="1010"/>
      <c r="F38" s="1010"/>
      <c r="G38" s="1011"/>
    </row>
    <row r="39" spans="1:22" x14ac:dyDescent="0.2">
      <c r="B39" s="511"/>
      <c r="C39" s="512"/>
      <c r="D39" s="512"/>
      <c r="E39" s="512"/>
      <c r="F39" s="512"/>
      <c r="G39" s="514"/>
    </row>
    <row r="40" spans="1:22" ht="15.75" customHeight="1" x14ac:dyDescent="0.2">
      <c r="B40" s="515"/>
      <c r="C40" s="516" t="s">
        <v>266</v>
      </c>
      <c r="D40" s="516" t="s">
        <v>274</v>
      </c>
      <c r="E40" s="517"/>
      <c r="F40" s="516"/>
      <c r="G40" s="518"/>
    </row>
    <row r="41" spans="1:22" x14ac:dyDescent="0.2">
      <c r="B41" s="519"/>
      <c r="C41" s="520"/>
      <c r="D41" s="520"/>
      <c r="E41" s="521"/>
      <c r="F41" s="520"/>
      <c r="G41" s="527"/>
    </row>
    <row r="42" spans="1:22" x14ac:dyDescent="0.2">
      <c r="B42" s="1023" t="s">
        <v>267</v>
      </c>
      <c r="C42" s="1024"/>
      <c r="D42" s="1024"/>
      <c r="E42" s="1023" t="s">
        <v>268</v>
      </c>
      <c r="F42" s="1027"/>
      <c r="G42" s="1027" t="s">
        <v>269</v>
      </c>
    </row>
    <row r="43" spans="1:22" x14ac:dyDescent="0.2">
      <c r="B43" s="1025"/>
      <c r="C43" s="1026"/>
      <c r="D43" s="1026"/>
      <c r="E43" s="1025"/>
      <c r="F43" s="1028"/>
      <c r="G43" s="1028"/>
    </row>
    <row r="44" spans="1:22" x14ac:dyDescent="0.2">
      <c r="B44" s="511" t="s">
        <v>258</v>
      </c>
      <c r="C44" s="512"/>
      <c r="D44" s="512"/>
      <c r="E44" s="511" t="s">
        <v>275</v>
      </c>
      <c r="F44" s="514"/>
      <c r="G44" s="526" t="s">
        <v>270</v>
      </c>
    </row>
    <row r="45" spans="1:22" x14ac:dyDescent="0.2">
      <c r="B45" s="519"/>
      <c r="C45" s="520"/>
      <c r="D45" s="520"/>
      <c r="E45" s="531"/>
      <c r="F45" s="518"/>
      <c r="G45" s="528"/>
    </row>
    <row r="46" spans="1:22" ht="15.75" x14ac:dyDescent="0.2">
      <c r="B46" s="511" t="s">
        <v>259</v>
      </c>
      <c r="C46" s="512"/>
      <c r="D46" s="512"/>
      <c r="E46" s="1029" t="s">
        <v>276</v>
      </c>
      <c r="F46" s="1030"/>
      <c r="G46" s="559" t="s">
        <v>270</v>
      </c>
      <c r="S46" s="1009"/>
      <c r="T46" s="1010"/>
      <c r="U46" s="1010"/>
      <c r="V46" s="1011"/>
    </row>
    <row r="47" spans="1:22" x14ac:dyDescent="0.2">
      <c r="B47" s="531"/>
      <c r="C47" s="516"/>
      <c r="D47" s="516"/>
      <c r="E47" s="1031"/>
      <c r="F47" s="1032"/>
      <c r="G47" s="560"/>
      <c r="S47" s="507"/>
      <c r="T47" s="508"/>
      <c r="U47" s="508"/>
      <c r="V47" s="509"/>
    </row>
    <row r="48" spans="1:22" x14ac:dyDescent="0.2">
      <c r="B48" s="519"/>
      <c r="C48" s="520"/>
      <c r="D48" s="520"/>
      <c r="E48" s="519"/>
      <c r="F48" s="527"/>
      <c r="G48" s="561"/>
      <c r="S48" s="510"/>
      <c r="T48" s="1016"/>
      <c r="U48" s="1016"/>
      <c r="V48" s="1017"/>
    </row>
    <row r="49" spans="1:22" ht="12.75" customHeight="1" x14ac:dyDescent="0.2">
      <c r="B49" s="511" t="s">
        <v>260</v>
      </c>
      <c r="C49" s="1006"/>
      <c r="D49" s="512"/>
      <c r="E49" s="531"/>
      <c r="F49" s="518"/>
      <c r="G49" s="526"/>
      <c r="S49" s="513"/>
      <c r="T49" s="1016"/>
      <c r="U49" s="1016"/>
      <c r="V49" s="1017"/>
    </row>
    <row r="50" spans="1:22" x14ac:dyDescent="0.2">
      <c r="B50" s="531" t="s">
        <v>296</v>
      </c>
      <c r="C50" s="1007"/>
      <c r="D50" s="516"/>
      <c r="E50" s="531" t="s">
        <v>277</v>
      </c>
      <c r="F50" s="518"/>
      <c r="G50" s="534" t="s">
        <v>317</v>
      </c>
      <c r="S50" s="513"/>
      <c r="T50" s="1016"/>
      <c r="U50" s="1016"/>
      <c r="V50" s="1017"/>
    </row>
    <row r="51" spans="1:22" x14ac:dyDescent="0.2">
      <c r="B51" s="531" t="s">
        <v>261</v>
      </c>
      <c r="C51" s="516"/>
      <c r="D51" s="516"/>
      <c r="E51" s="519"/>
      <c r="F51" s="527"/>
      <c r="G51" s="537"/>
      <c r="S51" s="513"/>
      <c r="T51" s="1016"/>
      <c r="U51" s="1016"/>
      <c r="V51" s="1017"/>
    </row>
    <row r="52" spans="1:22" x14ac:dyDescent="0.2">
      <c r="B52" s="519"/>
      <c r="C52" s="520"/>
      <c r="D52" s="520"/>
      <c r="E52" s="519"/>
      <c r="F52" s="527"/>
      <c r="G52" s="537"/>
      <c r="S52" s="510"/>
      <c r="T52" s="522"/>
      <c r="U52" s="522"/>
      <c r="V52" s="523"/>
    </row>
    <row r="53" spans="1:22" x14ac:dyDescent="0.2">
      <c r="S53" s="524"/>
      <c r="T53" s="1012"/>
      <c r="U53" s="1012"/>
      <c r="V53" s="1013"/>
    </row>
    <row r="54" spans="1:22" x14ac:dyDescent="0.2">
      <c r="S54" s="525"/>
      <c r="T54" s="1012"/>
      <c r="U54" s="1012"/>
      <c r="V54" s="1013"/>
    </row>
    <row r="55" spans="1:22" x14ac:dyDescent="0.2">
      <c r="A55" s="477" t="s">
        <v>298</v>
      </c>
      <c r="B55" s="558" t="s">
        <v>299</v>
      </c>
      <c r="C55" s="558"/>
      <c r="D55" s="558"/>
      <c r="E55" s="558"/>
      <c r="F55" s="558"/>
      <c r="G55" s="558"/>
      <c r="H55" s="558"/>
      <c r="I55" s="558"/>
      <c r="J55" s="558"/>
      <c r="K55" s="558"/>
      <c r="L55" s="558"/>
      <c r="M55" s="558"/>
      <c r="N55" s="558"/>
      <c r="O55" s="558"/>
      <c r="P55" s="558"/>
      <c r="Q55" s="558"/>
      <c r="S55" s="525"/>
      <c r="T55" s="1012"/>
      <c r="U55" s="1012"/>
      <c r="V55" s="1013"/>
    </row>
    <row r="56" spans="1:22" x14ac:dyDescent="0.2">
      <c r="A56" s="486" t="s">
        <v>300</v>
      </c>
      <c r="B56" s="1008" t="s">
        <v>338</v>
      </c>
      <c r="C56" s="1008"/>
      <c r="D56" s="1008"/>
      <c r="E56" s="1008"/>
      <c r="F56" s="1008"/>
      <c r="G56" s="1008"/>
      <c r="H56" s="1008"/>
      <c r="I56" s="1008"/>
      <c r="J56" s="1008"/>
      <c r="K56" s="1008"/>
      <c r="L56" s="1008"/>
      <c r="M56" s="1008"/>
      <c r="N56" s="1008"/>
      <c r="O56" s="1008"/>
      <c r="P56" s="1008"/>
      <c r="Q56" s="1008"/>
      <c r="S56" s="525"/>
      <c r="T56" s="529"/>
      <c r="U56" s="529"/>
      <c r="V56" s="530"/>
    </row>
    <row r="57" spans="1:22" x14ac:dyDescent="0.2">
      <c r="A57" s="477" t="s">
        <v>301</v>
      </c>
      <c r="B57" s="479" t="s">
        <v>318</v>
      </c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S57" s="532"/>
      <c r="T57" s="1012"/>
      <c r="U57" s="1012"/>
      <c r="V57" s="1013"/>
    </row>
    <row r="58" spans="1:22" x14ac:dyDescent="0.2">
      <c r="A58" s="562" t="s">
        <v>302</v>
      </c>
      <c r="B58" s="563" t="s">
        <v>314</v>
      </c>
      <c r="C58" s="563"/>
      <c r="D58" s="563"/>
      <c r="E58" s="563"/>
      <c r="F58" s="563"/>
      <c r="G58" s="563"/>
      <c r="H58" s="563"/>
      <c r="I58" s="563"/>
      <c r="J58" s="563"/>
      <c r="K58" s="563"/>
      <c r="L58" s="563"/>
      <c r="M58" s="479"/>
      <c r="N58" s="479"/>
      <c r="O58" s="479"/>
      <c r="S58" s="533"/>
      <c r="T58" s="1012"/>
      <c r="U58" s="1012"/>
      <c r="V58" s="1013"/>
    </row>
    <row r="59" spans="1:22" x14ac:dyDescent="0.2">
      <c r="A59" s="486" t="s">
        <v>303</v>
      </c>
      <c r="B59" s="572" t="s">
        <v>345</v>
      </c>
      <c r="C59" s="558"/>
      <c r="D59" s="558"/>
      <c r="E59" s="558"/>
      <c r="F59" s="558"/>
      <c r="G59" s="558"/>
      <c r="H59" s="558"/>
      <c r="I59" s="558"/>
      <c r="J59" s="558"/>
      <c r="K59" s="558"/>
      <c r="L59" s="558"/>
      <c r="M59" s="563"/>
      <c r="N59" s="563"/>
      <c r="O59" s="563"/>
      <c r="S59" s="525"/>
      <c r="T59" s="1012"/>
      <c r="U59" s="1012"/>
      <c r="V59" s="1013"/>
    </row>
    <row r="60" spans="1:22" x14ac:dyDescent="0.2">
      <c r="A60" s="477" t="s">
        <v>319</v>
      </c>
      <c r="B60" s="572" t="s">
        <v>346</v>
      </c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S60" s="533"/>
      <c r="T60" s="535"/>
      <c r="U60" s="535"/>
      <c r="V60" s="536"/>
    </row>
    <row r="61" spans="1:22" x14ac:dyDescent="0.2">
      <c r="A61" s="477" t="s">
        <v>320</v>
      </c>
      <c r="B61" s="558" t="s">
        <v>307</v>
      </c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58"/>
      <c r="N61" s="558"/>
      <c r="O61" s="558"/>
      <c r="S61" s="532"/>
      <c r="T61" s="1012"/>
      <c r="U61" s="1012"/>
      <c r="V61" s="1013"/>
    </row>
    <row r="62" spans="1:22" x14ac:dyDescent="0.2">
      <c r="A62" s="477" t="s">
        <v>304</v>
      </c>
      <c r="B62" s="479" t="s">
        <v>347</v>
      </c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558"/>
      <c r="N62" s="558"/>
      <c r="O62" s="558"/>
      <c r="S62" s="533"/>
      <c r="T62" s="1012"/>
      <c r="U62" s="1012"/>
      <c r="V62" s="1013"/>
    </row>
    <row r="63" spans="1:22" x14ac:dyDescent="0.2">
      <c r="A63" s="477" t="s">
        <v>305</v>
      </c>
      <c r="B63" s="479" t="s">
        <v>348</v>
      </c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S63" s="533"/>
      <c r="T63" s="529"/>
      <c r="U63" s="529"/>
      <c r="V63" s="530"/>
    </row>
    <row r="64" spans="1:22" x14ac:dyDescent="0.2">
      <c r="A64" s="477" t="s">
        <v>306</v>
      </c>
      <c r="B64" s="479" t="s">
        <v>339</v>
      </c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S64" s="532"/>
      <c r="T64" s="1012"/>
      <c r="U64" s="1012"/>
      <c r="V64" s="1013"/>
    </row>
    <row r="65" spans="1:22" x14ac:dyDescent="0.2">
      <c r="A65" s="477" t="s">
        <v>308</v>
      </c>
      <c r="B65" s="479" t="s">
        <v>350</v>
      </c>
      <c r="C65" s="479"/>
      <c r="D65" s="479"/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S65" s="538"/>
      <c r="T65" s="1014"/>
      <c r="U65" s="1014"/>
      <c r="V65" s="1015"/>
    </row>
    <row r="66" spans="1:22" x14ac:dyDescent="0.2">
      <c r="A66" s="477" t="s">
        <v>309</v>
      </c>
      <c r="B66" s="479" t="s">
        <v>341</v>
      </c>
      <c r="C66" s="479"/>
      <c r="D66" s="479"/>
      <c r="E66" s="479"/>
      <c r="F66" s="479"/>
      <c r="G66" s="479"/>
      <c r="H66" s="479"/>
      <c r="I66" s="479"/>
      <c r="J66" s="479"/>
      <c r="M66" s="479"/>
      <c r="N66" s="479"/>
      <c r="O66" s="479"/>
    </row>
    <row r="67" spans="1:22" x14ac:dyDescent="0.2">
      <c r="A67" s="477" t="s">
        <v>310</v>
      </c>
      <c r="B67" s="479" t="s">
        <v>315</v>
      </c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</row>
    <row r="68" spans="1:22" x14ac:dyDescent="0.2">
      <c r="A68" s="477" t="s">
        <v>311</v>
      </c>
      <c r="B68" s="571" t="s">
        <v>342</v>
      </c>
      <c r="C68" s="564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</row>
    <row r="69" spans="1:22" x14ac:dyDescent="0.2">
      <c r="A69" s="477" t="s">
        <v>312</v>
      </c>
      <c r="B69" s="482" t="s">
        <v>316</v>
      </c>
      <c r="C69" s="565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</row>
    <row r="70" spans="1:22" ht="15" x14ac:dyDescent="0.25">
      <c r="A70" s="477" t="s">
        <v>313</v>
      </c>
      <c r="B70" s="479" t="s">
        <v>343</v>
      </c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566"/>
      <c r="S70" s="566"/>
      <c r="T70" s="566"/>
      <c r="U70" s="566"/>
      <c r="V70" s="566"/>
    </row>
    <row r="71" spans="1:22" x14ac:dyDescent="0.2">
      <c r="A71" s="477" t="s">
        <v>340</v>
      </c>
      <c r="B71" s="571" t="s">
        <v>344</v>
      </c>
      <c r="C71" s="564"/>
      <c r="D71" s="479"/>
      <c r="E71" s="479"/>
      <c r="F71" s="479"/>
      <c r="G71" s="479"/>
      <c r="H71" s="479"/>
      <c r="I71" s="479"/>
      <c r="J71" s="479"/>
      <c r="K71" s="479"/>
      <c r="L71" s="479"/>
      <c r="M71" s="479"/>
    </row>
    <row r="72" spans="1:22" x14ac:dyDescent="0.2">
      <c r="A72" s="477" t="s">
        <v>349</v>
      </c>
      <c r="B72" s="573" t="s">
        <v>351</v>
      </c>
      <c r="C72" s="564"/>
      <c r="D72" s="479"/>
      <c r="E72" s="479"/>
      <c r="F72" s="479"/>
      <c r="G72" s="479"/>
      <c r="H72" s="479"/>
      <c r="I72" s="479"/>
      <c r="J72" s="479"/>
      <c r="K72" s="479"/>
      <c r="L72" s="479"/>
      <c r="M72" s="479"/>
    </row>
    <row r="73" spans="1:22" x14ac:dyDescent="0.2">
      <c r="A73" s="477"/>
      <c r="B73" s="558"/>
      <c r="C73" s="564"/>
      <c r="D73" s="479"/>
      <c r="E73" s="479"/>
      <c r="F73" s="479"/>
      <c r="G73" s="479"/>
      <c r="H73" s="479"/>
      <c r="I73" s="479"/>
      <c r="J73" s="479"/>
      <c r="K73" s="479"/>
      <c r="L73" s="479"/>
      <c r="M73" s="479"/>
    </row>
    <row r="76" spans="1:22" x14ac:dyDescent="0.2">
      <c r="A76" s="84" t="s">
        <v>352</v>
      </c>
    </row>
    <row r="77" spans="1:22" x14ac:dyDescent="0.2">
      <c r="A77" s="84" t="s">
        <v>353</v>
      </c>
    </row>
  </sheetData>
  <sheetProtection algorithmName="SHA-512" hashValue="0rLdHCWH3XRLq9VVyRetQwPK4DsflvJH7pil0WNqYKlltu90oJtjQxwYAPs4htfRJQUFidD4/fzISDlRswKIqg==" saltValue="PcQEHfH9SS90kTlj+KZwgA==" spinCount="100000" sheet="1" objects="1" scenarios="1"/>
  <mergeCells count="18">
    <mergeCell ref="B38:G38"/>
    <mergeCell ref="B42:D43"/>
    <mergeCell ref="E42:F43"/>
    <mergeCell ref="G42:G43"/>
    <mergeCell ref="E46:F47"/>
    <mergeCell ref="J4:K4"/>
    <mergeCell ref="C10:D10"/>
    <mergeCell ref="B12:J13"/>
    <mergeCell ref="B26:C28"/>
    <mergeCell ref="B34:N34"/>
    <mergeCell ref="C49:C50"/>
    <mergeCell ref="B56:Q56"/>
    <mergeCell ref="S46:V46"/>
    <mergeCell ref="T61:V62"/>
    <mergeCell ref="T64:V65"/>
    <mergeCell ref="T53:V55"/>
    <mergeCell ref="T57:V59"/>
    <mergeCell ref="T48:V51"/>
  </mergeCells>
  <pageMargins left="0.7" right="0.7" top="0.75" bottom="0.75" header="0.3" footer="0.3"/>
  <pageSetup orientation="portrait" r:id="rId1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85</v>
      </c>
    </row>
    <row r="5" spans="2:11" x14ac:dyDescent="0.2">
      <c r="B5" s="760" t="s">
        <v>164</v>
      </c>
      <c r="C5" s="760"/>
      <c r="D5" s="760"/>
      <c r="E5" s="760"/>
      <c r="F5" s="760"/>
    </row>
    <row r="7" spans="2:11" x14ac:dyDescent="0.2">
      <c r="C7" s="223" t="s">
        <v>149</v>
      </c>
      <c r="D7" s="223"/>
      <c r="E7" s="223"/>
      <c r="F7" s="223"/>
      <c r="G7" s="223"/>
      <c r="H7" s="223"/>
      <c r="I7" s="223"/>
      <c r="J7" s="223"/>
      <c r="K7" s="223"/>
    </row>
    <row r="9" spans="2:11" x14ac:dyDescent="0.2">
      <c r="C9" s="223" t="s">
        <v>150</v>
      </c>
      <c r="D9" s="223"/>
      <c r="E9" s="223"/>
      <c r="F9" s="223"/>
      <c r="G9" s="223"/>
      <c r="H9" s="223"/>
      <c r="I9" s="222"/>
      <c r="J9" s="222"/>
      <c r="K9" s="222"/>
    </row>
    <row r="11" spans="2:11" x14ac:dyDescent="0.2">
      <c r="B11" s="758" t="s">
        <v>165</v>
      </c>
      <c r="C11" s="758"/>
      <c r="D11" s="758"/>
      <c r="E11" s="758"/>
      <c r="F11" s="758"/>
    </row>
    <row r="13" spans="2:11" x14ac:dyDescent="0.2">
      <c r="C13" s="224" t="s">
        <v>151</v>
      </c>
      <c r="D13" s="224"/>
      <c r="E13" s="224"/>
      <c r="F13" s="224"/>
      <c r="G13" s="224"/>
      <c r="H13" s="224"/>
    </row>
    <row r="15" spans="2:11" x14ac:dyDescent="0.2">
      <c r="C15" s="224" t="s">
        <v>152</v>
      </c>
      <c r="D15" s="224"/>
      <c r="E15" s="224"/>
      <c r="F15" s="224"/>
      <c r="G15" s="224"/>
      <c r="H15" s="224"/>
      <c r="I15" s="222"/>
      <c r="J15" s="222"/>
      <c r="K15" s="222"/>
    </row>
    <row r="19" spans="2:16" x14ac:dyDescent="0.2">
      <c r="B19" s="758" t="s">
        <v>166</v>
      </c>
      <c r="C19" s="758"/>
      <c r="D19" s="758"/>
      <c r="E19" s="758"/>
      <c r="F19" s="758"/>
    </row>
    <row r="21" spans="2:16" x14ac:dyDescent="0.2">
      <c r="C21" s="224" t="s">
        <v>154</v>
      </c>
      <c r="D21" s="224"/>
      <c r="E21" s="224"/>
      <c r="F21" s="225"/>
      <c r="G21" s="225"/>
      <c r="H21" s="225"/>
    </row>
    <row r="22" spans="2:16" x14ac:dyDescent="0.2">
      <c r="C22" s="759"/>
      <c r="D22" s="759"/>
      <c r="E22" s="759"/>
      <c r="F22" s="759"/>
      <c r="G22" s="759"/>
      <c r="H22" s="759"/>
      <c r="I22" s="759"/>
      <c r="J22" s="759"/>
      <c r="K22" s="759"/>
    </row>
    <row r="24" spans="2:16" x14ac:dyDescent="0.2">
      <c r="B24" s="758" t="s">
        <v>167</v>
      </c>
      <c r="C24" s="758"/>
      <c r="D24" s="758"/>
      <c r="E24" s="758"/>
      <c r="F24" s="758"/>
    </row>
    <row r="26" spans="2:16" x14ac:dyDescent="0.2">
      <c r="C26" s="226" t="s">
        <v>155</v>
      </c>
      <c r="D26" s="226"/>
      <c r="E26" s="226"/>
      <c r="F26" s="226"/>
      <c r="G26" s="226"/>
      <c r="H26" s="226"/>
      <c r="I26" s="226"/>
      <c r="J26" s="226"/>
    </row>
    <row r="27" spans="2:16" ht="12.75" customHeight="1" x14ac:dyDescent="0.2">
      <c r="C27" s="761" t="s">
        <v>156</v>
      </c>
      <c r="D27" s="761"/>
      <c r="E27" s="761"/>
      <c r="F27" s="761"/>
      <c r="G27" s="761"/>
      <c r="H27" s="761"/>
      <c r="I27" s="761"/>
      <c r="J27" s="761"/>
      <c r="K27" s="761"/>
      <c r="L27" s="761"/>
      <c r="M27" s="761"/>
    </row>
    <row r="28" spans="2:16" ht="12.75" customHeight="1" x14ac:dyDescent="0.2">
      <c r="C28" s="761"/>
      <c r="D28" s="761"/>
      <c r="E28" s="761"/>
      <c r="F28" s="761"/>
      <c r="G28" s="761"/>
      <c r="H28" s="761"/>
      <c r="I28" s="761"/>
      <c r="J28" s="761"/>
      <c r="K28" s="761"/>
      <c r="L28" s="761"/>
      <c r="M28" s="761"/>
    </row>
    <row r="29" spans="2:16" ht="12.75" customHeight="1" x14ac:dyDescent="0.2">
      <c r="C29" s="226" t="s">
        <v>157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5"/>
    </row>
    <row r="30" spans="2:16" ht="12.75" customHeight="1" x14ac:dyDescent="0.2"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5"/>
    </row>
    <row r="31" spans="2:16" ht="12.75" customHeight="1" x14ac:dyDescent="0.2">
      <c r="C31" s="230" t="s">
        <v>158</v>
      </c>
      <c r="D31" s="227"/>
      <c r="E31" s="227"/>
      <c r="F31" s="229"/>
      <c r="G31" s="227"/>
      <c r="H31" s="227"/>
      <c r="I31" s="227"/>
      <c r="J31" s="227"/>
      <c r="K31" s="227"/>
      <c r="L31" s="227"/>
      <c r="M31" s="227"/>
      <c r="N31" s="225"/>
      <c r="O31" s="225"/>
      <c r="P31" s="225"/>
    </row>
    <row r="32" spans="2:16" ht="12.75" customHeight="1" x14ac:dyDescent="0.2">
      <c r="C32" s="228"/>
      <c r="D32" s="228"/>
      <c r="E32" s="228"/>
      <c r="F32" s="228"/>
      <c r="G32" s="228"/>
      <c r="H32" s="228"/>
      <c r="I32" s="227"/>
      <c r="J32" s="227"/>
      <c r="K32" s="227"/>
      <c r="L32" s="227"/>
      <c r="M32" s="227"/>
      <c r="N32" s="225"/>
    </row>
    <row r="33" spans="2:19" ht="12.75" customHeight="1" x14ac:dyDescent="0.2">
      <c r="C33" s="762" t="s">
        <v>159</v>
      </c>
      <c r="D33" s="762"/>
      <c r="E33" s="762"/>
      <c r="F33" s="762"/>
      <c r="G33" s="762"/>
      <c r="H33" s="762"/>
      <c r="I33" s="762"/>
      <c r="J33" s="762"/>
      <c r="K33" s="762"/>
      <c r="L33" s="762"/>
      <c r="M33" s="762"/>
      <c r="N33" s="225"/>
    </row>
    <row r="34" spans="2:19" ht="12.75" customHeight="1" x14ac:dyDescent="0.2">
      <c r="C34" s="181"/>
      <c r="D34" s="181"/>
      <c r="E34" s="181"/>
      <c r="F34" s="181"/>
      <c r="G34" s="181"/>
      <c r="H34" s="181"/>
      <c r="I34" s="226"/>
      <c r="J34" s="226"/>
      <c r="K34" s="226"/>
      <c r="L34" s="226"/>
      <c r="M34" s="226"/>
      <c r="N34" s="225"/>
    </row>
    <row r="35" spans="2:19" ht="12.75" customHeight="1" x14ac:dyDescent="0.2">
      <c r="C35" s="227" t="s">
        <v>160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5"/>
    </row>
    <row r="36" spans="2:19" ht="12.75" customHeight="1" x14ac:dyDescent="0.2">
      <c r="C36" s="228"/>
      <c r="D36" s="228"/>
      <c r="E36" s="228"/>
      <c r="F36" s="228"/>
      <c r="G36" s="228"/>
      <c r="H36" s="228"/>
      <c r="I36" s="227"/>
      <c r="J36" s="227"/>
      <c r="K36" s="227"/>
      <c r="L36" s="227"/>
      <c r="M36" s="227"/>
      <c r="N36" s="225"/>
    </row>
    <row r="37" spans="2:19" ht="12.75" customHeight="1" x14ac:dyDescent="0.2"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2:19" ht="12.75" customHeight="1" x14ac:dyDescent="0.2"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2:19" ht="12.75" customHeight="1" x14ac:dyDescent="0.2">
      <c r="B39" s="230" t="s">
        <v>168</v>
      </c>
      <c r="C39" s="226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2:19" x14ac:dyDescent="0.2">
      <c r="O40" s="759"/>
      <c r="P40" s="759"/>
      <c r="Q40" s="759"/>
      <c r="R40" s="759"/>
      <c r="S40" s="759"/>
    </row>
    <row r="41" spans="2:19" x14ac:dyDescent="0.2">
      <c r="C41" s="763" t="s">
        <v>161</v>
      </c>
      <c r="D41" s="763"/>
      <c r="E41" s="763"/>
      <c r="F41" s="763"/>
    </row>
    <row r="42" spans="2:19" x14ac:dyDescent="0.2">
      <c r="C42" s="759"/>
      <c r="D42" s="759"/>
      <c r="E42" s="759"/>
      <c r="F42" s="759"/>
      <c r="G42" s="759"/>
      <c r="H42" s="759"/>
      <c r="I42" s="759"/>
      <c r="J42" s="759"/>
    </row>
    <row r="44" spans="2:19" x14ac:dyDescent="0.2">
      <c r="B44" s="758" t="s">
        <v>169</v>
      </c>
      <c r="C44" s="758"/>
      <c r="D44" s="758"/>
      <c r="E44" s="758"/>
      <c r="F44" s="758"/>
    </row>
    <row r="46" spans="2:19" x14ac:dyDescent="0.2">
      <c r="C46" s="231" t="s">
        <v>162</v>
      </c>
      <c r="D46" s="231"/>
      <c r="E46" s="231"/>
      <c r="F46" s="231"/>
      <c r="G46" s="231"/>
      <c r="H46" s="231"/>
      <c r="I46" s="231"/>
      <c r="J46" s="231"/>
      <c r="K46" s="232"/>
      <c r="L46" s="232"/>
      <c r="M46" s="232"/>
    </row>
    <row r="50" spans="2:13" x14ac:dyDescent="0.2">
      <c r="B50" s="758" t="s">
        <v>170</v>
      </c>
      <c r="C50" s="758"/>
      <c r="D50" s="758"/>
      <c r="E50" s="758"/>
      <c r="F50" s="758"/>
    </row>
    <row r="52" spans="2:13" x14ac:dyDescent="0.2">
      <c r="C52" s="226" t="s">
        <v>163</v>
      </c>
      <c r="D52" s="226"/>
      <c r="E52" s="226"/>
      <c r="F52" s="226"/>
      <c r="G52" s="225"/>
      <c r="H52" s="225"/>
      <c r="I52" s="225"/>
      <c r="J52" s="225"/>
      <c r="K52" s="225"/>
      <c r="L52" s="225"/>
      <c r="M52" s="225"/>
    </row>
    <row r="54" spans="2:13" x14ac:dyDescent="0.2">
      <c r="B54" s="225" t="s">
        <v>171</v>
      </c>
      <c r="C54" s="225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0"/>
  <sheetViews>
    <sheetView showGridLines="0" tabSelected="1" zoomScale="80" zoomScaleNormal="80" workbookViewId="0">
      <selection activeCell="C45" sqref="C45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203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196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66" t="s">
        <v>0</v>
      </c>
      <c r="D4" s="766"/>
      <c r="E4" s="767" t="s">
        <v>145</v>
      </c>
      <c r="F4" s="768"/>
      <c r="G4" s="76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33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86" t="s">
        <v>149</v>
      </c>
      <c r="B6" s="786"/>
      <c r="C6" s="786"/>
      <c r="D6" s="786"/>
      <c r="E6" s="4"/>
      <c r="F6" s="4"/>
      <c r="G6" s="9"/>
      <c r="H6" s="233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7"/>
      <c r="C7" s="47"/>
      <c r="E7" s="47"/>
      <c r="F7" s="47"/>
      <c r="G7" s="47"/>
      <c r="H7" s="47"/>
      <c r="I7" s="47"/>
      <c r="M7" s="48"/>
    </row>
    <row r="8" spans="1:247" ht="39" customHeight="1" x14ac:dyDescent="0.2">
      <c r="A8" s="307" t="s">
        <v>115</v>
      </c>
      <c r="B8" s="308" t="str">
        <f>+N18</f>
        <v>Ingreso por Matrícula</v>
      </c>
      <c r="C8" s="309" t="str">
        <f>+O18</f>
        <v>Ingreso por Mensualidad</v>
      </c>
      <c r="D8" s="309" t="s">
        <v>127</v>
      </c>
      <c r="E8" s="310" t="s">
        <v>83</v>
      </c>
      <c r="F8" s="311" t="s">
        <v>80</v>
      </c>
      <c r="G8" s="312" t="s">
        <v>81</v>
      </c>
      <c r="H8" s="313" t="s">
        <v>108</v>
      </c>
      <c r="I8" s="314" t="s">
        <v>114</v>
      </c>
      <c r="L8" s="63" t="s">
        <v>113</v>
      </c>
      <c r="N8" s="94"/>
    </row>
    <row r="9" spans="1:247" x14ac:dyDescent="0.2">
      <c r="A9" s="315" t="str">
        <f>+'B) Reajuste Tarifas y Ocupación'!A12</f>
        <v>Jardín Infantil Mar y Cielo</v>
      </c>
      <c r="B9" s="316">
        <f>+N29</f>
        <v>4278600</v>
      </c>
      <c r="C9" s="317">
        <f>+O29</f>
        <v>42786000</v>
      </c>
      <c r="D9" s="316">
        <f>+P29</f>
        <v>0</v>
      </c>
      <c r="E9" s="318">
        <f>+B9+D9+C9</f>
        <v>47064600</v>
      </c>
      <c r="F9" s="319">
        <f>+'C) Costos Directos'!H75</f>
        <v>74517706.067399994</v>
      </c>
      <c r="G9" s="320">
        <f>+'D) Costos Indirectos'!$AP$15*(F9/$F$11)</f>
        <v>15026439.383547731</v>
      </c>
      <c r="H9" s="321">
        <f>+F9+G9</f>
        <v>89544145.450947732</v>
      </c>
      <c r="I9" s="322">
        <f>E9-H9</f>
        <v>-42479545.450947732</v>
      </c>
      <c r="L9" s="82">
        <f>+G9/$G$11</f>
        <v>0.62415127915225899</v>
      </c>
      <c r="N9" s="95"/>
    </row>
    <row r="10" spans="1:247" x14ac:dyDescent="0.2">
      <c r="A10" s="315" t="str">
        <f>+'B) Reajuste Tarifas y Ocupación'!A15</f>
        <v>Sala Cuna Mar y Cielo</v>
      </c>
      <c r="B10" s="316">
        <f>+N39</f>
        <v>0</v>
      </c>
      <c r="C10" s="317">
        <f>+O39</f>
        <v>52080000</v>
      </c>
      <c r="D10" s="316">
        <f>+P39</f>
        <v>0</v>
      </c>
      <c r="E10" s="318">
        <f>+B10+D10+C10</f>
        <v>52080000</v>
      </c>
      <c r="F10" s="319">
        <f>+'C) Costos Directos'!H141</f>
        <v>44872750.311399996</v>
      </c>
      <c r="G10" s="320">
        <f>+'D) Costos Indirectos'!$AP$15*(F10/$F$11)</f>
        <v>9048556.3513918705</v>
      </c>
      <c r="H10" s="321">
        <f>+F10+G10</f>
        <v>53921306.662791863</v>
      </c>
      <c r="I10" s="322">
        <f>E10-H10</f>
        <v>-1841306.6627918631</v>
      </c>
      <c r="L10" s="82">
        <f>+G10/$G$11</f>
        <v>0.37584872084774107</v>
      </c>
      <c r="N10" s="95"/>
    </row>
    <row r="11" spans="1:247" s="6" customFormat="1" ht="15.75" thickBot="1" x14ac:dyDescent="0.25">
      <c r="A11" s="323" t="s">
        <v>1</v>
      </c>
      <c r="B11" s="324">
        <f>SUM(B9:B10)</f>
        <v>4278600</v>
      </c>
      <c r="C11" s="324">
        <f>SUM(C9:C10)</f>
        <v>94866000</v>
      </c>
      <c r="D11" s="324">
        <f>SUM(D9:D10)</f>
        <v>0</v>
      </c>
      <c r="E11" s="325">
        <f>SUM(E9:E10)</f>
        <v>99144600</v>
      </c>
      <c r="F11" s="324">
        <f>SUM(F9:F10)</f>
        <v>119390456.37879999</v>
      </c>
      <c r="G11" s="324">
        <f t="shared" ref="G11:I11" si="0">SUM(G9:G10)</f>
        <v>24074995.734939601</v>
      </c>
      <c r="H11" s="324">
        <f t="shared" si="0"/>
        <v>143465452.11373961</v>
      </c>
      <c r="I11" s="326">
        <f t="shared" si="0"/>
        <v>-44320852.113739595</v>
      </c>
      <c r="L11" s="83">
        <f>SUM(L9:L10)</f>
        <v>1</v>
      </c>
      <c r="N11" s="48"/>
      <c r="O11" s="275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76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786" t="s">
        <v>150</v>
      </c>
      <c r="B16" s="786"/>
      <c r="C16" s="786"/>
      <c r="D16" s="786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14" customFormat="1" ht="13.5" thickBot="1" x14ac:dyDescent="0.25">
      <c r="B17" s="47"/>
      <c r="C17" s="47"/>
      <c r="D17" s="47"/>
      <c r="E17" s="47"/>
      <c r="F17" s="47"/>
      <c r="G17" s="47"/>
      <c r="H17" s="47"/>
      <c r="I17" s="13"/>
      <c r="J17" s="13"/>
      <c r="K17" s="13"/>
      <c r="L17" s="3"/>
      <c r="M17" s="3"/>
      <c r="O17" s="15"/>
      <c r="P17" s="15"/>
      <c r="IL17" s="10"/>
      <c r="IM17" s="10"/>
    </row>
    <row r="18" spans="1:247" s="16" customFormat="1" ht="15.75" customHeight="1" x14ac:dyDescent="0.2">
      <c r="A18" s="787" t="s">
        <v>115</v>
      </c>
      <c r="B18" s="789" t="s">
        <v>5</v>
      </c>
      <c r="C18" s="770" t="s">
        <v>2</v>
      </c>
      <c r="D18" s="772" t="s">
        <v>216</v>
      </c>
      <c r="E18" s="773"/>
      <c r="F18" s="773"/>
      <c r="G18" s="773"/>
      <c r="H18" s="774"/>
      <c r="I18" s="775" t="s">
        <v>217</v>
      </c>
      <c r="J18" s="776"/>
      <c r="K18" s="776"/>
      <c r="L18" s="776"/>
      <c r="M18" s="777"/>
      <c r="N18" s="780" t="s">
        <v>90</v>
      </c>
      <c r="O18" s="782" t="s">
        <v>91</v>
      </c>
      <c r="P18" s="778" t="s">
        <v>127</v>
      </c>
      <c r="Q18" s="784" t="s">
        <v>107</v>
      </c>
    </row>
    <row r="19" spans="1:247" s="16" customFormat="1" ht="39" thickBot="1" x14ac:dyDescent="0.25">
      <c r="A19" s="788"/>
      <c r="B19" s="790"/>
      <c r="C19" s="771"/>
      <c r="D19" s="282" t="s">
        <v>87</v>
      </c>
      <c r="E19" s="281" t="s">
        <v>136</v>
      </c>
      <c r="F19" s="281" t="s">
        <v>137</v>
      </c>
      <c r="G19" s="281" t="s">
        <v>88</v>
      </c>
      <c r="H19" s="283" t="s">
        <v>89</v>
      </c>
      <c r="I19" s="282" t="s">
        <v>87</v>
      </c>
      <c r="J19" s="281" t="s">
        <v>136</v>
      </c>
      <c r="K19" s="281" t="s">
        <v>137</v>
      </c>
      <c r="L19" s="281" t="s">
        <v>88</v>
      </c>
      <c r="M19" s="283" t="s">
        <v>89</v>
      </c>
      <c r="N19" s="781"/>
      <c r="O19" s="783"/>
      <c r="P19" s="779"/>
      <c r="Q19" s="785"/>
    </row>
    <row r="20" spans="1:247" ht="12.75" customHeight="1" x14ac:dyDescent="0.2">
      <c r="A20" s="795" t="str">
        <f>+'B) Reajuste Tarifas y Ocupación'!A12</f>
        <v>Jardín Infantil Mar y Cielo</v>
      </c>
      <c r="B20" s="791" t="str">
        <f>+'B) Reajuste Tarifas y Ocupación'!B12</f>
        <v>Media jornada</v>
      </c>
      <c r="C20" s="286" t="s">
        <v>215</v>
      </c>
      <c r="D20" s="293">
        <f t="shared" ref="D20:F21" si="1">+I20</f>
        <v>60300</v>
      </c>
      <c r="E20" s="287">
        <f t="shared" si="1"/>
        <v>72400</v>
      </c>
      <c r="F20" s="287">
        <f t="shared" si="1"/>
        <v>72400</v>
      </c>
      <c r="G20" s="287">
        <f t="shared" ref="G20:H21" si="2">+L20</f>
        <v>94600</v>
      </c>
      <c r="H20" s="294">
        <f t="shared" si="2"/>
        <v>111700</v>
      </c>
      <c r="I20" s="293">
        <f>+'B) Reajuste Tarifas y Ocupación'!M12</f>
        <v>60300</v>
      </c>
      <c r="J20" s="287">
        <f>+'B) Reajuste Tarifas y Ocupación'!N12</f>
        <v>72400</v>
      </c>
      <c r="K20" s="287">
        <f>+'B) Reajuste Tarifas y Ocupación'!O12</f>
        <v>72400</v>
      </c>
      <c r="L20" s="287">
        <f>+'B) Reajuste Tarifas y Ocupación'!P12</f>
        <v>94600</v>
      </c>
      <c r="M20" s="294">
        <f>+'B) Reajuste Tarifas y Ocupación'!Q12</f>
        <v>111700</v>
      </c>
      <c r="N20" s="299"/>
      <c r="O20" s="288"/>
      <c r="P20" s="303">
        <f>+'B) Reajuste Tarifas y Ocupación'!C12</f>
        <v>60300</v>
      </c>
      <c r="Q20" s="764"/>
    </row>
    <row r="21" spans="1:247" x14ac:dyDescent="0.2">
      <c r="A21" s="796"/>
      <c r="B21" s="792"/>
      <c r="C21" s="280" t="s">
        <v>7</v>
      </c>
      <c r="D21" s="295">
        <f t="shared" si="1"/>
        <v>44</v>
      </c>
      <c r="E21" s="285">
        <f t="shared" si="1"/>
        <v>0</v>
      </c>
      <c r="F21" s="285">
        <f t="shared" si="1"/>
        <v>0</v>
      </c>
      <c r="G21" s="285">
        <f t="shared" si="2"/>
        <v>0</v>
      </c>
      <c r="H21" s="296">
        <f t="shared" si="2"/>
        <v>2</v>
      </c>
      <c r="I21" s="295">
        <f>+'B) Reajuste Tarifas y Ocupación'!C26</f>
        <v>44</v>
      </c>
      <c r="J21" s="285">
        <f>+'B) Reajuste Tarifas y Ocupación'!D26</f>
        <v>0</v>
      </c>
      <c r="K21" s="285">
        <f>+'B) Reajuste Tarifas y Ocupación'!E26</f>
        <v>0</v>
      </c>
      <c r="L21" s="285">
        <f>+'B) Reajuste Tarifas y Ocupación'!F26</f>
        <v>0</v>
      </c>
      <c r="M21" s="296">
        <f>+'B) Reajuste Tarifas y Ocupación'!G26</f>
        <v>2</v>
      </c>
      <c r="N21" s="300"/>
      <c r="O21" s="284"/>
      <c r="P21" s="304">
        <v>0</v>
      </c>
      <c r="Q21" s="765"/>
    </row>
    <row r="22" spans="1:247" ht="13.5" thickBot="1" x14ac:dyDescent="0.25">
      <c r="A22" s="796"/>
      <c r="B22" s="793"/>
      <c r="C22" s="289" t="s">
        <v>9</v>
      </c>
      <c r="D22" s="297">
        <f>D21*D20</f>
        <v>2653200</v>
      </c>
      <c r="E22" s="290">
        <f>E21*E20</f>
        <v>0</v>
      </c>
      <c r="F22" s="290">
        <f t="shared" ref="F22" si="3">F21*F20</f>
        <v>0</v>
      </c>
      <c r="G22" s="290">
        <f t="shared" ref="G22:H22" si="4">G21*G20</f>
        <v>0</v>
      </c>
      <c r="H22" s="298">
        <f t="shared" si="4"/>
        <v>223400</v>
      </c>
      <c r="I22" s="376">
        <f>I21*I20*10</f>
        <v>26532000</v>
      </c>
      <c r="J22" s="377">
        <f t="shared" ref="J22:M22" si="5">J21*J20*10</f>
        <v>0</v>
      </c>
      <c r="K22" s="377">
        <f t="shared" ref="K22" si="6">K21*K20*10</f>
        <v>0</v>
      </c>
      <c r="L22" s="377">
        <f t="shared" si="5"/>
        <v>0</v>
      </c>
      <c r="M22" s="378">
        <f t="shared" si="5"/>
        <v>2234000</v>
      </c>
      <c r="N22" s="301">
        <f>SUM(D22:H22)</f>
        <v>2876600</v>
      </c>
      <c r="O22" s="291">
        <f>SUM(I22:M22)</f>
        <v>28766000</v>
      </c>
      <c r="P22" s="305">
        <f>P21*P20</f>
        <v>0</v>
      </c>
      <c r="Q22" s="306">
        <f>N22+O22+P22</f>
        <v>31642600</v>
      </c>
    </row>
    <row r="23" spans="1:247" ht="12.75" customHeight="1" x14ac:dyDescent="0.2">
      <c r="A23" s="796"/>
      <c r="B23" s="791" t="str">
        <f>+'B) Reajuste Tarifas y Ocupación'!B13</f>
        <v xml:space="preserve">Doble jornada </v>
      </c>
      <c r="C23" s="286" t="s">
        <v>215</v>
      </c>
      <c r="D23" s="293">
        <f t="shared" ref="D23:D24" si="7">+I23</f>
        <v>89800</v>
      </c>
      <c r="E23" s="287">
        <f t="shared" ref="E23:E24" si="8">+J23</f>
        <v>107800</v>
      </c>
      <c r="F23" s="287">
        <f t="shared" ref="F23:F24" si="9">+K23</f>
        <v>107800</v>
      </c>
      <c r="G23" s="287">
        <f t="shared" ref="G23:G24" si="10">+L23</f>
        <v>134800</v>
      </c>
      <c r="H23" s="375">
        <f t="shared" ref="H23:H24" si="11">+M23</f>
        <v>158000</v>
      </c>
      <c r="I23" s="293">
        <f>+'B) Reajuste Tarifas y Ocupación'!M13</f>
        <v>89800</v>
      </c>
      <c r="J23" s="287">
        <f>+'B) Reajuste Tarifas y Ocupación'!N13</f>
        <v>107800</v>
      </c>
      <c r="K23" s="287">
        <f>+'B) Reajuste Tarifas y Ocupación'!O13</f>
        <v>107800</v>
      </c>
      <c r="L23" s="287">
        <f>+'B) Reajuste Tarifas y Ocupación'!P13</f>
        <v>134800</v>
      </c>
      <c r="M23" s="294">
        <f>+'B) Reajuste Tarifas y Ocupación'!Q13</f>
        <v>158000</v>
      </c>
      <c r="N23" s="299"/>
      <c r="O23" s="288"/>
      <c r="P23" s="303">
        <f>+'B) Reajuste Tarifas y Ocupación'!C13</f>
        <v>89800</v>
      </c>
      <c r="Q23" s="764"/>
    </row>
    <row r="24" spans="1:247" x14ac:dyDescent="0.2">
      <c r="A24" s="796"/>
      <c r="B24" s="792"/>
      <c r="C24" s="280" t="s">
        <v>7</v>
      </c>
      <c r="D24" s="295">
        <f t="shared" si="7"/>
        <v>0</v>
      </c>
      <c r="E24" s="285">
        <f t="shared" si="8"/>
        <v>0</v>
      </c>
      <c r="F24" s="285">
        <f t="shared" si="9"/>
        <v>0</v>
      </c>
      <c r="G24" s="285">
        <f t="shared" si="10"/>
        <v>0</v>
      </c>
      <c r="H24" s="379">
        <f t="shared" si="11"/>
        <v>0</v>
      </c>
      <c r="I24" s="295">
        <f>+'B) Reajuste Tarifas y Ocupación'!C27</f>
        <v>0</v>
      </c>
      <c r="J24" s="285">
        <f>+'B) Reajuste Tarifas y Ocupación'!D27</f>
        <v>0</v>
      </c>
      <c r="K24" s="285">
        <f>+'B) Reajuste Tarifas y Ocupación'!E27</f>
        <v>0</v>
      </c>
      <c r="L24" s="285">
        <f>+'B) Reajuste Tarifas y Ocupación'!F27</f>
        <v>0</v>
      </c>
      <c r="M24" s="296">
        <f>+'B) Reajuste Tarifas y Ocupación'!G27</f>
        <v>0</v>
      </c>
      <c r="N24" s="300"/>
      <c r="O24" s="284"/>
      <c r="P24" s="304">
        <v>0</v>
      </c>
      <c r="Q24" s="765"/>
    </row>
    <row r="25" spans="1:247" ht="13.5" thickBot="1" x14ac:dyDescent="0.25">
      <c r="A25" s="796"/>
      <c r="B25" s="793"/>
      <c r="C25" s="289" t="s">
        <v>9</v>
      </c>
      <c r="D25" s="297">
        <f>D24*D23</f>
        <v>0</v>
      </c>
      <c r="E25" s="290">
        <f>E24*E23</f>
        <v>0</v>
      </c>
      <c r="F25" s="290">
        <f t="shared" ref="F25:H25" si="12">F24*F23</f>
        <v>0</v>
      </c>
      <c r="G25" s="290">
        <f t="shared" si="12"/>
        <v>0</v>
      </c>
      <c r="H25" s="305">
        <f t="shared" si="12"/>
        <v>0</v>
      </c>
      <c r="I25" s="297">
        <f>I24*I23*10</f>
        <v>0</v>
      </c>
      <c r="J25" s="290">
        <f t="shared" ref="J25:M25" si="13">J24*J23*10</f>
        <v>0</v>
      </c>
      <c r="K25" s="290">
        <f t="shared" si="13"/>
        <v>0</v>
      </c>
      <c r="L25" s="290">
        <f t="shared" si="13"/>
        <v>0</v>
      </c>
      <c r="M25" s="298">
        <f t="shared" si="13"/>
        <v>0</v>
      </c>
      <c r="N25" s="301">
        <f>SUM(D25:H25)</f>
        <v>0</v>
      </c>
      <c r="O25" s="291">
        <f>SUM(I25:M25)</f>
        <v>0</v>
      </c>
      <c r="P25" s="305">
        <f>P24*P23</f>
        <v>0</v>
      </c>
      <c r="Q25" s="306">
        <f>N25+O25+P25</f>
        <v>0</v>
      </c>
    </row>
    <row r="26" spans="1:247" x14ac:dyDescent="0.2">
      <c r="A26" s="796"/>
      <c r="B26" s="791" t="str">
        <f>+'B) Reajuste Tarifas y Ocupación'!B14</f>
        <v>Jornada completa</v>
      </c>
      <c r="C26" s="286" t="s">
        <v>215</v>
      </c>
      <c r="D26" s="293">
        <f t="shared" ref="D26:F27" si="14">+I26</f>
        <v>140200</v>
      </c>
      <c r="E26" s="287">
        <f t="shared" si="14"/>
        <v>168300</v>
      </c>
      <c r="F26" s="287">
        <f t="shared" si="14"/>
        <v>168300</v>
      </c>
      <c r="G26" s="287">
        <f t="shared" ref="G26:H27" si="15">+L26</f>
        <v>175300</v>
      </c>
      <c r="H26" s="294">
        <f t="shared" si="15"/>
        <v>182300</v>
      </c>
      <c r="I26" s="380">
        <f>+'B) Reajuste Tarifas y Ocupación'!M14</f>
        <v>140200</v>
      </c>
      <c r="J26" s="381">
        <f>+'B) Reajuste Tarifas y Ocupación'!N14</f>
        <v>168300</v>
      </c>
      <c r="K26" s="381">
        <f>+'B) Reajuste Tarifas y Ocupación'!O14</f>
        <v>168300</v>
      </c>
      <c r="L26" s="381">
        <f>+'B) Reajuste Tarifas y Ocupación'!P14</f>
        <v>175300</v>
      </c>
      <c r="M26" s="382">
        <f>+'B) Reajuste Tarifas y Ocupación'!Q14</f>
        <v>182300</v>
      </c>
      <c r="N26" s="299"/>
      <c r="O26" s="288"/>
      <c r="P26" s="303">
        <f>+'B) Reajuste Tarifas y Ocupación'!C14</f>
        <v>140200</v>
      </c>
      <c r="Q26" s="764"/>
    </row>
    <row r="27" spans="1:247" x14ac:dyDescent="0.2">
      <c r="A27" s="796"/>
      <c r="B27" s="792"/>
      <c r="C27" s="280" t="s">
        <v>7</v>
      </c>
      <c r="D27" s="295">
        <f t="shared" si="14"/>
        <v>10</v>
      </c>
      <c r="E27" s="285">
        <f t="shared" si="14"/>
        <v>0</v>
      </c>
      <c r="F27" s="285">
        <f t="shared" si="14"/>
        <v>0</v>
      </c>
      <c r="G27" s="285">
        <f t="shared" si="15"/>
        <v>0</v>
      </c>
      <c r="H27" s="296">
        <f t="shared" si="15"/>
        <v>0</v>
      </c>
      <c r="I27" s="295">
        <f>+'B) Reajuste Tarifas y Ocupación'!C28</f>
        <v>10</v>
      </c>
      <c r="J27" s="285">
        <f>+'B) Reajuste Tarifas y Ocupación'!D28</f>
        <v>0</v>
      </c>
      <c r="K27" s="285">
        <f>+'B) Reajuste Tarifas y Ocupación'!E28</f>
        <v>0</v>
      </c>
      <c r="L27" s="285">
        <f>+'B) Reajuste Tarifas y Ocupación'!F28</f>
        <v>0</v>
      </c>
      <c r="M27" s="296">
        <f>+'B) Reajuste Tarifas y Ocupación'!G28</f>
        <v>0</v>
      </c>
      <c r="N27" s="300"/>
      <c r="O27" s="284"/>
      <c r="P27" s="304">
        <v>0</v>
      </c>
      <c r="Q27" s="765"/>
    </row>
    <row r="28" spans="1:247" ht="13.5" thickBot="1" x14ac:dyDescent="0.25">
      <c r="A28" s="796"/>
      <c r="B28" s="793"/>
      <c r="C28" s="289" t="s">
        <v>9</v>
      </c>
      <c r="D28" s="297">
        <f t="shared" ref="D28:H28" si="16">D27*D26</f>
        <v>1402000</v>
      </c>
      <c r="E28" s="290">
        <f t="shared" si="16"/>
        <v>0</v>
      </c>
      <c r="F28" s="290">
        <f t="shared" ref="F28" si="17">F27*F26</f>
        <v>0</v>
      </c>
      <c r="G28" s="290">
        <f t="shared" si="16"/>
        <v>0</v>
      </c>
      <c r="H28" s="298">
        <f t="shared" si="16"/>
        <v>0</v>
      </c>
      <c r="I28" s="297">
        <f t="shared" ref="I28:M28" si="18">I27*I26*10</f>
        <v>14020000</v>
      </c>
      <c r="J28" s="290">
        <f t="shared" si="18"/>
        <v>0</v>
      </c>
      <c r="K28" s="290">
        <f t="shared" ref="K28" si="19">K27*K26*10</f>
        <v>0</v>
      </c>
      <c r="L28" s="290">
        <f t="shared" si="18"/>
        <v>0</v>
      </c>
      <c r="M28" s="298">
        <f t="shared" si="18"/>
        <v>0</v>
      </c>
      <c r="N28" s="327">
        <f>SUM(D28:H28)</f>
        <v>1402000</v>
      </c>
      <c r="O28" s="328">
        <f>SUM(I28:M28)</f>
        <v>14020000</v>
      </c>
      <c r="P28" s="329">
        <f>P27*P26</f>
        <v>0</v>
      </c>
      <c r="Q28" s="330">
        <f>N28+O28+P28</f>
        <v>15422000</v>
      </c>
    </row>
    <row r="29" spans="1:247" s="10" customFormat="1" ht="15.75" thickBot="1" x14ac:dyDescent="0.25">
      <c r="A29" s="797"/>
      <c r="B29" s="794" t="s">
        <v>10</v>
      </c>
      <c r="C29" s="794"/>
      <c r="D29" s="383">
        <f>+D22+D28</f>
        <v>4055200</v>
      </c>
      <c r="E29" s="384">
        <f t="shared" ref="E29:G29" si="20">+E22+E28</f>
        <v>0</v>
      </c>
      <c r="F29" s="384">
        <f t="shared" si="20"/>
        <v>0</v>
      </c>
      <c r="G29" s="384">
        <f t="shared" si="20"/>
        <v>0</v>
      </c>
      <c r="H29" s="385">
        <f>+H22+H28</f>
        <v>223400</v>
      </c>
      <c r="I29" s="383">
        <f t="shared" ref="I29:L29" si="21">+I22+I28</f>
        <v>40552000</v>
      </c>
      <c r="J29" s="384">
        <f t="shared" si="21"/>
        <v>0</v>
      </c>
      <c r="K29" s="384">
        <f t="shared" si="21"/>
        <v>0</v>
      </c>
      <c r="L29" s="384">
        <f t="shared" si="21"/>
        <v>0</v>
      </c>
      <c r="M29" s="386">
        <f>+M22+M28</f>
        <v>2234000</v>
      </c>
      <c r="N29" s="387">
        <f t="shared" ref="N29:P29" si="22">+N22+N25+N28</f>
        <v>4278600</v>
      </c>
      <c r="O29" s="388">
        <f t="shared" si="22"/>
        <v>42786000</v>
      </c>
      <c r="P29" s="389">
        <f t="shared" si="22"/>
        <v>0</v>
      </c>
      <c r="Q29" s="390">
        <f>+Q22+Q25+Q28</f>
        <v>47064600</v>
      </c>
    </row>
    <row r="30" spans="1:247" s="603" customFormat="1" ht="12.75" customHeight="1" x14ac:dyDescent="0.2">
      <c r="A30" s="800" t="str">
        <f>+'B) Reajuste Tarifas y Ocupación'!A15</f>
        <v>Sala Cuna Mar y Cielo</v>
      </c>
      <c r="B30" s="803" t="str">
        <f>+'[1]B) Reajuste Tarifas y Ocupación'!B15</f>
        <v>Diurna</v>
      </c>
      <c r="C30" s="596" t="s">
        <v>215</v>
      </c>
      <c r="D30" s="577"/>
      <c r="E30" s="597">
        <f t="shared" ref="E30:H31" si="23">+J30</f>
        <v>372000</v>
      </c>
      <c r="F30" s="597">
        <f t="shared" si="23"/>
        <v>372000</v>
      </c>
      <c r="G30" s="597">
        <f t="shared" si="23"/>
        <v>387500</v>
      </c>
      <c r="H30" s="598">
        <f>+M30</f>
        <v>465000</v>
      </c>
      <c r="I30" s="599">
        <f>+'B) Reajuste Tarifas y Ocupación'!M15</f>
        <v>310000</v>
      </c>
      <c r="J30" s="597">
        <f>+'B) Reajuste Tarifas y Ocupación'!N15</f>
        <v>372000</v>
      </c>
      <c r="K30" s="597">
        <f>+'B) Reajuste Tarifas y Ocupación'!O15</f>
        <v>372000</v>
      </c>
      <c r="L30" s="597">
        <f>+'B) Reajuste Tarifas y Ocupación'!P15</f>
        <v>387500</v>
      </c>
      <c r="M30" s="600">
        <f>+'B) Reajuste Tarifas y Ocupación'!Q15</f>
        <v>465000</v>
      </c>
      <c r="N30" s="601"/>
      <c r="O30" s="602"/>
      <c r="P30" s="602"/>
      <c r="Q30" s="807"/>
    </row>
    <row r="31" spans="1:247" s="603" customFormat="1" ht="12.75" customHeight="1" x14ac:dyDescent="0.2">
      <c r="A31" s="801"/>
      <c r="B31" s="804"/>
      <c r="C31" s="604" t="s">
        <v>7</v>
      </c>
      <c r="D31" s="582"/>
      <c r="E31" s="605">
        <f t="shared" si="23"/>
        <v>0</v>
      </c>
      <c r="F31" s="605">
        <f t="shared" si="23"/>
        <v>0</v>
      </c>
      <c r="G31" s="605">
        <f t="shared" si="23"/>
        <v>0</v>
      </c>
      <c r="H31" s="606">
        <f t="shared" si="23"/>
        <v>0</v>
      </c>
      <c r="I31" s="607">
        <f>+'B) Reajuste Tarifas y Ocupación'!C29</f>
        <v>14</v>
      </c>
      <c r="J31" s="605">
        <f>+'B) Reajuste Tarifas y Ocupación'!D29</f>
        <v>0</v>
      </c>
      <c r="K31" s="605">
        <f>+'B) Reajuste Tarifas y Ocupación'!E29</f>
        <v>0</v>
      </c>
      <c r="L31" s="605">
        <f>+'B) Reajuste Tarifas y Ocupación'!F29</f>
        <v>0</v>
      </c>
      <c r="M31" s="608">
        <f>+'B) Reajuste Tarifas y Ocupación'!G29</f>
        <v>0</v>
      </c>
      <c r="N31" s="609"/>
      <c r="O31" s="610"/>
      <c r="P31" s="610"/>
      <c r="Q31" s="808"/>
    </row>
    <row r="32" spans="1:247" s="603" customFormat="1" ht="13.5" customHeight="1" thickBot="1" x14ac:dyDescent="0.25">
      <c r="A32" s="801"/>
      <c r="B32" s="805"/>
      <c r="C32" s="611" t="s">
        <v>9</v>
      </c>
      <c r="D32" s="612">
        <f>D31*D30</f>
        <v>0</v>
      </c>
      <c r="E32" s="613">
        <f>E31*E30</f>
        <v>0</v>
      </c>
      <c r="F32" s="613">
        <f>F31*F30</f>
        <v>0</v>
      </c>
      <c r="G32" s="613">
        <f>G31*G30</f>
        <v>0</v>
      </c>
      <c r="H32" s="614">
        <f>H31*H30</f>
        <v>0</v>
      </c>
      <c r="I32" s="612">
        <f>I31*I30*12</f>
        <v>52080000</v>
      </c>
      <c r="J32" s="613">
        <f>J31*J30*12</f>
        <v>0</v>
      </c>
      <c r="K32" s="613">
        <f>K31*K30*12</f>
        <v>0</v>
      </c>
      <c r="L32" s="613">
        <f>L31*L30*12</f>
        <v>0</v>
      </c>
      <c r="M32" s="615">
        <f>M31*M30*12</f>
        <v>0</v>
      </c>
      <c r="N32" s="616">
        <f>SUM(D32:H32)</f>
        <v>0</v>
      </c>
      <c r="O32" s="617">
        <f>SUM(I32:M32)</f>
        <v>52080000</v>
      </c>
      <c r="P32" s="614">
        <f>P31*P30</f>
        <v>0</v>
      </c>
      <c r="Q32" s="618">
        <f>N32+O32+P32</f>
        <v>52080000</v>
      </c>
    </row>
    <row r="33" spans="1:17" s="603" customFormat="1" ht="12.75" customHeight="1" x14ac:dyDescent="0.2">
      <c r="A33" s="801"/>
      <c r="B33" s="803" t="str">
        <f>+'[1]B) Reajuste Tarifas y Ocupación'!B16</f>
        <v>Nocturna</v>
      </c>
      <c r="C33" s="596" t="s">
        <v>215</v>
      </c>
      <c r="D33" s="582"/>
      <c r="E33" s="580"/>
      <c r="F33" s="580"/>
      <c r="G33" s="580"/>
      <c r="H33" s="581"/>
      <c r="I33" s="619"/>
      <c r="J33" s="620"/>
      <c r="K33" s="620"/>
      <c r="L33" s="620"/>
      <c r="M33" s="621"/>
      <c r="N33" s="601"/>
      <c r="O33" s="602"/>
      <c r="P33" s="602"/>
      <c r="Q33" s="807"/>
    </row>
    <row r="34" spans="1:17" s="603" customFormat="1" ht="12.75" customHeight="1" x14ac:dyDescent="0.2">
      <c r="A34" s="801"/>
      <c r="B34" s="804"/>
      <c r="C34" s="604" t="s">
        <v>7</v>
      </c>
      <c r="D34" s="582"/>
      <c r="E34" s="622"/>
      <c r="F34" s="622"/>
      <c r="G34" s="622"/>
      <c r="H34" s="623"/>
      <c r="I34" s="624"/>
      <c r="J34" s="622"/>
      <c r="K34" s="622"/>
      <c r="L34" s="622"/>
      <c r="M34" s="625"/>
      <c r="N34" s="609"/>
      <c r="O34" s="610"/>
      <c r="P34" s="610"/>
      <c r="Q34" s="808"/>
    </row>
    <row r="35" spans="1:17" s="603" customFormat="1" ht="13.5" customHeight="1" thickBot="1" x14ac:dyDescent="0.25">
      <c r="A35" s="801"/>
      <c r="B35" s="805"/>
      <c r="C35" s="611" t="s">
        <v>9</v>
      </c>
      <c r="D35" s="612">
        <f>D34*D33</f>
        <v>0</v>
      </c>
      <c r="E35" s="613">
        <f>E34*E33</f>
        <v>0</v>
      </c>
      <c r="F35" s="613">
        <f>F34*F33</f>
        <v>0</v>
      </c>
      <c r="G35" s="613">
        <f>G34*G33</f>
        <v>0</v>
      </c>
      <c r="H35" s="614">
        <f>H34*H33</f>
        <v>0</v>
      </c>
      <c r="I35" s="626">
        <f>I34*I33*12</f>
        <v>0</v>
      </c>
      <c r="J35" s="627">
        <f>J34*J33*12</f>
        <v>0</v>
      </c>
      <c r="K35" s="627">
        <f>K34*K33*12</f>
        <v>0</v>
      </c>
      <c r="L35" s="627">
        <f>L34*L33*12</f>
        <v>0</v>
      </c>
      <c r="M35" s="628">
        <f>M34*M33*12</f>
        <v>0</v>
      </c>
      <c r="N35" s="616">
        <f>SUM(D35:H35)</f>
        <v>0</v>
      </c>
      <c r="O35" s="617">
        <f>SUM(I35:M35)</f>
        <v>0</v>
      </c>
      <c r="P35" s="614">
        <f>P34*P33</f>
        <v>0</v>
      </c>
      <c r="Q35" s="618">
        <f>N35+O35+P35</f>
        <v>0</v>
      </c>
    </row>
    <row r="36" spans="1:17" s="603" customFormat="1" ht="12.75" customHeight="1" x14ac:dyDescent="0.2">
      <c r="A36" s="801"/>
      <c r="B36" s="803" t="str">
        <f>+'[1]B) Reajuste Tarifas y Ocupación'!B17</f>
        <v>Media Jornada</v>
      </c>
      <c r="C36" s="596" t="s">
        <v>215</v>
      </c>
      <c r="D36" s="582"/>
      <c r="E36" s="597">
        <f t="shared" ref="E36:H37" si="24">+J36</f>
        <v>0</v>
      </c>
      <c r="F36" s="597">
        <f t="shared" si="24"/>
        <v>0</v>
      </c>
      <c r="G36" s="597">
        <f t="shared" si="24"/>
        <v>0</v>
      </c>
      <c r="H36" s="598">
        <f>+M36</f>
        <v>0</v>
      </c>
      <c r="I36" s="599">
        <f>+'[1]B) Reajuste Tarifas y Ocupación'!M17</f>
        <v>0</v>
      </c>
      <c r="J36" s="597">
        <f>+'[1]B) Reajuste Tarifas y Ocupación'!N17</f>
        <v>0</v>
      </c>
      <c r="K36" s="597">
        <f>+'[1]B) Reajuste Tarifas y Ocupación'!O17</f>
        <v>0</v>
      </c>
      <c r="L36" s="597">
        <f>+'[1]B) Reajuste Tarifas y Ocupación'!P17</f>
        <v>0</v>
      </c>
      <c r="M36" s="600">
        <f>+'[1]B) Reajuste Tarifas y Ocupación'!Q17</f>
        <v>0</v>
      </c>
      <c r="N36" s="601"/>
      <c r="O36" s="602"/>
      <c r="P36" s="602"/>
      <c r="Q36" s="807"/>
    </row>
    <row r="37" spans="1:17" s="603" customFormat="1" ht="12.75" customHeight="1" x14ac:dyDescent="0.2">
      <c r="A37" s="801"/>
      <c r="B37" s="804"/>
      <c r="C37" s="604" t="s">
        <v>7</v>
      </c>
      <c r="D37" s="582"/>
      <c r="E37" s="605">
        <f t="shared" si="24"/>
        <v>0</v>
      </c>
      <c r="F37" s="605">
        <f t="shared" si="24"/>
        <v>0</v>
      </c>
      <c r="G37" s="605">
        <f t="shared" si="24"/>
        <v>0</v>
      </c>
      <c r="H37" s="606">
        <f t="shared" si="24"/>
        <v>0</v>
      </c>
      <c r="I37" s="607">
        <f>+'[1]B) Reajuste Tarifas y Ocupación'!C28</f>
        <v>0</v>
      </c>
      <c r="J37" s="605">
        <f>+'[1]B) Reajuste Tarifas y Ocupación'!D28</f>
        <v>0</v>
      </c>
      <c r="K37" s="605">
        <f>+'[1]B) Reajuste Tarifas y Ocupación'!E28</f>
        <v>0</v>
      </c>
      <c r="L37" s="605">
        <f>+'[1]B) Reajuste Tarifas y Ocupación'!F28</f>
        <v>0</v>
      </c>
      <c r="M37" s="608">
        <f>+'[1]B) Reajuste Tarifas y Ocupación'!G28</f>
        <v>0</v>
      </c>
      <c r="N37" s="609"/>
      <c r="O37" s="610"/>
      <c r="P37" s="610"/>
      <c r="Q37" s="808"/>
    </row>
    <row r="38" spans="1:17" s="603" customFormat="1" ht="13.5" customHeight="1" thickBot="1" x14ac:dyDescent="0.25">
      <c r="A38" s="801"/>
      <c r="B38" s="805"/>
      <c r="C38" s="611" t="s">
        <v>9</v>
      </c>
      <c r="D38" s="612">
        <f>D37*D36</f>
        <v>0</v>
      </c>
      <c r="E38" s="613">
        <f>E37*E36</f>
        <v>0</v>
      </c>
      <c r="F38" s="613">
        <f>F37*F36</f>
        <v>0</v>
      </c>
      <c r="G38" s="613">
        <f>G37*G36</f>
        <v>0</v>
      </c>
      <c r="H38" s="614">
        <f>H37*H36</f>
        <v>0</v>
      </c>
      <c r="I38" s="612">
        <f>I37*I36*12</f>
        <v>0</v>
      </c>
      <c r="J38" s="613">
        <f>J37*J36*12</f>
        <v>0</v>
      </c>
      <c r="K38" s="613">
        <f>K37*K36*12</f>
        <v>0</v>
      </c>
      <c r="L38" s="613">
        <f>L37*L36*12</f>
        <v>0</v>
      </c>
      <c r="M38" s="615">
        <f>M37*M36*12</f>
        <v>0</v>
      </c>
      <c r="N38" s="616">
        <f>SUM(D38:H38)</f>
        <v>0</v>
      </c>
      <c r="O38" s="617">
        <f>SUM(I38:M38)</f>
        <v>0</v>
      </c>
      <c r="P38" s="613">
        <f>P37*P36</f>
        <v>0</v>
      </c>
      <c r="Q38" s="629">
        <f>N38+O38+P38</f>
        <v>0</v>
      </c>
    </row>
    <row r="39" spans="1:17" s="603" customFormat="1" ht="15.75" customHeight="1" thickBot="1" x14ac:dyDescent="0.25">
      <c r="A39" s="802"/>
      <c r="B39" s="806" t="s">
        <v>10</v>
      </c>
      <c r="C39" s="806"/>
      <c r="D39" s="383">
        <f>+D32+D38+D35</f>
        <v>0</v>
      </c>
      <c r="E39" s="384">
        <f t="shared" ref="E39:P39" si="25">+E32+E38+E35</f>
        <v>0</v>
      </c>
      <c r="F39" s="384">
        <f>+F32+F38+F35</f>
        <v>0</v>
      </c>
      <c r="G39" s="384">
        <f t="shared" si="25"/>
        <v>0</v>
      </c>
      <c r="H39" s="385">
        <f t="shared" si="25"/>
        <v>0</v>
      </c>
      <c r="I39" s="383">
        <f>+I32+I38+I35</f>
        <v>52080000</v>
      </c>
      <c r="J39" s="384">
        <f>+J32+J38+J35</f>
        <v>0</v>
      </c>
      <c r="K39" s="384">
        <f t="shared" si="25"/>
        <v>0</v>
      </c>
      <c r="L39" s="384">
        <f t="shared" si="25"/>
        <v>0</v>
      </c>
      <c r="M39" s="386">
        <f>+M32+M38+M35</f>
        <v>0</v>
      </c>
      <c r="N39" s="387">
        <f t="shared" si="25"/>
        <v>0</v>
      </c>
      <c r="O39" s="388">
        <f t="shared" si="25"/>
        <v>52080000</v>
      </c>
      <c r="P39" s="389">
        <f t="shared" si="25"/>
        <v>0</v>
      </c>
      <c r="Q39" s="390">
        <f>+Q32+Q38+Q35</f>
        <v>52080000</v>
      </c>
    </row>
    <row r="40" spans="1:17" ht="15" customHeight="1" thickBot="1" x14ac:dyDescent="0.25">
      <c r="A40" s="798" t="s">
        <v>8</v>
      </c>
      <c r="B40" s="799"/>
      <c r="C40" s="799"/>
      <c r="D40" s="391">
        <f>+D29+D39</f>
        <v>4055200</v>
      </c>
      <c r="E40" s="392">
        <f>+E29+E39</f>
        <v>0</v>
      </c>
      <c r="F40" s="392">
        <f>+F29+F39</f>
        <v>0</v>
      </c>
      <c r="G40" s="392">
        <f>+G29+G39</f>
        <v>0</v>
      </c>
      <c r="H40" s="728">
        <f>+H29+H39</f>
        <v>223400</v>
      </c>
      <c r="I40" s="391">
        <f t="shared" ref="I40:M40" si="26">+I29+I39</f>
        <v>92632000</v>
      </c>
      <c r="J40" s="392">
        <f t="shared" si="26"/>
        <v>0</v>
      </c>
      <c r="K40" s="392">
        <f t="shared" si="26"/>
        <v>0</v>
      </c>
      <c r="L40" s="392">
        <f t="shared" si="26"/>
        <v>0</v>
      </c>
      <c r="M40" s="393">
        <f t="shared" si="26"/>
        <v>2234000</v>
      </c>
      <c r="N40" s="391">
        <f t="shared" ref="N40" si="27">+N29+N39</f>
        <v>4278600</v>
      </c>
      <c r="O40" s="392">
        <f>+O29+O39</f>
        <v>94866000</v>
      </c>
      <c r="P40" s="393">
        <f>+P29+P39</f>
        <v>0</v>
      </c>
      <c r="Q40" s="394">
        <f>+Q29+Q39</f>
        <v>99144600</v>
      </c>
    </row>
  </sheetData>
  <sheetProtection algorithmName="SHA-512" hashValue="1CnhOYXaTP2olumiEDWCN7Q6F67VOI+lkwpXkIFaK3xf3n8zcxHBqDp3Em2QlosMaZdwk5VhSKRjcq6NDeKS2Q==" saltValue="rf6qYxzAcSNS0s+1YpV64Q==" spinCount="100000" sheet="1" objects="1" scenarios="1"/>
  <mergeCells count="30">
    <mergeCell ref="Q30:Q31"/>
    <mergeCell ref="B33:B35"/>
    <mergeCell ref="Q33:Q34"/>
    <mergeCell ref="B36:B38"/>
    <mergeCell ref="Q36:Q37"/>
    <mergeCell ref="B23:B25"/>
    <mergeCell ref="B29:C29"/>
    <mergeCell ref="A20:A29"/>
    <mergeCell ref="B20:B22"/>
    <mergeCell ref="A40:C40"/>
    <mergeCell ref="B26:B28"/>
    <mergeCell ref="A30:A39"/>
    <mergeCell ref="B30:B32"/>
    <mergeCell ref="B39:C39"/>
    <mergeCell ref="Q26:Q27"/>
    <mergeCell ref="C4:D4"/>
    <mergeCell ref="E4:G4"/>
    <mergeCell ref="C18:C19"/>
    <mergeCell ref="D18:H18"/>
    <mergeCell ref="I18:M18"/>
    <mergeCell ref="Q23:Q24"/>
    <mergeCell ref="P18:P19"/>
    <mergeCell ref="N18:N19"/>
    <mergeCell ref="O18:O19"/>
    <mergeCell ref="Q18:Q19"/>
    <mergeCell ref="Q20:Q21"/>
    <mergeCell ref="A6:D6"/>
    <mergeCell ref="A16:D16"/>
    <mergeCell ref="A18:A19"/>
    <mergeCell ref="B18:B19"/>
  </mergeCells>
  <conditionalFormatting sqref="D13:N15 C12:N12 E16:N16 B9:I11">
    <cfRule type="cellIs" dxfId="3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1:H21 D20:H20 J20 D26:Q26 I22:P22 J21:O21 L20:Q20 Q21 D28:P28 D27:O27 Q27 D29:M29" unlockedFormula="1"/>
    <ignoredError sqref="F22:H22" formula="1" unlockedFormula="1"/>
    <ignoredError sqref="D22:E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31"/>
  <sheetViews>
    <sheetView showGridLines="0" zoomScale="80" zoomScaleNormal="80" workbookViewId="0">
      <selection activeCell="Q15" sqref="Q15"/>
    </sheetView>
  </sheetViews>
  <sheetFormatPr baseColWidth="10" defaultColWidth="11.42578125" defaultRowHeight="12.75" x14ac:dyDescent="0.2"/>
  <cols>
    <col min="1" max="1" width="56.5703125" style="45" customWidth="1"/>
    <col min="2" max="2" width="33.85546875" style="29" customWidth="1"/>
    <col min="3" max="3" width="12.28515625" style="45" customWidth="1"/>
    <col min="4" max="4" width="13.7109375" style="45" bestFit="1" customWidth="1"/>
    <col min="5" max="5" width="15.5703125" style="45" bestFit="1" customWidth="1"/>
    <col min="6" max="6" width="14.5703125" style="45" customWidth="1"/>
    <col min="7" max="7" width="14.85546875" style="45" customWidth="1"/>
    <col min="8" max="8" width="11.85546875" style="45" bestFit="1" customWidth="1"/>
    <col min="9" max="9" width="14.5703125" style="45" bestFit="1" customWidth="1"/>
    <col min="10" max="10" width="14.5703125" style="45" customWidth="1"/>
    <col min="11" max="12" width="11.85546875" style="45" customWidth="1"/>
    <col min="13" max="13" width="14" style="45" customWidth="1"/>
    <col min="14" max="15" width="14.5703125" style="45" customWidth="1"/>
    <col min="16" max="17" width="11.85546875" style="45" customWidth="1"/>
    <col min="18" max="18" width="11.85546875" style="29" customWidth="1"/>
    <col min="19" max="19" width="32.7109375" style="45" customWidth="1"/>
    <col min="20" max="20" width="33" style="29" bestFit="1" customWidth="1"/>
    <col min="21" max="21" width="13.85546875" style="45" customWidth="1"/>
    <col min="22" max="22" width="14.5703125" style="45" bestFit="1" customWidth="1"/>
    <col min="23" max="23" width="14.5703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204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197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7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66" t="s">
        <v>0</v>
      </c>
      <c r="D5" s="819"/>
      <c r="E5" s="97"/>
      <c r="F5" s="826" t="s">
        <v>124</v>
      </c>
      <c r="G5" s="827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97"/>
      <c r="D6" s="97"/>
      <c r="E6" s="97"/>
      <c r="F6" s="100"/>
      <c r="G6" s="100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97"/>
      <c r="D7" s="97"/>
      <c r="E7" s="97"/>
      <c r="F7" s="100"/>
      <c r="G7" s="100"/>
      <c r="R7" s="14"/>
      <c r="S7" s="22"/>
      <c r="T7" s="23"/>
      <c r="V7" s="54"/>
      <c r="W7" s="54"/>
      <c r="IL7" s="4"/>
      <c r="IM7" s="4"/>
      <c r="IN7" s="4"/>
      <c r="IO7" s="4"/>
      <c r="IP7" s="4"/>
      <c r="IQ7" s="4"/>
    </row>
    <row r="8" spans="1:256" s="14" customFormat="1" ht="15.75" x14ac:dyDescent="0.2">
      <c r="A8" s="812" t="s">
        <v>151</v>
      </c>
      <c r="B8" s="812"/>
      <c r="C8" s="812"/>
      <c r="D8" s="812"/>
      <c r="E8" s="98"/>
      <c r="F8" s="100"/>
      <c r="G8" s="100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thickBot="1" x14ac:dyDescent="0.25">
      <c r="A10" s="836" t="s">
        <v>135</v>
      </c>
      <c r="B10" s="831" t="s">
        <v>5</v>
      </c>
      <c r="C10" s="833" t="s">
        <v>138</v>
      </c>
      <c r="D10" s="834"/>
      <c r="E10" s="834"/>
      <c r="F10" s="834"/>
      <c r="G10" s="835"/>
      <c r="H10" s="813" t="s">
        <v>109</v>
      </c>
      <c r="I10" s="814"/>
      <c r="J10" s="814"/>
      <c r="K10" s="814"/>
      <c r="L10" s="815"/>
      <c r="M10" s="809" t="s">
        <v>218</v>
      </c>
      <c r="N10" s="810"/>
      <c r="O10" s="810"/>
      <c r="P10" s="810"/>
      <c r="Q10" s="811"/>
      <c r="R10" s="17"/>
    </row>
    <row r="11" spans="1:256" ht="64.5" thickBot="1" x14ac:dyDescent="0.25">
      <c r="A11" s="837"/>
      <c r="B11" s="832"/>
      <c r="C11" s="409" t="s">
        <v>87</v>
      </c>
      <c r="D11" s="410" t="s">
        <v>136</v>
      </c>
      <c r="E11" s="410" t="s">
        <v>137</v>
      </c>
      <c r="F11" s="410" t="s">
        <v>88</v>
      </c>
      <c r="G11" s="411" t="s">
        <v>89</v>
      </c>
      <c r="H11" s="421" t="s">
        <v>87</v>
      </c>
      <c r="I11" s="422" t="s">
        <v>136</v>
      </c>
      <c r="J11" s="422" t="s">
        <v>137</v>
      </c>
      <c r="K11" s="423" t="s">
        <v>88</v>
      </c>
      <c r="L11" s="461" t="s">
        <v>89</v>
      </c>
      <c r="M11" s="409" t="s">
        <v>87</v>
      </c>
      <c r="N11" s="410" t="s">
        <v>136</v>
      </c>
      <c r="O11" s="410" t="s">
        <v>137</v>
      </c>
      <c r="P11" s="410" t="s">
        <v>88</v>
      </c>
      <c r="Q11" s="411" t="s">
        <v>89</v>
      </c>
      <c r="R11" s="17"/>
    </row>
    <row r="12" spans="1:256" ht="13.5" customHeight="1" x14ac:dyDescent="0.2">
      <c r="A12" s="816" t="s">
        <v>211</v>
      </c>
      <c r="B12" s="405" t="s">
        <v>128</v>
      </c>
      <c r="C12" s="412">
        <v>60300</v>
      </c>
      <c r="D12" s="408">
        <v>72300</v>
      </c>
      <c r="E12" s="408">
        <v>72300</v>
      </c>
      <c r="F12" s="408">
        <v>94600</v>
      </c>
      <c r="G12" s="413">
        <v>111700</v>
      </c>
      <c r="H12" s="89">
        <v>0</v>
      </c>
      <c r="I12" s="337">
        <f>+H12</f>
        <v>0</v>
      </c>
      <c r="J12" s="337">
        <f>+H12</f>
        <v>0</v>
      </c>
      <c r="K12" s="337">
        <f>+H12</f>
        <v>0</v>
      </c>
      <c r="L12" s="157">
        <f>+H12</f>
        <v>0</v>
      </c>
      <c r="M12" s="425">
        <f>CEILING(C12*(1+H12),100)</f>
        <v>60300</v>
      </c>
      <c r="N12" s="426">
        <f>+CEILING(C12*(1.2)*(1+I12),100)</f>
        <v>72400</v>
      </c>
      <c r="O12" s="426">
        <f>+CEILING(C12*(1.2)*(1+J12),100)</f>
        <v>72400</v>
      </c>
      <c r="P12" s="426">
        <f t="shared" ref="P12:Q14" si="0">+CEILING(F12*(1+K12),100)</f>
        <v>94600</v>
      </c>
      <c r="Q12" s="427">
        <f t="shared" si="0"/>
        <v>111700</v>
      </c>
      <c r="R12" s="75"/>
    </row>
    <row r="13" spans="1:256" ht="13.5" customHeight="1" x14ac:dyDescent="0.2">
      <c r="A13" s="817"/>
      <c r="B13" s="406" t="s">
        <v>212</v>
      </c>
      <c r="C13" s="412">
        <v>89800</v>
      </c>
      <c r="D13" s="408">
        <v>107800</v>
      </c>
      <c r="E13" s="408">
        <v>107800</v>
      </c>
      <c r="F13" s="408">
        <v>134800</v>
      </c>
      <c r="G13" s="413">
        <v>158000</v>
      </c>
      <c r="H13" s="417">
        <v>0</v>
      </c>
      <c r="I13" s="418">
        <f>+H13</f>
        <v>0</v>
      </c>
      <c r="J13" s="418">
        <f>+H13</f>
        <v>0</v>
      </c>
      <c r="K13" s="418">
        <f>+H13</f>
        <v>0</v>
      </c>
      <c r="L13" s="462">
        <f>+H13</f>
        <v>0</v>
      </c>
      <c r="M13" s="425">
        <f>CEILING(C13*(1+H13),100)</f>
        <v>89800</v>
      </c>
      <c r="N13" s="426">
        <f t="shared" ref="N13:N14" si="1">+CEILING(C13*(1.2)*(1+I13),100)</f>
        <v>107800</v>
      </c>
      <c r="O13" s="426">
        <f>+CEILING(C13*(1.2)*(1+J13),100)</f>
        <v>107800</v>
      </c>
      <c r="P13" s="426">
        <f t="shared" si="0"/>
        <v>134800</v>
      </c>
      <c r="Q13" s="427">
        <f t="shared" si="0"/>
        <v>158000</v>
      </c>
      <c r="R13" s="75"/>
    </row>
    <row r="14" spans="1:256" ht="13.5" customHeight="1" thickBot="1" x14ac:dyDescent="0.25">
      <c r="A14" s="818"/>
      <c r="B14" s="407" t="s">
        <v>213</v>
      </c>
      <c r="C14" s="414">
        <v>140200</v>
      </c>
      <c r="D14" s="415">
        <v>168300</v>
      </c>
      <c r="E14" s="415">
        <v>168300</v>
      </c>
      <c r="F14" s="415">
        <v>175300</v>
      </c>
      <c r="G14" s="416">
        <v>182300</v>
      </c>
      <c r="H14" s="419">
        <v>0</v>
      </c>
      <c r="I14" s="420">
        <f>+H14</f>
        <v>0</v>
      </c>
      <c r="J14" s="420">
        <f>+H14</f>
        <v>0</v>
      </c>
      <c r="K14" s="420">
        <f>+H14</f>
        <v>0</v>
      </c>
      <c r="L14" s="463">
        <v>0</v>
      </c>
      <c r="M14" s="428">
        <f>CEILING(C14*(1+H14),100)</f>
        <v>140200</v>
      </c>
      <c r="N14" s="429">
        <f t="shared" si="1"/>
        <v>168300</v>
      </c>
      <c r="O14" s="429">
        <f>+CEILING(C14*(1.2)*(1+J14),100)</f>
        <v>168300</v>
      </c>
      <c r="P14" s="429">
        <f t="shared" si="0"/>
        <v>175300</v>
      </c>
      <c r="Q14" s="430">
        <f t="shared" si="0"/>
        <v>182300</v>
      </c>
    </row>
    <row r="15" spans="1:256" customFormat="1" ht="12.75" customHeight="1" x14ac:dyDescent="0.2">
      <c r="A15" s="842" t="s">
        <v>357</v>
      </c>
      <c r="B15" s="574" t="s">
        <v>354</v>
      </c>
      <c r="C15" s="575"/>
      <c r="D15" s="575"/>
      <c r="E15" s="575"/>
      <c r="F15" s="575"/>
      <c r="G15" s="576"/>
      <c r="H15" s="577"/>
      <c r="I15" s="575"/>
      <c r="J15" s="575"/>
      <c r="K15" s="575"/>
      <c r="L15" s="578"/>
      <c r="M15" s="749">
        <v>310000</v>
      </c>
      <c r="N15" s="750">
        <f>+M15*1.2</f>
        <v>372000</v>
      </c>
      <c r="O15" s="750">
        <f>+M15*1.2</f>
        <v>372000</v>
      </c>
      <c r="P15" s="750">
        <f>+M15*1.25</f>
        <v>387500</v>
      </c>
      <c r="Q15" s="751">
        <f>+M15*1.5</f>
        <v>465000</v>
      </c>
    </row>
    <row r="16" spans="1:256" customFormat="1" x14ac:dyDescent="0.2">
      <c r="A16" s="843"/>
      <c r="B16" s="579" t="s">
        <v>355</v>
      </c>
      <c r="C16" s="580"/>
      <c r="D16" s="580"/>
      <c r="E16" s="580"/>
      <c r="F16" s="580"/>
      <c r="G16" s="581"/>
      <c r="H16" s="582"/>
      <c r="I16" s="580"/>
      <c r="J16" s="580"/>
      <c r="K16" s="580"/>
      <c r="L16" s="583"/>
      <c r="M16" s="752"/>
      <c r="N16" s="753"/>
      <c r="O16" s="753"/>
      <c r="P16" s="753"/>
      <c r="Q16" s="754"/>
    </row>
    <row r="17" spans="1:18" customFormat="1" ht="13.5" thickBot="1" x14ac:dyDescent="0.25">
      <c r="A17" s="844"/>
      <c r="B17" s="584" t="s">
        <v>356</v>
      </c>
      <c r="C17" s="585"/>
      <c r="D17" s="585"/>
      <c r="E17" s="585"/>
      <c r="F17" s="585"/>
      <c r="G17" s="586"/>
      <c r="H17" s="587"/>
      <c r="I17" s="585"/>
      <c r="J17" s="585"/>
      <c r="K17" s="585"/>
      <c r="L17" s="588"/>
      <c r="M17" s="755">
        <v>0</v>
      </c>
      <c r="N17" s="756">
        <f>+CEILING(M17*(1.2),100)</f>
        <v>0</v>
      </c>
      <c r="O17" s="756">
        <f>+CEILING(M17*(1.2),100)</f>
        <v>0</v>
      </c>
      <c r="P17" s="756">
        <f>+CEILING(M17*(1.25),100)</f>
        <v>0</v>
      </c>
      <c r="Q17" s="757">
        <f>+CEILING(M17*(1.3),100)</f>
        <v>0</v>
      </c>
    </row>
    <row r="18" spans="1:18" ht="12.75" customHeight="1" x14ac:dyDescent="0.2">
      <c r="B18" s="45"/>
      <c r="R18" s="45"/>
    </row>
    <row r="21" spans="1:18" x14ac:dyDescent="0.2">
      <c r="D21" s="158"/>
    </row>
    <row r="22" spans="1:18" ht="15.75" x14ac:dyDescent="0.2">
      <c r="A22" s="812" t="s">
        <v>152</v>
      </c>
      <c r="B22" s="812"/>
      <c r="C22" s="812"/>
      <c r="D22" s="812"/>
      <c r="E22" s="812"/>
      <c r="F22" s="812"/>
      <c r="G22" s="14"/>
      <c r="H22" s="14"/>
    </row>
    <row r="23" spans="1:18" ht="13.5" thickBot="1" x14ac:dyDescent="0.25"/>
    <row r="24" spans="1:18" ht="16.5" thickBot="1" x14ac:dyDescent="0.25">
      <c r="A24" s="840" t="s">
        <v>135</v>
      </c>
      <c r="B24" s="838" t="s">
        <v>5</v>
      </c>
      <c r="C24" s="828" t="s">
        <v>222</v>
      </c>
      <c r="D24" s="829"/>
      <c r="E24" s="829"/>
      <c r="F24" s="829"/>
      <c r="G24" s="829"/>
      <c r="H24" s="830"/>
    </row>
    <row r="25" spans="1:18" ht="64.5" thickBot="1" x14ac:dyDescent="0.25">
      <c r="A25" s="841"/>
      <c r="B25" s="839"/>
      <c r="C25" s="90" t="s">
        <v>87</v>
      </c>
      <c r="D25" s="91" t="s">
        <v>136</v>
      </c>
      <c r="E25" s="91" t="s">
        <v>137</v>
      </c>
      <c r="F25" s="91" t="s">
        <v>88</v>
      </c>
      <c r="G25" s="92" t="s">
        <v>89</v>
      </c>
      <c r="H25" s="93" t="s">
        <v>134</v>
      </c>
    </row>
    <row r="26" spans="1:18" ht="20.100000000000001" customHeight="1" x14ac:dyDescent="0.2">
      <c r="A26" s="823" t="str">
        <f>+A12</f>
        <v>Jardín Infantil Mar y Cielo</v>
      </c>
      <c r="B26" s="334" t="str">
        <f>+B12</f>
        <v>Media jornada</v>
      </c>
      <c r="C26" s="331">
        <v>44</v>
      </c>
      <c r="D26" s="153">
        <v>0</v>
      </c>
      <c r="E26" s="153">
        <v>0</v>
      </c>
      <c r="F26" s="153">
        <v>0</v>
      </c>
      <c r="G26" s="153">
        <v>2</v>
      </c>
      <c r="H26" s="155">
        <f>SUM(C26:G26)</f>
        <v>46</v>
      </c>
    </row>
    <row r="27" spans="1:18" ht="20.100000000000001" customHeight="1" x14ac:dyDescent="0.2">
      <c r="A27" s="824"/>
      <c r="B27" s="335" t="str">
        <f>+B13</f>
        <v xml:space="preserve">Doble jornada </v>
      </c>
      <c r="C27" s="332">
        <v>0</v>
      </c>
      <c r="D27" s="278">
        <v>0</v>
      </c>
      <c r="E27" s="278">
        <v>0</v>
      </c>
      <c r="F27" s="278">
        <v>0</v>
      </c>
      <c r="G27" s="278">
        <v>0</v>
      </c>
      <c r="H27" s="279">
        <f>SUM(C27:G27)</f>
        <v>0</v>
      </c>
    </row>
    <row r="28" spans="1:18" ht="20.100000000000001" customHeight="1" thickBot="1" x14ac:dyDescent="0.25">
      <c r="A28" s="825"/>
      <c r="B28" s="336" t="str">
        <f>+B14</f>
        <v>Jornada completa</v>
      </c>
      <c r="C28" s="333">
        <v>10</v>
      </c>
      <c r="D28" s="154">
        <v>0</v>
      </c>
      <c r="E28" s="154">
        <v>0</v>
      </c>
      <c r="F28" s="154">
        <v>0</v>
      </c>
      <c r="G28" s="154">
        <v>0</v>
      </c>
      <c r="H28" s="156">
        <f t="shared" ref="H28" si="2">SUM(C28:G28)</f>
        <v>10</v>
      </c>
    </row>
    <row r="29" spans="1:18" customFormat="1" ht="19.5" customHeight="1" thickBot="1" x14ac:dyDescent="0.25">
      <c r="A29" s="820" t="str">
        <f>+A15</f>
        <v>Sala Cuna Mar y Cielo</v>
      </c>
      <c r="B29" s="336" t="str">
        <f t="shared" ref="B29:B31" si="3">+B15</f>
        <v>Diurna</v>
      </c>
      <c r="C29" s="589">
        <v>14</v>
      </c>
      <c r="D29" s="590">
        <v>0</v>
      </c>
      <c r="E29" s="590">
        <v>0</v>
      </c>
      <c r="F29" s="590">
        <v>0</v>
      </c>
      <c r="G29" s="590">
        <v>0</v>
      </c>
      <c r="H29" s="591">
        <f>SUM(C29:G29)</f>
        <v>14</v>
      </c>
    </row>
    <row r="30" spans="1:18" customFormat="1" ht="19.5" customHeight="1" thickBot="1" x14ac:dyDescent="0.25">
      <c r="A30" s="821"/>
      <c r="B30" s="336" t="str">
        <f t="shared" si="3"/>
        <v>Nocturna</v>
      </c>
      <c r="C30" s="592"/>
      <c r="D30" s="593"/>
      <c r="E30" s="593"/>
      <c r="F30" s="593"/>
      <c r="G30" s="593"/>
      <c r="H30" s="594"/>
    </row>
    <row r="31" spans="1:18" customFormat="1" ht="19.5" customHeight="1" thickBot="1" x14ac:dyDescent="0.25">
      <c r="A31" s="822"/>
      <c r="B31" s="336" t="str">
        <f t="shared" si="3"/>
        <v>Media Jornada</v>
      </c>
      <c r="C31" s="333">
        <v>0</v>
      </c>
      <c r="D31" s="154">
        <v>0</v>
      </c>
      <c r="E31" s="154">
        <v>0</v>
      </c>
      <c r="F31" s="154">
        <v>0</v>
      </c>
      <c r="G31" s="154">
        <v>0</v>
      </c>
      <c r="H31" s="595">
        <f>SUM(C31:G31)</f>
        <v>0</v>
      </c>
    </row>
  </sheetData>
  <sheetProtection algorithmName="SHA-512" hashValue="rrZgBpAcw5XBgB0Wgef2lmYuXEXnf/K08tW7ddPzzJtVUMDmsz5GeT5ANDARmD1b0iR4gGOnV6T808tifHAJcQ==" saltValue="fXfjO7sxwR3cy7fKMvxF/Q==" spinCount="100000" sheet="1" objects="1" scenarios="1"/>
  <mergeCells count="16">
    <mergeCell ref="A29:A31"/>
    <mergeCell ref="A26:A28"/>
    <mergeCell ref="F5:G5"/>
    <mergeCell ref="C24:H24"/>
    <mergeCell ref="B10:B11"/>
    <mergeCell ref="C10:G10"/>
    <mergeCell ref="A8:D8"/>
    <mergeCell ref="A10:A11"/>
    <mergeCell ref="B24:B25"/>
    <mergeCell ref="A24:A25"/>
    <mergeCell ref="A15:A17"/>
    <mergeCell ref="M10:Q10"/>
    <mergeCell ref="A22:F22"/>
    <mergeCell ref="H10:L10"/>
    <mergeCell ref="A12:A14"/>
    <mergeCell ref="C5:D5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Q142"/>
  <sheetViews>
    <sheetView showGridLines="0" topLeftCell="A138" zoomScale="70" zoomScaleNormal="70" workbookViewId="0">
      <selection activeCell="H79" sqref="H7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5.28515625" style="6" bestFit="1" customWidth="1"/>
    <col min="8" max="8" width="23" style="6" customWidth="1"/>
    <col min="9" max="9" width="20.7109375" style="4" hidden="1" customWidth="1"/>
    <col min="10" max="10" width="13.85546875" style="4" bestFit="1" customWidth="1"/>
    <col min="11" max="11" width="16.28515625" style="4" customWidth="1"/>
    <col min="12" max="12" width="11.42578125" style="4"/>
    <col min="13" max="13" width="97.85546875" style="4" customWidth="1"/>
    <col min="14" max="14" width="12.140625" style="4" bestFit="1" customWidth="1"/>
    <col min="15" max="16384" width="11.42578125" style="4"/>
  </cols>
  <sheetData>
    <row r="1" spans="1:17" x14ac:dyDescent="0.2">
      <c r="C1" s="44"/>
      <c r="D1" s="44" t="s">
        <v>205</v>
      </c>
      <c r="E1" s="44"/>
      <c r="F1" s="44"/>
      <c r="G1" s="44"/>
      <c r="H1" s="44"/>
    </row>
    <row r="2" spans="1:17" x14ac:dyDescent="0.2">
      <c r="C2" s="44"/>
      <c r="D2" s="44" t="s">
        <v>214</v>
      </c>
      <c r="E2" s="44"/>
      <c r="F2" s="44"/>
      <c r="G2" s="44"/>
      <c r="H2" s="44"/>
    </row>
    <row r="3" spans="1:17" x14ac:dyDescent="0.2">
      <c r="C3" s="44"/>
      <c r="E3" s="44"/>
      <c r="F3" s="44"/>
      <c r="G3" s="44"/>
      <c r="H3" s="44"/>
    </row>
    <row r="4" spans="1:17" ht="15.75" x14ac:dyDescent="0.2">
      <c r="C4" s="233" t="s">
        <v>0</v>
      </c>
      <c r="D4" s="845" t="s">
        <v>153</v>
      </c>
      <c r="E4" s="846"/>
      <c r="F4" s="44"/>
      <c r="G4" s="44"/>
      <c r="H4" s="44"/>
    </row>
    <row r="5" spans="1:17" x14ac:dyDescent="0.2">
      <c r="B5" s="44"/>
      <c r="C5" s="234"/>
      <c r="D5" s="44"/>
      <c r="E5" s="44"/>
      <c r="F5" s="44"/>
      <c r="G5" s="44"/>
      <c r="H5" s="44"/>
    </row>
    <row r="6" spans="1:17" x14ac:dyDescent="0.2">
      <c r="B6" s="44"/>
      <c r="C6" s="234"/>
      <c r="D6" s="44"/>
      <c r="E6" s="44"/>
      <c r="F6" s="44"/>
      <c r="G6" s="44"/>
      <c r="H6" s="44"/>
    </row>
    <row r="7" spans="1:17" x14ac:dyDescent="0.2">
      <c r="C7" s="6"/>
    </row>
    <row r="8" spans="1:17" ht="15.75" x14ac:dyDescent="0.2">
      <c r="A8" s="812" t="s">
        <v>154</v>
      </c>
      <c r="B8" s="812"/>
      <c r="C8" s="812"/>
      <c r="D8" s="234"/>
      <c r="G8" s="4"/>
    </row>
    <row r="10" spans="1:17" x14ac:dyDescent="0.2">
      <c r="A10" s="854" t="s">
        <v>115</v>
      </c>
      <c r="B10" s="852" t="s">
        <v>76</v>
      </c>
      <c r="C10" s="860" t="s">
        <v>77</v>
      </c>
      <c r="D10" s="857" t="s">
        <v>78</v>
      </c>
      <c r="E10" s="856" t="s">
        <v>79</v>
      </c>
      <c r="F10" s="856"/>
      <c r="G10" s="856"/>
      <c r="H10" s="858" t="s">
        <v>139</v>
      </c>
      <c r="I10" s="850" t="s">
        <v>75</v>
      </c>
      <c r="M10" s="862" t="s">
        <v>361</v>
      </c>
      <c r="N10" s="864" t="s">
        <v>262</v>
      </c>
      <c r="O10" s="864" t="s">
        <v>359</v>
      </c>
      <c r="P10" s="864" t="s">
        <v>360</v>
      </c>
    </row>
    <row r="11" spans="1:17" ht="25.5" x14ac:dyDescent="0.2">
      <c r="A11" s="855"/>
      <c r="B11" s="853"/>
      <c r="C11" s="861"/>
      <c r="D11" s="857"/>
      <c r="E11" s="261" t="s">
        <v>67</v>
      </c>
      <c r="F11" s="262" t="s">
        <v>68</v>
      </c>
      <c r="G11" s="263" t="s">
        <v>6</v>
      </c>
      <c r="H11" s="859"/>
      <c r="I11" s="851"/>
      <c r="M11" s="863"/>
      <c r="N11" s="865"/>
      <c r="O11" s="865"/>
      <c r="P11" s="865"/>
    </row>
    <row r="12" spans="1:17" x14ac:dyDescent="0.2">
      <c r="A12" s="847" t="str">
        <f>+'B) Reajuste Tarifas y Ocupación'!A12</f>
        <v>Jardín Infantil Mar y Cielo</v>
      </c>
      <c r="B12" s="49"/>
      <c r="C12" s="247" t="s">
        <v>11</v>
      </c>
      <c r="D12" s="256">
        <f>SUM(D13,D18)</f>
        <v>58044240.067400001</v>
      </c>
      <c r="E12" s="257"/>
      <c r="F12" s="257"/>
      <c r="G12" s="264">
        <f>SUM(G13,G18)</f>
        <v>6884640</v>
      </c>
      <c r="H12" s="254">
        <f>SUM(H13,H18)</f>
        <v>64928880.067399994</v>
      </c>
      <c r="I12" s="744"/>
      <c r="M12" s="729" t="s">
        <v>11</v>
      </c>
      <c r="N12" s="730"/>
      <c r="O12" s="730"/>
      <c r="P12" s="730"/>
    </row>
    <row r="13" spans="1:17" x14ac:dyDescent="0.2">
      <c r="A13" s="848"/>
      <c r="B13" s="50"/>
      <c r="C13" s="243" t="s">
        <v>12</v>
      </c>
      <c r="D13" s="245">
        <f>SUM(D14:D17)</f>
        <v>53903308.867399998</v>
      </c>
      <c r="E13" s="246"/>
      <c r="F13" s="246"/>
      <c r="G13" s="265">
        <f>SUM(G14:G17)</f>
        <v>0</v>
      </c>
      <c r="H13" s="250">
        <f>SUM(H14:H17)</f>
        <v>53903308.867399998</v>
      </c>
      <c r="I13" s="744"/>
      <c r="M13" s="731" t="s">
        <v>16</v>
      </c>
      <c r="N13" s="732"/>
      <c r="O13" s="733"/>
      <c r="P13" s="733"/>
    </row>
    <row r="14" spans="1:17" x14ac:dyDescent="0.2">
      <c r="A14" s="848"/>
      <c r="B14" s="51">
        <v>53103040100000</v>
      </c>
      <c r="C14" s="239" t="s">
        <v>96</v>
      </c>
      <c r="D14" s="272">
        <f>+'F) Remuneraciones'!L11</f>
        <v>53369612.739999995</v>
      </c>
      <c r="E14" s="266">
        <v>0</v>
      </c>
      <c r="F14" s="267">
        <v>0</v>
      </c>
      <c r="G14" s="255">
        <f>E14*F14</f>
        <v>0</v>
      </c>
      <c r="H14" s="249">
        <f>D14+G14</f>
        <v>53369612.739999995</v>
      </c>
      <c r="I14" s="744"/>
      <c r="M14" s="712" t="s">
        <v>179</v>
      </c>
      <c r="N14" s="734">
        <v>195000</v>
      </c>
      <c r="O14" s="735">
        <f t="shared" ref="O14:O61" si="0">N14*0.8</f>
        <v>156000</v>
      </c>
      <c r="P14" s="735">
        <f t="shared" ref="P14:P61" si="1">N14*0.2</f>
        <v>39000</v>
      </c>
      <c r="Q14" s="4" t="s">
        <v>362</v>
      </c>
    </row>
    <row r="15" spans="1:17" x14ac:dyDescent="0.2">
      <c r="A15" s="848"/>
      <c r="B15" s="51">
        <v>53103050000000</v>
      </c>
      <c r="C15" s="239" t="s">
        <v>173</v>
      </c>
      <c r="D15" s="240">
        <v>0</v>
      </c>
      <c r="E15" s="242">
        <v>0</v>
      </c>
      <c r="F15" s="241">
        <v>0</v>
      </c>
      <c r="G15" s="255">
        <f>E15*F15</f>
        <v>0</v>
      </c>
      <c r="H15" s="249">
        <f>D15+G15</f>
        <v>0</v>
      </c>
      <c r="I15" s="744"/>
      <c r="M15" s="700" t="s">
        <v>19</v>
      </c>
      <c r="N15" s="736"/>
      <c r="O15" s="735">
        <f t="shared" si="0"/>
        <v>0</v>
      </c>
      <c r="P15" s="735">
        <f t="shared" si="1"/>
        <v>0</v>
      </c>
    </row>
    <row r="16" spans="1:17" x14ac:dyDescent="0.2">
      <c r="A16" s="848"/>
      <c r="B16" s="270">
        <v>53103040400000</v>
      </c>
      <c r="C16" s="271" t="s">
        <v>174</v>
      </c>
      <c r="D16" s="240">
        <f>+D14*0.01</f>
        <v>533696.1274</v>
      </c>
      <c r="E16" s="242">
        <v>0</v>
      </c>
      <c r="F16" s="241">
        <v>0</v>
      </c>
      <c r="G16" s="255">
        <f>E16*F16</f>
        <v>0</v>
      </c>
      <c r="H16" s="249">
        <f>D16+G16</f>
        <v>533696.1274</v>
      </c>
      <c r="I16" s="744"/>
      <c r="M16" s="700" t="s">
        <v>180</v>
      </c>
      <c r="N16" s="736"/>
      <c r="O16" s="735">
        <f t="shared" si="0"/>
        <v>0</v>
      </c>
      <c r="P16" s="735">
        <f t="shared" si="1"/>
        <v>0</v>
      </c>
    </row>
    <row r="17" spans="1:17" x14ac:dyDescent="0.2">
      <c r="A17" s="848"/>
      <c r="B17" s="51">
        <v>53103080010000</v>
      </c>
      <c r="C17" s="239" t="s">
        <v>175</v>
      </c>
      <c r="D17" s="240">
        <v>0</v>
      </c>
      <c r="E17" s="242">
        <v>0</v>
      </c>
      <c r="F17" s="241">
        <v>0</v>
      </c>
      <c r="G17" s="255">
        <f>E17*F17</f>
        <v>0</v>
      </c>
      <c r="H17" s="249">
        <f>D17+G17</f>
        <v>0</v>
      </c>
      <c r="I17" s="744"/>
      <c r="M17" s="700" t="s">
        <v>227</v>
      </c>
      <c r="N17" s="736">
        <v>100960</v>
      </c>
      <c r="O17" s="735">
        <f t="shared" si="0"/>
        <v>80768</v>
      </c>
      <c r="P17" s="735">
        <f t="shared" si="1"/>
        <v>20192</v>
      </c>
      <c r="Q17" s="4" t="s">
        <v>363</v>
      </c>
    </row>
    <row r="18" spans="1:17" x14ac:dyDescent="0.2">
      <c r="A18" s="848"/>
      <c r="B18" s="50"/>
      <c r="C18" s="243" t="s">
        <v>16</v>
      </c>
      <c r="D18" s="245">
        <f>SUM(D19:D38)</f>
        <v>4140931.2</v>
      </c>
      <c r="E18" s="246"/>
      <c r="F18" s="246"/>
      <c r="G18" s="245">
        <f>SUM(G19:G38)</f>
        <v>6884640</v>
      </c>
      <c r="H18" s="250">
        <f>SUM(H19:H38)</f>
        <v>11025571.199999999</v>
      </c>
      <c r="I18" s="744"/>
      <c r="J18" s="275">
        <f>+H18+H45+H47+H56</f>
        <v>17149407.199999999</v>
      </c>
      <c r="M18" s="700" t="s">
        <v>22</v>
      </c>
      <c r="N18" s="736">
        <v>200000</v>
      </c>
      <c r="O18" s="735">
        <f t="shared" si="0"/>
        <v>160000</v>
      </c>
      <c r="P18" s="735">
        <f t="shared" si="1"/>
        <v>40000</v>
      </c>
    </row>
    <row r="19" spans="1:17" x14ac:dyDescent="0.2">
      <c r="A19" s="848"/>
      <c r="B19" s="51">
        <v>53201010100000</v>
      </c>
      <c r="C19" s="238" t="s">
        <v>176</v>
      </c>
      <c r="D19" s="240"/>
      <c r="E19" s="242">
        <v>2240</v>
      </c>
      <c r="F19" s="241">
        <f>(21*11)*6</f>
        <v>1386</v>
      </c>
      <c r="G19" s="255">
        <f t="shared" ref="G19:G38" si="2">E19*F19</f>
        <v>3104640</v>
      </c>
      <c r="H19" s="249">
        <f t="shared" ref="H19:H38" si="3">D19+G19</f>
        <v>3104640</v>
      </c>
      <c r="I19" s="744"/>
      <c r="M19" s="700" t="s">
        <v>182</v>
      </c>
      <c r="N19" s="736"/>
      <c r="O19" s="735">
        <f t="shared" si="0"/>
        <v>0</v>
      </c>
      <c r="P19" s="735">
        <f t="shared" si="1"/>
        <v>0</v>
      </c>
    </row>
    <row r="20" spans="1:17" x14ac:dyDescent="0.2">
      <c r="A20" s="848"/>
      <c r="B20" s="51">
        <v>53201010100000</v>
      </c>
      <c r="C20" s="238" t="s">
        <v>177</v>
      </c>
      <c r="D20" s="240">
        <v>0</v>
      </c>
      <c r="E20" s="242">
        <v>1800</v>
      </c>
      <c r="F20" s="241">
        <f>(21*10)*10</f>
        <v>2100</v>
      </c>
      <c r="G20" s="255">
        <f t="shared" ref="G20:G21" si="4">E20*F20</f>
        <v>3780000</v>
      </c>
      <c r="H20" s="249">
        <f t="shared" ref="H20:H21" si="5">D20+G20</f>
        <v>3780000</v>
      </c>
      <c r="I20" s="236"/>
      <c r="M20" s="700" t="s">
        <v>24</v>
      </c>
      <c r="N20" s="736">
        <v>1668600</v>
      </c>
      <c r="O20" s="735">
        <f t="shared" si="0"/>
        <v>1334880</v>
      </c>
      <c r="P20" s="735">
        <f t="shared" si="1"/>
        <v>333720</v>
      </c>
    </row>
    <row r="21" spans="1:17" x14ac:dyDescent="0.2">
      <c r="A21" s="848"/>
      <c r="B21" s="51">
        <v>53201010100000</v>
      </c>
      <c r="C21" s="238" t="s">
        <v>178</v>
      </c>
      <c r="D21" s="240">
        <v>0</v>
      </c>
      <c r="E21" s="242">
        <v>0</v>
      </c>
      <c r="F21" s="241">
        <v>0</v>
      </c>
      <c r="G21" s="255">
        <f t="shared" si="4"/>
        <v>0</v>
      </c>
      <c r="H21" s="249">
        <f t="shared" si="5"/>
        <v>0</v>
      </c>
      <c r="I21" s="236"/>
      <c r="M21" s="700" t="s">
        <v>25</v>
      </c>
      <c r="N21" s="736">
        <v>527005</v>
      </c>
      <c r="O21" s="735">
        <f t="shared" si="0"/>
        <v>421604</v>
      </c>
      <c r="P21" s="735">
        <f t="shared" si="1"/>
        <v>105401</v>
      </c>
    </row>
    <row r="22" spans="1:17" x14ac:dyDescent="0.2">
      <c r="A22" s="848"/>
      <c r="B22" s="51">
        <v>53202010100000</v>
      </c>
      <c r="C22" s="239" t="s">
        <v>179</v>
      </c>
      <c r="D22" s="240">
        <f>+O14</f>
        <v>156000</v>
      </c>
      <c r="E22" s="242">
        <v>0</v>
      </c>
      <c r="F22" s="241">
        <v>0</v>
      </c>
      <c r="G22" s="255">
        <f t="shared" si="2"/>
        <v>0</v>
      </c>
      <c r="H22" s="249">
        <f t="shared" si="3"/>
        <v>156000</v>
      </c>
      <c r="I22" s="744"/>
      <c r="M22" s="700" t="s">
        <v>26</v>
      </c>
      <c r="N22" s="736">
        <v>1524919</v>
      </c>
      <c r="O22" s="735">
        <f t="shared" si="0"/>
        <v>1219935.2</v>
      </c>
      <c r="P22" s="735">
        <f t="shared" si="1"/>
        <v>304983.8</v>
      </c>
    </row>
    <row r="23" spans="1:17" x14ac:dyDescent="0.2">
      <c r="A23" s="848"/>
      <c r="B23" s="51">
        <v>53203010100000</v>
      </c>
      <c r="C23" s="239" t="s">
        <v>19</v>
      </c>
      <c r="D23" s="402">
        <v>0</v>
      </c>
      <c r="E23" s="403">
        <v>0</v>
      </c>
      <c r="F23" s="404">
        <v>0</v>
      </c>
      <c r="G23" s="255">
        <f t="shared" si="2"/>
        <v>0</v>
      </c>
      <c r="H23" s="249">
        <f t="shared" si="3"/>
        <v>0</v>
      </c>
      <c r="I23" s="744"/>
      <c r="M23" s="700" t="s">
        <v>27</v>
      </c>
      <c r="N23" s="736"/>
      <c r="O23" s="735">
        <f t="shared" si="0"/>
        <v>0</v>
      </c>
      <c r="P23" s="735">
        <f t="shared" si="1"/>
        <v>0</v>
      </c>
    </row>
    <row r="24" spans="1:17" x14ac:dyDescent="0.2">
      <c r="A24" s="848"/>
      <c r="B24" s="51">
        <v>53203030000000</v>
      </c>
      <c r="C24" s="239" t="s">
        <v>180</v>
      </c>
      <c r="D24" s="402">
        <v>0</v>
      </c>
      <c r="E24" s="403">
        <v>0</v>
      </c>
      <c r="F24" s="404">
        <v>0</v>
      </c>
      <c r="G24" s="255">
        <f t="shared" si="2"/>
        <v>0</v>
      </c>
      <c r="H24" s="249">
        <f t="shared" si="3"/>
        <v>0</v>
      </c>
      <c r="I24" s="744"/>
      <c r="M24" s="700" t="s">
        <v>29</v>
      </c>
      <c r="N24" s="736">
        <v>380000</v>
      </c>
      <c r="O24" s="735">
        <f t="shared" si="0"/>
        <v>304000</v>
      </c>
      <c r="P24" s="735">
        <f t="shared" si="1"/>
        <v>76000</v>
      </c>
    </row>
    <row r="25" spans="1:17" x14ac:dyDescent="0.2">
      <c r="A25" s="848"/>
      <c r="B25" s="51">
        <v>53204030000000</v>
      </c>
      <c r="C25" s="239" t="s">
        <v>227</v>
      </c>
      <c r="D25" s="402">
        <f>+O17</f>
        <v>80768</v>
      </c>
      <c r="E25" s="403">
        <v>0</v>
      </c>
      <c r="F25" s="404">
        <v>0</v>
      </c>
      <c r="G25" s="255">
        <f t="shared" si="2"/>
        <v>0</v>
      </c>
      <c r="H25" s="249">
        <f>D25+G25</f>
        <v>80768</v>
      </c>
      <c r="I25" s="744"/>
      <c r="M25" s="700" t="s">
        <v>30</v>
      </c>
      <c r="N25" s="736"/>
      <c r="O25" s="735">
        <f t="shared" si="0"/>
        <v>0</v>
      </c>
      <c r="P25" s="735">
        <f t="shared" si="1"/>
        <v>0</v>
      </c>
    </row>
    <row r="26" spans="1:17" x14ac:dyDescent="0.2">
      <c r="A26" s="848"/>
      <c r="B26" s="51">
        <v>53204100100001</v>
      </c>
      <c r="C26" s="239" t="s">
        <v>22</v>
      </c>
      <c r="D26" s="402">
        <f>+O18</f>
        <v>160000</v>
      </c>
      <c r="E26" s="403">
        <v>0</v>
      </c>
      <c r="F26" s="404">
        <v>0</v>
      </c>
      <c r="G26" s="255">
        <f t="shared" si="2"/>
        <v>0</v>
      </c>
      <c r="H26" s="249">
        <f t="shared" si="3"/>
        <v>160000</v>
      </c>
      <c r="I26" s="744"/>
      <c r="M26" s="700" t="s">
        <v>31</v>
      </c>
      <c r="N26" s="734"/>
      <c r="O26" s="735">
        <f t="shared" si="0"/>
        <v>0</v>
      </c>
      <c r="P26" s="735">
        <f t="shared" si="1"/>
        <v>0</v>
      </c>
    </row>
    <row r="27" spans="1:17" x14ac:dyDescent="0.2">
      <c r="A27" s="848"/>
      <c r="B27" s="51">
        <v>53204130100000</v>
      </c>
      <c r="C27" s="239" t="s">
        <v>182</v>
      </c>
      <c r="D27" s="402">
        <v>0</v>
      </c>
      <c r="E27" s="403">
        <v>0</v>
      </c>
      <c r="F27" s="404">
        <v>0</v>
      </c>
      <c r="G27" s="255">
        <f t="shared" si="2"/>
        <v>0</v>
      </c>
      <c r="H27" s="249">
        <f t="shared" si="3"/>
        <v>0</v>
      </c>
      <c r="I27" s="744"/>
      <c r="M27" s="700" t="s">
        <v>183</v>
      </c>
      <c r="N27" s="736"/>
      <c r="O27" s="735">
        <f t="shared" si="0"/>
        <v>0</v>
      </c>
      <c r="P27" s="735">
        <f t="shared" si="1"/>
        <v>0</v>
      </c>
    </row>
    <row r="28" spans="1:17" x14ac:dyDescent="0.2">
      <c r="A28" s="848"/>
      <c r="B28" s="51">
        <v>53205010100000</v>
      </c>
      <c r="C28" s="239" t="s">
        <v>24</v>
      </c>
      <c r="D28" s="402">
        <f>+O20</f>
        <v>1334880</v>
      </c>
      <c r="E28" s="403"/>
      <c r="F28" s="404"/>
      <c r="G28" s="255">
        <f t="shared" si="2"/>
        <v>0</v>
      </c>
      <c r="H28" s="249">
        <f t="shared" si="3"/>
        <v>1334880</v>
      </c>
      <c r="I28" s="744"/>
      <c r="M28" s="700" t="s">
        <v>32</v>
      </c>
      <c r="N28" s="736"/>
      <c r="O28" s="735">
        <f t="shared" si="0"/>
        <v>0</v>
      </c>
      <c r="P28" s="735">
        <f t="shared" si="1"/>
        <v>0</v>
      </c>
    </row>
    <row r="29" spans="1:17" x14ac:dyDescent="0.2">
      <c r="A29" s="848"/>
      <c r="B29" s="51">
        <v>53205020100000</v>
      </c>
      <c r="C29" s="239" t="s">
        <v>25</v>
      </c>
      <c r="D29" s="402">
        <f t="shared" ref="D29:D33" si="6">+O21</f>
        <v>421604</v>
      </c>
      <c r="E29" s="403">
        <v>0</v>
      </c>
      <c r="F29" s="404">
        <v>0</v>
      </c>
      <c r="G29" s="255">
        <f t="shared" si="2"/>
        <v>0</v>
      </c>
      <c r="H29" s="249">
        <f t="shared" si="3"/>
        <v>421604</v>
      </c>
      <c r="I29" s="744"/>
      <c r="M29" s="712" t="s">
        <v>184</v>
      </c>
      <c r="N29" s="736">
        <v>579680</v>
      </c>
      <c r="O29" s="735">
        <f t="shared" si="0"/>
        <v>463744</v>
      </c>
      <c r="P29" s="735">
        <f t="shared" si="1"/>
        <v>115936</v>
      </c>
      <c r="Q29" s="4" t="s">
        <v>364</v>
      </c>
    </row>
    <row r="30" spans="1:17" x14ac:dyDescent="0.2">
      <c r="A30" s="848"/>
      <c r="B30" s="51">
        <v>53205030100000</v>
      </c>
      <c r="C30" s="239" t="s">
        <v>26</v>
      </c>
      <c r="D30" s="402">
        <f t="shared" si="6"/>
        <v>1219935.2</v>
      </c>
      <c r="E30" s="403">
        <v>0</v>
      </c>
      <c r="F30" s="404">
        <v>0</v>
      </c>
      <c r="G30" s="255">
        <f t="shared" si="2"/>
        <v>0</v>
      </c>
      <c r="H30" s="249">
        <f t="shared" si="3"/>
        <v>1219935.2</v>
      </c>
      <c r="I30" s="744"/>
      <c r="M30" s="700" t="s">
        <v>185</v>
      </c>
      <c r="N30" s="734"/>
      <c r="O30" s="735">
        <f t="shared" si="0"/>
        <v>0</v>
      </c>
      <c r="P30" s="735">
        <f t="shared" si="1"/>
        <v>0</v>
      </c>
    </row>
    <row r="31" spans="1:17" x14ac:dyDescent="0.2">
      <c r="A31" s="848"/>
      <c r="B31" s="51">
        <v>53205050100000</v>
      </c>
      <c r="C31" s="239" t="s">
        <v>27</v>
      </c>
      <c r="D31" s="402">
        <f t="shared" si="6"/>
        <v>0</v>
      </c>
      <c r="E31" s="403">
        <v>0</v>
      </c>
      <c r="F31" s="404">
        <v>0</v>
      </c>
      <c r="G31" s="255">
        <f t="shared" si="2"/>
        <v>0</v>
      </c>
      <c r="H31" s="249">
        <f t="shared" si="3"/>
        <v>0</v>
      </c>
      <c r="I31" s="744"/>
      <c r="M31" s="688" t="s">
        <v>34</v>
      </c>
      <c r="N31" s="737"/>
      <c r="O31" s="738"/>
      <c r="P31" s="738"/>
    </row>
    <row r="32" spans="1:17" x14ac:dyDescent="0.2">
      <c r="A32" s="848"/>
      <c r="B32" s="51">
        <v>53205070100000</v>
      </c>
      <c r="C32" s="239" t="s">
        <v>29</v>
      </c>
      <c r="D32" s="402">
        <f t="shared" si="6"/>
        <v>304000</v>
      </c>
      <c r="E32" s="403">
        <v>0</v>
      </c>
      <c r="F32" s="404">
        <v>0</v>
      </c>
      <c r="G32" s="255">
        <f t="shared" si="2"/>
        <v>0</v>
      </c>
      <c r="H32" s="249">
        <f t="shared" si="3"/>
        <v>304000</v>
      </c>
      <c r="I32" s="744"/>
      <c r="M32" s="694" t="s">
        <v>35</v>
      </c>
      <c r="N32" s="739"/>
      <c r="O32" s="740"/>
      <c r="P32" s="740"/>
    </row>
    <row r="33" spans="1:17" x14ac:dyDescent="0.2">
      <c r="A33" s="848"/>
      <c r="B33" s="51">
        <v>53208010100000</v>
      </c>
      <c r="C33" s="239" t="s">
        <v>30</v>
      </c>
      <c r="D33" s="402">
        <f t="shared" si="6"/>
        <v>0</v>
      </c>
      <c r="E33" s="403">
        <v>0</v>
      </c>
      <c r="F33" s="404">
        <v>0</v>
      </c>
      <c r="G33" s="255">
        <f t="shared" si="2"/>
        <v>0</v>
      </c>
      <c r="H33" s="249">
        <f t="shared" si="3"/>
        <v>0</v>
      </c>
      <c r="I33" s="744"/>
      <c r="M33" s="700" t="s">
        <v>41</v>
      </c>
      <c r="N33" s="736"/>
      <c r="O33" s="735">
        <f t="shared" si="0"/>
        <v>0</v>
      </c>
      <c r="P33" s="735">
        <f t="shared" si="1"/>
        <v>0</v>
      </c>
    </row>
    <row r="34" spans="1:17" x14ac:dyDescent="0.2">
      <c r="A34" s="848"/>
      <c r="B34" s="51">
        <v>53208070100001</v>
      </c>
      <c r="C34" s="239" t="s">
        <v>31</v>
      </c>
      <c r="D34" s="240">
        <v>0</v>
      </c>
      <c r="E34" s="242">
        <v>0</v>
      </c>
      <c r="F34" s="241">
        <v>0</v>
      </c>
      <c r="G34" s="255">
        <f t="shared" si="2"/>
        <v>0</v>
      </c>
      <c r="H34" s="249">
        <f t="shared" si="3"/>
        <v>0</v>
      </c>
      <c r="I34" s="744"/>
      <c r="M34" s="712" t="s">
        <v>188</v>
      </c>
      <c r="N34" s="736"/>
      <c r="O34" s="735">
        <f t="shared" si="0"/>
        <v>0</v>
      </c>
      <c r="P34" s="735">
        <f t="shared" si="1"/>
        <v>0</v>
      </c>
    </row>
    <row r="35" spans="1:17" x14ac:dyDescent="0.2">
      <c r="A35" s="848"/>
      <c r="B35" s="51">
        <v>53208100100001</v>
      </c>
      <c r="C35" s="239" t="s">
        <v>183</v>
      </c>
      <c r="D35" s="402">
        <v>0</v>
      </c>
      <c r="E35" s="403">
        <v>0</v>
      </c>
      <c r="F35" s="404">
        <v>0</v>
      </c>
      <c r="G35" s="255">
        <f t="shared" si="2"/>
        <v>0</v>
      </c>
      <c r="H35" s="249">
        <f t="shared" si="3"/>
        <v>0</v>
      </c>
      <c r="I35" s="744"/>
      <c r="M35" s="694" t="s">
        <v>42</v>
      </c>
      <c r="N35" s="739"/>
      <c r="O35" s="740"/>
      <c r="P35" s="740"/>
    </row>
    <row r="36" spans="1:17" x14ac:dyDescent="0.2">
      <c r="A36" s="848"/>
      <c r="B36" s="51">
        <v>53211030000000</v>
      </c>
      <c r="C36" s="239" t="s">
        <v>32</v>
      </c>
      <c r="D36" s="402">
        <v>0</v>
      </c>
      <c r="E36" s="403">
        <v>0</v>
      </c>
      <c r="F36" s="404">
        <v>0</v>
      </c>
      <c r="G36" s="255">
        <f t="shared" si="2"/>
        <v>0</v>
      </c>
      <c r="H36" s="249">
        <f t="shared" si="3"/>
        <v>0</v>
      </c>
      <c r="I36" s="744"/>
      <c r="M36" s="700" t="s">
        <v>44</v>
      </c>
      <c r="N36" s="736"/>
      <c r="O36" s="735">
        <f t="shared" si="0"/>
        <v>0</v>
      </c>
      <c r="P36" s="735">
        <f t="shared" si="1"/>
        <v>0</v>
      </c>
    </row>
    <row r="37" spans="1:17" x14ac:dyDescent="0.2">
      <c r="A37" s="848"/>
      <c r="B37" s="51">
        <v>53212020100000</v>
      </c>
      <c r="C37" s="239" t="s">
        <v>184</v>
      </c>
      <c r="D37" s="402">
        <f>+O29</f>
        <v>463744</v>
      </c>
      <c r="E37" s="403">
        <v>0</v>
      </c>
      <c r="F37" s="404">
        <v>0</v>
      </c>
      <c r="G37" s="255">
        <f t="shared" si="2"/>
        <v>0</v>
      </c>
      <c r="H37" s="249">
        <f t="shared" si="3"/>
        <v>463744</v>
      </c>
      <c r="I37" s="744"/>
      <c r="M37" s="694" t="s">
        <v>45</v>
      </c>
      <c r="N37" s="741"/>
      <c r="O37" s="742"/>
      <c r="P37" s="742"/>
    </row>
    <row r="38" spans="1:17" x14ac:dyDescent="0.2">
      <c r="A38" s="848"/>
      <c r="B38" s="51">
        <v>53214020000000</v>
      </c>
      <c r="C38" s="239" t="s">
        <v>185</v>
      </c>
      <c r="D38" s="240">
        <v>0</v>
      </c>
      <c r="E38" s="242">
        <v>0</v>
      </c>
      <c r="F38" s="241">
        <v>0</v>
      </c>
      <c r="G38" s="255">
        <f t="shared" si="2"/>
        <v>0</v>
      </c>
      <c r="H38" s="249">
        <f t="shared" si="3"/>
        <v>0</v>
      </c>
      <c r="I38" s="744"/>
      <c r="M38" s="700" t="s">
        <v>47</v>
      </c>
      <c r="N38" s="736">
        <v>280200</v>
      </c>
      <c r="O38" s="735">
        <f t="shared" si="0"/>
        <v>224160</v>
      </c>
      <c r="P38" s="735">
        <f t="shared" si="1"/>
        <v>56040</v>
      </c>
    </row>
    <row r="39" spans="1:17" x14ac:dyDescent="0.2">
      <c r="A39" s="848"/>
      <c r="B39" s="49"/>
      <c r="C39" s="247" t="s">
        <v>34</v>
      </c>
      <c r="D39" s="256">
        <v>0</v>
      </c>
      <c r="E39" s="257"/>
      <c r="F39" s="257"/>
      <c r="G39" s="256">
        <f>SUM(G40,G45,G47,G56,G65,G73)</f>
        <v>2179102</v>
      </c>
      <c r="H39" s="251">
        <f>SUM(H40,H45,H47,H56,H65,H73)</f>
        <v>9588826</v>
      </c>
      <c r="I39" s="744"/>
      <c r="M39" s="700" t="s">
        <v>226</v>
      </c>
      <c r="N39" s="736">
        <v>53251</v>
      </c>
      <c r="O39" s="735">
        <f t="shared" si="0"/>
        <v>42600.800000000003</v>
      </c>
      <c r="P39" s="735">
        <f t="shared" si="1"/>
        <v>10650.2</v>
      </c>
    </row>
    <row r="40" spans="1:17" x14ac:dyDescent="0.2">
      <c r="A40" s="848"/>
      <c r="B40" s="50"/>
      <c r="C40" s="243" t="s">
        <v>35</v>
      </c>
      <c r="D40" s="245">
        <f>SUM(D41:D44)</f>
        <v>0</v>
      </c>
      <c r="E40" s="246"/>
      <c r="F40" s="246"/>
      <c r="G40" s="258">
        <f>SUM(G41:G44)</f>
        <v>344990</v>
      </c>
      <c r="H40" s="252">
        <f>SUM(H41:H44)</f>
        <v>344990</v>
      </c>
      <c r="I40" s="744"/>
      <c r="M40" s="700" t="s">
        <v>49</v>
      </c>
      <c r="N40" s="736"/>
      <c r="O40" s="735">
        <f>N40*0.8</f>
        <v>0</v>
      </c>
      <c r="P40" s="735">
        <f>N40*0.2</f>
        <v>0</v>
      </c>
    </row>
    <row r="41" spans="1:17" x14ac:dyDescent="0.2">
      <c r="A41" s="848"/>
      <c r="B41" s="51">
        <v>53202020100000</v>
      </c>
      <c r="C41" s="239" t="s">
        <v>186</v>
      </c>
      <c r="D41" s="240">
        <v>0</v>
      </c>
      <c r="E41" s="242">
        <v>35000</v>
      </c>
      <c r="F41" s="241">
        <v>9</v>
      </c>
      <c r="G41" s="255">
        <f>E41*F41</f>
        <v>315000</v>
      </c>
      <c r="H41" s="249">
        <f t="shared" ref="H41:H74" si="7">D41+G41</f>
        <v>315000</v>
      </c>
      <c r="I41" s="744"/>
      <c r="M41" s="700" t="s">
        <v>50</v>
      </c>
      <c r="N41" s="736">
        <v>2675000</v>
      </c>
      <c r="O41" s="735">
        <f>N41*0.8</f>
        <v>2140000</v>
      </c>
      <c r="P41" s="735">
        <f>N41*0.2</f>
        <v>535000</v>
      </c>
    </row>
    <row r="42" spans="1:17" x14ac:dyDescent="0.2">
      <c r="A42" s="848"/>
      <c r="B42" s="51">
        <v>53202030000000</v>
      </c>
      <c r="C42" s="239" t="s">
        <v>187</v>
      </c>
      <c r="D42" s="240">
        <v>0</v>
      </c>
      <c r="E42" s="242">
        <v>29990</v>
      </c>
      <c r="F42" s="241">
        <v>1</v>
      </c>
      <c r="G42" s="255">
        <f t="shared" ref="G42:G74" si="8">E42*F42</f>
        <v>29990</v>
      </c>
      <c r="H42" s="249">
        <f t="shared" si="7"/>
        <v>29990</v>
      </c>
      <c r="I42" s="744"/>
      <c r="M42" s="700" t="s">
        <v>51</v>
      </c>
      <c r="N42" s="736"/>
      <c r="O42" s="735">
        <f t="shared" si="0"/>
        <v>0</v>
      </c>
      <c r="P42" s="735">
        <f t="shared" si="1"/>
        <v>0</v>
      </c>
    </row>
    <row r="43" spans="1:17" x14ac:dyDescent="0.2">
      <c r="A43" s="848"/>
      <c r="B43" s="51">
        <v>53211020000000</v>
      </c>
      <c r="C43" s="239" t="s">
        <v>41</v>
      </c>
      <c r="D43" s="402">
        <v>0</v>
      </c>
      <c r="E43" s="403">
        <v>0</v>
      </c>
      <c r="F43" s="404">
        <v>0</v>
      </c>
      <c r="G43" s="255">
        <f t="shared" si="8"/>
        <v>0</v>
      </c>
      <c r="H43" s="249">
        <f t="shared" si="7"/>
        <v>0</v>
      </c>
      <c r="I43" s="744"/>
      <c r="M43" s="700" t="s">
        <v>52</v>
      </c>
      <c r="N43" s="734">
        <v>119960</v>
      </c>
      <c r="O43" s="735">
        <f t="shared" ref="O43" si="9">N43*0.8</f>
        <v>95968</v>
      </c>
      <c r="P43" s="735">
        <f t="shared" ref="P43" si="10">N43*0.2</f>
        <v>23992</v>
      </c>
      <c r="Q43" s="4" t="s">
        <v>365</v>
      </c>
    </row>
    <row r="44" spans="1:17" x14ac:dyDescent="0.2">
      <c r="A44" s="848"/>
      <c r="B44" s="51">
        <v>53101040600000</v>
      </c>
      <c r="C44" s="239" t="s">
        <v>188</v>
      </c>
      <c r="D44" s="402">
        <v>0</v>
      </c>
      <c r="E44" s="403">
        <v>0</v>
      </c>
      <c r="F44" s="404">
        <v>0</v>
      </c>
      <c r="G44" s="255">
        <f t="shared" si="8"/>
        <v>0</v>
      </c>
      <c r="H44" s="249">
        <f t="shared" si="7"/>
        <v>0</v>
      </c>
      <c r="I44" s="744"/>
      <c r="M44" s="712" t="s">
        <v>189</v>
      </c>
      <c r="N44" s="734">
        <v>1800000</v>
      </c>
      <c r="O44" s="735">
        <f t="shared" si="0"/>
        <v>1440000</v>
      </c>
      <c r="P44" s="735">
        <f t="shared" si="1"/>
        <v>360000</v>
      </c>
    </row>
    <row r="45" spans="1:17" x14ac:dyDescent="0.2">
      <c r="A45" s="848"/>
      <c r="B45" s="50"/>
      <c r="C45" s="243" t="s">
        <v>42</v>
      </c>
      <c r="D45" s="245">
        <f>SUM(D46:D46)</f>
        <v>0</v>
      </c>
      <c r="E45" s="246"/>
      <c r="F45" s="246"/>
      <c r="G45" s="258">
        <f>SUM(G46:G46)</f>
        <v>0</v>
      </c>
      <c r="H45" s="252">
        <f>SUM(H46:H46)</f>
        <v>0</v>
      </c>
      <c r="I45" s="744"/>
      <c r="M45" s="700" t="s">
        <v>181</v>
      </c>
      <c r="N45" s="736"/>
      <c r="O45" s="735">
        <f t="shared" si="0"/>
        <v>0</v>
      </c>
      <c r="P45" s="735">
        <f t="shared" si="1"/>
        <v>0</v>
      </c>
    </row>
    <row r="46" spans="1:17" x14ac:dyDescent="0.2">
      <c r="A46" s="848"/>
      <c r="B46" s="237">
        <v>53205990000000</v>
      </c>
      <c r="C46" s="239" t="s">
        <v>44</v>
      </c>
      <c r="D46" s="402">
        <v>0</v>
      </c>
      <c r="E46" s="403">
        <v>0</v>
      </c>
      <c r="F46" s="404">
        <v>0</v>
      </c>
      <c r="G46" s="255">
        <f t="shared" si="8"/>
        <v>0</v>
      </c>
      <c r="H46" s="249">
        <f t="shared" si="7"/>
        <v>0</v>
      </c>
      <c r="I46" s="744"/>
      <c r="M46" s="694" t="s">
        <v>55</v>
      </c>
      <c r="N46" s="741"/>
      <c r="O46" s="742"/>
      <c r="P46" s="742"/>
    </row>
    <row r="47" spans="1:17" x14ac:dyDescent="0.2">
      <c r="A47" s="848"/>
      <c r="B47" s="50"/>
      <c r="C47" s="243" t="s">
        <v>45</v>
      </c>
      <c r="D47" s="245">
        <f>SUM(D48:D55)</f>
        <v>3942728.8</v>
      </c>
      <c r="E47" s="246"/>
      <c r="F47" s="246"/>
      <c r="G47" s="245">
        <f>SUM(G48:G55)</f>
        <v>0</v>
      </c>
      <c r="H47" s="250">
        <f>SUM(H48:H55)</f>
        <v>3942728.8</v>
      </c>
      <c r="I47" s="744"/>
      <c r="M47" s="700" t="s">
        <v>56</v>
      </c>
      <c r="N47" s="736"/>
      <c r="O47" s="735">
        <f t="shared" si="0"/>
        <v>0</v>
      </c>
      <c r="P47" s="735">
        <f t="shared" si="1"/>
        <v>0</v>
      </c>
    </row>
    <row r="48" spans="1:17" x14ac:dyDescent="0.2">
      <c r="A48" s="848"/>
      <c r="B48" s="51">
        <v>53204010000000</v>
      </c>
      <c r="C48" s="239" t="s">
        <v>47</v>
      </c>
      <c r="D48" s="402">
        <f>+O38</f>
        <v>224160</v>
      </c>
      <c r="E48" s="402">
        <v>0</v>
      </c>
      <c r="F48" s="404">
        <v>0</v>
      </c>
      <c r="G48" s="255">
        <f t="shared" si="8"/>
        <v>0</v>
      </c>
      <c r="H48" s="249">
        <f t="shared" si="7"/>
        <v>224160</v>
      </c>
      <c r="I48" s="744"/>
      <c r="M48" s="700" t="s">
        <v>57</v>
      </c>
      <c r="N48" s="736">
        <v>383400</v>
      </c>
      <c r="O48" s="735">
        <f t="shared" si="0"/>
        <v>306720</v>
      </c>
      <c r="P48" s="735">
        <f t="shared" si="1"/>
        <v>76680</v>
      </c>
      <c r="Q48" s="4" t="s">
        <v>366</v>
      </c>
    </row>
    <row r="49" spans="1:17" x14ac:dyDescent="0.2">
      <c r="A49" s="848"/>
      <c r="B49" s="237">
        <v>53204040200000</v>
      </c>
      <c r="C49" s="239" t="s">
        <v>226</v>
      </c>
      <c r="D49" s="402">
        <f t="shared" ref="D49:D52" si="11">+O39</f>
        <v>42600.800000000003</v>
      </c>
      <c r="E49" s="402">
        <v>0</v>
      </c>
      <c r="F49" s="404">
        <v>0</v>
      </c>
      <c r="G49" s="255">
        <f t="shared" si="8"/>
        <v>0</v>
      </c>
      <c r="H49" s="249">
        <f t="shared" si="7"/>
        <v>42600.800000000003</v>
      </c>
      <c r="I49" s="744"/>
      <c r="M49" s="700" t="s">
        <v>172</v>
      </c>
      <c r="N49" s="736"/>
      <c r="O49" s="735">
        <f t="shared" si="0"/>
        <v>0</v>
      </c>
      <c r="P49" s="735">
        <f t="shared" si="1"/>
        <v>0</v>
      </c>
    </row>
    <row r="50" spans="1:17" x14ac:dyDescent="0.2">
      <c r="A50" s="848"/>
      <c r="B50" s="51">
        <v>53204060000000</v>
      </c>
      <c r="C50" s="239" t="s">
        <v>49</v>
      </c>
      <c r="D50" s="402">
        <f t="shared" si="11"/>
        <v>0</v>
      </c>
      <c r="E50" s="402">
        <v>0</v>
      </c>
      <c r="F50" s="404">
        <v>0</v>
      </c>
      <c r="G50" s="255">
        <f t="shared" si="8"/>
        <v>0</v>
      </c>
      <c r="H50" s="249">
        <f t="shared" si="7"/>
        <v>0</v>
      </c>
      <c r="I50" s="744"/>
      <c r="M50" s="700" t="s">
        <v>190</v>
      </c>
      <c r="N50" s="736">
        <v>150000</v>
      </c>
      <c r="O50" s="735">
        <f t="shared" si="0"/>
        <v>120000</v>
      </c>
      <c r="P50" s="735">
        <f t="shared" si="1"/>
        <v>30000</v>
      </c>
      <c r="Q50" s="4" t="s">
        <v>367</v>
      </c>
    </row>
    <row r="51" spans="1:17" x14ac:dyDescent="0.2">
      <c r="A51" s="848"/>
      <c r="B51" s="51">
        <v>53204070000000</v>
      </c>
      <c r="C51" s="239" t="s">
        <v>50</v>
      </c>
      <c r="D51" s="402">
        <f t="shared" si="11"/>
        <v>2140000</v>
      </c>
      <c r="E51" s="402">
        <v>0</v>
      </c>
      <c r="F51" s="404">
        <v>0</v>
      </c>
      <c r="G51" s="255">
        <f t="shared" si="8"/>
        <v>0</v>
      </c>
      <c r="H51" s="249">
        <f t="shared" si="7"/>
        <v>2140000</v>
      </c>
      <c r="I51" s="744"/>
      <c r="M51" s="700" t="s">
        <v>193</v>
      </c>
      <c r="N51" s="736"/>
      <c r="O51" s="735">
        <f t="shared" si="0"/>
        <v>0</v>
      </c>
      <c r="P51" s="735">
        <f t="shared" si="1"/>
        <v>0</v>
      </c>
    </row>
    <row r="52" spans="1:17" x14ac:dyDescent="0.2">
      <c r="A52" s="848"/>
      <c r="B52" s="51">
        <v>53204080000000</v>
      </c>
      <c r="C52" s="239" t="s">
        <v>51</v>
      </c>
      <c r="D52" s="402">
        <f t="shared" si="11"/>
        <v>0</v>
      </c>
      <c r="E52" s="402">
        <v>0</v>
      </c>
      <c r="F52" s="404">
        <v>0</v>
      </c>
      <c r="G52" s="255">
        <f t="shared" si="8"/>
        <v>0</v>
      </c>
      <c r="H52" s="249">
        <f t="shared" si="7"/>
        <v>0</v>
      </c>
      <c r="I52" s="744"/>
      <c r="M52" s="700" t="s">
        <v>191</v>
      </c>
      <c r="N52" s="736"/>
      <c r="O52" s="735">
        <f t="shared" si="0"/>
        <v>0</v>
      </c>
      <c r="P52" s="735">
        <f t="shared" si="1"/>
        <v>0</v>
      </c>
    </row>
    <row r="53" spans="1:17" x14ac:dyDescent="0.2">
      <c r="A53" s="848"/>
      <c r="B53" s="51">
        <v>53214010000000</v>
      </c>
      <c r="C53" s="239" t="s">
        <v>52</v>
      </c>
      <c r="D53" s="240">
        <f>+O43</f>
        <v>95968</v>
      </c>
      <c r="E53" s="240">
        <v>0</v>
      </c>
      <c r="F53" s="241">
        <v>0</v>
      </c>
      <c r="G53" s="255">
        <f t="shared" si="8"/>
        <v>0</v>
      </c>
      <c r="H53" s="249">
        <f t="shared" si="7"/>
        <v>95968</v>
      </c>
      <c r="I53" s="744"/>
      <c r="M53" s="700" t="s">
        <v>64</v>
      </c>
      <c r="N53" s="736">
        <v>1650344</v>
      </c>
      <c r="O53" s="735">
        <f t="shared" si="0"/>
        <v>1320275.2000000002</v>
      </c>
      <c r="P53" s="735">
        <f t="shared" si="1"/>
        <v>330068.80000000005</v>
      </c>
    </row>
    <row r="54" spans="1:17" x14ac:dyDescent="0.2">
      <c r="A54" s="848"/>
      <c r="B54" s="51">
        <v>53214040000000</v>
      </c>
      <c r="C54" s="239" t="s">
        <v>189</v>
      </c>
      <c r="D54" s="240">
        <f>+O44</f>
        <v>1440000</v>
      </c>
      <c r="E54" s="240">
        <v>0</v>
      </c>
      <c r="F54" s="241">
        <v>0</v>
      </c>
      <c r="G54" s="255">
        <f t="shared" si="8"/>
        <v>0</v>
      </c>
      <c r="H54" s="249">
        <f t="shared" si="7"/>
        <v>1440000</v>
      </c>
      <c r="I54" s="744"/>
      <c r="M54" s="694" t="s">
        <v>65</v>
      </c>
      <c r="N54" s="743"/>
      <c r="O54" s="742"/>
      <c r="P54" s="742"/>
    </row>
    <row r="55" spans="1:17" x14ac:dyDescent="0.2">
      <c r="A55" s="848"/>
      <c r="B55" s="270">
        <v>53204020100000</v>
      </c>
      <c r="C55" s="239" t="s">
        <v>181</v>
      </c>
      <c r="D55" s="402">
        <v>0</v>
      </c>
      <c r="E55" s="402">
        <v>0</v>
      </c>
      <c r="F55" s="404">
        <v>0</v>
      </c>
      <c r="G55" s="255">
        <f t="shared" si="8"/>
        <v>0</v>
      </c>
      <c r="H55" s="249">
        <f t="shared" si="7"/>
        <v>0</v>
      </c>
      <c r="I55" s="744"/>
      <c r="M55" s="700" t="s">
        <v>100</v>
      </c>
      <c r="N55" s="736">
        <v>1800000</v>
      </c>
      <c r="O55" s="735">
        <f t="shared" si="0"/>
        <v>1440000</v>
      </c>
      <c r="P55" s="735">
        <f t="shared" si="1"/>
        <v>360000</v>
      </c>
    </row>
    <row r="56" spans="1:17" x14ac:dyDescent="0.2">
      <c r="A56" s="848"/>
      <c r="B56" s="50"/>
      <c r="C56" s="243" t="s">
        <v>55</v>
      </c>
      <c r="D56" s="245">
        <f>SUM(D57:D64)</f>
        <v>1746995.2000000002</v>
      </c>
      <c r="E56" s="246"/>
      <c r="F56" s="246"/>
      <c r="G56" s="245">
        <f>SUM(G57:G64)</f>
        <v>434112</v>
      </c>
      <c r="H56" s="250">
        <f>SUM(H57:H64)</f>
        <v>2181107.2000000002</v>
      </c>
      <c r="I56" s="744"/>
      <c r="M56" s="700" t="s">
        <v>101</v>
      </c>
      <c r="N56" s="736"/>
      <c r="O56" s="735">
        <f t="shared" si="0"/>
        <v>0</v>
      </c>
      <c r="P56" s="735">
        <f t="shared" si="1"/>
        <v>0</v>
      </c>
    </row>
    <row r="57" spans="1:17" x14ac:dyDescent="0.2">
      <c r="A57" s="848"/>
      <c r="B57" s="51">
        <v>53207010000000</v>
      </c>
      <c r="C57" s="239" t="s">
        <v>56</v>
      </c>
      <c r="D57" s="402">
        <v>0</v>
      </c>
      <c r="E57" s="402">
        <v>0</v>
      </c>
      <c r="F57" s="404">
        <v>0</v>
      </c>
      <c r="G57" s="255">
        <f t="shared" si="8"/>
        <v>0</v>
      </c>
      <c r="H57" s="249">
        <f t="shared" si="7"/>
        <v>0</v>
      </c>
      <c r="I57" s="744"/>
      <c r="M57" s="700" t="s">
        <v>194</v>
      </c>
      <c r="N57" s="736"/>
      <c r="O57" s="735">
        <f t="shared" si="0"/>
        <v>0</v>
      </c>
      <c r="P57" s="735">
        <f t="shared" si="1"/>
        <v>0</v>
      </c>
    </row>
    <row r="58" spans="1:17" x14ac:dyDescent="0.2">
      <c r="A58" s="848"/>
      <c r="B58" s="51">
        <v>53207020000000</v>
      </c>
      <c r="C58" s="239" t="s">
        <v>57</v>
      </c>
      <c r="D58" s="402">
        <f>+O48</f>
        <v>306720</v>
      </c>
      <c r="E58" s="402"/>
      <c r="F58" s="404"/>
      <c r="G58" s="255">
        <f t="shared" si="8"/>
        <v>0</v>
      </c>
      <c r="H58" s="249">
        <f t="shared" si="7"/>
        <v>306720</v>
      </c>
      <c r="I58" s="744"/>
      <c r="M58" s="700" t="s">
        <v>103</v>
      </c>
      <c r="N58" s="736"/>
      <c r="O58" s="735">
        <f t="shared" si="0"/>
        <v>0</v>
      </c>
      <c r="P58" s="735">
        <f t="shared" si="1"/>
        <v>0</v>
      </c>
    </row>
    <row r="59" spans="1:17" x14ac:dyDescent="0.2">
      <c r="A59" s="848"/>
      <c r="B59" s="51">
        <v>53208020000000</v>
      </c>
      <c r="C59" s="239" t="s">
        <v>172</v>
      </c>
      <c r="D59" s="402">
        <v>0</v>
      </c>
      <c r="E59" s="402">
        <v>0</v>
      </c>
      <c r="F59" s="404">
        <v>0</v>
      </c>
      <c r="G59" s="255">
        <f t="shared" si="8"/>
        <v>0</v>
      </c>
      <c r="H59" s="249">
        <f t="shared" si="7"/>
        <v>0</v>
      </c>
      <c r="I59" s="744"/>
      <c r="M59" s="712" t="s">
        <v>195</v>
      </c>
      <c r="N59" s="736"/>
      <c r="O59" s="735">
        <f t="shared" si="0"/>
        <v>0</v>
      </c>
      <c r="P59" s="735">
        <f t="shared" si="1"/>
        <v>0</v>
      </c>
    </row>
    <row r="60" spans="1:17" x14ac:dyDescent="0.2">
      <c r="A60" s="848"/>
      <c r="B60" s="51">
        <v>53208990000000</v>
      </c>
      <c r="C60" s="239" t="s">
        <v>190</v>
      </c>
      <c r="D60" s="402">
        <f>+O50</f>
        <v>120000</v>
      </c>
      <c r="E60" s="402"/>
      <c r="F60" s="404"/>
      <c r="G60" s="255">
        <f t="shared" si="8"/>
        <v>0</v>
      </c>
      <c r="H60" s="249">
        <f t="shared" si="7"/>
        <v>120000</v>
      </c>
      <c r="I60" s="744"/>
      <c r="M60" s="700" t="s">
        <v>105</v>
      </c>
      <c r="N60" s="736">
        <v>150000</v>
      </c>
      <c r="O60" s="735">
        <f t="shared" si="0"/>
        <v>120000</v>
      </c>
      <c r="P60" s="735">
        <f t="shared" si="1"/>
        <v>30000</v>
      </c>
    </row>
    <row r="61" spans="1:17" x14ac:dyDescent="0.2">
      <c r="A61" s="848"/>
      <c r="B61" s="270">
        <v>53210020300000</v>
      </c>
      <c r="C61" s="239" t="s">
        <v>192</v>
      </c>
      <c r="D61" s="402">
        <v>0</v>
      </c>
      <c r="E61" s="402">
        <v>7752</v>
      </c>
      <c r="F61" s="404">
        <v>56</v>
      </c>
      <c r="G61" s="255">
        <f t="shared" si="8"/>
        <v>434112</v>
      </c>
      <c r="H61" s="249">
        <f t="shared" si="7"/>
        <v>434112</v>
      </c>
      <c r="I61" s="744"/>
      <c r="M61" s="700" t="s">
        <v>225</v>
      </c>
      <c r="N61" s="736">
        <v>200000</v>
      </c>
      <c r="O61" s="735">
        <f t="shared" si="0"/>
        <v>160000</v>
      </c>
      <c r="P61" s="735">
        <f t="shared" si="1"/>
        <v>40000</v>
      </c>
    </row>
    <row r="62" spans="1:17" x14ac:dyDescent="0.2">
      <c r="A62" s="848"/>
      <c r="B62" s="51">
        <v>53208990000000</v>
      </c>
      <c r="C62" s="239" t="s">
        <v>193</v>
      </c>
      <c r="D62" s="402">
        <v>0</v>
      </c>
      <c r="E62" s="402">
        <v>0</v>
      </c>
      <c r="F62" s="404">
        <v>0</v>
      </c>
      <c r="G62" s="255">
        <f t="shared" si="8"/>
        <v>0</v>
      </c>
      <c r="H62" s="249">
        <f t="shared" si="7"/>
        <v>0</v>
      </c>
      <c r="I62" s="744"/>
    </row>
    <row r="63" spans="1:17" x14ac:dyDescent="0.2">
      <c r="A63" s="848"/>
      <c r="B63" s="51">
        <v>53209990000000</v>
      </c>
      <c r="C63" s="239" t="s">
        <v>191</v>
      </c>
      <c r="D63" s="402">
        <v>0</v>
      </c>
      <c r="E63" s="402">
        <v>0</v>
      </c>
      <c r="F63" s="404">
        <v>0</v>
      </c>
      <c r="G63" s="255">
        <f t="shared" si="8"/>
        <v>0</v>
      </c>
      <c r="H63" s="249">
        <f t="shared" si="7"/>
        <v>0</v>
      </c>
      <c r="I63" s="744"/>
    </row>
    <row r="64" spans="1:17" x14ac:dyDescent="0.2">
      <c r="A64" s="848"/>
      <c r="B64" s="51">
        <v>53210020100000</v>
      </c>
      <c r="C64" s="239" t="s">
        <v>64</v>
      </c>
      <c r="D64" s="402">
        <f>+O53</f>
        <v>1320275.2000000002</v>
      </c>
      <c r="E64" s="402">
        <v>0</v>
      </c>
      <c r="F64" s="404">
        <v>0</v>
      </c>
      <c r="G64" s="255">
        <f t="shared" si="8"/>
        <v>0</v>
      </c>
      <c r="H64" s="249">
        <f t="shared" si="7"/>
        <v>1320275.2000000002</v>
      </c>
      <c r="I64" s="744"/>
    </row>
    <row r="65" spans="1:11" x14ac:dyDescent="0.2">
      <c r="A65" s="848"/>
      <c r="B65" s="50"/>
      <c r="C65" s="243" t="s">
        <v>65</v>
      </c>
      <c r="D65" s="245">
        <f>SUM(D66:D72)</f>
        <v>1720000</v>
      </c>
      <c r="E65" s="246"/>
      <c r="F65" s="246"/>
      <c r="G65" s="245">
        <f>SUM(G66:G72)</f>
        <v>0</v>
      </c>
      <c r="H65" s="250">
        <f>SUM(H66:H72)</f>
        <v>1720000</v>
      </c>
      <c r="I65" s="744"/>
    </row>
    <row r="66" spans="1:11" x14ac:dyDescent="0.2">
      <c r="A66" s="848"/>
      <c r="B66" s="51">
        <v>53206030000000</v>
      </c>
      <c r="C66" s="239" t="s">
        <v>100</v>
      </c>
      <c r="D66" s="402">
        <f>+O55</f>
        <v>1440000</v>
      </c>
      <c r="E66" s="402">
        <v>0</v>
      </c>
      <c r="F66" s="404">
        <v>0</v>
      </c>
      <c r="G66" s="255">
        <f t="shared" si="8"/>
        <v>0</v>
      </c>
      <c r="H66" s="249">
        <f t="shared" si="7"/>
        <v>1440000</v>
      </c>
      <c r="I66" s="744"/>
    </row>
    <row r="67" spans="1:11" x14ac:dyDescent="0.2">
      <c r="A67" s="848"/>
      <c r="B67" s="51">
        <v>53206040000000</v>
      </c>
      <c r="C67" s="239" t="s">
        <v>101</v>
      </c>
      <c r="D67" s="402">
        <v>0</v>
      </c>
      <c r="E67" s="402">
        <v>0</v>
      </c>
      <c r="F67" s="404">
        <v>0</v>
      </c>
      <c r="G67" s="255">
        <f t="shared" si="8"/>
        <v>0</v>
      </c>
      <c r="H67" s="249">
        <f t="shared" si="7"/>
        <v>0</v>
      </c>
      <c r="I67" s="744"/>
    </row>
    <row r="68" spans="1:11" x14ac:dyDescent="0.2">
      <c r="A68" s="848"/>
      <c r="B68" s="51">
        <v>53206060000000</v>
      </c>
      <c r="C68" s="239" t="s">
        <v>194</v>
      </c>
      <c r="D68" s="402">
        <v>0</v>
      </c>
      <c r="E68" s="402">
        <v>0</v>
      </c>
      <c r="F68" s="404">
        <v>0</v>
      </c>
      <c r="G68" s="255">
        <f t="shared" si="8"/>
        <v>0</v>
      </c>
      <c r="H68" s="249">
        <f t="shared" si="7"/>
        <v>0</v>
      </c>
      <c r="I68" s="744"/>
    </row>
    <row r="69" spans="1:11" x14ac:dyDescent="0.2">
      <c r="A69" s="848"/>
      <c r="B69" s="51">
        <v>53206070000000</v>
      </c>
      <c r="C69" s="239" t="s">
        <v>103</v>
      </c>
      <c r="D69" s="402">
        <v>0</v>
      </c>
      <c r="E69" s="402">
        <v>0</v>
      </c>
      <c r="F69" s="404">
        <v>0</v>
      </c>
      <c r="G69" s="255">
        <f t="shared" si="8"/>
        <v>0</v>
      </c>
      <c r="H69" s="249">
        <f t="shared" si="7"/>
        <v>0</v>
      </c>
      <c r="I69" s="744"/>
    </row>
    <row r="70" spans="1:11" x14ac:dyDescent="0.2">
      <c r="A70" s="848"/>
      <c r="B70" s="51">
        <v>53206990000000</v>
      </c>
      <c r="C70" s="239" t="s">
        <v>195</v>
      </c>
      <c r="D70" s="402">
        <v>0</v>
      </c>
      <c r="E70" s="402">
        <v>0</v>
      </c>
      <c r="F70" s="404">
        <v>0</v>
      </c>
      <c r="G70" s="255">
        <f t="shared" si="8"/>
        <v>0</v>
      </c>
      <c r="H70" s="249">
        <f t="shared" si="7"/>
        <v>0</v>
      </c>
      <c r="I70" s="744"/>
    </row>
    <row r="71" spans="1:11" x14ac:dyDescent="0.2">
      <c r="A71" s="848"/>
      <c r="B71" s="51">
        <v>53208030000000</v>
      </c>
      <c r="C71" s="239" t="s">
        <v>105</v>
      </c>
      <c r="D71" s="402">
        <f>+O60</f>
        <v>120000</v>
      </c>
      <c r="E71" s="402">
        <v>0</v>
      </c>
      <c r="F71" s="404">
        <v>0</v>
      </c>
      <c r="G71" s="255">
        <f t="shared" si="8"/>
        <v>0</v>
      </c>
      <c r="H71" s="249">
        <f t="shared" si="7"/>
        <v>120000</v>
      </c>
      <c r="I71" s="744"/>
    </row>
    <row r="72" spans="1:11" x14ac:dyDescent="0.2">
      <c r="A72" s="848"/>
      <c r="B72" s="51">
        <v>53206990000000</v>
      </c>
      <c r="C72" s="239" t="s">
        <v>225</v>
      </c>
      <c r="D72" s="402">
        <f>+O61</f>
        <v>160000</v>
      </c>
      <c r="E72" s="402">
        <v>0</v>
      </c>
      <c r="F72" s="404">
        <v>0</v>
      </c>
      <c r="G72" s="255">
        <f t="shared" si="8"/>
        <v>0</v>
      </c>
      <c r="H72" s="249">
        <f t="shared" si="7"/>
        <v>160000</v>
      </c>
      <c r="I72" s="744"/>
    </row>
    <row r="73" spans="1:11" x14ac:dyDescent="0.2">
      <c r="A73" s="848"/>
      <c r="B73" s="50"/>
      <c r="C73" s="243" t="s">
        <v>66</v>
      </c>
      <c r="D73" s="245">
        <f>SUM(D74:D74)</f>
        <v>0</v>
      </c>
      <c r="E73" s="246"/>
      <c r="F73" s="246"/>
      <c r="G73" s="245">
        <f>SUM(G74:G74)</f>
        <v>1400000</v>
      </c>
      <c r="H73" s="250">
        <f>SUM(H74:H74)</f>
        <v>1400000</v>
      </c>
      <c r="I73" s="744"/>
    </row>
    <row r="74" spans="1:11" x14ac:dyDescent="0.2">
      <c r="A74" s="848"/>
      <c r="B74" s="57"/>
      <c r="C74" s="244" t="s">
        <v>228</v>
      </c>
      <c r="D74" s="240">
        <v>0</v>
      </c>
      <c r="E74" s="240">
        <v>25000</v>
      </c>
      <c r="F74" s="241">
        <v>56</v>
      </c>
      <c r="G74" s="255">
        <f t="shared" si="8"/>
        <v>1400000</v>
      </c>
      <c r="H74" s="253">
        <f t="shared" si="7"/>
        <v>1400000</v>
      </c>
      <c r="I74" s="745"/>
      <c r="J74" s="467" t="s">
        <v>229</v>
      </c>
      <c r="K74" s="464">
        <f>+H72+H71+H70+H69+H68+H67+H66+H64+H63+H62+H61+H60+H59+H58+H57+H55+H52+H51+H50+H49+H48+H46+H44+H43+H37+H36+H35+H33+H32+H31+H30+H29+H28+H27+H26+H25+H24+H23</f>
        <v>10292799.199999999</v>
      </c>
    </row>
    <row r="75" spans="1:11" collapsed="1" x14ac:dyDescent="0.2">
      <c r="A75" s="849"/>
      <c r="B75" s="59"/>
      <c r="C75" s="248" t="s">
        <v>106</v>
      </c>
      <c r="D75" s="259">
        <f>SUM(D12,D39)</f>
        <v>58044240.067400001</v>
      </c>
      <c r="E75" s="260"/>
      <c r="F75" s="260"/>
      <c r="G75" s="259">
        <f>SUM(G12,G39)</f>
        <v>9063742</v>
      </c>
      <c r="H75" s="60">
        <f>SUM(H12,H39)</f>
        <v>74517706.067399994</v>
      </c>
      <c r="I75" s="746"/>
      <c r="J75" s="466" t="s">
        <v>230</v>
      </c>
      <c r="K75" s="465">
        <f>+H75-K74</f>
        <v>64224906.867399991</v>
      </c>
    </row>
    <row r="76" spans="1:11" x14ac:dyDescent="0.2">
      <c r="A76" s="854" t="s">
        <v>115</v>
      </c>
      <c r="B76" s="870" t="s">
        <v>76</v>
      </c>
      <c r="C76" s="872" t="s">
        <v>77</v>
      </c>
      <c r="D76" s="874" t="s">
        <v>78</v>
      </c>
      <c r="E76" s="875" t="s">
        <v>79</v>
      </c>
      <c r="F76" s="875"/>
      <c r="G76" s="875"/>
      <c r="H76" s="868" t="s">
        <v>139</v>
      </c>
      <c r="I76" s="850" t="s">
        <v>75</v>
      </c>
    </row>
    <row r="77" spans="1:11" ht="25.5" x14ac:dyDescent="0.2">
      <c r="A77" s="855"/>
      <c r="B77" s="871"/>
      <c r="C77" s="873"/>
      <c r="D77" s="874"/>
      <c r="E77" s="684" t="s">
        <v>67</v>
      </c>
      <c r="F77" s="685" t="s">
        <v>68</v>
      </c>
      <c r="G77" s="686" t="s">
        <v>6</v>
      </c>
      <c r="H77" s="869"/>
      <c r="I77" s="851"/>
    </row>
    <row r="78" spans="1:11" x14ac:dyDescent="0.2">
      <c r="A78" s="847" t="str">
        <f>+'B) Reajuste Tarifas y Ocupación'!A15</f>
        <v>Sala Cuna Mar y Cielo</v>
      </c>
      <c r="B78" s="687"/>
      <c r="C78" s="688" t="s">
        <v>11</v>
      </c>
      <c r="D78" s="689">
        <f>SUM(D79,D84)</f>
        <v>35049545.311399996</v>
      </c>
      <c r="E78" s="690"/>
      <c r="F78" s="690"/>
      <c r="G78" s="691">
        <f>SUM(G79,G84)</f>
        <v>7059360</v>
      </c>
      <c r="H78" s="692">
        <f>SUM(H79,H84)</f>
        <v>42108905.311399996</v>
      </c>
      <c r="I78" s="744"/>
    </row>
    <row r="79" spans="1:11" x14ac:dyDescent="0.2">
      <c r="A79" s="848"/>
      <c r="B79" s="693"/>
      <c r="C79" s="694" t="s">
        <v>12</v>
      </c>
      <c r="D79" s="695">
        <f>SUM(D80:D83)</f>
        <v>34014312.511399999</v>
      </c>
      <c r="E79" s="696"/>
      <c r="F79" s="696"/>
      <c r="G79" s="697">
        <f>SUM(G80:G83)</f>
        <v>0</v>
      </c>
      <c r="H79" s="698">
        <f>SUM(H80:H83)</f>
        <v>34014312.511399999</v>
      </c>
      <c r="I79" s="744"/>
    </row>
    <row r="80" spans="1:11" x14ac:dyDescent="0.2">
      <c r="A80" s="848"/>
      <c r="B80" s="699">
        <v>53103040100000</v>
      </c>
      <c r="C80" s="700" t="s">
        <v>96</v>
      </c>
      <c r="D80" s="701">
        <f>+'F) Remuneraciones'!L26</f>
        <v>33677537.140000001</v>
      </c>
      <c r="E80" s="702">
        <v>0</v>
      </c>
      <c r="F80" s="703">
        <v>0</v>
      </c>
      <c r="G80" s="704">
        <f>E80*F80</f>
        <v>0</v>
      </c>
      <c r="H80" s="705">
        <f>D80+G80</f>
        <v>33677537.140000001</v>
      </c>
      <c r="I80" s="744"/>
    </row>
    <row r="81" spans="1:10" x14ac:dyDescent="0.2">
      <c r="A81" s="848"/>
      <c r="B81" s="699">
        <v>53103050000000</v>
      </c>
      <c r="C81" s="700" t="s">
        <v>173</v>
      </c>
      <c r="D81" s="706">
        <v>0</v>
      </c>
      <c r="E81" s="707">
        <v>0</v>
      </c>
      <c r="F81" s="708">
        <v>0</v>
      </c>
      <c r="G81" s="704">
        <f>E81*F81</f>
        <v>0</v>
      </c>
      <c r="H81" s="705">
        <f>D81+G81</f>
        <v>0</v>
      </c>
      <c r="I81" s="744"/>
    </row>
    <row r="82" spans="1:10" x14ac:dyDescent="0.2">
      <c r="A82" s="848"/>
      <c r="B82" s="709">
        <v>53103040400000</v>
      </c>
      <c r="C82" s="710" t="s">
        <v>174</v>
      </c>
      <c r="D82" s="706">
        <f>D80/100</f>
        <v>336775.3714</v>
      </c>
      <c r="E82" s="707">
        <v>0</v>
      </c>
      <c r="F82" s="708">
        <v>0</v>
      </c>
      <c r="G82" s="704">
        <f>E82*F82</f>
        <v>0</v>
      </c>
      <c r="H82" s="705">
        <f>D82+G82</f>
        <v>336775.3714</v>
      </c>
      <c r="I82" s="744"/>
    </row>
    <row r="83" spans="1:10" x14ac:dyDescent="0.2">
      <c r="A83" s="848"/>
      <c r="B83" s="699">
        <v>53103080010000</v>
      </c>
      <c r="C83" s="700" t="s">
        <v>175</v>
      </c>
      <c r="D83" s="706">
        <v>0</v>
      </c>
      <c r="E83" s="707">
        <v>0</v>
      </c>
      <c r="F83" s="708">
        <v>0</v>
      </c>
      <c r="G83" s="704">
        <f>E83*F83</f>
        <v>0</v>
      </c>
      <c r="H83" s="705">
        <f>D83+G83</f>
        <v>0</v>
      </c>
      <c r="I83" s="744"/>
    </row>
    <row r="84" spans="1:10" x14ac:dyDescent="0.2">
      <c r="A84" s="848"/>
      <c r="B84" s="693"/>
      <c r="C84" s="694" t="s">
        <v>16</v>
      </c>
      <c r="D84" s="695">
        <f>SUM(D85:D104)</f>
        <v>1035232.8</v>
      </c>
      <c r="E84" s="696"/>
      <c r="F84" s="696"/>
      <c r="G84" s="695">
        <f>SUM(G85:G104)</f>
        <v>7059360</v>
      </c>
      <c r="H84" s="698">
        <f>SUM(H85:H104)</f>
        <v>8094592.7999999998</v>
      </c>
      <c r="I84" s="744"/>
      <c r="J84" s="275">
        <f>+H84+H111+H113+H122</f>
        <v>9993447.8000000007</v>
      </c>
    </row>
    <row r="85" spans="1:10" x14ac:dyDescent="0.2">
      <c r="A85" s="848"/>
      <c r="B85" s="699">
        <v>53201010100000</v>
      </c>
      <c r="C85" s="711" t="s">
        <v>176</v>
      </c>
      <c r="D85" s="706"/>
      <c r="E85" s="707">
        <v>2240</v>
      </c>
      <c r="F85" s="708">
        <f>(21*11)*4</f>
        <v>924</v>
      </c>
      <c r="G85" s="704">
        <f t="shared" ref="G85:G104" si="12">E85*F85</f>
        <v>2069760</v>
      </c>
      <c r="H85" s="705">
        <f t="shared" ref="H85:H104" si="13">D85+G85</f>
        <v>2069760</v>
      </c>
      <c r="I85" s="744"/>
    </row>
    <row r="86" spans="1:10" x14ac:dyDescent="0.2">
      <c r="A86" s="848"/>
      <c r="B86" s="699">
        <v>53201010100000</v>
      </c>
      <c r="C86" s="711" t="s">
        <v>177</v>
      </c>
      <c r="D86" s="706">
        <v>0</v>
      </c>
      <c r="E86" s="707">
        <v>1800</v>
      </c>
      <c r="F86" s="708">
        <f>(21*11)*12</f>
        <v>2772</v>
      </c>
      <c r="G86" s="704">
        <f t="shared" si="12"/>
        <v>4989600</v>
      </c>
      <c r="H86" s="705">
        <f t="shared" si="13"/>
        <v>4989600</v>
      </c>
      <c r="I86" s="236"/>
    </row>
    <row r="87" spans="1:10" x14ac:dyDescent="0.2">
      <c r="A87" s="848"/>
      <c r="B87" s="699">
        <v>53201010100000</v>
      </c>
      <c r="C87" s="711" t="s">
        <v>178</v>
      </c>
      <c r="D87" s="706">
        <v>0</v>
      </c>
      <c r="E87" s="707">
        <v>0</v>
      </c>
      <c r="F87" s="708">
        <v>0</v>
      </c>
      <c r="G87" s="704">
        <f t="shared" si="12"/>
        <v>0</v>
      </c>
      <c r="H87" s="705">
        <f t="shared" si="13"/>
        <v>0</v>
      </c>
      <c r="I87" s="236"/>
    </row>
    <row r="88" spans="1:10" ht="25.5" x14ac:dyDescent="0.2">
      <c r="A88" s="848"/>
      <c r="B88" s="699">
        <v>53202010100000</v>
      </c>
      <c r="C88" s="712" t="s">
        <v>179</v>
      </c>
      <c r="D88" s="706">
        <f>+P14</f>
        <v>39000</v>
      </c>
      <c r="E88" s="707"/>
      <c r="F88" s="708"/>
      <c r="G88" s="704">
        <f t="shared" si="12"/>
        <v>0</v>
      </c>
      <c r="H88" s="705">
        <f t="shared" si="13"/>
        <v>39000</v>
      </c>
      <c r="I88" s="747"/>
    </row>
    <row r="89" spans="1:10" x14ac:dyDescent="0.2">
      <c r="A89" s="848"/>
      <c r="B89" s="699">
        <v>53203010100000</v>
      </c>
      <c r="C89" s="700" t="s">
        <v>19</v>
      </c>
      <c r="D89" s="713">
        <v>0</v>
      </c>
      <c r="E89" s="714">
        <v>0</v>
      </c>
      <c r="F89" s="715">
        <v>0</v>
      </c>
      <c r="G89" s="704">
        <f t="shared" si="12"/>
        <v>0</v>
      </c>
      <c r="H89" s="705">
        <f t="shared" si="13"/>
        <v>0</v>
      </c>
      <c r="I89" s="747"/>
    </row>
    <row r="90" spans="1:10" x14ac:dyDescent="0.2">
      <c r="A90" s="848"/>
      <c r="B90" s="699">
        <v>53203030000000</v>
      </c>
      <c r="C90" s="700" t="s">
        <v>180</v>
      </c>
      <c r="D90" s="713">
        <v>0</v>
      </c>
      <c r="E90" s="714">
        <v>0</v>
      </c>
      <c r="F90" s="715">
        <v>0</v>
      </c>
      <c r="G90" s="704">
        <f t="shared" si="12"/>
        <v>0</v>
      </c>
      <c r="H90" s="705">
        <f t="shared" si="13"/>
        <v>0</v>
      </c>
      <c r="I90" s="747"/>
    </row>
    <row r="91" spans="1:10" x14ac:dyDescent="0.2">
      <c r="A91" s="848"/>
      <c r="B91" s="699">
        <v>53204030000000</v>
      </c>
      <c r="C91" s="700" t="s">
        <v>227</v>
      </c>
      <c r="D91" s="713">
        <f>+P17</f>
        <v>20192</v>
      </c>
      <c r="E91" s="714"/>
      <c r="F91" s="715"/>
      <c r="G91" s="704">
        <f t="shared" si="12"/>
        <v>0</v>
      </c>
      <c r="H91" s="705">
        <f>D91+G91</f>
        <v>20192</v>
      </c>
      <c r="I91" s="747"/>
    </row>
    <row r="92" spans="1:10" x14ac:dyDescent="0.2">
      <c r="A92" s="848"/>
      <c r="B92" s="699">
        <v>53204100100001</v>
      </c>
      <c r="C92" s="700" t="s">
        <v>22</v>
      </c>
      <c r="D92" s="713">
        <f t="shared" ref="D92:D104" si="14">+P18</f>
        <v>40000</v>
      </c>
      <c r="E92" s="714">
        <v>0</v>
      </c>
      <c r="F92" s="715">
        <v>0</v>
      </c>
      <c r="G92" s="704">
        <f t="shared" si="12"/>
        <v>0</v>
      </c>
      <c r="H92" s="705">
        <f t="shared" si="13"/>
        <v>40000</v>
      </c>
      <c r="I92" s="747"/>
    </row>
    <row r="93" spans="1:10" x14ac:dyDescent="0.2">
      <c r="A93" s="848"/>
      <c r="B93" s="699">
        <v>53204130100000</v>
      </c>
      <c r="C93" s="700" t="s">
        <v>182</v>
      </c>
      <c r="D93" s="713">
        <f t="shared" si="14"/>
        <v>0</v>
      </c>
      <c r="E93" s="714">
        <v>0</v>
      </c>
      <c r="F93" s="715">
        <v>0</v>
      </c>
      <c r="G93" s="704">
        <f t="shared" si="12"/>
        <v>0</v>
      </c>
      <c r="H93" s="705">
        <f t="shared" si="13"/>
        <v>0</v>
      </c>
      <c r="I93" s="747"/>
    </row>
    <row r="94" spans="1:10" x14ac:dyDescent="0.2">
      <c r="A94" s="848"/>
      <c r="B94" s="699">
        <v>53205010100000</v>
      </c>
      <c r="C94" s="700" t="s">
        <v>24</v>
      </c>
      <c r="D94" s="713">
        <f t="shared" si="14"/>
        <v>333720</v>
      </c>
      <c r="E94" s="714"/>
      <c r="F94" s="715"/>
      <c r="G94" s="704">
        <f t="shared" si="12"/>
        <v>0</v>
      </c>
      <c r="H94" s="705">
        <f t="shared" si="13"/>
        <v>333720</v>
      </c>
      <c r="I94" s="747"/>
    </row>
    <row r="95" spans="1:10" x14ac:dyDescent="0.2">
      <c r="A95" s="848"/>
      <c r="B95" s="699">
        <v>53205020100000</v>
      </c>
      <c r="C95" s="700" t="s">
        <v>25</v>
      </c>
      <c r="D95" s="713">
        <f t="shared" si="14"/>
        <v>105401</v>
      </c>
      <c r="E95" s="714">
        <v>0</v>
      </c>
      <c r="F95" s="715">
        <v>0</v>
      </c>
      <c r="G95" s="704">
        <f t="shared" si="12"/>
        <v>0</v>
      </c>
      <c r="H95" s="705">
        <f t="shared" si="13"/>
        <v>105401</v>
      </c>
      <c r="I95" s="747"/>
    </row>
    <row r="96" spans="1:10" x14ac:dyDescent="0.2">
      <c r="A96" s="848"/>
      <c r="B96" s="699">
        <v>53205030100000</v>
      </c>
      <c r="C96" s="700" t="s">
        <v>26</v>
      </c>
      <c r="D96" s="713">
        <f t="shared" si="14"/>
        <v>304983.8</v>
      </c>
      <c r="E96" s="714">
        <v>0</v>
      </c>
      <c r="F96" s="715">
        <v>0</v>
      </c>
      <c r="G96" s="704">
        <f t="shared" si="12"/>
        <v>0</v>
      </c>
      <c r="H96" s="705">
        <f t="shared" si="13"/>
        <v>304983.8</v>
      </c>
      <c r="I96" s="747"/>
    </row>
    <row r="97" spans="1:9" x14ac:dyDescent="0.2">
      <c r="A97" s="848"/>
      <c r="B97" s="699">
        <v>53205050100000</v>
      </c>
      <c r="C97" s="700" t="s">
        <v>27</v>
      </c>
      <c r="D97" s="713">
        <f t="shared" si="14"/>
        <v>0</v>
      </c>
      <c r="E97" s="714">
        <v>0</v>
      </c>
      <c r="F97" s="715">
        <v>0</v>
      </c>
      <c r="G97" s="704">
        <f t="shared" si="12"/>
        <v>0</v>
      </c>
      <c r="H97" s="705">
        <f t="shared" si="13"/>
        <v>0</v>
      </c>
      <c r="I97" s="747"/>
    </row>
    <row r="98" spans="1:9" x14ac:dyDescent="0.2">
      <c r="A98" s="848"/>
      <c r="B98" s="699">
        <v>53205070100000</v>
      </c>
      <c r="C98" s="700" t="s">
        <v>29</v>
      </c>
      <c r="D98" s="713">
        <f t="shared" si="14"/>
        <v>76000</v>
      </c>
      <c r="E98" s="714">
        <v>0</v>
      </c>
      <c r="F98" s="715">
        <v>0</v>
      </c>
      <c r="G98" s="704">
        <f t="shared" si="12"/>
        <v>0</v>
      </c>
      <c r="H98" s="705">
        <f t="shared" si="13"/>
        <v>76000</v>
      </c>
      <c r="I98" s="747"/>
    </row>
    <row r="99" spans="1:9" x14ac:dyDescent="0.2">
      <c r="A99" s="848"/>
      <c r="B99" s="699">
        <v>53208010100000</v>
      </c>
      <c r="C99" s="700" t="s">
        <v>30</v>
      </c>
      <c r="D99" s="713">
        <f t="shared" si="14"/>
        <v>0</v>
      </c>
      <c r="E99" s="714">
        <v>0</v>
      </c>
      <c r="F99" s="715">
        <v>0</v>
      </c>
      <c r="G99" s="704">
        <f t="shared" si="12"/>
        <v>0</v>
      </c>
      <c r="H99" s="705">
        <f t="shared" si="13"/>
        <v>0</v>
      </c>
      <c r="I99" s="747"/>
    </row>
    <row r="100" spans="1:9" x14ac:dyDescent="0.2">
      <c r="A100" s="848"/>
      <c r="B100" s="699">
        <v>53208070100001</v>
      </c>
      <c r="C100" s="700" t="s">
        <v>31</v>
      </c>
      <c r="D100" s="713">
        <f t="shared" si="14"/>
        <v>0</v>
      </c>
      <c r="E100" s="707">
        <v>0</v>
      </c>
      <c r="F100" s="708">
        <v>0</v>
      </c>
      <c r="G100" s="704">
        <f t="shared" si="12"/>
        <v>0</v>
      </c>
      <c r="H100" s="705">
        <f t="shared" si="13"/>
        <v>0</v>
      </c>
      <c r="I100" s="747"/>
    </row>
    <row r="101" spans="1:9" x14ac:dyDescent="0.2">
      <c r="A101" s="848"/>
      <c r="B101" s="699">
        <v>53208100100001</v>
      </c>
      <c r="C101" s="700" t="s">
        <v>183</v>
      </c>
      <c r="D101" s="713">
        <f t="shared" si="14"/>
        <v>0</v>
      </c>
      <c r="E101" s="714">
        <v>0</v>
      </c>
      <c r="F101" s="715">
        <v>0</v>
      </c>
      <c r="G101" s="704">
        <f t="shared" si="12"/>
        <v>0</v>
      </c>
      <c r="H101" s="705">
        <f t="shared" si="13"/>
        <v>0</v>
      </c>
      <c r="I101" s="747"/>
    </row>
    <row r="102" spans="1:9" x14ac:dyDescent="0.2">
      <c r="A102" s="848"/>
      <c r="B102" s="699">
        <v>53211030000000</v>
      </c>
      <c r="C102" s="700" t="s">
        <v>32</v>
      </c>
      <c r="D102" s="713">
        <f t="shared" si="14"/>
        <v>0</v>
      </c>
      <c r="E102" s="714">
        <v>0</v>
      </c>
      <c r="F102" s="715">
        <v>0</v>
      </c>
      <c r="G102" s="704">
        <f t="shared" si="12"/>
        <v>0</v>
      </c>
      <c r="H102" s="705">
        <f t="shared" si="13"/>
        <v>0</v>
      </c>
      <c r="I102" s="747"/>
    </row>
    <row r="103" spans="1:9" x14ac:dyDescent="0.2">
      <c r="A103" s="848"/>
      <c r="B103" s="699">
        <v>53212020100000</v>
      </c>
      <c r="C103" s="700" t="s">
        <v>184</v>
      </c>
      <c r="D103" s="713">
        <f t="shared" si="14"/>
        <v>115936</v>
      </c>
      <c r="E103" s="714"/>
      <c r="F103" s="715"/>
      <c r="G103" s="704">
        <f t="shared" si="12"/>
        <v>0</v>
      </c>
      <c r="H103" s="705">
        <f t="shared" si="13"/>
        <v>115936</v>
      </c>
      <c r="I103" s="747"/>
    </row>
    <row r="104" spans="1:9" x14ac:dyDescent="0.2">
      <c r="A104" s="848"/>
      <c r="B104" s="699">
        <v>53214020000000</v>
      </c>
      <c r="C104" s="700" t="s">
        <v>185</v>
      </c>
      <c r="D104" s="713">
        <f t="shared" si="14"/>
        <v>0</v>
      </c>
      <c r="E104" s="707">
        <v>0</v>
      </c>
      <c r="F104" s="708">
        <v>0</v>
      </c>
      <c r="G104" s="704">
        <f t="shared" si="12"/>
        <v>0</v>
      </c>
      <c r="H104" s="705">
        <f t="shared" si="13"/>
        <v>0</v>
      </c>
      <c r="I104" s="747"/>
    </row>
    <row r="105" spans="1:9" x14ac:dyDescent="0.2">
      <c r="A105" s="848"/>
      <c r="B105" s="687"/>
      <c r="C105" s="688" t="s">
        <v>34</v>
      </c>
      <c r="D105" s="689">
        <v>0</v>
      </c>
      <c r="E105" s="690"/>
      <c r="F105" s="690"/>
      <c r="G105" s="689">
        <f>SUM(G106,G111,G113,G122,G131,G139)</f>
        <v>911414</v>
      </c>
      <c r="H105" s="716">
        <f>SUM(H106,H111,H113,H122,H131,H139)</f>
        <v>2763845</v>
      </c>
      <c r="I105" s="747"/>
    </row>
    <row r="106" spans="1:9" x14ac:dyDescent="0.2">
      <c r="A106" s="848"/>
      <c r="B106" s="693"/>
      <c r="C106" s="694" t="s">
        <v>35</v>
      </c>
      <c r="D106" s="695">
        <f>SUM(D107:D110)</f>
        <v>0</v>
      </c>
      <c r="E106" s="696"/>
      <c r="F106" s="696"/>
      <c r="G106" s="717">
        <f>SUM(G107:G110)</f>
        <v>134990</v>
      </c>
      <c r="H106" s="718">
        <f>SUM(H107:H110)</f>
        <v>134990</v>
      </c>
      <c r="I106" s="747"/>
    </row>
    <row r="107" spans="1:9" x14ac:dyDescent="0.2">
      <c r="A107" s="848"/>
      <c r="B107" s="699">
        <v>53202020100000</v>
      </c>
      <c r="C107" s="700" t="s">
        <v>186</v>
      </c>
      <c r="D107" s="706">
        <v>0</v>
      </c>
      <c r="E107" s="707">
        <v>35000</v>
      </c>
      <c r="F107" s="708">
        <v>3</v>
      </c>
      <c r="G107" s="704">
        <f>E107*F107</f>
        <v>105000</v>
      </c>
      <c r="H107" s="705">
        <f t="shared" ref="H107:H140" si="15">D107+G107</f>
        <v>105000</v>
      </c>
      <c r="I107" s="747"/>
    </row>
    <row r="108" spans="1:9" x14ac:dyDescent="0.2">
      <c r="A108" s="848"/>
      <c r="B108" s="699">
        <v>53202030000000</v>
      </c>
      <c r="C108" s="700" t="s">
        <v>187</v>
      </c>
      <c r="D108" s="706"/>
      <c r="E108" s="707">
        <v>29990</v>
      </c>
      <c r="F108" s="708">
        <v>1</v>
      </c>
      <c r="G108" s="704">
        <f t="shared" ref="G108:G140" si="16">E108*F108</f>
        <v>29990</v>
      </c>
      <c r="H108" s="705">
        <f t="shared" si="15"/>
        <v>29990</v>
      </c>
      <c r="I108" s="747"/>
    </row>
    <row r="109" spans="1:9" x14ac:dyDescent="0.2">
      <c r="A109" s="848"/>
      <c r="B109" s="699">
        <v>53211020000000</v>
      </c>
      <c r="C109" s="700" t="s">
        <v>41</v>
      </c>
      <c r="D109" s="713">
        <v>0</v>
      </c>
      <c r="E109" s="714">
        <v>0</v>
      </c>
      <c r="F109" s="715">
        <v>0</v>
      </c>
      <c r="G109" s="704">
        <f t="shared" si="16"/>
        <v>0</v>
      </c>
      <c r="H109" s="705">
        <f t="shared" si="15"/>
        <v>0</v>
      </c>
      <c r="I109" s="747"/>
    </row>
    <row r="110" spans="1:9" x14ac:dyDescent="0.2">
      <c r="A110" s="848"/>
      <c r="B110" s="699">
        <v>53101040600000</v>
      </c>
      <c r="C110" s="700" t="s">
        <v>188</v>
      </c>
      <c r="D110" s="713">
        <v>0</v>
      </c>
      <c r="E110" s="714">
        <v>0</v>
      </c>
      <c r="F110" s="715">
        <v>0</v>
      </c>
      <c r="G110" s="704">
        <f t="shared" si="16"/>
        <v>0</v>
      </c>
      <c r="H110" s="705">
        <f t="shared" si="15"/>
        <v>0</v>
      </c>
      <c r="I110" s="747"/>
    </row>
    <row r="111" spans="1:9" x14ac:dyDescent="0.2">
      <c r="A111" s="848"/>
      <c r="B111" s="693"/>
      <c r="C111" s="694" t="s">
        <v>42</v>
      </c>
      <c r="D111" s="695">
        <f>SUM(D112:D112)</f>
        <v>0</v>
      </c>
      <c r="E111" s="696"/>
      <c r="F111" s="696"/>
      <c r="G111" s="717">
        <f>SUM(G112:G112)</f>
        <v>0</v>
      </c>
      <c r="H111" s="718">
        <f>SUM(H112:H112)</f>
        <v>0</v>
      </c>
      <c r="I111" s="747"/>
    </row>
    <row r="112" spans="1:9" x14ac:dyDescent="0.2">
      <c r="A112" s="848"/>
      <c r="B112" s="719">
        <v>53205990000000</v>
      </c>
      <c r="C112" s="700" t="s">
        <v>44</v>
      </c>
      <c r="D112" s="713">
        <v>0</v>
      </c>
      <c r="E112" s="714">
        <v>0</v>
      </c>
      <c r="F112" s="715">
        <v>0</v>
      </c>
      <c r="G112" s="704">
        <f t="shared" si="16"/>
        <v>0</v>
      </c>
      <c r="H112" s="705">
        <f t="shared" si="15"/>
        <v>0</v>
      </c>
      <c r="I112" s="747"/>
    </row>
    <row r="113" spans="1:9" x14ac:dyDescent="0.2">
      <c r="A113" s="848"/>
      <c r="B113" s="693"/>
      <c r="C113" s="694" t="s">
        <v>45</v>
      </c>
      <c r="D113" s="695">
        <f>SUM(D114:D121)</f>
        <v>985682.2</v>
      </c>
      <c r="E113" s="696"/>
      <c r="F113" s="696"/>
      <c r="G113" s="695">
        <f>SUM(G114:G121)</f>
        <v>0</v>
      </c>
      <c r="H113" s="698">
        <f>SUM(H114:H121)</f>
        <v>985682.2</v>
      </c>
      <c r="I113" s="747"/>
    </row>
    <row r="114" spans="1:9" x14ac:dyDescent="0.2">
      <c r="A114" s="848"/>
      <c r="B114" s="699">
        <v>53204010000000</v>
      </c>
      <c r="C114" s="700" t="s">
        <v>47</v>
      </c>
      <c r="D114" s="713">
        <f>+P38</f>
        <v>56040</v>
      </c>
      <c r="E114" s="713">
        <v>0</v>
      </c>
      <c r="F114" s="715">
        <v>0</v>
      </c>
      <c r="G114" s="704">
        <f t="shared" si="16"/>
        <v>0</v>
      </c>
      <c r="H114" s="705">
        <f t="shared" si="15"/>
        <v>56040</v>
      </c>
      <c r="I114" s="747"/>
    </row>
    <row r="115" spans="1:9" x14ac:dyDescent="0.2">
      <c r="A115" s="848"/>
      <c r="B115" s="719">
        <v>53204040200000</v>
      </c>
      <c r="C115" s="700" t="s">
        <v>226</v>
      </c>
      <c r="D115" s="713">
        <f t="shared" ref="D115:D121" si="17">+P39</f>
        <v>10650.2</v>
      </c>
      <c r="E115" s="713">
        <v>0</v>
      </c>
      <c r="F115" s="715">
        <v>0</v>
      </c>
      <c r="G115" s="704">
        <f t="shared" si="16"/>
        <v>0</v>
      </c>
      <c r="H115" s="705">
        <f t="shared" si="15"/>
        <v>10650.2</v>
      </c>
      <c r="I115" s="747"/>
    </row>
    <row r="116" spans="1:9" x14ac:dyDescent="0.2">
      <c r="A116" s="848"/>
      <c r="B116" s="699">
        <v>53204060000000</v>
      </c>
      <c r="C116" s="700" t="s">
        <v>49</v>
      </c>
      <c r="D116" s="713">
        <f t="shared" si="17"/>
        <v>0</v>
      </c>
      <c r="E116" s="713">
        <v>0</v>
      </c>
      <c r="F116" s="715">
        <v>0</v>
      </c>
      <c r="G116" s="704">
        <f t="shared" si="16"/>
        <v>0</v>
      </c>
      <c r="H116" s="705">
        <f t="shared" si="15"/>
        <v>0</v>
      </c>
      <c r="I116" s="747"/>
    </row>
    <row r="117" spans="1:9" x14ac:dyDescent="0.2">
      <c r="A117" s="848"/>
      <c r="B117" s="699">
        <v>53204070000000</v>
      </c>
      <c r="C117" s="700" t="s">
        <v>50</v>
      </c>
      <c r="D117" s="713">
        <f t="shared" si="17"/>
        <v>535000</v>
      </c>
      <c r="E117" s="713">
        <v>0</v>
      </c>
      <c r="F117" s="715">
        <v>0</v>
      </c>
      <c r="G117" s="704">
        <f t="shared" si="16"/>
        <v>0</v>
      </c>
      <c r="H117" s="705">
        <f t="shared" si="15"/>
        <v>535000</v>
      </c>
      <c r="I117" s="747"/>
    </row>
    <row r="118" spans="1:9" x14ac:dyDescent="0.2">
      <c r="A118" s="848"/>
      <c r="B118" s="699">
        <v>53204080000000</v>
      </c>
      <c r="C118" s="700" t="s">
        <v>51</v>
      </c>
      <c r="D118" s="713">
        <f t="shared" si="17"/>
        <v>0</v>
      </c>
      <c r="E118" s="713">
        <v>0</v>
      </c>
      <c r="F118" s="715">
        <v>0</v>
      </c>
      <c r="G118" s="704">
        <f t="shared" si="16"/>
        <v>0</v>
      </c>
      <c r="H118" s="705">
        <f t="shared" si="15"/>
        <v>0</v>
      </c>
      <c r="I118" s="747"/>
    </row>
    <row r="119" spans="1:9" x14ac:dyDescent="0.2">
      <c r="A119" s="848"/>
      <c r="B119" s="699">
        <v>53214010000000</v>
      </c>
      <c r="C119" s="700" t="s">
        <v>52</v>
      </c>
      <c r="D119" s="713">
        <f t="shared" si="17"/>
        <v>23992</v>
      </c>
      <c r="E119" s="706">
        <v>0</v>
      </c>
      <c r="F119" s="708">
        <v>0</v>
      </c>
      <c r="G119" s="704">
        <f t="shared" si="16"/>
        <v>0</v>
      </c>
      <c r="H119" s="705">
        <f t="shared" si="15"/>
        <v>23992</v>
      </c>
      <c r="I119" s="747"/>
    </row>
    <row r="120" spans="1:9" x14ac:dyDescent="0.2">
      <c r="A120" s="848"/>
      <c r="B120" s="699">
        <v>53214040000000</v>
      </c>
      <c r="C120" s="700" t="s">
        <v>189</v>
      </c>
      <c r="D120" s="713">
        <f t="shared" si="17"/>
        <v>360000</v>
      </c>
      <c r="E120" s="706">
        <v>0</v>
      </c>
      <c r="F120" s="708">
        <v>0</v>
      </c>
      <c r="G120" s="704">
        <f t="shared" si="16"/>
        <v>0</v>
      </c>
      <c r="H120" s="705">
        <f t="shared" si="15"/>
        <v>360000</v>
      </c>
      <c r="I120" s="747"/>
    </row>
    <row r="121" spans="1:9" x14ac:dyDescent="0.2">
      <c r="A121" s="848"/>
      <c r="B121" s="709">
        <v>53204020100000</v>
      </c>
      <c r="C121" s="700" t="s">
        <v>181</v>
      </c>
      <c r="D121" s="713">
        <f t="shared" si="17"/>
        <v>0</v>
      </c>
      <c r="E121" s="713">
        <v>0</v>
      </c>
      <c r="F121" s="715">
        <v>0</v>
      </c>
      <c r="G121" s="704">
        <f t="shared" si="16"/>
        <v>0</v>
      </c>
      <c r="H121" s="705">
        <f t="shared" si="15"/>
        <v>0</v>
      </c>
      <c r="I121" s="747"/>
    </row>
    <row r="122" spans="1:9" x14ac:dyDescent="0.2">
      <c r="A122" s="848"/>
      <c r="B122" s="693"/>
      <c r="C122" s="694" t="s">
        <v>55</v>
      </c>
      <c r="D122" s="695">
        <f>SUM(D123:D130)</f>
        <v>436748.80000000005</v>
      </c>
      <c r="E122" s="696"/>
      <c r="F122" s="696"/>
      <c r="G122" s="695">
        <f>SUM(G123:G130)</f>
        <v>476424</v>
      </c>
      <c r="H122" s="698">
        <f>SUM(H123:H130)</f>
        <v>913172.8</v>
      </c>
      <c r="I122" s="747"/>
    </row>
    <row r="123" spans="1:9" x14ac:dyDescent="0.2">
      <c r="A123" s="848"/>
      <c r="B123" s="699">
        <v>53207010000000</v>
      </c>
      <c r="C123" s="700" t="s">
        <v>56</v>
      </c>
      <c r="D123" s="713">
        <f>+P47</f>
        <v>0</v>
      </c>
      <c r="E123" s="713">
        <v>0</v>
      </c>
      <c r="F123" s="715">
        <v>0</v>
      </c>
      <c r="G123" s="704">
        <f t="shared" si="16"/>
        <v>0</v>
      </c>
      <c r="H123" s="705">
        <f t="shared" si="15"/>
        <v>0</v>
      </c>
      <c r="I123" s="747"/>
    </row>
    <row r="124" spans="1:9" x14ac:dyDescent="0.2">
      <c r="A124" s="848"/>
      <c r="B124" s="699">
        <v>53207020000000</v>
      </c>
      <c r="C124" s="700" t="s">
        <v>57</v>
      </c>
      <c r="D124" s="713">
        <f t="shared" ref="D124:D128" si="18">+P48</f>
        <v>76680</v>
      </c>
      <c r="E124" s="713">
        <v>31950</v>
      </c>
      <c r="F124" s="715">
        <v>12</v>
      </c>
      <c r="G124" s="704">
        <f t="shared" si="16"/>
        <v>383400</v>
      </c>
      <c r="H124" s="705">
        <f t="shared" si="15"/>
        <v>460080</v>
      </c>
      <c r="I124" s="747"/>
    </row>
    <row r="125" spans="1:9" x14ac:dyDescent="0.2">
      <c r="A125" s="848"/>
      <c r="B125" s="699">
        <v>53208020000000</v>
      </c>
      <c r="C125" s="700" t="s">
        <v>172</v>
      </c>
      <c r="D125" s="713">
        <f t="shared" si="18"/>
        <v>0</v>
      </c>
      <c r="E125" s="713">
        <v>0</v>
      </c>
      <c r="F125" s="715">
        <v>0</v>
      </c>
      <c r="G125" s="704">
        <f t="shared" si="16"/>
        <v>0</v>
      </c>
      <c r="H125" s="705">
        <f t="shared" si="15"/>
        <v>0</v>
      </c>
      <c r="I125" s="747"/>
    </row>
    <row r="126" spans="1:9" x14ac:dyDescent="0.2">
      <c r="A126" s="848"/>
      <c r="B126" s="699">
        <v>53208990000000</v>
      </c>
      <c r="C126" s="700" t="s">
        <v>190</v>
      </c>
      <c r="D126" s="713">
        <f t="shared" si="18"/>
        <v>30000</v>
      </c>
      <c r="E126" s="713"/>
      <c r="F126" s="715"/>
      <c r="G126" s="704">
        <f t="shared" si="16"/>
        <v>0</v>
      </c>
      <c r="H126" s="705">
        <f t="shared" si="15"/>
        <v>30000</v>
      </c>
      <c r="I126" s="747"/>
    </row>
    <row r="127" spans="1:9" x14ac:dyDescent="0.2">
      <c r="A127" s="848"/>
      <c r="B127" s="709">
        <v>53210020300000</v>
      </c>
      <c r="C127" s="700" t="s">
        <v>192</v>
      </c>
      <c r="D127" s="713">
        <f t="shared" si="18"/>
        <v>0</v>
      </c>
      <c r="E127" s="713">
        <v>7752</v>
      </c>
      <c r="F127" s="715">
        <v>12</v>
      </c>
      <c r="G127" s="704">
        <f t="shared" si="16"/>
        <v>93024</v>
      </c>
      <c r="H127" s="705">
        <f t="shared" si="15"/>
        <v>93024</v>
      </c>
      <c r="I127" s="747"/>
    </row>
    <row r="128" spans="1:9" x14ac:dyDescent="0.2">
      <c r="A128" s="848"/>
      <c r="B128" s="699">
        <v>53208990000000</v>
      </c>
      <c r="C128" s="700" t="s">
        <v>193</v>
      </c>
      <c r="D128" s="713">
        <f t="shared" si="18"/>
        <v>0</v>
      </c>
      <c r="E128" s="713">
        <v>0</v>
      </c>
      <c r="F128" s="715">
        <v>0</v>
      </c>
      <c r="G128" s="704">
        <f t="shared" si="16"/>
        <v>0</v>
      </c>
      <c r="H128" s="705">
        <f t="shared" si="15"/>
        <v>0</v>
      </c>
      <c r="I128" s="747"/>
    </row>
    <row r="129" spans="1:11" x14ac:dyDescent="0.2">
      <c r="A129" s="848"/>
      <c r="B129" s="699">
        <v>53209990000000</v>
      </c>
      <c r="C129" s="700" t="s">
        <v>191</v>
      </c>
      <c r="D129" s="713"/>
      <c r="E129" s="713">
        <v>0</v>
      </c>
      <c r="F129" s="715">
        <v>0</v>
      </c>
      <c r="G129" s="704">
        <f t="shared" si="16"/>
        <v>0</v>
      </c>
      <c r="H129" s="705">
        <f t="shared" si="15"/>
        <v>0</v>
      </c>
      <c r="I129" s="747"/>
    </row>
    <row r="130" spans="1:11" x14ac:dyDescent="0.2">
      <c r="A130" s="848"/>
      <c r="B130" s="699">
        <v>53210020100000</v>
      </c>
      <c r="C130" s="700" t="s">
        <v>64</v>
      </c>
      <c r="D130" s="713">
        <f>+P53</f>
        <v>330068.80000000005</v>
      </c>
      <c r="E130" s="713">
        <v>0</v>
      </c>
      <c r="F130" s="715">
        <v>0</v>
      </c>
      <c r="G130" s="704">
        <f t="shared" si="16"/>
        <v>0</v>
      </c>
      <c r="H130" s="705">
        <f t="shared" si="15"/>
        <v>330068.80000000005</v>
      </c>
      <c r="I130" s="747"/>
    </row>
    <row r="131" spans="1:11" x14ac:dyDescent="0.2">
      <c r="A131" s="848"/>
      <c r="B131" s="693"/>
      <c r="C131" s="694" t="s">
        <v>65</v>
      </c>
      <c r="D131" s="695">
        <f>SUM(D132:D138)</f>
        <v>430000</v>
      </c>
      <c r="E131" s="696"/>
      <c r="F131" s="696"/>
      <c r="G131" s="695">
        <f>SUM(G132:G138)</f>
        <v>0</v>
      </c>
      <c r="H131" s="698">
        <f>SUM(H132:H138)</f>
        <v>430000</v>
      </c>
      <c r="I131" s="747"/>
    </row>
    <row r="132" spans="1:11" x14ac:dyDescent="0.2">
      <c r="A132" s="848"/>
      <c r="B132" s="699">
        <v>53206030000000</v>
      </c>
      <c r="C132" s="700" t="s">
        <v>100</v>
      </c>
      <c r="D132" s="713">
        <f>+P55</f>
        <v>360000</v>
      </c>
      <c r="E132" s="713">
        <v>0</v>
      </c>
      <c r="F132" s="715">
        <v>0</v>
      </c>
      <c r="G132" s="704">
        <f t="shared" si="16"/>
        <v>0</v>
      </c>
      <c r="H132" s="705">
        <f t="shared" si="15"/>
        <v>360000</v>
      </c>
      <c r="I132" s="747"/>
    </row>
    <row r="133" spans="1:11" x14ac:dyDescent="0.2">
      <c r="A133" s="848"/>
      <c r="B133" s="699">
        <v>53206040000000</v>
      </c>
      <c r="C133" s="700" t="s">
        <v>101</v>
      </c>
      <c r="D133" s="713">
        <f t="shared" ref="D133:D137" si="19">+P56</f>
        <v>0</v>
      </c>
      <c r="E133" s="713">
        <v>0</v>
      </c>
      <c r="F133" s="715">
        <v>0</v>
      </c>
      <c r="G133" s="704">
        <f t="shared" si="16"/>
        <v>0</v>
      </c>
      <c r="H133" s="705">
        <f t="shared" si="15"/>
        <v>0</v>
      </c>
      <c r="I133" s="747"/>
    </row>
    <row r="134" spans="1:11" x14ac:dyDescent="0.2">
      <c r="A134" s="848"/>
      <c r="B134" s="699">
        <v>53206060000000</v>
      </c>
      <c r="C134" s="700" t="s">
        <v>194</v>
      </c>
      <c r="D134" s="713">
        <f t="shared" si="19"/>
        <v>0</v>
      </c>
      <c r="E134" s="713">
        <v>0</v>
      </c>
      <c r="F134" s="715">
        <v>0</v>
      </c>
      <c r="G134" s="704">
        <f t="shared" si="16"/>
        <v>0</v>
      </c>
      <c r="H134" s="705">
        <f t="shared" si="15"/>
        <v>0</v>
      </c>
      <c r="I134" s="747"/>
    </row>
    <row r="135" spans="1:11" x14ac:dyDescent="0.2">
      <c r="A135" s="848"/>
      <c r="B135" s="699">
        <v>53206070000000</v>
      </c>
      <c r="C135" s="700" t="s">
        <v>103</v>
      </c>
      <c r="D135" s="713">
        <f t="shared" si="19"/>
        <v>0</v>
      </c>
      <c r="E135" s="713">
        <v>0</v>
      </c>
      <c r="F135" s="715">
        <v>0</v>
      </c>
      <c r="G135" s="704">
        <f t="shared" si="16"/>
        <v>0</v>
      </c>
      <c r="H135" s="705">
        <f t="shared" si="15"/>
        <v>0</v>
      </c>
      <c r="I135" s="747"/>
    </row>
    <row r="136" spans="1:11" x14ac:dyDescent="0.2">
      <c r="A136" s="848"/>
      <c r="B136" s="699">
        <v>53206990000000</v>
      </c>
      <c r="C136" s="700" t="s">
        <v>195</v>
      </c>
      <c r="D136" s="713">
        <f t="shared" si="19"/>
        <v>0</v>
      </c>
      <c r="E136" s="713">
        <v>0</v>
      </c>
      <c r="F136" s="715">
        <v>0</v>
      </c>
      <c r="G136" s="704">
        <f t="shared" si="16"/>
        <v>0</v>
      </c>
      <c r="H136" s="705">
        <f t="shared" si="15"/>
        <v>0</v>
      </c>
      <c r="I136" s="747"/>
    </row>
    <row r="137" spans="1:11" x14ac:dyDescent="0.2">
      <c r="A137" s="848"/>
      <c r="B137" s="699">
        <v>53208030000000</v>
      </c>
      <c r="C137" s="700" t="s">
        <v>105</v>
      </c>
      <c r="D137" s="713">
        <f t="shared" si="19"/>
        <v>30000</v>
      </c>
      <c r="E137" s="713">
        <v>0</v>
      </c>
      <c r="F137" s="715">
        <v>0</v>
      </c>
      <c r="G137" s="704">
        <f t="shared" si="16"/>
        <v>0</v>
      </c>
      <c r="H137" s="705">
        <f t="shared" si="15"/>
        <v>30000</v>
      </c>
      <c r="I137" s="747"/>
    </row>
    <row r="138" spans="1:11" x14ac:dyDescent="0.2">
      <c r="A138" s="848"/>
      <c r="B138" s="699">
        <v>53206990000000</v>
      </c>
      <c r="C138" s="700" t="s">
        <v>225</v>
      </c>
      <c r="D138" s="713">
        <f>+P61</f>
        <v>40000</v>
      </c>
      <c r="E138" s="713">
        <v>0</v>
      </c>
      <c r="F138" s="715">
        <v>0</v>
      </c>
      <c r="G138" s="704">
        <f t="shared" si="16"/>
        <v>0</v>
      </c>
      <c r="H138" s="705">
        <f t="shared" si="15"/>
        <v>40000</v>
      </c>
      <c r="I138" s="744"/>
    </row>
    <row r="139" spans="1:11" x14ac:dyDescent="0.2">
      <c r="A139" s="848"/>
      <c r="B139" s="693"/>
      <c r="C139" s="694" t="s">
        <v>66</v>
      </c>
      <c r="D139" s="695">
        <f>SUM(D140:D140)</f>
        <v>0</v>
      </c>
      <c r="E139" s="696"/>
      <c r="F139" s="696"/>
      <c r="G139" s="695">
        <f>SUM(G140:G140)</f>
        <v>300000</v>
      </c>
      <c r="H139" s="698">
        <f>SUM(H140:H140)</f>
        <v>300000</v>
      </c>
      <c r="I139" s="744"/>
    </row>
    <row r="140" spans="1:11" x14ac:dyDescent="0.2">
      <c r="A140" s="848"/>
      <c r="B140" s="720"/>
      <c r="C140" s="721" t="s">
        <v>228</v>
      </c>
      <c r="D140" s="706">
        <v>0</v>
      </c>
      <c r="E140" s="706">
        <v>25000</v>
      </c>
      <c r="F140" s="708">
        <v>12</v>
      </c>
      <c r="G140" s="704">
        <f t="shared" si="16"/>
        <v>300000</v>
      </c>
      <c r="H140" s="722">
        <f t="shared" si="15"/>
        <v>300000</v>
      </c>
      <c r="I140" s="745"/>
      <c r="J140" s="467" t="s">
        <v>229</v>
      </c>
      <c r="K140" s="464">
        <f>+H138+H137+H136+H135+H134+H133+H132+H130+H129+H128+H127+H126+H125+H124+H123+H121+H118+H117+H116+H115+H114+H112+H110+H109+H103+H102+H101+H99+H98+H97+H96+H95+H94+H93+H92+H91+H90+H89</f>
        <v>2941095.8</v>
      </c>
    </row>
    <row r="141" spans="1:11" x14ac:dyDescent="0.2">
      <c r="A141" s="849"/>
      <c r="B141" s="723"/>
      <c r="C141" s="724" t="s">
        <v>106</v>
      </c>
      <c r="D141" s="725">
        <f>SUM(D78,D105)</f>
        <v>35049545.311399996</v>
      </c>
      <c r="E141" s="726"/>
      <c r="F141" s="726"/>
      <c r="G141" s="725">
        <f>SUM(G78,G105)</f>
        <v>7970774</v>
      </c>
      <c r="H141" s="727">
        <f>SUM(H78,H105)</f>
        <v>44872750.311399996</v>
      </c>
      <c r="I141" s="748"/>
      <c r="J141" s="466" t="s">
        <v>230</v>
      </c>
      <c r="K141" s="465">
        <f>+H142-K140</f>
        <v>116449360.57879999</v>
      </c>
    </row>
    <row r="142" spans="1:11" ht="15.75" x14ac:dyDescent="0.2">
      <c r="A142" s="866" t="s">
        <v>110</v>
      </c>
      <c r="B142" s="866"/>
      <c r="C142" s="866"/>
      <c r="D142" s="866"/>
      <c r="E142" s="866"/>
      <c r="F142" s="866"/>
      <c r="G142" s="867"/>
      <c r="H142" s="58">
        <f>+H141+H75</f>
        <v>119390456.37879999</v>
      </c>
    </row>
  </sheetData>
  <sheetProtection algorithmName="SHA-512" hashValue="ENyc6wWUDHROD5dzEAQtiybF+T3uifN+LEyBaIlXOYobsl9zLnxzo1JreWBHOg/Ln1Yt8uhpgfvS48HhVTn2kg==" saltValue="y9FgZitXG3Xh0J4Ehhp1Xw==" spinCount="100000" sheet="1" objects="1" scenarios="1"/>
  <mergeCells count="23">
    <mergeCell ref="M10:M11"/>
    <mergeCell ref="N10:N11"/>
    <mergeCell ref="O10:O11"/>
    <mergeCell ref="P10:P11"/>
    <mergeCell ref="A142:G142"/>
    <mergeCell ref="H76:H77"/>
    <mergeCell ref="I76:I77"/>
    <mergeCell ref="A78:A141"/>
    <mergeCell ref="A76:A77"/>
    <mergeCell ref="B76:B77"/>
    <mergeCell ref="C76:C77"/>
    <mergeCell ref="D76:D77"/>
    <mergeCell ref="E76:G76"/>
    <mergeCell ref="D4:E4"/>
    <mergeCell ref="A8:C8"/>
    <mergeCell ref="A12:A75"/>
    <mergeCell ref="I10:I11"/>
    <mergeCell ref="B10:B11"/>
    <mergeCell ref="A10:A11"/>
    <mergeCell ref="E10:G10"/>
    <mergeCell ref="D10:D11"/>
    <mergeCell ref="H10:H11"/>
    <mergeCell ref="C10:C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X1" zoomScale="80" zoomScaleNormal="80" workbookViewId="0">
      <selection activeCell="AP15" sqref="AP15:AQ15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4" t="s">
        <v>206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198</v>
      </c>
      <c r="F2" s="44"/>
      <c r="G2" s="44"/>
      <c r="H2" s="44"/>
      <c r="I2" s="44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96" t="s">
        <v>0</v>
      </c>
      <c r="E4" s="160" t="str">
        <f>+'B) Reajuste Tarifas y Ocupación'!F5</f>
        <v>(DEPTO./DELEG.)</v>
      </c>
      <c r="F4" s="64"/>
      <c r="G4" s="65"/>
      <c r="H4" s="65"/>
      <c r="I4" s="65"/>
      <c r="J4" s="65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97"/>
      <c r="E5" s="100"/>
      <c r="F5" s="100"/>
      <c r="G5" s="100"/>
      <c r="H5" s="100"/>
      <c r="I5" s="100"/>
      <c r="J5" s="100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97"/>
      <c r="E6" s="100"/>
      <c r="F6" s="100"/>
      <c r="G6" s="100"/>
      <c r="H6" s="100"/>
      <c r="I6" s="100"/>
      <c r="J6" s="100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7"/>
      <c r="K7" s="37"/>
      <c r="L7" s="37"/>
      <c r="M7" s="37"/>
      <c r="N7" s="37"/>
      <c r="O7" s="37"/>
      <c r="P7" s="37"/>
      <c r="Q7" s="37"/>
      <c r="R7" s="37"/>
      <c r="Y7" s="188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90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7"/>
      <c r="K8" s="37"/>
      <c r="L8" s="37"/>
      <c r="M8" s="37"/>
      <c r="N8" s="37"/>
      <c r="O8" s="37"/>
      <c r="P8" s="37"/>
      <c r="Q8" s="37"/>
      <c r="R8" s="37"/>
      <c r="Y8" s="191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92"/>
    </row>
    <row r="9" spans="1:242" ht="15.75" customHeight="1" x14ac:dyDescent="0.2">
      <c r="A9" s="876" t="s">
        <v>155</v>
      </c>
      <c r="B9" s="876"/>
      <c r="C9" s="876"/>
      <c r="D9" s="876"/>
      <c r="E9" s="876"/>
      <c r="F9" s="876"/>
      <c r="G9" s="876"/>
      <c r="H9" s="876"/>
      <c r="I9" s="99"/>
      <c r="J9" s="99"/>
      <c r="K9" s="99"/>
      <c r="L9" s="99"/>
      <c r="M9" s="877" t="s">
        <v>156</v>
      </c>
      <c r="N9" s="877"/>
      <c r="O9" s="877"/>
      <c r="P9" s="877"/>
      <c r="Q9" s="877"/>
      <c r="R9" s="877"/>
      <c r="S9" s="877"/>
      <c r="U9" s="877" t="s">
        <v>157</v>
      </c>
      <c r="V9" s="877"/>
      <c r="W9" s="877"/>
      <c r="X9" s="133"/>
      <c r="Y9" s="193"/>
      <c r="Z9" s="877" t="s">
        <v>210</v>
      </c>
      <c r="AA9" s="877"/>
      <c r="AB9" s="877"/>
      <c r="AC9" s="877"/>
      <c r="AD9" s="877"/>
      <c r="AE9" s="877"/>
      <c r="AF9" s="133"/>
      <c r="AG9" s="877" t="s">
        <v>159</v>
      </c>
      <c r="AH9" s="877"/>
      <c r="AI9" s="877"/>
      <c r="AJ9" s="877"/>
      <c r="AK9" s="877"/>
      <c r="AL9" s="877"/>
      <c r="AM9" s="39"/>
      <c r="AN9" s="877" t="s">
        <v>160</v>
      </c>
      <c r="AO9" s="877"/>
      <c r="AP9" s="877"/>
      <c r="AQ9" s="877"/>
      <c r="AR9" s="877"/>
      <c r="AS9" s="877"/>
      <c r="AT9" s="192"/>
    </row>
    <row r="10" spans="1:242" ht="13.5" customHeight="1" x14ac:dyDescent="0.2">
      <c r="B10" s="23"/>
      <c r="C10" s="97"/>
      <c r="D10" s="97"/>
      <c r="E10" s="100"/>
      <c r="F10" s="100"/>
      <c r="G10" s="100"/>
      <c r="H10" s="100"/>
      <c r="I10" s="100"/>
      <c r="J10" s="100"/>
      <c r="M10" s="877"/>
      <c r="N10" s="877"/>
      <c r="O10" s="877"/>
      <c r="P10" s="877"/>
      <c r="Q10" s="877"/>
      <c r="R10" s="877"/>
      <c r="S10" s="877"/>
      <c r="U10" s="877"/>
      <c r="V10" s="877"/>
      <c r="W10" s="877"/>
      <c r="Y10" s="191"/>
      <c r="Z10" s="877"/>
      <c r="AA10" s="877"/>
      <c r="AB10" s="877"/>
      <c r="AC10" s="877"/>
      <c r="AD10" s="877"/>
      <c r="AE10" s="877"/>
      <c r="AF10" s="39"/>
      <c r="AG10" s="877"/>
      <c r="AH10" s="877"/>
      <c r="AI10" s="877"/>
      <c r="AJ10" s="877"/>
      <c r="AK10" s="877"/>
      <c r="AL10" s="877"/>
      <c r="AM10" s="39"/>
      <c r="AN10" s="877"/>
      <c r="AO10" s="877"/>
      <c r="AP10" s="877"/>
      <c r="AQ10" s="877"/>
      <c r="AR10" s="877"/>
      <c r="AS10" s="877"/>
      <c r="AT10" s="192"/>
    </row>
    <row r="11" spans="1:242" x14ac:dyDescent="0.2">
      <c r="J11" s="69" t="s">
        <v>4</v>
      </c>
      <c r="K11" s="67">
        <v>0.03</v>
      </c>
      <c r="Y11" s="191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92"/>
    </row>
    <row r="12" spans="1:242" ht="12.75" customHeight="1" thickBot="1" x14ac:dyDescent="0.25">
      <c r="K12" s="39"/>
      <c r="L12" s="39"/>
      <c r="M12" s="902"/>
      <c r="N12" s="902"/>
      <c r="O12" s="902"/>
      <c r="P12" s="902"/>
      <c r="Q12" s="902"/>
      <c r="R12" s="902"/>
      <c r="Y12" s="191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192"/>
    </row>
    <row r="13" spans="1:242" ht="21.75" customHeight="1" x14ac:dyDescent="0.2">
      <c r="A13" s="891" t="s">
        <v>119</v>
      </c>
      <c r="B13" s="892"/>
      <c r="C13" s="895" t="s">
        <v>73</v>
      </c>
      <c r="D13" s="895" t="s">
        <v>74</v>
      </c>
      <c r="E13" s="897" t="s">
        <v>3</v>
      </c>
      <c r="F13" s="897" t="s">
        <v>82</v>
      </c>
      <c r="G13" s="899" t="s">
        <v>219</v>
      </c>
      <c r="H13" s="900"/>
      <c r="I13" s="900"/>
      <c r="J13" s="901"/>
      <c r="K13" s="884" t="s">
        <v>220</v>
      </c>
      <c r="L13" s="37"/>
      <c r="M13" s="882" t="s">
        <v>69</v>
      </c>
      <c r="N13" s="886"/>
      <c r="O13" s="887" t="s">
        <v>70</v>
      </c>
      <c r="P13" s="888"/>
      <c r="Q13" s="889" t="s">
        <v>71</v>
      </c>
      <c r="R13" s="890"/>
      <c r="S13" s="919" t="s">
        <v>146</v>
      </c>
      <c r="U13" s="878" t="s">
        <v>76</v>
      </c>
      <c r="V13" s="880" t="s">
        <v>77</v>
      </c>
      <c r="W13" s="921" t="s">
        <v>142</v>
      </c>
      <c r="Y13" s="191"/>
      <c r="Z13" s="925" t="s">
        <v>69</v>
      </c>
      <c r="AA13" s="926"/>
      <c r="AB13" s="927" t="s">
        <v>70</v>
      </c>
      <c r="AC13" s="928"/>
      <c r="AD13" s="929" t="s">
        <v>71</v>
      </c>
      <c r="AE13" s="930"/>
      <c r="AF13" s="39"/>
      <c r="AG13" s="882" t="s">
        <v>69</v>
      </c>
      <c r="AH13" s="883"/>
      <c r="AI13" s="887" t="s">
        <v>70</v>
      </c>
      <c r="AJ13" s="888"/>
      <c r="AK13" s="922" t="s">
        <v>71</v>
      </c>
      <c r="AL13" s="890"/>
      <c r="AM13" s="39"/>
      <c r="AN13" s="882" t="s">
        <v>69</v>
      </c>
      <c r="AO13" s="883"/>
      <c r="AP13" s="887" t="s">
        <v>70</v>
      </c>
      <c r="AQ13" s="888"/>
      <c r="AR13" s="922" t="s">
        <v>71</v>
      </c>
      <c r="AS13" s="890"/>
      <c r="AT13" s="192"/>
    </row>
    <row r="14" spans="1:242" s="39" customFormat="1" ht="39" thickBot="1" x14ac:dyDescent="0.25">
      <c r="A14" s="893"/>
      <c r="B14" s="894"/>
      <c r="C14" s="896"/>
      <c r="D14" s="896"/>
      <c r="E14" s="898"/>
      <c r="F14" s="898"/>
      <c r="G14" s="118" t="s">
        <v>224</v>
      </c>
      <c r="H14" s="118" t="s">
        <v>117</v>
      </c>
      <c r="I14" s="119" t="s">
        <v>118</v>
      </c>
      <c r="J14" s="120" t="s">
        <v>221</v>
      </c>
      <c r="K14" s="885"/>
      <c r="L14" s="37"/>
      <c r="M14" s="172" t="s">
        <v>36</v>
      </c>
      <c r="N14" s="174" t="s">
        <v>37</v>
      </c>
      <c r="O14" s="182" t="s">
        <v>36</v>
      </c>
      <c r="P14" s="183" t="s">
        <v>37</v>
      </c>
      <c r="Q14" s="175" t="s">
        <v>36</v>
      </c>
      <c r="R14" s="173" t="s">
        <v>37</v>
      </c>
      <c r="S14" s="920"/>
      <c r="U14" s="879"/>
      <c r="V14" s="881"/>
      <c r="W14" s="921"/>
      <c r="Y14" s="191"/>
      <c r="Z14" s="172" t="s">
        <v>36</v>
      </c>
      <c r="AA14" s="174" t="s">
        <v>37</v>
      </c>
      <c r="AB14" s="182" t="s">
        <v>36</v>
      </c>
      <c r="AC14" s="183" t="s">
        <v>37</v>
      </c>
      <c r="AD14" s="175" t="s">
        <v>36</v>
      </c>
      <c r="AE14" s="173" t="s">
        <v>37</v>
      </c>
      <c r="AG14" s="194" t="s">
        <v>36</v>
      </c>
      <c r="AH14" s="195" t="s">
        <v>37</v>
      </c>
      <c r="AI14" s="196" t="s">
        <v>36</v>
      </c>
      <c r="AJ14" s="197" t="s">
        <v>37</v>
      </c>
      <c r="AK14" s="198" t="s">
        <v>36</v>
      </c>
      <c r="AL14" s="199" t="s">
        <v>37</v>
      </c>
      <c r="AN14" s="923" t="s">
        <v>147</v>
      </c>
      <c r="AO14" s="924"/>
      <c r="AP14" s="933" t="s">
        <v>147</v>
      </c>
      <c r="AQ14" s="934"/>
      <c r="AR14" s="935" t="s">
        <v>148</v>
      </c>
      <c r="AS14" s="936"/>
      <c r="AT14" s="192"/>
    </row>
    <row r="15" spans="1:242" s="39" customFormat="1" ht="12.75" customHeight="1" thickBot="1" x14ac:dyDescent="0.25">
      <c r="A15" s="909" t="s">
        <v>141</v>
      </c>
      <c r="B15" s="912" t="s">
        <v>94</v>
      </c>
      <c r="C15" s="539" t="s">
        <v>278</v>
      </c>
      <c r="D15" s="540" t="s">
        <v>279</v>
      </c>
      <c r="E15" s="541" t="s">
        <v>321</v>
      </c>
      <c r="F15" s="542"/>
      <c r="G15" s="567">
        <v>7567932</v>
      </c>
      <c r="H15" s="567">
        <v>328000</v>
      </c>
      <c r="I15" s="568">
        <v>125736</v>
      </c>
      <c r="J15" s="124">
        <f>SUM(G15:I15)</f>
        <v>8021668</v>
      </c>
      <c r="K15" s="116">
        <f t="shared" ref="K15:K69" si="0">+J15*(1+$K$11)</f>
        <v>8262318.04</v>
      </c>
      <c r="L15" s="37"/>
      <c r="M15" s="146">
        <v>0.73</v>
      </c>
      <c r="N15" s="164">
        <f t="shared" ref="N15:N61" si="1">+$K15*M15</f>
        <v>6031492.1691999994</v>
      </c>
      <c r="O15" s="146">
        <v>0.14000000000000001</v>
      </c>
      <c r="P15" s="179">
        <f t="shared" ref="P15:P61" si="2">+$K15*O15</f>
        <v>1156724.5256000001</v>
      </c>
      <c r="Q15" s="176">
        <v>0.13</v>
      </c>
      <c r="R15" s="164">
        <f t="shared" ref="R15:R61" si="3">+$K15*Q15</f>
        <v>1074101.3452000001</v>
      </c>
      <c r="S15" s="167">
        <f>+M15+O15+Q15</f>
        <v>1</v>
      </c>
      <c r="U15" s="137"/>
      <c r="V15" s="134" t="s">
        <v>11</v>
      </c>
      <c r="W15" s="140">
        <f>SUM(W16,W20)</f>
        <v>-6565000</v>
      </c>
      <c r="Y15" s="191"/>
      <c r="Z15" s="184">
        <f t="shared" ref="Z15:AE15" si="4">+M62</f>
        <v>0.61251275504516944</v>
      </c>
      <c r="AA15" s="186">
        <f t="shared" si="4"/>
        <v>56598206.326399997</v>
      </c>
      <c r="AB15" s="184">
        <f t="shared" si="4"/>
        <v>0.19218743852547093</v>
      </c>
      <c r="AC15" s="187">
        <f t="shared" si="4"/>
        <v>17758755.5678</v>
      </c>
      <c r="AD15" s="185">
        <f t="shared" si="4"/>
        <v>0.19488037446783008</v>
      </c>
      <c r="AE15" s="187">
        <f t="shared" si="4"/>
        <v>18007591.763999999</v>
      </c>
      <c r="AG15" s="206">
        <f>+Z15</f>
        <v>0.61251275504516944</v>
      </c>
      <c r="AH15" s="200">
        <f>+AG15*W80</f>
        <v>20130231.694559492</v>
      </c>
      <c r="AI15" s="207">
        <f>+AB15</f>
        <v>0.19218743852547093</v>
      </c>
      <c r="AJ15" s="200">
        <f>+AI15*W80</f>
        <v>6316240.1671396019</v>
      </c>
      <c r="AK15" s="208">
        <f>+AD15</f>
        <v>0.19488037446783008</v>
      </c>
      <c r="AL15" s="201">
        <f>+AK15*W80</f>
        <v>6404743.5068852352</v>
      </c>
      <c r="AN15" s="931">
        <f>+AH15+AA15</f>
        <v>76728438.020959496</v>
      </c>
      <c r="AO15" s="932"/>
      <c r="AP15" s="931">
        <f>+AJ15+AC15+K70</f>
        <v>24074995.734939601</v>
      </c>
      <c r="AQ15" s="932"/>
      <c r="AR15" s="931">
        <f>+AL15+AE15</f>
        <v>24412335.270885233</v>
      </c>
      <c r="AS15" s="937"/>
      <c r="AT15" s="192"/>
    </row>
    <row r="16" spans="1:242" s="39" customFormat="1" x14ac:dyDescent="0.2">
      <c r="A16" s="910"/>
      <c r="B16" s="913"/>
      <c r="C16" s="543" t="s">
        <v>280</v>
      </c>
      <c r="D16" s="544" t="s">
        <v>281</v>
      </c>
      <c r="E16" s="545" t="s">
        <v>322</v>
      </c>
      <c r="F16" s="546"/>
      <c r="G16" s="569">
        <v>9384096</v>
      </c>
      <c r="H16" s="569">
        <v>328000</v>
      </c>
      <c r="I16" s="570">
        <v>125736</v>
      </c>
      <c r="J16" s="125">
        <f t="shared" ref="J16:J69" si="5">SUM(G16:I16)</f>
        <v>9837832</v>
      </c>
      <c r="K16" s="117">
        <f t="shared" si="0"/>
        <v>10132966.960000001</v>
      </c>
      <c r="L16" s="37"/>
      <c r="M16" s="162">
        <v>0.47</v>
      </c>
      <c r="N16" s="165">
        <f t="shared" si="1"/>
        <v>4762494.4712000005</v>
      </c>
      <c r="O16" s="162">
        <v>0.35</v>
      </c>
      <c r="P16" s="163">
        <f t="shared" si="2"/>
        <v>3546538.4360000002</v>
      </c>
      <c r="Q16" s="177">
        <v>0.18</v>
      </c>
      <c r="R16" s="165">
        <f t="shared" si="3"/>
        <v>1823934.0528000002</v>
      </c>
      <c r="S16" s="168">
        <f t="shared" ref="S16:S61" si="6">+M16+O16+Q16</f>
        <v>1</v>
      </c>
      <c r="U16" s="138"/>
      <c r="V16" s="135" t="s">
        <v>12</v>
      </c>
      <c r="W16" s="141">
        <f>SUM(W17:W19)</f>
        <v>-34200000</v>
      </c>
      <c r="Y16" s="191"/>
      <c r="AT16" s="192"/>
    </row>
    <row r="17" spans="1:46" s="39" customFormat="1" ht="12.75" customHeight="1" x14ac:dyDescent="0.2">
      <c r="A17" s="910"/>
      <c r="B17" s="913"/>
      <c r="C17" s="543" t="s">
        <v>323</v>
      </c>
      <c r="D17" s="544" t="s">
        <v>324</v>
      </c>
      <c r="E17" s="545" t="s">
        <v>325</v>
      </c>
      <c r="F17" s="546"/>
      <c r="G17" s="569">
        <v>6788616</v>
      </c>
      <c r="H17" s="569">
        <v>328000</v>
      </c>
      <c r="I17" s="570">
        <v>125736</v>
      </c>
      <c r="J17" s="125">
        <f t="shared" si="5"/>
        <v>7242352</v>
      </c>
      <c r="K17" s="117">
        <f t="shared" si="0"/>
        <v>7459622.5600000005</v>
      </c>
      <c r="L17" s="37"/>
      <c r="M17" s="162">
        <v>0.52</v>
      </c>
      <c r="N17" s="165">
        <f t="shared" si="1"/>
        <v>3879003.7312000003</v>
      </c>
      <c r="O17" s="162">
        <v>0.24</v>
      </c>
      <c r="P17" s="163">
        <f t="shared" si="2"/>
        <v>1790309.4144000001</v>
      </c>
      <c r="Q17" s="177">
        <v>0.24</v>
      </c>
      <c r="R17" s="165">
        <f t="shared" si="3"/>
        <v>1790309.4144000001</v>
      </c>
      <c r="S17" s="168">
        <f t="shared" si="6"/>
        <v>1</v>
      </c>
      <c r="U17" s="139">
        <v>53103050000000</v>
      </c>
      <c r="V17" s="136" t="s">
        <v>13</v>
      </c>
      <c r="W17" s="142">
        <v>-35000000</v>
      </c>
      <c r="Y17" s="191"/>
      <c r="AT17" s="192"/>
    </row>
    <row r="18" spans="1:46" s="39" customFormat="1" ht="13.5" customHeight="1" thickBot="1" x14ac:dyDescent="0.25">
      <c r="A18" s="910"/>
      <c r="B18" s="913"/>
      <c r="C18" s="543" t="s">
        <v>243</v>
      </c>
      <c r="D18" s="544" t="s">
        <v>243</v>
      </c>
      <c r="E18" s="545" t="s">
        <v>282</v>
      </c>
      <c r="F18" s="546"/>
      <c r="G18" s="569">
        <v>6788616</v>
      </c>
      <c r="H18" s="569">
        <v>328000</v>
      </c>
      <c r="I18" s="570">
        <v>125736</v>
      </c>
      <c r="J18" s="125">
        <f t="shared" si="5"/>
        <v>7242352</v>
      </c>
      <c r="K18" s="117">
        <f t="shared" si="0"/>
        <v>7459622.5600000005</v>
      </c>
      <c r="L18" s="37"/>
      <c r="M18" s="162">
        <v>0.72</v>
      </c>
      <c r="N18" s="165">
        <f t="shared" si="1"/>
        <v>5370928.2432000004</v>
      </c>
      <c r="O18" s="162">
        <v>0.14000000000000001</v>
      </c>
      <c r="P18" s="163">
        <f t="shared" si="2"/>
        <v>1044347.1584000002</v>
      </c>
      <c r="Q18" s="177">
        <v>0.14000000000000001</v>
      </c>
      <c r="R18" s="165">
        <f t="shared" si="3"/>
        <v>1044347.1584000002</v>
      </c>
      <c r="S18" s="168">
        <f t="shared" si="6"/>
        <v>1</v>
      </c>
      <c r="U18" s="139">
        <v>53103060000000</v>
      </c>
      <c r="V18" s="136" t="s">
        <v>14</v>
      </c>
      <c r="W18" s="142">
        <v>0</v>
      </c>
      <c r="Y18" s="202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4"/>
    </row>
    <row r="19" spans="1:46" s="39" customFormat="1" x14ac:dyDescent="0.2">
      <c r="A19" s="910"/>
      <c r="B19" s="913"/>
      <c r="C19" s="543" t="s">
        <v>326</v>
      </c>
      <c r="D19" s="544" t="s">
        <v>327</v>
      </c>
      <c r="E19" s="545" t="s">
        <v>283</v>
      </c>
      <c r="F19" s="546"/>
      <c r="G19" s="569">
        <v>7150116</v>
      </c>
      <c r="H19" s="569">
        <v>328000</v>
      </c>
      <c r="I19" s="570">
        <v>125736</v>
      </c>
      <c r="J19" s="125">
        <f t="shared" si="5"/>
        <v>7603852</v>
      </c>
      <c r="K19" s="117">
        <f t="shared" si="0"/>
        <v>7831967.5600000005</v>
      </c>
      <c r="L19" s="37"/>
      <c r="M19" s="162">
        <v>0.6</v>
      </c>
      <c r="N19" s="165">
        <f t="shared" si="1"/>
        <v>4699180.5360000003</v>
      </c>
      <c r="O19" s="162">
        <v>0.12</v>
      </c>
      <c r="P19" s="163">
        <f t="shared" si="2"/>
        <v>939836.10720000009</v>
      </c>
      <c r="Q19" s="177">
        <v>0.28000000000000003</v>
      </c>
      <c r="R19" s="165">
        <f t="shared" si="3"/>
        <v>2192950.9168000002</v>
      </c>
      <c r="S19" s="168">
        <f t="shared" si="6"/>
        <v>1</v>
      </c>
      <c r="U19" s="139">
        <v>53103080010000</v>
      </c>
      <c r="V19" s="136" t="s">
        <v>15</v>
      </c>
      <c r="W19" s="142">
        <v>800000</v>
      </c>
    </row>
    <row r="20" spans="1:46" s="39" customFormat="1" x14ac:dyDescent="0.2">
      <c r="A20" s="910"/>
      <c r="B20" s="913"/>
      <c r="C20" s="543" t="s">
        <v>328</v>
      </c>
      <c r="D20" s="544" t="s">
        <v>288</v>
      </c>
      <c r="E20" s="545" t="s">
        <v>329</v>
      </c>
      <c r="F20" s="546"/>
      <c r="G20" s="569">
        <v>11106504</v>
      </c>
      <c r="H20" s="569">
        <v>188000</v>
      </c>
      <c r="I20" s="570">
        <v>125736</v>
      </c>
      <c r="J20" s="125">
        <f t="shared" si="5"/>
        <v>11420240</v>
      </c>
      <c r="K20" s="117">
        <f t="shared" si="0"/>
        <v>11762847.200000001</v>
      </c>
      <c r="L20" s="37"/>
      <c r="M20" s="162">
        <v>0.61</v>
      </c>
      <c r="N20" s="165">
        <f t="shared" si="1"/>
        <v>7175336.7920000004</v>
      </c>
      <c r="O20" s="162">
        <v>0.08</v>
      </c>
      <c r="P20" s="163">
        <f t="shared" si="2"/>
        <v>941027.77600000007</v>
      </c>
      <c r="Q20" s="177">
        <v>0.31</v>
      </c>
      <c r="R20" s="165">
        <f t="shared" si="3"/>
        <v>3646482.6320000002</v>
      </c>
      <c r="S20" s="168">
        <f t="shared" si="6"/>
        <v>1</v>
      </c>
      <c r="U20" s="138"/>
      <c r="V20" s="135" t="s">
        <v>16</v>
      </c>
      <c r="W20" s="205">
        <f>SUM(W21:W39)</f>
        <v>27635000</v>
      </c>
    </row>
    <row r="21" spans="1:46" s="39" customFormat="1" x14ac:dyDescent="0.2">
      <c r="A21" s="910"/>
      <c r="B21" s="913"/>
      <c r="C21" s="543" t="s">
        <v>284</v>
      </c>
      <c r="D21" s="544" t="s">
        <v>285</v>
      </c>
      <c r="E21" s="545" t="s">
        <v>330</v>
      </c>
      <c r="F21" s="546"/>
      <c r="G21" s="569">
        <v>7071876</v>
      </c>
      <c r="H21" s="569">
        <v>328000</v>
      </c>
      <c r="I21" s="570">
        <v>125736</v>
      </c>
      <c r="J21" s="125">
        <f t="shared" si="5"/>
        <v>7525612</v>
      </c>
      <c r="K21" s="117">
        <f t="shared" si="0"/>
        <v>7751380.3600000003</v>
      </c>
      <c r="L21" s="37"/>
      <c r="M21" s="162">
        <v>0.77</v>
      </c>
      <c r="N21" s="165">
        <f t="shared" si="1"/>
        <v>5968562.8772</v>
      </c>
      <c r="O21" s="162">
        <v>0.115</v>
      </c>
      <c r="P21" s="163">
        <f t="shared" si="2"/>
        <v>891408.74140000006</v>
      </c>
      <c r="Q21" s="177">
        <v>0.11</v>
      </c>
      <c r="R21" s="165">
        <f t="shared" si="3"/>
        <v>852651.83960000006</v>
      </c>
      <c r="S21" s="168">
        <f t="shared" si="6"/>
        <v>0.995</v>
      </c>
      <c r="U21" s="139">
        <v>53201010100000</v>
      </c>
      <c r="V21" s="136" t="s">
        <v>17</v>
      </c>
      <c r="W21" s="142">
        <v>9390000</v>
      </c>
    </row>
    <row r="22" spans="1:46" s="39" customFormat="1" x14ac:dyDescent="0.2">
      <c r="A22" s="910"/>
      <c r="B22" s="913"/>
      <c r="C22" s="543" t="s">
        <v>331</v>
      </c>
      <c r="D22" s="544" t="s">
        <v>286</v>
      </c>
      <c r="E22" s="545" t="s">
        <v>287</v>
      </c>
      <c r="F22" s="546"/>
      <c r="G22" s="569">
        <v>12390240</v>
      </c>
      <c r="H22" s="569">
        <v>188000</v>
      </c>
      <c r="I22" s="570">
        <v>125736</v>
      </c>
      <c r="J22" s="125">
        <f t="shared" si="5"/>
        <v>12703976</v>
      </c>
      <c r="K22" s="117">
        <f t="shared" si="0"/>
        <v>13085095.280000001</v>
      </c>
      <c r="L22" s="37"/>
      <c r="M22" s="162">
        <v>0.66</v>
      </c>
      <c r="N22" s="165">
        <f t="shared" si="1"/>
        <v>8636162.884800002</v>
      </c>
      <c r="O22" s="162">
        <v>0.17</v>
      </c>
      <c r="P22" s="163">
        <f t="shared" si="2"/>
        <v>2224466.1976000005</v>
      </c>
      <c r="Q22" s="177">
        <v>0.17</v>
      </c>
      <c r="R22" s="165">
        <f t="shared" si="3"/>
        <v>2224466.1976000005</v>
      </c>
      <c r="S22" s="168">
        <f t="shared" si="6"/>
        <v>1</v>
      </c>
      <c r="U22" s="139">
        <v>53202010100000</v>
      </c>
      <c r="V22" s="136" t="s">
        <v>18</v>
      </c>
      <c r="W22" s="142">
        <v>0</v>
      </c>
    </row>
    <row r="23" spans="1:46" s="39" customFormat="1" x14ac:dyDescent="0.2">
      <c r="A23" s="910"/>
      <c r="B23" s="913"/>
      <c r="C23" s="76"/>
      <c r="D23" s="112"/>
      <c r="E23" s="113"/>
      <c r="F23" s="114"/>
      <c r="G23" s="102">
        <v>0</v>
      </c>
      <c r="H23" s="102">
        <v>0</v>
      </c>
      <c r="I23" s="122">
        <v>0</v>
      </c>
      <c r="J23" s="125">
        <f t="shared" si="5"/>
        <v>0</v>
      </c>
      <c r="K23" s="117">
        <f t="shared" si="0"/>
        <v>0</v>
      </c>
      <c r="L23" s="37"/>
      <c r="M23" s="162">
        <v>0</v>
      </c>
      <c r="N23" s="165">
        <f t="shared" si="1"/>
        <v>0</v>
      </c>
      <c r="O23" s="162">
        <v>0</v>
      </c>
      <c r="P23" s="163">
        <f t="shared" si="2"/>
        <v>0</v>
      </c>
      <c r="Q23" s="177">
        <v>0</v>
      </c>
      <c r="R23" s="165">
        <f t="shared" si="3"/>
        <v>0</v>
      </c>
      <c r="S23" s="168">
        <f t="shared" si="6"/>
        <v>0</v>
      </c>
      <c r="U23" s="139">
        <v>53203010100000</v>
      </c>
      <c r="V23" s="136" t="s">
        <v>19</v>
      </c>
      <c r="W23" s="142">
        <v>4245000</v>
      </c>
    </row>
    <row r="24" spans="1:46" s="39" customFormat="1" ht="13.5" thickBot="1" x14ac:dyDescent="0.25">
      <c r="A24" s="910"/>
      <c r="B24" s="914"/>
      <c r="C24" s="132"/>
      <c r="D24" s="103"/>
      <c r="E24" s="104"/>
      <c r="F24" s="105"/>
      <c r="G24" s="106">
        <v>0</v>
      </c>
      <c r="H24" s="106">
        <v>0</v>
      </c>
      <c r="I24" s="123">
        <v>0</v>
      </c>
      <c r="J24" s="126">
        <f t="shared" si="5"/>
        <v>0</v>
      </c>
      <c r="K24" s="115">
        <f t="shared" si="0"/>
        <v>0</v>
      </c>
      <c r="L24" s="37"/>
      <c r="M24" s="169">
        <v>0</v>
      </c>
      <c r="N24" s="166">
        <f t="shared" si="1"/>
        <v>0</v>
      </c>
      <c r="O24" s="169">
        <v>0</v>
      </c>
      <c r="P24" s="180">
        <f t="shared" si="2"/>
        <v>0</v>
      </c>
      <c r="Q24" s="178">
        <v>0</v>
      </c>
      <c r="R24" s="166">
        <f t="shared" si="3"/>
        <v>0</v>
      </c>
      <c r="S24" s="170">
        <f t="shared" si="6"/>
        <v>0</v>
      </c>
      <c r="U24" s="139">
        <v>53203030000000</v>
      </c>
      <c r="V24" s="136" t="s">
        <v>20</v>
      </c>
      <c r="W24" s="142">
        <v>0</v>
      </c>
    </row>
    <row r="25" spans="1:46" s="39" customFormat="1" ht="12.75" customHeight="1" x14ac:dyDescent="0.2">
      <c r="A25" s="910"/>
      <c r="B25" s="912" t="s">
        <v>93</v>
      </c>
      <c r="C25" s="539" t="s">
        <v>289</v>
      </c>
      <c r="D25" s="540" t="s">
        <v>290</v>
      </c>
      <c r="E25" s="541" t="s">
        <v>332</v>
      </c>
      <c r="F25" s="542" t="s">
        <v>333</v>
      </c>
      <c r="G25" s="567">
        <v>17800332</v>
      </c>
      <c r="H25" s="567">
        <v>188000</v>
      </c>
      <c r="I25" s="568">
        <v>125736</v>
      </c>
      <c r="J25" s="124">
        <f t="shared" si="5"/>
        <v>18114068</v>
      </c>
      <c r="K25" s="116">
        <f t="shared" si="0"/>
        <v>18657490.039999999</v>
      </c>
      <c r="L25" s="37"/>
      <c r="M25" s="146">
        <v>0.54</v>
      </c>
      <c r="N25" s="164">
        <f t="shared" si="1"/>
        <v>10075044.6216</v>
      </c>
      <c r="O25" s="146">
        <v>0.28000000000000003</v>
      </c>
      <c r="P25" s="179">
        <f t="shared" si="2"/>
        <v>5224097.2111999998</v>
      </c>
      <c r="Q25" s="176">
        <v>0.18</v>
      </c>
      <c r="R25" s="164">
        <f t="shared" si="3"/>
        <v>3358348.2071999996</v>
      </c>
      <c r="S25" s="167">
        <f t="shared" si="6"/>
        <v>1</v>
      </c>
      <c r="U25" s="139">
        <v>53204030000000</v>
      </c>
      <c r="V25" s="136" t="s">
        <v>21</v>
      </c>
      <c r="W25" s="142">
        <v>0</v>
      </c>
      <c r="AG25" s="28"/>
    </row>
    <row r="26" spans="1:46" s="39" customFormat="1" ht="12.75" customHeight="1" x14ac:dyDescent="0.2">
      <c r="A26" s="910"/>
      <c r="B26" s="913"/>
      <c r="C26" s="543"/>
      <c r="D26" s="544"/>
      <c r="E26" s="545"/>
      <c r="F26" s="546"/>
      <c r="G26" s="102">
        <v>0</v>
      </c>
      <c r="H26" s="102">
        <v>0</v>
      </c>
      <c r="I26" s="122">
        <v>0</v>
      </c>
      <c r="J26" s="125">
        <f t="shared" si="5"/>
        <v>0</v>
      </c>
      <c r="K26" s="117">
        <f t="shared" si="0"/>
        <v>0</v>
      </c>
      <c r="L26" s="37"/>
      <c r="M26" s="162">
        <v>0</v>
      </c>
      <c r="N26" s="165">
        <f t="shared" si="1"/>
        <v>0</v>
      </c>
      <c r="O26" s="162">
        <v>0</v>
      </c>
      <c r="P26" s="163">
        <f t="shared" si="2"/>
        <v>0</v>
      </c>
      <c r="Q26" s="177">
        <v>0</v>
      </c>
      <c r="R26" s="165">
        <f t="shared" si="3"/>
        <v>0</v>
      </c>
      <c r="S26" s="168">
        <f t="shared" si="6"/>
        <v>0</v>
      </c>
      <c r="U26" s="139">
        <v>53204100100001</v>
      </c>
      <c r="V26" s="136" t="s">
        <v>22</v>
      </c>
      <c r="W26" s="142">
        <v>1090000</v>
      </c>
      <c r="AG26" s="28"/>
    </row>
    <row r="27" spans="1:46" s="39" customFormat="1" ht="12.75" customHeight="1" x14ac:dyDescent="0.2">
      <c r="A27" s="910"/>
      <c r="B27" s="913"/>
      <c r="C27" s="543"/>
      <c r="D27" s="544"/>
      <c r="E27" s="545"/>
      <c r="F27" s="546"/>
      <c r="G27" s="102">
        <v>0</v>
      </c>
      <c r="H27" s="102">
        <v>0</v>
      </c>
      <c r="I27" s="122">
        <v>0</v>
      </c>
      <c r="J27" s="125">
        <f t="shared" si="5"/>
        <v>0</v>
      </c>
      <c r="K27" s="117">
        <f t="shared" si="0"/>
        <v>0</v>
      </c>
      <c r="L27" s="37"/>
      <c r="M27" s="162">
        <v>0</v>
      </c>
      <c r="N27" s="165">
        <f t="shared" si="1"/>
        <v>0</v>
      </c>
      <c r="O27" s="162">
        <v>0</v>
      </c>
      <c r="P27" s="163">
        <f t="shared" si="2"/>
        <v>0</v>
      </c>
      <c r="Q27" s="177">
        <v>0</v>
      </c>
      <c r="R27" s="165">
        <f t="shared" si="3"/>
        <v>0</v>
      </c>
      <c r="S27" s="168">
        <f t="shared" si="6"/>
        <v>0</v>
      </c>
      <c r="U27" s="139">
        <v>53204130100000</v>
      </c>
      <c r="V27" s="136" t="s">
        <v>23</v>
      </c>
      <c r="W27" s="142">
        <v>0</v>
      </c>
      <c r="AG27" s="28"/>
    </row>
    <row r="28" spans="1:46" s="39" customFormat="1" ht="12.75" customHeight="1" x14ac:dyDescent="0.2">
      <c r="A28" s="910"/>
      <c r="B28" s="913"/>
      <c r="C28" s="543"/>
      <c r="D28" s="544"/>
      <c r="E28" s="545"/>
      <c r="F28" s="546"/>
      <c r="G28" s="102">
        <v>0</v>
      </c>
      <c r="H28" s="102">
        <v>0</v>
      </c>
      <c r="I28" s="122">
        <v>0</v>
      </c>
      <c r="J28" s="125">
        <f t="shared" si="5"/>
        <v>0</v>
      </c>
      <c r="K28" s="117">
        <f t="shared" si="0"/>
        <v>0</v>
      </c>
      <c r="L28" s="37"/>
      <c r="M28" s="162">
        <v>0</v>
      </c>
      <c r="N28" s="165">
        <f t="shared" si="1"/>
        <v>0</v>
      </c>
      <c r="O28" s="162">
        <v>0</v>
      </c>
      <c r="P28" s="163">
        <f t="shared" si="2"/>
        <v>0</v>
      </c>
      <c r="Q28" s="177">
        <v>0</v>
      </c>
      <c r="R28" s="165">
        <f t="shared" si="3"/>
        <v>0</v>
      </c>
      <c r="S28" s="168">
        <f t="shared" si="6"/>
        <v>0</v>
      </c>
      <c r="U28" s="139">
        <v>53205010100000</v>
      </c>
      <c r="V28" s="136" t="s">
        <v>24</v>
      </c>
      <c r="W28" s="142">
        <v>960000</v>
      </c>
      <c r="AG28" s="28"/>
    </row>
    <row r="29" spans="1:46" s="39" customFormat="1" ht="12.75" customHeight="1" x14ac:dyDescent="0.2">
      <c r="A29" s="910"/>
      <c r="B29" s="913"/>
      <c r="C29" s="543"/>
      <c r="D29" s="544"/>
      <c r="E29" s="545"/>
      <c r="F29" s="546"/>
      <c r="G29" s="102">
        <v>0</v>
      </c>
      <c r="H29" s="102">
        <v>0</v>
      </c>
      <c r="I29" s="122">
        <v>0</v>
      </c>
      <c r="J29" s="125">
        <f t="shared" si="5"/>
        <v>0</v>
      </c>
      <c r="K29" s="117">
        <f t="shared" si="0"/>
        <v>0</v>
      </c>
      <c r="L29" s="37"/>
      <c r="M29" s="162">
        <v>0</v>
      </c>
      <c r="N29" s="165">
        <f t="shared" si="1"/>
        <v>0</v>
      </c>
      <c r="O29" s="162">
        <v>0</v>
      </c>
      <c r="P29" s="163">
        <f t="shared" si="2"/>
        <v>0</v>
      </c>
      <c r="Q29" s="177">
        <v>0</v>
      </c>
      <c r="R29" s="165">
        <f t="shared" si="3"/>
        <v>0</v>
      </c>
      <c r="S29" s="168">
        <f t="shared" si="6"/>
        <v>0</v>
      </c>
      <c r="U29" s="139">
        <v>53205020100000</v>
      </c>
      <c r="V29" s="136" t="s">
        <v>25</v>
      </c>
      <c r="W29" s="142">
        <v>800000</v>
      </c>
      <c r="AG29" s="28"/>
    </row>
    <row r="30" spans="1:46" s="39" customFormat="1" ht="12.75" customHeight="1" x14ac:dyDescent="0.2">
      <c r="A30" s="910"/>
      <c r="B30" s="913"/>
      <c r="C30" s="543"/>
      <c r="D30" s="544"/>
      <c r="E30" s="545"/>
      <c r="F30" s="546"/>
      <c r="G30" s="102">
        <v>0</v>
      </c>
      <c r="H30" s="102">
        <v>0</v>
      </c>
      <c r="I30" s="122">
        <v>0</v>
      </c>
      <c r="J30" s="125">
        <f t="shared" si="5"/>
        <v>0</v>
      </c>
      <c r="K30" s="117">
        <f t="shared" si="0"/>
        <v>0</v>
      </c>
      <c r="L30" s="37"/>
      <c r="M30" s="162">
        <v>0</v>
      </c>
      <c r="N30" s="165">
        <f t="shared" si="1"/>
        <v>0</v>
      </c>
      <c r="O30" s="162">
        <v>0</v>
      </c>
      <c r="P30" s="163">
        <f t="shared" si="2"/>
        <v>0</v>
      </c>
      <c r="Q30" s="177">
        <v>0</v>
      </c>
      <c r="R30" s="165">
        <f t="shared" si="3"/>
        <v>0</v>
      </c>
      <c r="S30" s="168">
        <f t="shared" si="6"/>
        <v>0</v>
      </c>
      <c r="U30" s="139">
        <v>53205030100000</v>
      </c>
      <c r="V30" s="136" t="s">
        <v>26</v>
      </c>
      <c r="W30" s="142">
        <v>1000000</v>
      </c>
      <c r="AG30" s="28"/>
    </row>
    <row r="31" spans="1:46" s="39" customFormat="1" ht="12.75" customHeight="1" x14ac:dyDescent="0.2">
      <c r="A31" s="910"/>
      <c r="B31" s="913"/>
      <c r="C31" s="543"/>
      <c r="D31" s="544"/>
      <c r="E31" s="545"/>
      <c r="F31" s="546"/>
      <c r="G31" s="102">
        <v>0</v>
      </c>
      <c r="H31" s="102">
        <v>0</v>
      </c>
      <c r="I31" s="122">
        <v>0</v>
      </c>
      <c r="J31" s="125">
        <f t="shared" si="5"/>
        <v>0</v>
      </c>
      <c r="K31" s="117">
        <f t="shared" si="0"/>
        <v>0</v>
      </c>
      <c r="L31" s="37"/>
      <c r="M31" s="162">
        <v>0</v>
      </c>
      <c r="N31" s="165">
        <f t="shared" si="1"/>
        <v>0</v>
      </c>
      <c r="O31" s="162">
        <v>0</v>
      </c>
      <c r="P31" s="163">
        <f t="shared" si="2"/>
        <v>0</v>
      </c>
      <c r="Q31" s="177">
        <v>0</v>
      </c>
      <c r="R31" s="165">
        <f t="shared" si="3"/>
        <v>0</v>
      </c>
      <c r="S31" s="168">
        <f t="shared" si="6"/>
        <v>0</v>
      </c>
      <c r="U31" s="139">
        <v>53205050100000</v>
      </c>
      <c r="V31" s="136" t="s">
        <v>27</v>
      </c>
      <c r="W31" s="142">
        <v>800000</v>
      </c>
      <c r="AG31" s="28"/>
    </row>
    <row r="32" spans="1:46" s="39" customFormat="1" ht="12.75" customHeight="1" x14ac:dyDescent="0.2">
      <c r="A32" s="910"/>
      <c r="B32" s="913"/>
      <c r="C32" s="543"/>
      <c r="D32" s="544"/>
      <c r="E32" s="545"/>
      <c r="F32" s="546"/>
      <c r="G32" s="102">
        <v>0</v>
      </c>
      <c r="H32" s="102">
        <v>0</v>
      </c>
      <c r="I32" s="122">
        <v>0</v>
      </c>
      <c r="J32" s="125">
        <f t="shared" si="5"/>
        <v>0</v>
      </c>
      <c r="K32" s="117">
        <f t="shared" si="0"/>
        <v>0</v>
      </c>
      <c r="L32" s="37"/>
      <c r="M32" s="162">
        <v>0</v>
      </c>
      <c r="N32" s="165">
        <f t="shared" si="1"/>
        <v>0</v>
      </c>
      <c r="O32" s="162">
        <v>0</v>
      </c>
      <c r="P32" s="163">
        <f t="shared" si="2"/>
        <v>0</v>
      </c>
      <c r="Q32" s="177">
        <v>0</v>
      </c>
      <c r="R32" s="165">
        <f t="shared" si="3"/>
        <v>0</v>
      </c>
      <c r="S32" s="168">
        <f t="shared" si="6"/>
        <v>0</v>
      </c>
      <c r="U32" s="139">
        <v>53205060100000</v>
      </c>
      <c r="V32" s="136" t="s">
        <v>28</v>
      </c>
      <c r="W32" s="142">
        <v>0</v>
      </c>
      <c r="AG32" s="28"/>
    </row>
    <row r="33" spans="1:33" s="39" customFormat="1" ht="12.75" customHeight="1" x14ac:dyDescent="0.2">
      <c r="A33" s="910"/>
      <c r="B33" s="913"/>
      <c r="C33" s="543"/>
      <c r="D33" s="544"/>
      <c r="E33" s="545"/>
      <c r="F33" s="546"/>
      <c r="G33" s="102">
        <v>0</v>
      </c>
      <c r="H33" s="102">
        <v>0</v>
      </c>
      <c r="I33" s="122">
        <v>0</v>
      </c>
      <c r="J33" s="125">
        <f t="shared" si="5"/>
        <v>0</v>
      </c>
      <c r="K33" s="117">
        <f t="shared" si="0"/>
        <v>0</v>
      </c>
      <c r="L33" s="37"/>
      <c r="M33" s="162">
        <v>0</v>
      </c>
      <c r="N33" s="165">
        <f t="shared" si="1"/>
        <v>0</v>
      </c>
      <c r="O33" s="162">
        <v>0</v>
      </c>
      <c r="P33" s="163">
        <f t="shared" si="2"/>
        <v>0</v>
      </c>
      <c r="Q33" s="177">
        <v>0</v>
      </c>
      <c r="R33" s="165">
        <f t="shared" si="3"/>
        <v>0</v>
      </c>
      <c r="S33" s="168">
        <f t="shared" si="6"/>
        <v>0</v>
      </c>
      <c r="U33" s="139">
        <v>53205070100000</v>
      </c>
      <c r="V33" s="136" t="s">
        <v>29</v>
      </c>
      <c r="W33" s="142">
        <v>0</v>
      </c>
      <c r="AG33" s="28"/>
    </row>
    <row r="34" spans="1:33" s="39" customFormat="1" ht="12.75" customHeight="1" thickBot="1" x14ac:dyDescent="0.25">
      <c r="A34" s="910"/>
      <c r="B34" s="914"/>
      <c r="C34" s="547"/>
      <c r="D34" s="211"/>
      <c r="E34" s="548"/>
      <c r="F34" s="549"/>
      <c r="G34" s="106">
        <v>0</v>
      </c>
      <c r="H34" s="106">
        <v>0</v>
      </c>
      <c r="I34" s="123">
        <v>0</v>
      </c>
      <c r="J34" s="126">
        <f t="shared" si="5"/>
        <v>0</v>
      </c>
      <c r="K34" s="115">
        <f t="shared" si="0"/>
        <v>0</v>
      </c>
      <c r="L34" s="37"/>
      <c r="M34" s="169">
        <v>0</v>
      </c>
      <c r="N34" s="166">
        <f t="shared" si="1"/>
        <v>0</v>
      </c>
      <c r="O34" s="169">
        <v>0</v>
      </c>
      <c r="P34" s="180">
        <f t="shared" si="2"/>
        <v>0</v>
      </c>
      <c r="Q34" s="178">
        <v>0</v>
      </c>
      <c r="R34" s="166">
        <f t="shared" si="3"/>
        <v>0</v>
      </c>
      <c r="S34" s="170">
        <f t="shared" si="6"/>
        <v>0</v>
      </c>
      <c r="U34" s="139">
        <v>53208010100000</v>
      </c>
      <c r="V34" s="136" t="s">
        <v>30</v>
      </c>
      <c r="W34" s="142">
        <v>2050000</v>
      </c>
      <c r="AG34" s="28"/>
    </row>
    <row r="35" spans="1:33" s="39" customFormat="1" ht="12.75" customHeight="1" x14ac:dyDescent="0.2">
      <c r="A35" s="910"/>
      <c r="B35" s="912" t="s">
        <v>92</v>
      </c>
      <c r="C35" s="550"/>
      <c r="D35" s="551"/>
      <c r="E35" s="552"/>
      <c r="F35" s="542"/>
      <c r="G35" s="101">
        <v>0</v>
      </c>
      <c r="H35" s="101">
        <v>0</v>
      </c>
      <c r="I35" s="121">
        <v>0</v>
      </c>
      <c r="J35" s="124">
        <f t="shared" si="5"/>
        <v>0</v>
      </c>
      <c r="K35" s="116">
        <f t="shared" si="0"/>
        <v>0</v>
      </c>
      <c r="L35" s="37"/>
      <c r="M35" s="146">
        <v>0</v>
      </c>
      <c r="N35" s="164">
        <f t="shared" si="1"/>
        <v>0</v>
      </c>
      <c r="O35" s="146">
        <v>0</v>
      </c>
      <c r="P35" s="179">
        <f t="shared" si="2"/>
        <v>0</v>
      </c>
      <c r="Q35" s="176">
        <v>0</v>
      </c>
      <c r="R35" s="164">
        <f t="shared" si="3"/>
        <v>0</v>
      </c>
      <c r="S35" s="167">
        <f t="shared" si="6"/>
        <v>0</v>
      </c>
      <c r="U35" s="139">
        <v>53208070100001</v>
      </c>
      <c r="V35" s="136" t="s">
        <v>31</v>
      </c>
      <c r="W35" s="142">
        <v>2300000</v>
      </c>
      <c r="AG35" s="28"/>
    </row>
    <row r="36" spans="1:33" s="39" customFormat="1" ht="12.75" customHeight="1" x14ac:dyDescent="0.2">
      <c r="A36" s="910"/>
      <c r="B36" s="913"/>
      <c r="C36" s="543"/>
      <c r="D36" s="544"/>
      <c r="E36" s="545"/>
      <c r="F36" s="546"/>
      <c r="G36" s="102">
        <v>0</v>
      </c>
      <c r="H36" s="102">
        <v>0</v>
      </c>
      <c r="I36" s="122">
        <v>0</v>
      </c>
      <c r="J36" s="125">
        <f t="shared" si="5"/>
        <v>0</v>
      </c>
      <c r="K36" s="117">
        <f t="shared" si="0"/>
        <v>0</v>
      </c>
      <c r="L36" s="37"/>
      <c r="M36" s="162">
        <v>0</v>
      </c>
      <c r="N36" s="165">
        <f t="shared" si="1"/>
        <v>0</v>
      </c>
      <c r="O36" s="162">
        <v>0</v>
      </c>
      <c r="P36" s="163">
        <f t="shared" si="2"/>
        <v>0</v>
      </c>
      <c r="Q36" s="177">
        <v>0</v>
      </c>
      <c r="R36" s="165">
        <f t="shared" si="3"/>
        <v>0</v>
      </c>
      <c r="S36" s="168">
        <f t="shared" si="6"/>
        <v>0</v>
      </c>
      <c r="U36" s="139">
        <v>53208100100001</v>
      </c>
      <c r="V36" s="136" t="s">
        <v>132</v>
      </c>
      <c r="W36" s="142">
        <v>0</v>
      </c>
      <c r="AG36" s="28"/>
    </row>
    <row r="37" spans="1:33" s="39" customFormat="1" ht="12.75" customHeight="1" x14ac:dyDescent="0.2">
      <c r="A37" s="910"/>
      <c r="B37" s="913"/>
      <c r="C37" s="543"/>
      <c r="D37" s="544"/>
      <c r="E37" s="545"/>
      <c r="F37" s="546"/>
      <c r="G37" s="102">
        <v>0</v>
      </c>
      <c r="H37" s="102">
        <v>0</v>
      </c>
      <c r="I37" s="122">
        <v>0</v>
      </c>
      <c r="J37" s="125">
        <f t="shared" si="5"/>
        <v>0</v>
      </c>
      <c r="K37" s="117">
        <f t="shared" si="0"/>
        <v>0</v>
      </c>
      <c r="L37" s="37"/>
      <c r="M37" s="162">
        <v>0</v>
      </c>
      <c r="N37" s="165">
        <f t="shared" si="1"/>
        <v>0</v>
      </c>
      <c r="O37" s="162">
        <v>0</v>
      </c>
      <c r="P37" s="163">
        <f t="shared" si="2"/>
        <v>0</v>
      </c>
      <c r="Q37" s="177">
        <v>0</v>
      </c>
      <c r="R37" s="165">
        <f t="shared" si="3"/>
        <v>0</v>
      </c>
      <c r="S37" s="168">
        <f t="shared" si="6"/>
        <v>0</v>
      </c>
      <c r="U37" s="139">
        <v>53211030000000</v>
      </c>
      <c r="V37" s="136" t="s">
        <v>32</v>
      </c>
      <c r="W37" s="142">
        <v>0</v>
      </c>
      <c r="AG37" s="28"/>
    </row>
    <row r="38" spans="1:33" s="39" customFormat="1" ht="12.75" customHeight="1" x14ac:dyDescent="0.2">
      <c r="A38" s="910"/>
      <c r="B38" s="913"/>
      <c r="C38" s="543"/>
      <c r="D38" s="544"/>
      <c r="E38" s="545"/>
      <c r="F38" s="546"/>
      <c r="G38" s="102">
        <v>0</v>
      </c>
      <c r="H38" s="102">
        <v>0</v>
      </c>
      <c r="I38" s="122">
        <v>0</v>
      </c>
      <c r="J38" s="125">
        <f t="shared" si="5"/>
        <v>0</v>
      </c>
      <c r="K38" s="117">
        <f t="shared" si="0"/>
        <v>0</v>
      </c>
      <c r="L38" s="37"/>
      <c r="M38" s="162">
        <v>0</v>
      </c>
      <c r="N38" s="165">
        <f t="shared" si="1"/>
        <v>0</v>
      </c>
      <c r="O38" s="162">
        <v>0</v>
      </c>
      <c r="P38" s="163">
        <f t="shared" si="2"/>
        <v>0</v>
      </c>
      <c r="Q38" s="177">
        <v>0</v>
      </c>
      <c r="R38" s="165">
        <f t="shared" si="3"/>
        <v>0</v>
      </c>
      <c r="S38" s="168">
        <f t="shared" si="6"/>
        <v>0</v>
      </c>
      <c r="U38" s="139">
        <v>53212020100000</v>
      </c>
      <c r="V38" s="136" t="s">
        <v>99</v>
      </c>
      <c r="W38" s="142">
        <v>5000000</v>
      </c>
      <c r="AG38" s="28"/>
    </row>
    <row r="39" spans="1:33" s="39" customFormat="1" ht="12.75" customHeight="1" thickBot="1" x14ac:dyDescent="0.25">
      <c r="A39" s="910"/>
      <c r="B39" s="914"/>
      <c r="C39" s="547"/>
      <c r="D39" s="211"/>
      <c r="E39" s="548"/>
      <c r="F39" s="549"/>
      <c r="G39" s="106">
        <v>0</v>
      </c>
      <c r="H39" s="106">
        <v>0</v>
      </c>
      <c r="I39" s="123">
        <v>0</v>
      </c>
      <c r="J39" s="126">
        <f t="shared" si="5"/>
        <v>0</v>
      </c>
      <c r="K39" s="115">
        <f t="shared" si="0"/>
        <v>0</v>
      </c>
      <c r="L39" s="37"/>
      <c r="M39" s="169">
        <v>0</v>
      </c>
      <c r="N39" s="166">
        <f t="shared" si="1"/>
        <v>0</v>
      </c>
      <c r="O39" s="169">
        <v>0</v>
      </c>
      <c r="P39" s="180">
        <f t="shared" si="2"/>
        <v>0</v>
      </c>
      <c r="Q39" s="178">
        <v>0</v>
      </c>
      <c r="R39" s="166">
        <f t="shared" si="3"/>
        <v>0</v>
      </c>
      <c r="S39" s="170">
        <f t="shared" si="6"/>
        <v>0</v>
      </c>
      <c r="U39" s="139">
        <v>53214020000000</v>
      </c>
      <c r="V39" s="136" t="s">
        <v>33</v>
      </c>
      <c r="W39" s="142">
        <v>0</v>
      </c>
      <c r="AG39" s="28"/>
    </row>
    <row r="40" spans="1:33" s="39" customFormat="1" ht="12.75" customHeight="1" thickBot="1" x14ac:dyDescent="0.25">
      <c r="A40" s="910"/>
      <c r="B40" s="915" t="s">
        <v>120</v>
      </c>
      <c r="C40" s="553" t="s">
        <v>291</v>
      </c>
      <c r="D40" s="554" t="s">
        <v>292</v>
      </c>
      <c r="E40" s="555" t="s">
        <v>336</v>
      </c>
      <c r="F40" s="556" t="s">
        <v>334</v>
      </c>
      <c r="G40" s="569"/>
      <c r="H40" s="569"/>
      <c r="I40" s="569"/>
      <c r="J40" s="127">
        <f t="shared" ref="J40:J61" si="7">SUM(G40:I40)</f>
        <v>0</v>
      </c>
      <c r="K40" s="129">
        <f t="shared" si="0"/>
        <v>0</v>
      </c>
      <c r="L40" s="37"/>
      <c r="M40" s="146">
        <v>0</v>
      </c>
      <c r="N40" s="164">
        <f t="shared" si="1"/>
        <v>0</v>
      </c>
      <c r="O40" s="146">
        <v>0</v>
      </c>
      <c r="P40" s="179">
        <f t="shared" si="2"/>
        <v>0</v>
      </c>
      <c r="Q40" s="176">
        <v>0</v>
      </c>
      <c r="R40" s="164">
        <f t="shared" si="3"/>
        <v>0</v>
      </c>
      <c r="S40" s="167">
        <f t="shared" si="6"/>
        <v>0</v>
      </c>
      <c r="U40" s="137"/>
      <c r="V40" s="134" t="s">
        <v>34</v>
      </c>
      <c r="W40" s="140">
        <f>SUM(W41,W46,W49,W60,W70,W78)</f>
        <v>39430000</v>
      </c>
      <c r="AG40" s="28"/>
    </row>
    <row r="41" spans="1:33" s="39" customFormat="1" ht="12.75" customHeight="1" x14ac:dyDescent="0.2">
      <c r="A41" s="910"/>
      <c r="B41" s="916"/>
      <c r="C41" s="550" t="s">
        <v>293</v>
      </c>
      <c r="D41" s="550" t="s">
        <v>294</v>
      </c>
      <c r="E41" s="550" t="s">
        <v>335</v>
      </c>
      <c r="F41" s="556" t="s">
        <v>334</v>
      </c>
      <c r="G41" s="569"/>
      <c r="H41" s="569"/>
      <c r="I41" s="569"/>
      <c r="J41" s="128">
        <f t="shared" ref="J41:J48" si="8">SUM(G41:I41)</f>
        <v>0</v>
      </c>
      <c r="K41" s="130">
        <f t="shared" si="0"/>
        <v>0</v>
      </c>
      <c r="L41" s="37"/>
      <c r="M41" s="162">
        <v>0</v>
      </c>
      <c r="N41" s="165">
        <f t="shared" si="1"/>
        <v>0</v>
      </c>
      <c r="O41" s="162">
        <v>0</v>
      </c>
      <c r="P41" s="163">
        <f t="shared" si="2"/>
        <v>0</v>
      </c>
      <c r="Q41" s="177">
        <v>0</v>
      </c>
      <c r="R41" s="165">
        <f t="shared" si="3"/>
        <v>0</v>
      </c>
      <c r="S41" s="168">
        <f t="shared" si="6"/>
        <v>0</v>
      </c>
      <c r="U41" s="138"/>
      <c r="V41" s="135" t="s">
        <v>35</v>
      </c>
      <c r="W41" s="141">
        <f>SUM(W42:W45)</f>
        <v>1670000</v>
      </c>
      <c r="AG41" s="28"/>
    </row>
    <row r="42" spans="1:33" s="39" customFormat="1" ht="12.75" customHeight="1" x14ac:dyDescent="0.2">
      <c r="A42" s="910"/>
      <c r="B42" s="916"/>
      <c r="C42" s="550"/>
      <c r="D42" s="551"/>
      <c r="E42" s="552"/>
      <c r="F42" s="557"/>
      <c r="G42" s="102">
        <v>0</v>
      </c>
      <c r="H42" s="102">
        <v>0</v>
      </c>
      <c r="I42" s="122">
        <v>0</v>
      </c>
      <c r="J42" s="128">
        <f t="shared" si="8"/>
        <v>0</v>
      </c>
      <c r="K42" s="130">
        <f t="shared" si="0"/>
        <v>0</v>
      </c>
      <c r="L42" s="37"/>
      <c r="M42" s="162">
        <v>0</v>
      </c>
      <c r="N42" s="165">
        <f t="shared" si="1"/>
        <v>0</v>
      </c>
      <c r="O42" s="162">
        <v>0</v>
      </c>
      <c r="P42" s="163">
        <f t="shared" si="2"/>
        <v>0</v>
      </c>
      <c r="Q42" s="177">
        <v>0</v>
      </c>
      <c r="R42" s="165">
        <f t="shared" si="3"/>
        <v>0</v>
      </c>
      <c r="S42" s="168">
        <f t="shared" si="6"/>
        <v>0</v>
      </c>
      <c r="U42" s="139">
        <v>53202020100000</v>
      </c>
      <c r="V42" s="136" t="s">
        <v>39</v>
      </c>
      <c r="W42" s="142">
        <v>350000</v>
      </c>
      <c r="AG42" s="28"/>
    </row>
    <row r="43" spans="1:33" s="39" customFormat="1" ht="12.75" customHeight="1" x14ac:dyDescent="0.2">
      <c r="A43" s="910"/>
      <c r="B43" s="916"/>
      <c r="C43" s="77"/>
      <c r="D43" s="79"/>
      <c r="E43" s="80"/>
      <c r="F43" s="88"/>
      <c r="G43" s="102">
        <v>0</v>
      </c>
      <c r="H43" s="102">
        <v>0</v>
      </c>
      <c r="I43" s="122">
        <v>0</v>
      </c>
      <c r="J43" s="128">
        <f t="shared" si="8"/>
        <v>0</v>
      </c>
      <c r="K43" s="130">
        <f t="shared" si="0"/>
        <v>0</v>
      </c>
      <c r="L43" s="37"/>
      <c r="M43" s="162">
        <v>0</v>
      </c>
      <c r="N43" s="165">
        <f t="shared" si="1"/>
        <v>0</v>
      </c>
      <c r="O43" s="162">
        <v>0</v>
      </c>
      <c r="P43" s="163">
        <f t="shared" si="2"/>
        <v>0</v>
      </c>
      <c r="Q43" s="177">
        <v>0</v>
      </c>
      <c r="R43" s="165">
        <f t="shared" si="3"/>
        <v>0</v>
      </c>
      <c r="S43" s="168">
        <f t="shared" si="6"/>
        <v>0</v>
      </c>
      <c r="U43" s="139">
        <v>53202030000000</v>
      </c>
      <c r="V43" s="136" t="s">
        <v>40</v>
      </c>
      <c r="W43" s="142">
        <v>620000</v>
      </c>
      <c r="AG43" s="28"/>
    </row>
    <row r="44" spans="1:33" s="39" customFormat="1" ht="12.75" customHeight="1" x14ac:dyDescent="0.2">
      <c r="A44" s="910"/>
      <c r="B44" s="916"/>
      <c r="C44" s="77"/>
      <c r="D44" s="79"/>
      <c r="E44" s="80"/>
      <c r="F44" s="88"/>
      <c r="G44" s="102">
        <v>0</v>
      </c>
      <c r="H44" s="102">
        <v>0</v>
      </c>
      <c r="I44" s="122">
        <v>0</v>
      </c>
      <c r="J44" s="128">
        <f t="shared" si="8"/>
        <v>0</v>
      </c>
      <c r="K44" s="130">
        <f t="shared" si="0"/>
        <v>0</v>
      </c>
      <c r="L44" s="37"/>
      <c r="M44" s="162">
        <v>0</v>
      </c>
      <c r="N44" s="165">
        <f t="shared" si="1"/>
        <v>0</v>
      </c>
      <c r="O44" s="162">
        <v>0</v>
      </c>
      <c r="P44" s="163">
        <f t="shared" si="2"/>
        <v>0</v>
      </c>
      <c r="Q44" s="177">
        <v>0</v>
      </c>
      <c r="R44" s="165">
        <f t="shared" si="3"/>
        <v>0</v>
      </c>
      <c r="S44" s="168">
        <f t="shared" si="6"/>
        <v>0</v>
      </c>
      <c r="U44" s="139">
        <v>53211020000000</v>
      </c>
      <c r="V44" s="136" t="s">
        <v>41</v>
      </c>
      <c r="W44" s="142">
        <v>700000</v>
      </c>
      <c r="AG44" s="28"/>
    </row>
    <row r="45" spans="1:33" s="39" customFormat="1" ht="12.75" customHeight="1" x14ac:dyDescent="0.2">
      <c r="A45" s="910"/>
      <c r="B45" s="916"/>
      <c r="C45" s="77"/>
      <c r="D45" s="79"/>
      <c r="E45" s="80"/>
      <c r="F45" s="88"/>
      <c r="G45" s="102">
        <v>0</v>
      </c>
      <c r="H45" s="102">
        <v>0</v>
      </c>
      <c r="I45" s="122">
        <v>0</v>
      </c>
      <c r="J45" s="128">
        <f t="shared" si="8"/>
        <v>0</v>
      </c>
      <c r="K45" s="130">
        <f t="shared" si="0"/>
        <v>0</v>
      </c>
      <c r="L45" s="37"/>
      <c r="M45" s="162">
        <v>0</v>
      </c>
      <c r="N45" s="165">
        <f t="shared" si="1"/>
        <v>0</v>
      </c>
      <c r="O45" s="162">
        <v>0</v>
      </c>
      <c r="P45" s="163">
        <f t="shared" si="2"/>
        <v>0</v>
      </c>
      <c r="Q45" s="177">
        <v>0</v>
      </c>
      <c r="R45" s="165">
        <f t="shared" si="3"/>
        <v>0</v>
      </c>
      <c r="S45" s="168">
        <f t="shared" si="6"/>
        <v>0</v>
      </c>
      <c r="U45" s="139">
        <v>53101004030000</v>
      </c>
      <c r="V45" s="136" t="s">
        <v>38</v>
      </c>
      <c r="W45" s="142">
        <v>0</v>
      </c>
      <c r="AG45" s="28"/>
    </row>
    <row r="46" spans="1:33" s="39" customFormat="1" ht="12.75" customHeight="1" x14ac:dyDescent="0.2">
      <c r="A46" s="910"/>
      <c r="B46" s="916"/>
      <c r="C46" s="77"/>
      <c r="D46" s="79"/>
      <c r="E46" s="80"/>
      <c r="F46" s="88"/>
      <c r="G46" s="102">
        <v>0</v>
      </c>
      <c r="H46" s="102">
        <v>0</v>
      </c>
      <c r="I46" s="122">
        <v>0</v>
      </c>
      <c r="J46" s="128">
        <f t="shared" si="8"/>
        <v>0</v>
      </c>
      <c r="K46" s="130">
        <f t="shared" si="0"/>
        <v>0</v>
      </c>
      <c r="L46" s="37"/>
      <c r="M46" s="162">
        <v>0</v>
      </c>
      <c r="N46" s="165">
        <f t="shared" si="1"/>
        <v>0</v>
      </c>
      <c r="O46" s="162">
        <v>0</v>
      </c>
      <c r="P46" s="163">
        <f t="shared" si="2"/>
        <v>0</v>
      </c>
      <c r="Q46" s="177">
        <v>0</v>
      </c>
      <c r="R46" s="165">
        <f t="shared" si="3"/>
        <v>0</v>
      </c>
      <c r="S46" s="168">
        <f t="shared" si="6"/>
        <v>0</v>
      </c>
      <c r="U46" s="138"/>
      <c r="V46" s="135" t="s">
        <v>42</v>
      </c>
      <c r="W46" s="141">
        <f>SUM(W47:W48)</f>
        <v>0</v>
      </c>
      <c r="AG46" s="28"/>
    </row>
    <row r="47" spans="1:33" s="39" customFormat="1" ht="12.75" customHeight="1" x14ac:dyDescent="0.2">
      <c r="A47" s="910"/>
      <c r="B47" s="916"/>
      <c r="C47" s="77"/>
      <c r="D47" s="79"/>
      <c r="E47" s="80"/>
      <c r="F47" s="88"/>
      <c r="G47" s="102">
        <v>0</v>
      </c>
      <c r="H47" s="102">
        <v>0</v>
      </c>
      <c r="I47" s="122">
        <v>0</v>
      </c>
      <c r="J47" s="128">
        <f t="shared" si="8"/>
        <v>0</v>
      </c>
      <c r="K47" s="130">
        <f t="shared" si="0"/>
        <v>0</v>
      </c>
      <c r="L47" s="37"/>
      <c r="M47" s="162">
        <v>0</v>
      </c>
      <c r="N47" s="165">
        <f t="shared" si="1"/>
        <v>0</v>
      </c>
      <c r="O47" s="162">
        <v>0</v>
      </c>
      <c r="P47" s="163">
        <f t="shared" si="2"/>
        <v>0</v>
      </c>
      <c r="Q47" s="177">
        <v>0</v>
      </c>
      <c r="R47" s="165">
        <f t="shared" si="3"/>
        <v>0</v>
      </c>
      <c r="S47" s="168">
        <f t="shared" si="6"/>
        <v>0</v>
      </c>
      <c r="U47" s="139">
        <v>53205080000000</v>
      </c>
      <c r="V47" s="136" t="s">
        <v>43</v>
      </c>
      <c r="W47" s="142">
        <v>0</v>
      </c>
      <c r="AG47" s="28"/>
    </row>
    <row r="48" spans="1:33" s="39" customFormat="1" ht="12.75" customHeight="1" x14ac:dyDescent="0.2">
      <c r="A48" s="910"/>
      <c r="B48" s="916"/>
      <c r="C48" s="77"/>
      <c r="D48" s="79"/>
      <c r="E48" s="80"/>
      <c r="F48" s="88"/>
      <c r="G48" s="102">
        <v>0</v>
      </c>
      <c r="H48" s="102">
        <v>0</v>
      </c>
      <c r="I48" s="122">
        <v>0</v>
      </c>
      <c r="J48" s="128">
        <f t="shared" si="8"/>
        <v>0</v>
      </c>
      <c r="K48" s="130">
        <f t="shared" si="0"/>
        <v>0</v>
      </c>
      <c r="L48" s="37"/>
      <c r="M48" s="162">
        <v>0</v>
      </c>
      <c r="N48" s="165">
        <f t="shared" si="1"/>
        <v>0</v>
      </c>
      <c r="O48" s="162">
        <v>0</v>
      </c>
      <c r="P48" s="163">
        <f t="shared" si="2"/>
        <v>0</v>
      </c>
      <c r="Q48" s="177">
        <v>0</v>
      </c>
      <c r="R48" s="165">
        <f t="shared" si="3"/>
        <v>0</v>
      </c>
      <c r="S48" s="168">
        <f t="shared" si="6"/>
        <v>0</v>
      </c>
      <c r="U48" s="139">
        <v>53205990000000</v>
      </c>
      <c r="V48" s="136" t="s">
        <v>44</v>
      </c>
      <c r="W48" s="142">
        <v>0</v>
      </c>
      <c r="AG48" s="28"/>
    </row>
    <row r="49" spans="1:33" s="39" customFormat="1" ht="12.75" customHeight="1" x14ac:dyDescent="0.2">
      <c r="A49" s="910"/>
      <c r="B49" s="917"/>
      <c r="C49" s="77"/>
      <c r="D49" s="79"/>
      <c r="E49" s="80"/>
      <c r="F49" s="88"/>
      <c r="G49" s="102">
        <v>0</v>
      </c>
      <c r="H49" s="102">
        <v>0</v>
      </c>
      <c r="I49" s="122">
        <v>0</v>
      </c>
      <c r="J49" s="128">
        <f t="shared" si="7"/>
        <v>0</v>
      </c>
      <c r="K49" s="130">
        <f t="shared" si="0"/>
        <v>0</v>
      </c>
      <c r="L49" s="37"/>
      <c r="M49" s="162">
        <v>0</v>
      </c>
      <c r="N49" s="165">
        <f t="shared" si="1"/>
        <v>0</v>
      </c>
      <c r="O49" s="162">
        <v>0</v>
      </c>
      <c r="P49" s="163">
        <f t="shared" si="2"/>
        <v>0</v>
      </c>
      <c r="Q49" s="177">
        <v>0</v>
      </c>
      <c r="R49" s="165">
        <f t="shared" si="3"/>
        <v>0</v>
      </c>
      <c r="S49" s="168">
        <f t="shared" si="6"/>
        <v>0</v>
      </c>
      <c r="U49" s="138"/>
      <c r="V49" s="135" t="s">
        <v>45</v>
      </c>
      <c r="W49" s="141">
        <f>SUM(W50:W59)</f>
        <v>8810000</v>
      </c>
      <c r="AG49" s="28"/>
    </row>
    <row r="50" spans="1:33" s="39" customFormat="1" ht="12.75" customHeight="1" x14ac:dyDescent="0.2">
      <c r="A50" s="910"/>
      <c r="B50" s="916"/>
      <c r="C50" s="77"/>
      <c r="D50" s="79"/>
      <c r="E50" s="80"/>
      <c r="F50" s="88"/>
      <c r="G50" s="102">
        <v>0</v>
      </c>
      <c r="H50" s="102">
        <v>0</v>
      </c>
      <c r="I50" s="122">
        <v>0</v>
      </c>
      <c r="J50" s="128">
        <f t="shared" ref="J50:J53" si="9">SUM(G50:I50)</f>
        <v>0</v>
      </c>
      <c r="K50" s="130">
        <f t="shared" si="0"/>
        <v>0</v>
      </c>
      <c r="L50" s="37"/>
      <c r="M50" s="162">
        <v>0</v>
      </c>
      <c r="N50" s="165">
        <f t="shared" si="1"/>
        <v>0</v>
      </c>
      <c r="O50" s="162">
        <v>0</v>
      </c>
      <c r="P50" s="163">
        <f t="shared" si="2"/>
        <v>0</v>
      </c>
      <c r="Q50" s="177">
        <v>0</v>
      </c>
      <c r="R50" s="165">
        <f t="shared" si="3"/>
        <v>0</v>
      </c>
      <c r="S50" s="168">
        <f t="shared" si="6"/>
        <v>0</v>
      </c>
      <c r="U50" s="139">
        <v>53203010200000</v>
      </c>
      <c r="V50" s="136" t="s">
        <v>46</v>
      </c>
      <c r="W50" s="142">
        <v>1000000</v>
      </c>
      <c r="AG50" s="28"/>
    </row>
    <row r="51" spans="1:33" s="39" customFormat="1" ht="12.75" customHeight="1" x14ac:dyDescent="0.2">
      <c r="A51" s="910"/>
      <c r="B51" s="916"/>
      <c r="C51" s="77"/>
      <c r="D51" s="79"/>
      <c r="E51" s="80"/>
      <c r="F51" s="88"/>
      <c r="G51" s="102">
        <v>0</v>
      </c>
      <c r="H51" s="102">
        <v>0</v>
      </c>
      <c r="I51" s="122">
        <v>0</v>
      </c>
      <c r="J51" s="128">
        <f t="shared" si="9"/>
        <v>0</v>
      </c>
      <c r="K51" s="130">
        <f t="shared" si="0"/>
        <v>0</v>
      </c>
      <c r="L51" s="37"/>
      <c r="M51" s="162">
        <v>0</v>
      </c>
      <c r="N51" s="165">
        <f t="shared" si="1"/>
        <v>0</v>
      </c>
      <c r="O51" s="162">
        <v>0</v>
      </c>
      <c r="P51" s="163">
        <f t="shared" si="2"/>
        <v>0</v>
      </c>
      <c r="Q51" s="177">
        <v>0</v>
      </c>
      <c r="R51" s="165">
        <f t="shared" si="3"/>
        <v>0</v>
      </c>
      <c r="S51" s="168">
        <f t="shared" si="6"/>
        <v>0</v>
      </c>
      <c r="U51" s="139">
        <v>53204010000000</v>
      </c>
      <c r="V51" s="136" t="s">
        <v>47</v>
      </c>
      <c r="W51" s="142">
        <v>3400000</v>
      </c>
      <c r="AG51" s="28"/>
    </row>
    <row r="52" spans="1:33" s="39" customFormat="1" ht="12.75" customHeight="1" x14ac:dyDescent="0.2">
      <c r="A52" s="910"/>
      <c r="B52" s="916"/>
      <c r="C52" s="77"/>
      <c r="D52" s="79"/>
      <c r="E52" s="80"/>
      <c r="F52" s="88"/>
      <c r="G52" s="102">
        <v>0</v>
      </c>
      <c r="H52" s="102">
        <v>0</v>
      </c>
      <c r="I52" s="122">
        <v>0</v>
      </c>
      <c r="J52" s="128">
        <f t="shared" si="9"/>
        <v>0</v>
      </c>
      <c r="K52" s="130">
        <f t="shared" si="0"/>
        <v>0</v>
      </c>
      <c r="L52" s="37"/>
      <c r="M52" s="162">
        <v>0</v>
      </c>
      <c r="N52" s="165">
        <f t="shared" si="1"/>
        <v>0</v>
      </c>
      <c r="O52" s="162">
        <v>0</v>
      </c>
      <c r="P52" s="163">
        <f t="shared" si="2"/>
        <v>0</v>
      </c>
      <c r="Q52" s="177">
        <v>0</v>
      </c>
      <c r="R52" s="165">
        <f t="shared" si="3"/>
        <v>0</v>
      </c>
      <c r="S52" s="168">
        <f t="shared" si="6"/>
        <v>0</v>
      </c>
      <c r="U52" s="139">
        <v>53204040200000</v>
      </c>
      <c r="V52" s="136" t="s">
        <v>48</v>
      </c>
      <c r="W52" s="142">
        <v>0</v>
      </c>
      <c r="AG52" s="28"/>
    </row>
    <row r="53" spans="1:33" s="39" customFormat="1" ht="12.75" customHeight="1" x14ac:dyDescent="0.2">
      <c r="A53" s="910"/>
      <c r="B53" s="916"/>
      <c r="C53" s="77"/>
      <c r="D53" s="79"/>
      <c r="E53" s="80"/>
      <c r="F53" s="88"/>
      <c r="G53" s="102">
        <v>0</v>
      </c>
      <c r="H53" s="102">
        <v>0</v>
      </c>
      <c r="I53" s="122">
        <v>0</v>
      </c>
      <c r="J53" s="128">
        <f t="shared" si="9"/>
        <v>0</v>
      </c>
      <c r="K53" s="130">
        <f t="shared" si="0"/>
        <v>0</v>
      </c>
      <c r="L53" s="37"/>
      <c r="M53" s="162">
        <v>0</v>
      </c>
      <c r="N53" s="165">
        <f t="shared" si="1"/>
        <v>0</v>
      </c>
      <c r="O53" s="162">
        <v>0</v>
      </c>
      <c r="P53" s="163">
        <f t="shared" si="2"/>
        <v>0</v>
      </c>
      <c r="Q53" s="177">
        <v>0</v>
      </c>
      <c r="R53" s="165">
        <f t="shared" si="3"/>
        <v>0</v>
      </c>
      <c r="S53" s="168">
        <f t="shared" si="6"/>
        <v>0</v>
      </c>
      <c r="U53" s="139">
        <v>53204060000000</v>
      </c>
      <c r="V53" s="136" t="s">
        <v>49</v>
      </c>
      <c r="W53" s="142">
        <v>160000</v>
      </c>
      <c r="AG53" s="28"/>
    </row>
    <row r="54" spans="1:33" s="39" customFormat="1" ht="12.75" customHeight="1" x14ac:dyDescent="0.2">
      <c r="A54" s="910"/>
      <c r="B54" s="917"/>
      <c r="C54" s="77"/>
      <c r="D54" s="79"/>
      <c r="E54" s="80"/>
      <c r="F54" s="88"/>
      <c r="G54" s="102">
        <v>0</v>
      </c>
      <c r="H54" s="102">
        <v>0</v>
      </c>
      <c r="I54" s="122">
        <v>0</v>
      </c>
      <c r="J54" s="128">
        <f t="shared" si="7"/>
        <v>0</v>
      </c>
      <c r="K54" s="130">
        <f t="shared" si="0"/>
        <v>0</v>
      </c>
      <c r="L54" s="37"/>
      <c r="M54" s="162">
        <v>0</v>
      </c>
      <c r="N54" s="165">
        <f t="shared" si="1"/>
        <v>0</v>
      </c>
      <c r="O54" s="162">
        <v>0</v>
      </c>
      <c r="P54" s="163">
        <f t="shared" si="2"/>
        <v>0</v>
      </c>
      <c r="Q54" s="177">
        <v>0</v>
      </c>
      <c r="R54" s="165">
        <f t="shared" si="3"/>
        <v>0</v>
      </c>
      <c r="S54" s="168">
        <f t="shared" si="6"/>
        <v>0</v>
      </c>
      <c r="U54" s="139">
        <v>53204070000000</v>
      </c>
      <c r="V54" s="136" t="s">
        <v>50</v>
      </c>
      <c r="W54" s="142">
        <v>1340000</v>
      </c>
      <c r="AG54" s="28"/>
    </row>
    <row r="55" spans="1:33" s="39" customFormat="1" ht="12.75" customHeight="1" x14ac:dyDescent="0.2">
      <c r="A55" s="910"/>
      <c r="B55" s="917"/>
      <c r="C55" s="77"/>
      <c r="D55" s="79"/>
      <c r="E55" s="80"/>
      <c r="F55" s="88"/>
      <c r="G55" s="102">
        <v>0</v>
      </c>
      <c r="H55" s="102">
        <v>0</v>
      </c>
      <c r="I55" s="122">
        <v>0</v>
      </c>
      <c r="J55" s="128">
        <f t="shared" si="7"/>
        <v>0</v>
      </c>
      <c r="K55" s="130">
        <f t="shared" si="0"/>
        <v>0</v>
      </c>
      <c r="L55" s="37"/>
      <c r="M55" s="162">
        <v>0</v>
      </c>
      <c r="N55" s="165">
        <f t="shared" si="1"/>
        <v>0</v>
      </c>
      <c r="O55" s="162">
        <v>0</v>
      </c>
      <c r="P55" s="163">
        <f t="shared" si="2"/>
        <v>0</v>
      </c>
      <c r="Q55" s="177">
        <v>0</v>
      </c>
      <c r="R55" s="165">
        <f t="shared" si="3"/>
        <v>0</v>
      </c>
      <c r="S55" s="168">
        <f t="shared" si="6"/>
        <v>0</v>
      </c>
      <c r="U55" s="139">
        <v>53204080000000</v>
      </c>
      <c r="V55" s="136" t="s">
        <v>51</v>
      </c>
      <c r="W55" s="142">
        <v>110000</v>
      </c>
      <c r="AG55" s="28"/>
    </row>
    <row r="56" spans="1:33" s="39" customFormat="1" ht="12.75" customHeight="1" x14ac:dyDescent="0.2">
      <c r="A56" s="910"/>
      <c r="B56" s="917"/>
      <c r="C56" s="77"/>
      <c r="D56" s="79"/>
      <c r="E56" s="80"/>
      <c r="F56" s="88"/>
      <c r="G56" s="102">
        <v>0</v>
      </c>
      <c r="H56" s="102">
        <v>0</v>
      </c>
      <c r="I56" s="122">
        <v>0</v>
      </c>
      <c r="J56" s="128">
        <f t="shared" si="7"/>
        <v>0</v>
      </c>
      <c r="K56" s="130">
        <f t="shared" si="0"/>
        <v>0</v>
      </c>
      <c r="L56" s="37"/>
      <c r="M56" s="162">
        <v>0</v>
      </c>
      <c r="N56" s="165">
        <f t="shared" si="1"/>
        <v>0</v>
      </c>
      <c r="O56" s="162">
        <v>0</v>
      </c>
      <c r="P56" s="163">
        <f t="shared" si="2"/>
        <v>0</v>
      </c>
      <c r="Q56" s="177">
        <v>0</v>
      </c>
      <c r="R56" s="165">
        <f t="shared" si="3"/>
        <v>0</v>
      </c>
      <c r="S56" s="168">
        <f t="shared" si="6"/>
        <v>0</v>
      </c>
      <c r="U56" s="139">
        <v>53214010000000</v>
      </c>
      <c r="V56" s="136" t="s">
        <v>52</v>
      </c>
      <c r="W56" s="142">
        <v>300000</v>
      </c>
      <c r="AG56" s="28"/>
    </row>
    <row r="57" spans="1:33" s="39" customFormat="1" ht="12.75" customHeight="1" x14ac:dyDescent="0.2">
      <c r="A57" s="910"/>
      <c r="B57" s="917"/>
      <c r="C57" s="77"/>
      <c r="D57" s="79"/>
      <c r="E57" s="80"/>
      <c r="F57" s="88"/>
      <c r="G57" s="102">
        <v>0</v>
      </c>
      <c r="H57" s="102">
        <v>0</v>
      </c>
      <c r="I57" s="122">
        <v>0</v>
      </c>
      <c r="J57" s="128">
        <f t="shared" si="7"/>
        <v>0</v>
      </c>
      <c r="K57" s="130">
        <f t="shared" si="0"/>
        <v>0</v>
      </c>
      <c r="L57" s="37"/>
      <c r="M57" s="162">
        <v>0</v>
      </c>
      <c r="N57" s="165">
        <f t="shared" si="1"/>
        <v>0</v>
      </c>
      <c r="O57" s="162">
        <v>0</v>
      </c>
      <c r="P57" s="163">
        <f t="shared" si="2"/>
        <v>0</v>
      </c>
      <c r="Q57" s="177">
        <v>0</v>
      </c>
      <c r="R57" s="165">
        <f t="shared" si="3"/>
        <v>0</v>
      </c>
      <c r="S57" s="168">
        <f t="shared" si="6"/>
        <v>0</v>
      </c>
      <c r="U57" s="139">
        <v>53214040000000</v>
      </c>
      <c r="V57" s="136" t="s">
        <v>133</v>
      </c>
      <c r="W57" s="142">
        <v>2500000</v>
      </c>
      <c r="AG57" s="28"/>
    </row>
    <row r="58" spans="1:33" s="39" customFormat="1" ht="12.75" customHeight="1" x14ac:dyDescent="0.2">
      <c r="A58" s="910"/>
      <c r="B58" s="917"/>
      <c r="C58" s="77"/>
      <c r="D58" s="79"/>
      <c r="E58" s="80"/>
      <c r="F58" s="88"/>
      <c r="G58" s="102">
        <v>0</v>
      </c>
      <c r="H58" s="102">
        <v>0</v>
      </c>
      <c r="I58" s="122">
        <v>0</v>
      </c>
      <c r="J58" s="128">
        <f t="shared" si="7"/>
        <v>0</v>
      </c>
      <c r="K58" s="130">
        <f t="shared" si="0"/>
        <v>0</v>
      </c>
      <c r="L58" s="37"/>
      <c r="M58" s="162">
        <v>0</v>
      </c>
      <c r="N58" s="165">
        <f t="shared" si="1"/>
        <v>0</v>
      </c>
      <c r="O58" s="162">
        <v>0</v>
      </c>
      <c r="P58" s="163">
        <f t="shared" si="2"/>
        <v>0</v>
      </c>
      <c r="Q58" s="177">
        <v>0</v>
      </c>
      <c r="R58" s="165">
        <f t="shared" si="3"/>
        <v>0</v>
      </c>
      <c r="S58" s="168">
        <f t="shared" si="6"/>
        <v>0</v>
      </c>
      <c r="U58" s="139">
        <v>55201010100004</v>
      </c>
      <c r="V58" s="136" t="s">
        <v>53</v>
      </c>
      <c r="W58" s="142">
        <v>0</v>
      </c>
      <c r="AG58" s="28"/>
    </row>
    <row r="59" spans="1:33" s="39" customFormat="1" ht="12.75" customHeight="1" x14ac:dyDescent="0.2">
      <c r="A59" s="910"/>
      <c r="B59" s="917"/>
      <c r="C59" s="77"/>
      <c r="D59" s="79"/>
      <c r="E59" s="80"/>
      <c r="F59" s="88"/>
      <c r="G59" s="102">
        <v>0</v>
      </c>
      <c r="H59" s="102">
        <v>0</v>
      </c>
      <c r="I59" s="122">
        <v>0</v>
      </c>
      <c r="J59" s="128">
        <f t="shared" si="7"/>
        <v>0</v>
      </c>
      <c r="K59" s="130">
        <f t="shared" si="0"/>
        <v>0</v>
      </c>
      <c r="L59" s="37"/>
      <c r="M59" s="162">
        <v>0</v>
      </c>
      <c r="N59" s="165">
        <f t="shared" si="1"/>
        <v>0</v>
      </c>
      <c r="O59" s="162">
        <v>0</v>
      </c>
      <c r="P59" s="163">
        <f t="shared" si="2"/>
        <v>0</v>
      </c>
      <c r="Q59" s="177">
        <v>0</v>
      </c>
      <c r="R59" s="165">
        <f t="shared" si="3"/>
        <v>0</v>
      </c>
      <c r="S59" s="168">
        <f t="shared" si="6"/>
        <v>0</v>
      </c>
      <c r="U59" s="139">
        <v>55201010100005</v>
      </c>
      <c r="V59" s="136" t="s">
        <v>54</v>
      </c>
      <c r="W59" s="142">
        <v>0</v>
      </c>
      <c r="AG59" s="28"/>
    </row>
    <row r="60" spans="1:33" s="39" customFormat="1" ht="12.75" customHeight="1" x14ac:dyDescent="0.2">
      <c r="A60" s="910"/>
      <c r="B60" s="917"/>
      <c r="C60" s="77"/>
      <c r="D60" s="79"/>
      <c r="E60" s="80"/>
      <c r="F60" s="88"/>
      <c r="G60" s="102">
        <v>0</v>
      </c>
      <c r="H60" s="102">
        <v>0</v>
      </c>
      <c r="I60" s="122">
        <v>0</v>
      </c>
      <c r="J60" s="128">
        <f t="shared" si="7"/>
        <v>0</v>
      </c>
      <c r="K60" s="130">
        <f t="shared" si="0"/>
        <v>0</v>
      </c>
      <c r="L60" s="37"/>
      <c r="M60" s="162">
        <v>0</v>
      </c>
      <c r="N60" s="165">
        <f t="shared" si="1"/>
        <v>0</v>
      </c>
      <c r="O60" s="162">
        <v>0</v>
      </c>
      <c r="P60" s="163">
        <f t="shared" si="2"/>
        <v>0</v>
      </c>
      <c r="Q60" s="177">
        <v>0</v>
      </c>
      <c r="R60" s="165">
        <f t="shared" si="3"/>
        <v>0</v>
      </c>
      <c r="S60" s="168">
        <f t="shared" si="6"/>
        <v>0</v>
      </c>
      <c r="U60" s="138"/>
      <c r="V60" s="135" t="s">
        <v>55</v>
      </c>
      <c r="W60" s="141">
        <f>SUM(W61:W69)</f>
        <v>25170000</v>
      </c>
      <c r="AG60" s="28"/>
    </row>
    <row r="61" spans="1:33" s="39" customFormat="1" ht="12.75" customHeight="1" thickBot="1" x14ac:dyDescent="0.25">
      <c r="A61" s="911"/>
      <c r="B61" s="918"/>
      <c r="C61" s="132"/>
      <c r="D61" s="103"/>
      <c r="E61" s="104"/>
      <c r="F61" s="105"/>
      <c r="G61" s="106">
        <v>0</v>
      </c>
      <c r="H61" s="106">
        <v>0</v>
      </c>
      <c r="I61" s="123">
        <v>0</v>
      </c>
      <c r="J61" s="126">
        <f t="shared" si="7"/>
        <v>0</v>
      </c>
      <c r="K61" s="115">
        <f t="shared" si="0"/>
        <v>0</v>
      </c>
      <c r="L61" s="37"/>
      <c r="M61" s="396">
        <v>0</v>
      </c>
      <c r="N61" s="397">
        <f t="shared" si="1"/>
        <v>0</v>
      </c>
      <c r="O61" s="396">
        <v>0</v>
      </c>
      <c r="P61" s="398">
        <f t="shared" si="2"/>
        <v>0</v>
      </c>
      <c r="Q61" s="399">
        <v>0</v>
      </c>
      <c r="R61" s="397">
        <f t="shared" si="3"/>
        <v>0</v>
      </c>
      <c r="S61" s="170">
        <f t="shared" si="6"/>
        <v>0</v>
      </c>
      <c r="U61" s="139">
        <v>53207010000000</v>
      </c>
      <c r="V61" s="136" t="s">
        <v>56</v>
      </c>
      <c r="W61" s="142">
        <v>0</v>
      </c>
      <c r="AG61" s="28"/>
    </row>
    <row r="62" spans="1:33" s="39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395">
        <f>SUM(K15:K61)</f>
        <v>92403310.560000002</v>
      </c>
      <c r="L62" s="28"/>
      <c r="M62" s="400">
        <f>+N62/$K$62</f>
        <v>0.61251275504516944</v>
      </c>
      <c r="N62" s="401">
        <f>SUM(N15:N61)</f>
        <v>56598206.326399997</v>
      </c>
      <c r="O62" s="400">
        <f>+P62/$K$62</f>
        <v>0.19218743852547093</v>
      </c>
      <c r="P62" s="401">
        <f>SUM(P15:P61)</f>
        <v>17758755.5678</v>
      </c>
      <c r="Q62" s="400">
        <f>+R62/$K$62</f>
        <v>0.19488037446783008</v>
      </c>
      <c r="R62" s="401">
        <f>SUM(R15:R61)</f>
        <v>18007591.763999999</v>
      </c>
      <c r="S62" s="28"/>
      <c r="U62" s="139">
        <v>53207020000000</v>
      </c>
      <c r="V62" s="136" t="s">
        <v>57</v>
      </c>
      <c r="W62" s="142">
        <v>0</v>
      </c>
      <c r="AG62" s="28"/>
    </row>
    <row r="63" spans="1:33" s="39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71">
        <v>1</v>
      </c>
      <c r="L63" s="28"/>
      <c r="M63" s="28"/>
      <c r="O63" s="28"/>
      <c r="P63" s="28"/>
      <c r="Q63" s="28"/>
      <c r="R63" s="28"/>
      <c r="S63" s="28"/>
      <c r="U63" s="139">
        <v>53208020000000</v>
      </c>
      <c r="V63" s="136" t="s">
        <v>58</v>
      </c>
      <c r="W63" s="142">
        <v>0</v>
      </c>
      <c r="AG63" s="28"/>
    </row>
    <row r="64" spans="1:33" s="39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39">
        <v>53208990000000</v>
      </c>
      <c r="V64" s="136" t="s">
        <v>59</v>
      </c>
      <c r="W64" s="142">
        <v>19830000</v>
      </c>
      <c r="AG64" s="28"/>
    </row>
    <row r="65" spans="1:33" s="39" customFormat="1" ht="12.75" customHeight="1" x14ac:dyDescent="0.2">
      <c r="A65" s="903" t="s">
        <v>140</v>
      </c>
      <c r="B65" s="906" t="s">
        <v>122</v>
      </c>
      <c r="C65" s="131"/>
      <c r="D65" s="107"/>
      <c r="E65" s="108"/>
      <c r="F65" s="109" t="s">
        <v>121</v>
      </c>
      <c r="G65" s="101">
        <v>0</v>
      </c>
      <c r="H65" s="101">
        <v>0</v>
      </c>
      <c r="I65" s="121">
        <v>0</v>
      </c>
      <c r="J65" s="124">
        <f t="shared" si="5"/>
        <v>0</v>
      </c>
      <c r="K65" s="116">
        <f t="shared" si="0"/>
        <v>0</v>
      </c>
      <c r="L65" s="37"/>
      <c r="M65" s="28"/>
      <c r="N65" s="28"/>
      <c r="O65" s="28"/>
      <c r="P65" s="28"/>
      <c r="Q65" s="28"/>
      <c r="R65" s="28"/>
      <c r="S65" s="28"/>
      <c r="U65" s="139">
        <v>53209010000000</v>
      </c>
      <c r="V65" s="136" t="s">
        <v>60</v>
      </c>
      <c r="W65" s="142">
        <v>0</v>
      </c>
      <c r="AG65" s="28"/>
    </row>
    <row r="66" spans="1:33" s="39" customFormat="1" ht="12.75" customHeight="1" x14ac:dyDescent="0.2">
      <c r="A66" s="904"/>
      <c r="B66" s="907"/>
      <c r="C66" s="78"/>
      <c r="D66" s="110"/>
      <c r="E66" s="111"/>
      <c r="F66" s="81" t="s">
        <v>121</v>
      </c>
      <c r="G66" s="102">
        <v>0</v>
      </c>
      <c r="H66" s="102">
        <v>0</v>
      </c>
      <c r="I66" s="122">
        <v>0</v>
      </c>
      <c r="J66" s="125">
        <f t="shared" si="5"/>
        <v>0</v>
      </c>
      <c r="K66" s="117">
        <f t="shared" si="0"/>
        <v>0</v>
      </c>
      <c r="L66" s="37"/>
      <c r="M66" s="28"/>
      <c r="N66" s="28"/>
      <c r="O66" s="28"/>
      <c r="P66" s="28"/>
      <c r="Q66" s="28"/>
      <c r="R66" s="28"/>
      <c r="S66" s="28"/>
      <c r="U66" s="139">
        <v>53209040000000</v>
      </c>
      <c r="V66" s="136" t="s">
        <v>61</v>
      </c>
      <c r="W66" s="142">
        <v>0</v>
      </c>
      <c r="AG66" s="28"/>
    </row>
    <row r="67" spans="1:33" s="39" customFormat="1" ht="12.75" customHeight="1" x14ac:dyDescent="0.2">
      <c r="A67" s="904"/>
      <c r="B67" s="907"/>
      <c r="C67" s="78"/>
      <c r="D67" s="110"/>
      <c r="E67" s="111"/>
      <c r="F67" s="81" t="s">
        <v>121</v>
      </c>
      <c r="G67" s="102">
        <v>0</v>
      </c>
      <c r="H67" s="102">
        <v>0</v>
      </c>
      <c r="I67" s="122">
        <v>0</v>
      </c>
      <c r="J67" s="125">
        <f t="shared" si="5"/>
        <v>0</v>
      </c>
      <c r="K67" s="117">
        <f t="shared" si="0"/>
        <v>0</v>
      </c>
      <c r="L67" s="37"/>
      <c r="M67" s="28"/>
      <c r="N67" s="28"/>
      <c r="O67" s="28"/>
      <c r="P67" s="28"/>
      <c r="Q67" s="28"/>
      <c r="R67" s="28"/>
      <c r="S67" s="28"/>
      <c r="U67" s="139">
        <v>53209050000000</v>
      </c>
      <c r="V67" s="136" t="s">
        <v>62</v>
      </c>
      <c r="W67" s="142">
        <v>2600000</v>
      </c>
      <c r="AG67" s="28"/>
    </row>
    <row r="68" spans="1:33" s="39" customFormat="1" ht="12.75" customHeight="1" x14ac:dyDescent="0.2">
      <c r="A68" s="904"/>
      <c r="B68" s="907"/>
      <c r="C68" s="76"/>
      <c r="D68" s="112"/>
      <c r="E68" s="113"/>
      <c r="F68" s="114" t="s">
        <v>121</v>
      </c>
      <c r="G68" s="102">
        <v>0</v>
      </c>
      <c r="H68" s="102">
        <v>0</v>
      </c>
      <c r="I68" s="122">
        <v>0</v>
      </c>
      <c r="J68" s="125">
        <f t="shared" si="5"/>
        <v>0</v>
      </c>
      <c r="K68" s="117">
        <f t="shared" si="0"/>
        <v>0</v>
      </c>
      <c r="L68" s="37"/>
      <c r="M68" s="28"/>
      <c r="N68" s="28"/>
      <c r="O68" s="28"/>
      <c r="P68" s="28"/>
      <c r="Q68" s="28"/>
      <c r="R68" s="28"/>
      <c r="S68" s="28"/>
      <c r="U68" s="139">
        <v>53209990000000</v>
      </c>
      <c r="V68" s="136" t="s">
        <v>63</v>
      </c>
      <c r="W68" s="142">
        <v>620000</v>
      </c>
      <c r="AG68" s="28"/>
    </row>
    <row r="69" spans="1:33" s="39" customFormat="1" ht="12.75" customHeight="1" thickBot="1" x14ac:dyDescent="0.25">
      <c r="A69" s="905"/>
      <c r="B69" s="908"/>
      <c r="C69" s="132"/>
      <c r="D69" s="103"/>
      <c r="E69" s="104"/>
      <c r="F69" s="105" t="s">
        <v>121</v>
      </c>
      <c r="G69" s="106">
        <v>0</v>
      </c>
      <c r="H69" s="106">
        <v>0</v>
      </c>
      <c r="I69" s="123">
        <v>0</v>
      </c>
      <c r="J69" s="126">
        <f t="shared" si="5"/>
        <v>0</v>
      </c>
      <c r="K69" s="115">
        <f t="shared" si="0"/>
        <v>0</v>
      </c>
      <c r="L69" s="37"/>
      <c r="M69" s="28"/>
      <c r="N69" s="28"/>
      <c r="O69" s="28"/>
      <c r="P69" s="28"/>
      <c r="Q69" s="28"/>
      <c r="R69" s="28"/>
      <c r="S69" s="28"/>
      <c r="U69" s="139">
        <v>53210020100000</v>
      </c>
      <c r="V69" s="136" t="s">
        <v>64</v>
      </c>
      <c r="W69" s="142">
        <v>2120000</v>
      </c>
      <c r="AG69" s="28"/>
    </row>
    <row r="70" spans="1:33" ht="15.75" x14ac:dyDescent="0.2">
      <c r="C70" s="26"/>
      <c r="D70" s="26"/>
      <c r="E70" s="41"/>
      <c r="F70" s="41"/>
      <c r="G70" s="41"/>
      <c r="H70" s="41"/>
      <c r="I70" s="41"/>
      <c r="K70" s="70">
        <f>SUM(K65:K69)</f>
        <v>0</v>
      </c>
      <c r="L70" s="37"/>
      <c r="U70" s="138"/>
      <c r="V70" s="135" t="s">
        <v>65</v>
      </c>
      <c r="W70" s="141">
        <f>SUM(W71:W77)</f>
        <v>500000</v>
      </c>
    </row>
    <row r="71" spans="1:33" x14ac:dyDescent="0.2">
      <c r="K71" s="71">
        <v>1</v>
      </c>
      <c r="L71" s="37"/>
      <c r="M71" s="42"/>
      <c r="O71" s="42"/>
      <c r="Q71" s="42"/>
      <c r="U71" s="139">
        <v>53206030000000</v>
      </c>
      <c r="V71" s="136" t="s">
        <v>100</v>
      </c>
      <c r="W71" s="142">
        <v>0</v>
      </c>
    </row>
    <row r="72" spans="1:33" x14ac:dyDescent="0.2">
      <c r="L72" s="37"/>
      <c r="U72" s="139">
        <v>53206040000000</v>
      </c>
      <c r="V72" s="136" t="s">
        <v>101</v>
      </c>
      <c r="W72" s="142">
        <v>0</v>
      </c>
    </row>
    <row r="73" spans="1:33" x14ac:dyDescent="0.2">
      <c r="U73" s="139">
        <v>53206060000000</v>
      </c>
      <c r="V73" s="136" t="s">
        <v>102</v>
      </c>
      <c r="W73" s="142">
        <v>0</v>
      </c>
    </row>
    <row r="74" spans="1:33" x14ac:dyDescent="0.2">
      <c r="U74" s="139">
        <v>53206070000000</v>
      </c>
      <c r="V74" s="136" t="s">
        <v>103</v>
      </c>
      <c r="W74" s="142">
        <v>500000</v>
      </c>
    </row>
    <row r="75" spans="1:33" ht="15.75" customHeight="1" x14ac:dyDescent="0.2">
      <c r="H75" s="133"/>
      <c r="U75" s="139">
        <v>53206990000000</v>
      </c>
      <c r="V75" s="136" t="s">
        <v>104</v>
      </c>
      <c r="W75" s="142">
        <v>0</v>
      </c>
    </row>
    <row r="76" spans="1:33" x14ac:dyDescent="0.2">
      <c r="U76" s="139">
        <v>53208030000000</v>
      </c>
      <c r="V76" s="136" t="s">
        <v>105</v>
      </c>
      <c r="W76" s="142">
        <v>0</v>
      </c>
    </row>
    <row r="77" spans="1:33" x14ac:dyDescent="0.2">
      <c r="U77" s="139">
        <v>53212060000000</v>
      </c>
      <c r="V77" s="136" t="s">
        <v>98</v>
      </c>
      <c r="W77" s="142">
        <v>0</v>
      </c>
    </row>
    <row r="78" spans="1:33" x14ac:dyDescent="0.2">
      <c r="U78" s="138"/>
      <c r="V78" s="135" t="s">
        <v>66</v>
      </c>
      <c r="W78" s="141">
        <f>SUM(W79:W79)</f>
        <v>3280000</v>
      </c>
    </row>
    <row r="79" spans="1:33" x14ac:dyDescent="0.2">
      <c r="U79" s="139">
        <v>53204999000000</v>
      </c>
      <c r="V79" s="136" t="s">
        <v>97</v>
      </c>
      <c r="W79" s="142">
        <v>3280000</v>
      </c>
    </row>
    <row r="80" spans="1:33" x14ac:dyDescent="0.2">
      <c r="U80" s="143"/>
      <c r="V80" s="144" t="s">
        <v>143</v>
      </c>
      <c r="W80" s="145">
        <f>+W40+W15</f>
        <v>32865000</v>
      </c>
    </row>
    <row r="83" ht="15.75" customHeight="1" x14ac:dyDescent="0.2"/>
    <row r="97" spans="11:12" x14ac:dyDescent="0.2">
      <c r="L97" s="147"/>
    </row>
    <row r="99" spans="11:12" x14ac:dyDescent="0.2">
      <c r="K99" s="159"/>
    </row>
    <row r="101" spans="11:12" x14ac:dyDescent="0.2">
      <c r="K101" s="148"/>
    </row>
  </sheetData>
  <sheetProtection algorithmName="SHA-512" hashValue="2xLhBL5zgGiXxNkPNMA8IQLmna2ryXnRP2tvz4DtgewQuIEZSRZP7cCDkB9np6+CuqFFNZW1nzc75KPY/JYC2w==" saltValue="Vvm/XBlHI0JaOSwlSGhpuw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2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90" zoomScaleNormal="90" workbookViewId="0">
      <selection activeCell="G13" sqref="G13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207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199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97"/>
      <c r="F4" s="97" t="s">
        <v>0</v>
      </c>
      <c r="G4" s="946" t="str">
        <f>+'B) Reajuste Tarifas y Ocupación'!F5</f>
        <v>(DEPTO./DELEG.)</v>
      </c>
      <c r="H4" s="947"/>
      <c r="I4" s="97"/>
      <c r="J4" s="97"/>
      <c r="K4" s="97"/>
      <c r="L4" s="97"/>
      <c r="M4" s="97"/>
      <c r="N4" s="97"/>
      <c r="O4" s="97"/>
      <c r="P4" s="97"/>
      <c r="Q4" s="97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97"/>
      <c r="F5" s="97"/>
      <c r="G5" s="100"/>
      <c r="H5" s="100"/>
      <c r="I5" s="97"/>
      <c r="J5" s="97"/>
      <c r="K5" s="97"/>
      <c r="L5" s="97"/>
      <c r="M5" s="97"/>
      <c r="N5" s="97"/>
      <c r="O5" s="97"/>
      <c r="P5" s="97"/>
      <c r="Q5" s="97"/>
      <c r="IA5" s="4"/>
      <c r="IB5" s="4"/>
      <c r="IC5" s="4"/>
      <c r="ID5" s="4"/>
      <c r="IE5" s="4"/>
      <c r="IF5" s="4"/>
    </row>
    <row r="6" spans="1:245" s="6" customFormat="1" ht="15.75" x14ac:dyDescent="0.2">
      <c r="A6" s="954" t="s">
        <v>161</v>
      </c>
      <c r="B6" s="954"/>
      <c r="C6" s="954"/>
      <c r="D6" s="954"/>
      <c r="E6" s="99"/>
      <c r="F6" s="97"/>
      <c r="G6" s="100"/>
      <c r="H6" s="100"/>
      <c r="I6" s="97"/>
      <c r="J6" s="97"/>
      <c r="K6" s="97"/>
      <c r="L6" s="97"/>
      <c r="M6" s="97"/>
      <c r="N6" s="97"/>
      <c r="O6" s="97"/>
      <c r="P6" s="97"/>
      <c r="Q6" s="97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thickBot="1" x14ac:dyDescent="0.25">
      <c r="A8" s="955" t="s">
        <v>115</v>
      </c>
      <c r="B8" s="957" t="s">
        <v>5</v>
      </c>
      <c r="C8" s="951" t="s">
        <v>218</v>
      </c>
      <c r="D8" s="952"/>
      <c r="E8" s="952"/>
      <c r="F8" s="952"/>
      <c r="G8" s="953"/>
      <c r="H8" s="948" t="s">
        <v>138</v>
      </c>
      <c r="I8" s="949"/>
      <c r="J8" s="949"/>
      <c r="K8" s="949"/>
      <c r="L8" s="950"/>
      <c r="M8" s="944" t="s">
        <v>125</v>
      </c>
      <c r="N8" s="944"/>
      <c r="O8" s="944"/>
      <c r="P8" s="944"/>
      <c r="Q8" s="945"/>
      <c r="R8" s="944" t="s">
        <v>126</v>
      </c>
      <c r="S8" s="944"/>
      <c r="T8" s="944"/>
      <c r="U8" s="944"/>
      <c r="V8" s="945"/>
    </row>
    <row r="9" spans="1:245" ht="64.5" thickBot="1" x14ac:dyDescent="0.25">
      <c r="A9" s="956" t="e">
        <f>NA()</f>
        <v>#N/A</v>
      </c>
      <c r="B9" s="958" t="e">
        <f>NA()</f>
        <v>#N/A</v>
      </c>
      <c r="C9" s="87" t="s">
        <v>87</v>
      </c>
      <c r="D9" s="86" t="s">
        <v>136</v>
      </c>
      <c r="E9" s="86" t="s">
        <v>137</v>
      </c>
      <c r="F9" s="86" t="s">
        <v>88</v>
      </c>
      <c r="G9" s="61" t="s">
        <v>89</v>
      </c>
      <c r="H9" s="439" t="s">
        <v>87</v>
      </c>
      <c r="I9" s="440" t="s">
        <v>136</v>
      </c>
      <c r="J9" s="440" t="s">
        <v>137</v>
      </c>
      <c r="K9" s="440" t="s">
        <v>88</v>
      </c>
      <c r="L9" s="424" t="s">
        <v>89</v>
      </c>
      <c r="M9" s="423" t="s">
        <v>87</v>
      </c>
      <c r="N9" s="440" t="s">
        <v>136</v>
      </c>
      <c r="O9" s="440" t="s">
        <v>137</v>
      </c>
      <c r="P9" s="440" t="s">
        <v>88</v>
      </c>
      <c r="Q9" s="441" t="s">
        <v>89</v>
      </c>
      <c r="R9" s="442" t="s">
        <v>87</v>
      </c>
      <c r="S9" s="440" t="s">
        <v>136</v>
      </c>
      <c r="T9" s="440" t="s">
        <v>137</v>
      </c>
      <c r="U9" s="440" t="s">
        <v>88</v>
      </c>
      <c r="V9" s="424" t="s">
        <v>89</v>
      </c>
    </row>
    <row r="10" spans="1:245" s="10" customFormat="1" x14ac:dyDescent="0.2">
      <c r="A10" s="941" t="str">
        <f>+'B) Reajuste Tarifas y Ocupación'!A12</f>
        <v>Jardín Infantil Mar y Cielo</v>
      </c>
      <c r="B10" s="338" t="str">
        <f>+'B) Reajuste Tarifas y Ocupación'!B12</f>
        <v>Media jornada</v>
      </c>
      <c r="C10" s="342">
        <f>+'B) Reajuste Tarifas y Ocupación'!M12</f>
        <v>60300</v>
      </c>
      <c r="D10" s="343">
        <f>+'B) Reajuste Tarifas y Ocupación'!N12</f>
        <v>72400</v>
      </c>
      <c r="E10" s="343">
        <f>+'B) Reajuste Tarifas y Ocupación'!O12</f>
        <v>72400</v>
      </c>
      <c r="F10" s="343">
        <f>+'B) Reajuste Tarifas y Ocupación'!P12</f>
        <v>94600</v>
      </c>
      <c r="G10" s="350">
        <f>+'B) Reajuste Tarifas y Ocupación'!Q12</f>
        <v>111700</v>
      </c>
      <c r="H10" s="352">
        <f>+'B) Reajuste Tarifas y Ocupación'!C12</f>
        <v>60300</v>
      </c>
      <c r="I10" s="353">
        <f>+'B) Reajuste Tarifas y Ocupación'!D12</f>
        <v>72300</v>
      </c>
      <c r="J10" s="353">
        <f>+'B) Reajuste Tarifas y Ocupación'!E12</f>
        <v>72300</v>
      </c>
      <c r="K10" s="353">
        <f>+'B) Reajuste Tarifas y Ocupación'!F12</f>
        <v>94600</v>
      </c>
      <c r="L10" s="354">
        <f>+'B) Reajuste Tarifas y Ocupación'!G12</f>
        <v>111700</v>
      </c>
      <c r="M10" s="302">
        <f t="shared" ref="M10:Q11" si="0">C10-H10</f>
        <v>0</v>
      </c>
      <c r="N10" s="292">
        <f t="shared" si="0"/>
        <v>100</v>
      </c>
      <c r="O10" s="292">
        <f t="shared" si="0"/>
        <v>100</v>
      </c>
      <c r="P10" s="292">
        <f t="shared" si="0"/>
        <v>0</v>
      </c>
      <c r="Q10" s="355">
        <f t="shared" si="0"/>
        <v>0</v>
      </c>
      <c r="R10" s="356">
        <f>+'B) Reajuste Tarifas y Ocupación'!H12</f>
        <v>0</v>
      </c>
      <c r="S10" s="357">
        <f>+'B) Reajuste Tarifas y Ocupación'!I12</f>
        <v>0</v>
      </c>
      <c r="T10" s="357">
        <f>+'B) Reajuste Tarifas y Ocupación'!J12</f>
        <v>0</v>
      </c>
      <c r="U10" s="357">
        <f>+'B) Reajuste Tarifas y Ocupación'!K12</f>
        <v>0</v>
      </c>
      <c r="V10" s="358">
        <f>+'B) Reajuste Tarifas y Ocupación'!L12</f>
        <v>0</v>
      </c>
    </row>
    <row r="11" spans="1:245" s="10" customFormat="1" x14ac:dyDescent="0.2">
      <c r="A11" s="942"/>
      <c r="B11" s="339" t="str">
        <f>+'B) Reajuste Tarifas y Ocupación'!B13</f>
        <v xml:space="preserve">Doble jornada </v>
      </c>
      <c r="C11" s="345">
        <f>+'B) Reajuste Tarifas y Ocupación'!M13</f>
        <v>89800</v>
      </c>
      <c r="D11" s="341">
        <f>+'B) Reajuste Tarifas y Ocupación'!N13</f>
        <v>107800</v>
      </c>
      <c r="E11" s="341">
        <f>+'B) Reajuste Tarifas y Ocupación'!O13</f>
        <v>107800</v>
      </c>
      <c r="F11" s="341">
        <f>+'B) Reajuste Tarifas y Ocupación'!P13</f>
        <v>134800</v>
      </c>
      <c r="G11" s="351">
        <f>+'B) Reajuste Tarifas y Ocupación'!Q13</f>
        <v>158000</v>
      </c>
      <c r="H11" s="443">
        <f>+'B) Reajuste Tarifas y Ocupación'!C13</f>
        <v>89800</v>
      </c>
      <c r="I11" s="444">
        <f>+'B) Reajuste Tarifas y Ocupación'!D13</f>
        <v>107800</v>
      </c>
      <c r="J11" s="444">
        <f>+'B) Reajuste Tarifas y Ocupación'!E13</f>
        <v>107800</v>
      </c>
      <c r="K11" s="444">
        <f>+'B) Reajuste Tarifas y Ocupación'!F13</f>
        <v>134800</v>
      </c>
      <c r="L11" s="445">
        <f>+'B) Reajuste Tarifas y Ocupación'!G13</f>
        <v>158000</v>
      </c>
      <c r="M11" s="446">
        <f t="shared" si="0"/>
        <v>0</v>
      </c>
      <c r="N11" s="447">
        <f t="shared" si="0"/>
        <v>0</v>
      </c>
      <c r="O11" s="447">
        <f t="shared" si="0"/>
        <v>0</v>
      </c>
      <c r="P11" s="447">
        <f t="shared" si="0"/>
        <v>0</v>
      </c>
      <c r="Q11" s="448">
        <f t="shared" si="0"/>
        <v>0</v>
      </c>
      <c r="R11" s="449">
        <f>+'B) Reajuste Tarifas y Ocupación'!H13</f>
        <v>0</v>
      </c>
      <c r="S11" s="450">
        <f>+'B) Reajuste Tarifas y Ocupación'!I13</f>
        <v>0</v>
      </c>
      <c r="T11" s="450">
        <f>+'B) Reajuste Tarifas y Ocupación'!J13</f>
        <v>0</v>
      </c>
      <c r="U11" s="450">
        <f>+'B) Reajuste Tarifas y Ocupación'!K13</f>
        <v>0</v>
      </c>
      <c r="V11" s="451">
        <f>+'B) Reajuste Tarifas y Ocupación'!L13</f>
        <v>0</v>
      </c>
    </row>
    <row r="12" spans="1:245" s="10" customFormat="1" ht="13.5" thickBot="1" x14ac:dyDescent="0.25">
      <c r="A12" s="943"/>
      <c r="B12" s="340" t="str">
        <f>+'B) Reajuste Tarifas y Ocupación'!B14</f>
        <v>Jornada completa</v>
      </c>
      <c r="C12" s="666">
        <f>+'B) Reajuste Tarifas y Ocupación'!M14</f>
        <v>140200</v>
      </c>
      <c r="D12" s="667">
        <f>+'B) Reajuste Tarifas y Ocupación'!N14</f>
        <v>168300</v>
      </c>
      <c r="E12" s="667">
        <f>+'B) Reajuste Tarifas y Ocupación'!O14</f>
        <v>168300</v>
      </c>
      <c r="F12" s="667">
        <f>+'B) Reajuste Tarifas y Ocupación'!P14</f>
        <v>175300</v>
      </c>
      <c r="G12" s="668">
        <f>+'B) Reajuste Tarifas y Ocupación'!Q14</f>
        <v>182300</v>
      </c>
      <c r="H12" s="452">
        <f>+'B) Reajuste Tarifas y Ocupación'!C14</f>
        <v>140200</v>
      </c>
      <c r="I12" s="453">
        <f>+'B) Reajuste Tarifas y Ocupación'!D14</f>
        <v>168300</v>
      </c>
      <c r="J12" s="453">
        <f>+'B) Reajuste Tarifas y Ocupación'!E14</f>
        <v>168300</v>
      </c>
      <c r="K12" s="453">
        <f>+'B) Reajuste Tarifas y Ocupación'!F14</f>
        <v>175300</v>
      </c>
      <c r="L12" s="454">
        <f>+'B) Reajuste Tarifas y Ocupación'!G14</f>
        <v>182300</v>
      </c>
      <c r="M12" s="455">
        <f t="shared" ref="M12" si="1">C12-H12</f>
        <v>0</v>
      </c>
      <c r="N12" s="456">
        <f t="shared" ref="N12" si="2">D12-I12</f>
        <v>0</v>
      </c>
      <c r="O12" s="456">
        <f t="shared" ref="O12" si="3">E12-J12</f>
        <v>0</v>
      </c>
      <c r="P12" s="456">
        <f t="shared" ref="P12" si="4">F12-K12</f>
        <v>0</v>
      </c>
      <c r="Q12" s="457">
        <f t="shared" ref="Q12" si="5">G12-L12</f>
        <v>0</v>
      </c>
      <c r="R12" s="458">
        <f>+'B) Reajuste Tarifas y Ocupación'!H14</f>
        <v>0</v>
      </c>
      <c r="S12" s="459">
        <f>+'B) Reajuste Tarifas y Ocupación'!I14</f>
        <v>0</v>
      </c>
      <c r="T12" s="459">
        <f>+'B) Reajuste Tarifas y Ocupación'!J14</f>
        <v>0</v>
      </c>
      <c r="U12" s="459">
        <f>+'B) Reajuste Tarifas y Ocupación'!K14</f>
        <v>0</v>
      </c>
      <c r="V12" s="460">
        <f>+'B) Reajuste Tarifas y Ocupación'!L14</f>
        <v>0</v>
      </c>
    </row>
    <row r="13" spans="1:245" s="603" customFormat="1" x14ac:dyDescent="0.2">
      <c r="A13" s="938" t="str">
        <f>+'B) Reajuste Tarifas y Ocupación'!A15</f>
        <v>Sala Cuna Mar y Cielo</v>
      </c>
      <c r="B13" s="630" t="str">
        <f>+'[1]B) Reajuste Tarifas y Ocupación'!B15</f>
        <v>Diurna</v>
      </c>
      <c r="C13" s="631">
        <f>+'B) Reajuste Tarifas y Ocupación'!M15</f>
        <v>310000</v>
      </c>
      <c r="D13" s="632">
        <f>+'B) Reajuste Tarifas y Ocupación'!N15</f>
        <v>372000</v>
      </c>
      <c r="E13" s="632">
        <f>+'B) Reajuste Tarifas y Ocupación'!O15</f>
        <v>372000</v>
      </c>
      <c r="F13" s="632">
        <f>+'B) Reajuste Tarifas y Ocupación'!P15</f>
        <v>387500</v>
      </c>
      <c r="G13" s="669">
        <f>+'B) Reajuste Tarifas y Ocupación'!Q15</f>
        <v>465000</v>
      </c>
      <c r="H13" s="663"/>
      <c r="I13" s="633"/>
      <c r="J13" s="633"/>
      <c r="K13" s="633"/>
      <c r="L13" s="634"/>
      <c r="M13" s="635"/>
      <c r="N13" s="636"/>
      <c r="O13" s="636"/>
      <c r="P13" s="636"/>
      <c r="Q13" s="637"/>
      <c r="R13" s="638"/>
      <c r="S13" s="639"/>
      <c r="T13" s="639"/>
      <c r="U13" s="639"/>
      <c r="V13" s="640"/>
    </row>
    <row r="14" spans="1:245" s="603" customFormat="1" x14ac:dyDescent="0.2">
      <c r="A14" s="939"/>
      <c r="B14" s="641" t="str">
        <f>+'[1]B) Reajuste Tarifas y Ocupación'!B16</f>
        <v>Nocturna</v>
      </c>
      <c r="C14" s="642"/>
      <c r="D14" s="643"/>
      <c r="E14" s="643"/>
      <c r="F14" s="643"/>
      <c r="G14" s="670"/>
      <c r="H14" s="664"/>
      <c r="I14" s="644"/>
      <c r="J14" s="644"/>
      <c r="K14" s="644"/>
      <c r="L14" s="645"/>
      <c r="M14" s="646"/>
      <c r="N14" s="647"/>
      <c r="O14" s="647"/>
      <c r="P14" s="647"/>
      <c r="Q14" s="648"/>
      <c r="R14" s="649"/>
      <c r="S14" s="650"/>
      <c r="T14" s="650"/>
      <c r="U14" s="650"/>
      <c r="V14" s="651"/>
    </row>
    <row r="15" spans="1:245" s="603" customFormat="1" ht="13.5" thickBot="1" x14ac:dyDescent="0.25">
      <c r="A15" s="940"/>
      <c r="B15" s="652" t="str">
        <f>+'[1]B) Reajuste Tarifas y Ocupación'!B17</f>
        <v>Media Jornada</v>
      </c>
      <c r="C15" s="653">
        <f>+'[1]B) Reajuste Tarifas y Ocupación'!M17</f>
        <v>0</v>
      </c>
      <c r="D15" s="654">
        <f>+'[1]B) Reajuste Tarifas y Ocupación'!N17</f>
        <v>0</v>
      </c>
      <c r="E15" s="654">
        <f>+'[1]B) Reajuste Tarifas y Ocupación'!O17</f>
        <v>0</v>
      </c>
      <c r="F15" s="654">
        <f>+'[1]B) Reajuste Tarifas y Ocupación'!P17</f>
        <v>0</v>
      </c>
      <c r="G15" s="671">
        <f>+'[1]B) Reajuste Tarifas y Ocupación'!Q17</f>
        <v>0</v>
      </c>
      <c r="H15" s="665"/>
      <c r="I15" s="655"/>
      <c r="J15" s="655"/>
      <c r="K15" s="655"/>
      <c r="L15" s="656"/>
      <c r="M15" s="657"/>
      <c r="N15" s="658"/>
      <c r="O15" s="658"/>
      <c r="P15" s="658"/>
      <c r="Q15" s="659"/>
      <c r="R15" s="660"/>
      <c r="S15" s="661"/>
      <c r="T15" s="661"/>
      <c r="U15" s="661"/>
      <c r="V15" s="662"/>
    </row>
  </sheetData>
  <sheetProtection algorithmName="SHA-512" hashValue="dv8QsOoRdLLshFzMoYY17cQogj14L2oqXD0tRsqMEyGRnGF5lIFcNH/0zEZlE3kTK0ORlIyIAfjsi5Pd33eqSA==" saltValue="+6SFuNxHXeYnSGF7G8NfEQ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1" priority="2" operator="lessThan">
      <formula>0</formula>
    </cfRule>
  </conditionalFormatting>
  <conditionalFormatting sqref="M13:Q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3"/>
  <sheetViews>
    <sheetView showGridLines="0" topLeftCell="A4" zoomScale="80" zoomScaleNormal="80" workbookViewId="0">
      <selection activeCell="G32" sqref="G32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5.140625" style="28" bestFit="1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2" width="19.14062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3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4" t="s">
        <v>208</v>
      </c>
      <c r="F1" s="44"/>
      <c r="G1" s="44"/>
      <c r="H1" s="44"/>
      <c r="I1" s="44"/>
      <c r="J1" s="7"/>
      <c r="K1" s="7"/>
      <c r="IM1" s="4"/>
      <c r="IN1" s="4"/>
    </row>
    <row r="2" spans="2:259" s="6" customFormat="1" x14ac:dyDescent="0.2">
      <c r="E2" s="44" t="s">
        <v>200</v>
      </c>
      <c r="F2" s="44"/>
      <c r="G2" s="44"/>
      <c r="H2" s="44"/>
      <c r="I2" s="44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96" t="s">
        <v>0</v>
      </c>
      <c r="E4" s="160" t="str">
        <f>+'B) Reajuste Tarifas y Ocupación'!F5</f>
        <v>(DEPTO./DELEG.)</v>
      </c>
      <c r="F4" s="64"/>
      <c r="G4" s="65"/>
      <c r="H4" s="65"/>
      <c r="I4" s="65"/>
      <c r="J4" s="65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97"/>
      <c r="E5" s="100"/>
      <c r="F5" s="100"/>
      <c r="G5" s="100"/>
      <c r="H5" s="100"/>
      <c r="I5" s="100"/>
      <c r="J5" s="100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97"/>
      <c r="E6" s="100"/>
      <c r="F6" s="100"/>
      <c r="G6" s="100"/>
      <c r="H6" s="100"/>
      <c r="I6" s="100"/>
      <c r="J6" s="100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812" t="s">
        <v>162</v>
      </c>
      <c r="C7" s="812"/>
      <c r="D7" s="812"/>
      <c r="E7" s="812"/>
      <c r="F7" s="98"/>
      <c r="G7" s="98"/>
      <c r="H7" s="98"/>
      <c r="I7" s="98"/>
      <c r="J7" s="100"/>
      <c r="K7" s="66" t="s">
        <v>4</v>
      </c>
      <c r="L7" s="67">
        <v>0.03</v>
      </c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967" t="s">
        <v>115</v>
      </c>
      <c r="C9" s="895" t="s">
        <v>73</v>
      </c>
      <c r="D9" s="895" t="s">
        <v>74</v>
      </c>
      <c r="E9" s="897" t="s">
        <v>3</v>
      </c>
      <c r="F9" s="965" t="s">
        <v>82</v>
      </c>
      <c r="G9" s="972" t="s">
        <v>219</v>
      </c>
      <c r="H9" s="973"/>
      <c r="I9" s="973"/>
      <c r="J9" s="974"/>
      <c r="K9" s="975" t="s">
        <v>220</v>
      </c>
      <c r="L9" s="977" t="s">
        <v>116</v>
      </c>
      <c r="O9" s="27"/>
      <c r="P9" s="27"/>
      <c r="Q9" s="27"/>
      <c r="R9" s="27"/>
      <c r="S9" s="27"/>
      <c r="T9" s="27"/>
    </row>
    <row r="10" spans="2:259" ht="39" thickBot="1" x14ac:dyDescent="0.25">
      <c r="B10" s="968"/>
      <c r="C10" s="896"/>
      <c r="D10" s="896"/>
      <c r="E10" s="898"/>
      <c r="F10" s="966"/>
      <c r="G10" s="171" t="s">
        <v>223</v>
      </c>
      <c r="H10" s="68" t="s">
        <v>117</v>
      </c>
      <c r="I10" s="68" t="s">
        <v>118</v>
      </c>
      <c r="J10" s="431" t="s">
        <v>221</v>
      </c>
      <c r="K10" s="976"/>
      <c r="L10" s="978"/>
      <c r="M10" s="29"/>
      <c r="N10" s="55"/>
      <c r="O10" s="55"/>
      <c r="P10" s="20"/>
      <c r="Q10" s="20"/>
      <c r="R10" s="20"/>
      <c r="S10" s="29"/>
      <c r="T10" s="959"/>
      <c r="U10" s="959"/>
      <c r="V10" s="959"/>
      <c r="W10" s="959"/>
      <c r="X10" s="29"/>
    </row>
    <row r="11" spans="2:259" s="2" customFormat="1" x14ac:dyDescent="0.2">
      <c r="B11" s="960" t="str">
        <f>+'B) Reajuste Tarifas y Ocupación'!A12</f>
        <v>Jardín Infantil Mar y Cielo</v>
      </c>
      <c r="C11" s="682" t="s">
        <v>231</v>
      </c>
      <c r="D11" s="540" t="s">
        <v>232</v>
      </c>
      <c r="E11" s="540" t="s">
        <v>245</v>
      </c>
      <c r="F11" s="675" t="s">
        <v>233</v>
      </c>
      <c r="G11" s="672">
        <v>12448044</v>
      </c>
      <c r="H11" s="210">
        <v>188000</v>
      </c>
      <c r="I11" s="210">
        <v>131808</v>
      </c>
      <c r="J11" s="432">
        <f>SUM(G11:I11)</f>
        <v>12767852</v>
      </c>
      <c r="K11" s="435">
        <f>+J11*(1+$L$7)</f>
        <v>13150887.560000001</v>
      </c>
      <c r="L11" s="962">
        <f>SUM(K11:K25)</f>
        <v>53369612.739999995</v>
      </c>
      <c r="M11" s="29"/>
      <c r="N11" s="34"/>
      <c r="O11" s="34"/>
      <c r="P11" s="56"/>
      <c r="Q11" s="56"/>
      <c r="R11" s="56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61"/>
      <c r="C12" s="683" t="s">
        <v>234</v>
      </c>
      <c r="D12" s="544" t="s">
        <v>235</v>
      </c>
      <c r="E12" s="544" t="s">
        <v>246</v>
      </c>
      <c r="F12" s="676" t="s">
        <v>233</v>
      </c>
      <c r="G12" s="673">
        <v>6212088</v>
      </c>
      <c r="H12" s="161">
        <v>328000</v>
      </c>
      <c r="I12" s="161">
        <v>134879</v>
      </c>
      <c r="J12" s="433">
        <f t="shared" ref="J12:J25" si="0">SUM(G12:I12)</f>
        <v>6674967</v>
      </c>
      <c r="K12" s="436">
        <f t="shared" ref="K12:K25" si="1">+J12*(1+$L$7)</f>
        <v>6875216.0099999998</v>
      </c>
      <c r="L12" s="963"/>
      <c r="M12" s="29"/>
      <c r="N12" s="34"/>
      <c r="O12" s="34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61"/>
      <c r="C13" s="683" t="s">
        <v>236</v>
      </c>
      <c r="D13" s="544" t="s">
        <v>237</v>
      </c>
      <c r="E13" s="544" t="s">
        <v>246</v>
      </c>
      <c r="F13" s="676" t="s">
        <v>233</v>
      </c>
      <c r="G13" s="673">
        <v>6212088</v>
      </c>
      <c r="H13" s="161">
        <v>328000</v>
      </c>
      <c r="I13" s="161">
        <v>134879</v>
      </c>
      <c r="J13" s="433">
        <f t="shared" si="0"/>
        <v>6674967</v>
      </c>
      <c r="K13" s="436">
        <f t="shared" si="1"/>
        <v>6875216.0099999998</v>
      </c>
      <c r="L13" s="963"/>
      <c r="M13" s="29"/>
      <c r="N13" s="34"/>
      <c r="O13" s="34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61"/>
      <c r="C14" s="683" t="s">
        <v>238</v>
      </c>
      <c r="D14" s="544" t="s">
        <v>239</v>
      </c>
      <c r="E14" s="544" t="s">
        <v>246</v>
      </c>
      <c r="F14" s="676" t="s">
        <v>233</v>
      </c>
      <c r="G14" s="673">
        <v>6212088</v>
      </c>
      <c r="H14" s="161">
        <v>328000</v>
      </c>
      <c r="I14" s="161">
        <v>134879</v>
      </c>
      <c r="J14" s="433">
        <f t="shared" si="0"/>
        <v>6674967</v>
      </c>
      <c r="K14" s="436">
        <f t="shared" si="1"/>
        <v>6875216.0099999998</v>
      </c>
      <c r="L14" s="963"/>
      <c r="M14" s="29"/>
      <c r="N14" s="34"/>
      <c r="O14" s="34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61"/>
      <c r="C15" s="683" t="s">
        <v>240</v>
      </c>
      <c r="D15" s="544" t="s">
        <v>241</v>
      </c>
      <c r="E15" s="544" t="s">
        <v>246</v>
      </c>
      <c r="F15" s="676" t="s">
        <v>233</v>
      </c>
      <c r="G15" s="673">
        <v>6212088</v>
      </c>
      <c r="H15" s="161">
        <v>328000</v>
      </c>
      <c r="I15" s="161">
        <v>134879</v>
      </c>
      <c r="J15" s="433">
        <f t="shared" si="0"/>
        <v>6674967</v>
      </c>
      <c r="K15" s="436">
        <f t="shared" si="1"/>
        <v>6875216.0099999998</v>
      </c>
      <c r="L15" s="963"/>
      <c r="M15" s="29"/>
      <c r="N15" s="34"/>
      <c r="O15" s="34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61"/>
      <c r="C16" s="683"/>
      <c r="D16" s="544"/>
      <c r="E16" s="544"/>
      <c r="F16" s="676"/>
      <c r="G16" s="673"/>
      <c r="H16" s="161"/>
      <c r="I16" s="161"/>
      <c r="J16" s="433">
        <f>SUM(G16:I16)</f>
        <v>0</v>
      </c>
      <c r="K16" s="436">
        <f t="shared" si="1"/>
        <v>0</v>
      </c>
      <c r="L16" s="963"/>
      <c r="M16" s="29"/>
      <c r="N16" s="34"/>
      <c r="O16" s="34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61"/>
      <c r="C17" s="683" t="s">
        <v>243</v>
      </c>
      <c r="D17" s="544" t="s">
        <v>243</v>
      </c>
      <c r="E17" s="544" t="s">
        <v>242</v>
      </c>
      <c r="F17" s="676" t="s">
        <v>233</v>
      </c>
      <c r="G17" s="673">
        <v>5309458</v>
      </c>
      <c r="H17" s="161">
        <v>328000</v>
      </c>
      <c r="I17" s="161">
        <v>131128</v>
      </c>
      <c r="J17" s="433">
        <f>SUM(G17:I17)</f>
        <v>5768586</v>
      </c>
      <c r="K17" s="436">
        <f t="shared" si="1"/>
        <v>5941643.5800000001</v>
      </c>
      <c r="L17" s="963"/>
      <c r="M17" s="29"/>
      <c r="N17" s="34"/>
      <c r="O17" s="34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61"/>
      <c r="C18" s="683" t="s">
        <v>243</v>
      </c>
      <c r="D18" s="544" t="s">
        <v>243</v>
      </c>
      <c r="E18" s="544" t="s">
        <v>244</v>
      </c>
      <c r="F18" s="676" t="s">
        <v>233</v>
      </c>
      <c r="G18" s="673">
        <v>6119724</v>
      </c>
      <c r="H18" s="161">
        <v>328000</v>
      </c>
      <c r="I18" s="161">
        <v>131128</v>
      </c>
      <c r="J18" s="433">
        <f>SUM(G18:I18)</f>
        <v>6578852</v>
      </c>
      <c r="K18" s="436">
        <f>+J18*(1+$L$7)</f>
        <v>6776217.5600000005</v>
      </c>
      <c r="L18" s="963"/>
      <c r="M18" s="29"/>
      <c r="N18" s="34"/>
      <c r="O18" s="34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61"/>
      <c r="C19" s="683"/>
      <c r="D19" s="544"/>
      <c r="E19" s="544"/>
      <c r="F19" s="676"/>
      <c r="G19" s="673">
        <v>0</v>
      </c>
      <c r="H19" s="161">
        <v>0</v>
      </c>
      <c r="I19" s="161">
        <v>0</v>
      </c>
      <c r="J19" s="433">
        <f t="shared" ref="J19:J23" si="2">SUM(G19:I19)</f>
        <v>0</v>
      </c>
      <c r="K19" s="436">
        <f t="shared" ref="K19:K23" si="3">+J19*(1+$L$7)</f>
        <v>0</v>
      </c>
      <c r="L19" s="963"/>
      <c r="M19" s="29"/>
      <c r="N19" s="34"/>
      <c r="O19" s="34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61"/>
      <c r="C20" s="683"/>
      <c r="D20" s="544"/>
      <c r="E20" s="544"/>
      <c r="F20" s="676"/>
      <c r="G20" s="673">
        <v>0</v>
      </c>
      <c r="H20" s="161">
        <v>0</v>
      </c>
      <c r="I20" s="161">
        <v>0</v>
      </c>
      <c r="J20" s="433">
        <f t="shared" si="2"/>
        <v>0</v>
      </c>
      <c r="K20" s="436">
        <f t="shared" si="3"/>
        <v>0</v>
      </c>
      <c r="L20" s="963"/>
      <c r="M20" s="29"/>
      <c r="N20" s="34"/>
      <c r="O20" s="34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61"/>
      <c r="C21" s="683"/>
      <c r="D21" s="544"/>
      <c r="E21" s="544"/>
      <c r="F21" s="676"/>
      <c r="G21" s="673">
        <v>0</v>
      </c>
      <c r="H21" s="161">
        <v>0</v>
      </c>
      <c r="I21" s="161">
        <v>0</v>
      </c>
      <c r="J21" s="433">
        <f t="shared" si="2"/>
        <v>0</v>
      </c>
      <c r="K21" s="436">
        <f t="shared" si="3"/>
        <v>0</v>
      </c>
      <c r="L21" s="963"/>
      <c r="M21" s="29"/>
      <c r="N21" s="34"/>
      <c r="O21" s="34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961"/>
      <c r="C22" s="683"/>
      <c r="D22" s="544"/>
      <c r="E22" s="544"/>
      <c r="F22" s="676"/>
      <c r="G22" s="673">
        <v>0</v>
      </c>
      <c r="H22" s="161">
        <v>0</v>
      </c>
      <c r="I22" s="161">
        <v>0</v>
      </c>
      <c r="J22" s="433">
        <f t="shared" si="2"/>
        <v>0</v>
      </c>
      <c r="K22" s="436">
        <f t="shared" si="3"/>
        <v>0</v>
      </c>
      <c r="L22" s="963"/>
      <c r="M22" s="29"/>
      <c r="N22" s="34"/>
      <c r="O22" s="34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961"/>
      <c r="C23" s="683"/>
      <c r="D23" s="544"/>
      <c r="E23" s="544"/>
      <c r="F23" s="676"/>
      <c r="G23" s="673">
        <v>0</v>
      </c>
      <c r="H23" s="161">
        <v>0</v>
      </c>
      <c r="I23" s="161">
        <v>0</v>
      </c>
      <c r="J23" s="433">
        <f t="shared" si="2"/>
        <v>0</v>
      </c>
      <c r="K23" s="436">
        <f t="shared" si="3"/>
        <v>0</v>
      </c>
      <c r="L23" s="963"/>
      <c r="M23" s="29"/>
      <c r="N23" s="34"/>
      <c r="O23" s="34"/>
      <c r="P23" s="20"/>
      <c r="Q23" s="20"/>
      <c r="R23" s="20"/>
      <c r="S23" s="31"/>
      <c r="T23" s="30"/>
      <c r="U23" s="30"/>
      <c r="V23" s="30"/>
      <c r="W23" s="30"/>
      <c r="X23" s="32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961"/>
      <c r="C24" s="683"/>
      <c r="D24" s="544"/>
      <c r="E24" s="544"/>
      <c r="F24" s="676"/>
      <c r="G24" s="673">
        <v>0</v>
      </c>
      <c r="H24" s="161">
        <v>0</v>
      </c>
      <c r="I24" s="161">
        <v>0</v>
      </c>
      <c r="J24" s="433">
        <f t="shared" si="0"/>
        <v>0</v>
      </c>
      <c r="K24" s="436">
        <f t="shared" si="1"/>
        <v>0</v>
      </c>
      <c r="L24" s="963"/>
      <c r="M24" s="29"/>
      <c r="N24" s="34"/>
      <c r="O24" s="34"/>
      <c r="P24" s="20"/>
      <c r="Q24" s="20"/>
      <c r="R24" s="20"/>
      <c r="S24" s="31"/>
      <c r="T24" s="30"/>
      <c r="U24" s="30"/>
      <c r="V24" s="30"/>
      <c r="W24" s="30"/>
      <c r="X24" s="32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ht="13.5" thickBot="1" x14ac:dyDescent="0.25">
      <c r="B25" s="961"/>
      <c r="C25" s="217"/>
      <c r="D25" s="211"/>
      <c r="E25" s="211"/>
      <c r="F25" s="677"/>
      <c r="G25" s="674">
        <v>0</v>
      </c>
      <c r="H25" s="212">
        <v>0</v>
      </c>
      <c r="I25" s="212">
        <v>0</v>
      </c>
      <c r="J25" s="434">
        <f t="shared" si="0"/>
        <v>0</v>
      </c>
      <c r="K25" s="437">
        <f t="shared" si="1"/>
        <v>0</v>
      </c>
      <c r="L25" s="964"/>
      <c r="M25" s="29"/>
      <c r="N25" s="34"/>
      <c r="O25" s="34"/>
      <c r="P25" s="34"/>
      <c r="Q25" s="34"/>
      <c r="R25" s="34"/>
      <c r="S25" s="35"/>
      <c r="T25" s="34"/>
      <c r="U25" s="34"/>
      <c r="V25" s="34"/>
      <c r="W25" s="34"/>
      <c r="X25" s="36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</row>
    <row r="26" spans="2:259" x14ac:dyDescent="0.2">
      <c r="B26" s="969" t="str">
        <f>+'B) Reajuste Tarifas y Ocupación'!A15</f>
        <v>Sala Cuna Mar y Cielo</v>
      </c>
      <c r="C26" s="680" t="s">
        <v>243</v>
      </c>
      <c r="D26" s="680" t="s">
        <v>243</v>
      </c>
      <c r="E26" s="680" t="s">
        <v>245</v>
      </c>
      <c r="F26" s="681" t="s">
        <v>358</v>
      </c>
      <c r="G26" s="673">
        <v>12448044</v>
      </c>
      <c r="H26" s="161">
        <v>188000</v>
      </c>
      <c r="I26" s="161">
        <v>131808</v>
      </c>
      <c r="J26" s="432">
        <f>SUM(G26:I26)</f>
        <v>12767852</v>
      </c>
      <c r="K26" s="435">
        <f>+J26*(1+$L$7)</f>
        <v>13150887.560000001</v>
      </c>
      <c r="L26" s="962">
        <f>SUM(K26:K40)</f>
        <v>33677537.140000001</v>
      </c>
      <c r="M26" s="27"/>
      <c r="N26" s="27"/>
      <c r="O26" s="27"/>
      <c r="P26" s="34"/>
      <c r="Q26" s="34"/>
      <c r="R26" s="34"/>
      <c r="S26" s="37"/>
      <c r="T26" s="37"/>
      <c r="U26" s="38"/>
      <c r="V26" s="38"/>
      <c r="W26" s="39"/>
      <c r="X26" s="39"/>
    </row>
    <row r="27" spans="2:259" x14ac:dyDescent="0.2">
      <c r="B27" s="970"/>
      <c r="C27" s="544" t="s">
        <v>243</v>
      </c>
      <c r="D27" s="544" t="s">
        <v>243</v>
      </c>
      <c r="E27" s="544" t="s">
        <v>246</v>
      </c>
      <c r="F27" s="676" t="s">
        <v>358</v>
      </c>
      <c r="G27" s="673">
        <v>6212088</v>
      </c>
      <c r="H27" s="161">
        <v>328000</v>
      </c>
      <c r="I27" s="161">
        <v>134879</v>
      </c>
      <c r="J27" s="433">
        <f t="shared" ref="J27:J30" si="4">SUM(G27:I27)</f>
        <v>6674967</v>
      </c>
      <c r="K27" s="436">
        <f t="shared" ref="K27:K32" si="5">+J27*(1+$L$7)</f>
        <v>6875216.0099999998</v>
      </c>
      <c r="L27" s="963"/>
      <c r="M27" s="27"/>
      <c r="N27" s="27"/>
      <c r="O27" s="27"/>
      <c r="P27" s="34"/>
      <c r="Q27" s="34"/>
      <c r="R27" s="34"/>
      <c r="S27" s="37"/>
      <c r="T27" s="37"/>
      <c r="U27" s="38"/>
      <c r="V27" s="38"/>
      <c r="W27" s="39"/>
      <c r="X27" s="39"/>
    </row>
    <row r="28" spans="2:259" x14ac:dyDescent="0.2">
      <c r="B28" s="970"/>
      <c r="C28" s="544" t="s">
        <v>243</v>
      </c>
      <c r="D28" s="544" t="s">
        <v>243</v>
      </c>
      <c r="E28" s="544" t="s">
        <v>246</v>
      </c>
      <c r="F28" s="676" t="s">
        <v>358</v>
      </c>
      <c r="G28" s="673">
        <v>6212088</v>
      </c>
      <c r="H28" s="161">
        <v>328000</v>
      </c>
      <c r="I28" s="161">
        <v>134879</v>
      </c>
      <c r="J28" s="433">
        <f t="shared" si="4"/>
        <v>6674967</v>
      </c>
      <c r="K28" s="436">
        <f t="shared" si="5"/>
        <v>6875216.0099999998</v>
      </c>
      <c r="L28" s="963"/>
      <c r="M28" s="37"/>
      <c r="N28" s="37"/>
      <c r="O28" s="37"/>
      <c r="P28" s="37"/>
      <c r="Q28" s="37"/>
      <c r="R28" s="37"/>
      <c r="S28" s="37"/>
      <c r="T28" s="37"/>
      <c r="U28" s="38"/>
      <c r="V28" s="38"/>
      <c r="W28" s="39"/>
      <c r="X28" s="39"/>
    </row>
    <row r="29" spans="2:259" x14ac:dyDescent="0.2">
      <c r="B29" s="970"/>
      <c r="C29" s="544" t="s">
        <v>243</v>
      </c>
      <c r="D29" s="544" t="s">
        <v>243</v>
      </c>
      <c r="E29" s="678" t="s">
        <v>244</v>
      </c>
      <c r="F29" s="676" t="s">
        <v>358</v>
      </c>
      <c r="G29" s="679">
        <v>6119724</v>
      </c>
      <c r="H29" s="569">
        <v>328000</v>
      </c>
      <c r="I29" s="569">
        <v>131128</v>
      </c>
      <c r="J29" s="433">
        <f t="shared" si="4"/>
        <v>6578852</v>
      </c>
      <c r="K29" s="436">
        <f t="shared" si="5"/>
        <v>6776217.5600000005</v>
      </c>
      <c r="L29" s="963"/>
      <c r="M29" s="37"/>
      <c r="N29" s="37"/>
      <c r="O29" s="37"/>
      <c r="P29" s="37"/>
      <c r="Q29" s="37"/>
      <c r="R29" s="37"/>
      <c r="S29" s="37"/>
      <c r="T29" s="37"/>
      <c r="U29" s="38"/>
      <c r="V29" s="38"/>
      <c r="W29" s="39"/>
      <c r="X29" s="39"/>
    </row>
    <row r="30" spans="2:259" x14ac:dyDescent="0.2">
      <c r="B30" s="970"/>
      <c r="C30" s="544"/>
      <c r="D30" s="544"/>
      <c r="E30" s="544"/>
      <c r="F30" s="676"/>
      <c r="G30" s="673">
        <v>0</v>
      </c>
      <c r="H30" s="161">
        <v>0</v>
      </c>
      <c r="I30" s="161">
        <v>0</v>
      </c>
      <c r="J30" s="433">
        <f t="shared" si="4"/>
        <v>0</v>
      </c>
      <c r="K30" s="436">
        <f t="shared" si="5"/>
        <v>0</v>
      </c>
      <c r="L30" s="963"/>
      <c r="M30" s="37"/>
      <c r="N30" s="37"/>
      <c r="O30" s="37"/>
      <c r="P30" s="37"/>
      <c r="Q30" s="37"/>
      <c r="R30" s="37"/>
      <c r="S30" s="37"/>
      <c r="T30" s="37"/>
      <c r="U30" s="38"/>
      <c r="V30" s="38"/>
      <c r="W30" s="39"/>
      <c r="X30" s="39"/>
    </row>
    <row r="31" spans="2:259" x14ac:dyDescent="0.2">
      <c r="B31" s="970"/>
      <c r="C31" s="544"/>
      <c r="D31" s="544"/>
      <c r="E31" s="544"/>
      <c r="F31" s="676"/>
      <c r="G31" s="673">
        <v>0</v>
      </c>
      <c r="H31" s="161">
        <v>0</v>
      </c>
      <c r="I31" s="161">
        <v>0</v>
      </c>
      <c r="J31" s="433">
        <f>SUM(G31:I31)</f>
        <v>0</v>
      </c>
      <c r="K31" s="436">
        <f t="shared" si="5"/>
        <v>0</v>
      </c>
      <c r="L31" s="963"/>
      <c r="M31" s="37"/>
      <c r="N31" s="37"/>
      <c r="O31" s="37"/>
      <c r="P31" s="37"/>
      <c r="Q31" s="37"/>
      <c r="R31" s="37"/>
      <c r="S31" s="37"/>
      <c r="T31" s="37"/>
      <c r="U31" s="38"/>
      <c r="V31" s="38"/>
      <c r="W31" s="39"/>
      <c r="X31" s="39"/>
    </row>
    <row r="32" spans="2:259" x14ac:dyDescent="0.2">
      <c r="B32" s="970"/>
      <c r="C32" s="544"/>
      <c r="D32" s="544"/>
      <c r="E32" s="544"/>
      <c r="F32" s="676"/>
      <c r="G32" s="673">
        <v>0</v>
      </c>
      <c r="H32" s="161">
        <v>0</v>
      </c>
      <c r="I32" s="161">
        <v>0</v>
      </c>
      <c r="J32" s="433">
        <f>SUM(G32:I32)</f>
        <v>0</v>
      </c>
      <c r="K32" s="436">
        <f t="shared" si="5"/>
        <v>0</v>
      </c>
      <c r="L32" s="963"/>
      <c r="M32" s="37"/>
      <c r="N32" s="37"/>
      <c r="O32" s="37"/>
      <c r="P32" s="37"/>
      <c r="Q32" s="37"/>
      <c r="R32" s="37"/>
      <c r="S32" s="37"/>
      <c r="T32" s="37"/>
      <c r="U32" s="38"/>
      <c r="V32" s="38"/>
      <c r="W32" s="39"/>
      <c r="X32" s="39"/>
    </row>
    <row r="33" spans="2:24" x14ac:dyDescent="0.2">
      <c r="B33" s="970"/>
      <c r="C33" s="544"/>
      <c r="D33" s="544"/>
      <c r="E33" s="544"/>
      <c r="F33" s="676"/>
      <c r="G33" s="673">
        <v>0</v>
      </c>
      <c r="H33" s="161">
        <v>0</v>
      </c>
      <c r="I33" s="161">
        <v>0</v>
      </c>
      <c r="J33" s="433">
        <f>SUM(G33:I33)</f>
        <v>0</v>
      </c>
      <c r="K33" s="436">
        <f>+J33*(1+$L$7)</f>
        <v>0</v>
      </c>
      <c r="L33" s="963"/>
      <c r="M33" s="37"/>
      <c r="N33" s="37"/>
      <c r="O33" s="37"/>
      <c r="P33" s="37"/>
      <c r="Q33" s="37"/>
      <c r="R33" s="37"/>
      <c r="S33" s="37"/>
      <c r="T33" s="37"/>
      <c r="U33" s="38"/>
      <c r="V33" s="38"/>
      <c r="W33" s="39"/>
      <c r="X33" s="39"/>
    </row>
    <row r="34" spans="2:24" x14ac:dyDescent="0.2">
      <c r="B34" s="970"/>
      <c r="C34" s="544"/>
      <c r="D34" s="544"/>
      <c r="E34" s="544"/>
      <c r="F34" s="676"/>
      <c r="G34" s="673">
        <v>0</v>
      </c>
      <c r="H34" s="161">
        <v>0</v>
      </c>
      <c r="I34" s="161">
        <v>0</v>
      </c>
      <c r="J34" s="433">
        <f t="shared" ref="J34:J38" si="6">SUM(G34:I34)</f>
        <v>0</v>
      </c>
      <c r="K34" s="436">
        <f t="shared" ref="K34:K40" si="7">+J34*(1+$L$7)</f>
        <v>0</v>
      </c>
      <c r="L34" s="963"/>
    </row>
    <row r="35" spans="2:24" x14ac:dyDescent="0.2">
      <c r="B35" s="970"/>
      <c r="C35" s="544"/>
      <c r="D35" s="544"/>
      <c r="E35" s="544"/>
      <c r="F35" s="676"/>
      <c r="G35" s="673">
        <v>0</v>
      </c>
      <c r="H35" s="161">
        <v>0</v>
      </c>
      <c r="I35" s="161">
        <v>0</v>
      </c>
      <c r="J35" s="433">
        <f t="shared" si="6"/>
        <v>0</v>
      </c>
      <c r="K35" s="436">
        <f t="shared" si="7"/>
        <v>0</v>
      </c>
      <c r="L35" s="963"/>
    </row>
    <row r="36" spans="2:24" x14ac:dyDescent="0.2">
      <c r="B36" s="970"/>
      <c r="C36" s="544"/>
      <c r="D36" s="544"/>
      <c r="E36" s="544"/>
      <c r="F36" s="676"/>
      <c r="G36" s="673">
        <v>0</v>
      </c>
      <c r="H36" s="161">
        <v>0</v>
      </c>
      <c r="I36" s="161">
        <v>0</v>
      </c>
      <c r="J36" s="433">
        <f t="shared" si="6"/>
        <v>0</v>
      </c>
      <c r="K36" s="436">
        <f t="shared" si="7"/>
        <v>0</v>
      </c>
      <c r="L36" s="963"/>
    </row>
    <row r="37" spans="2:24" x14ac:dyDescent="0.2">
      <c r="B37" s="970"/>
      <c r="C37" s="544"/>
      <c r="D37" s="544"/>
      <c r="E37" s="544"/>
      <c r="F37" s="676"/>
      <c r="G37" s="673">
        <v>0</v>
      </c>
      <c r="H37" s="161">
        <v>0</v>
      </c>
      <c r="I37" s="161">
        <v>0</v>
      </c>
      <c r="J37" s="433">
        <f t="shared" si="6"/>
        <v>0</v>
      </c>
      <c r="K37" s="436">
        <f t="shared" si="7"/>
        <v>0</v>
      </c>
      <c r="L37" s="963"/>
    </row>
    <row r="38" spans="2:24" x14ac:dyDescent="0.2">
      <c r="B38" s="970"/>
      <c r="C38" s="544"/>
      <c r="D38" s="544"/>
      <c r="E38" s="544"/>
      <c r="F38" s="676"/>
      <c r="G38" s="673">
        <v>0</v>
      </c>
      <c r="H38" s="161">
        <v>0</v>
      </c>
      <c r="I38" s="161">
        <v>0</v>
      </c>
      <c r="J38" s="433">
        <f t="shared" si="6"/>
        <v>0</v>
      </c>
      <c r="K38" s="436">
        <f t="shared" si="7"/>
        <v>0</v>
      </c>
      <c r="L38" s="963"/>
    </row>
    <row r="39" spans="2:24" x14ac:dyDescent="0.2">
      <c r="B39" s="970"/>
      <c r="C39" s="544"/>
      <c r="D39" s="544"/>
      <c r="E39" s="544"/>
      <c r="F39" s="676"/>
      <c r="G39" s="673">
        <v>0</v>
      </c>
      <c r="H39" s="161">
        <v>0</v>
      </c>
      <c r="I39" s="161">
        <v>0</v>
      </c>
      <c r="J39" s="433">
        <f t="shared" ref="J39:J40" si="8">SUM(G39:I39)</f>
        <v>0</v>
      </c>
      <c r="K39" s="436">
        <f t="shared" si="7"/>
        <v>0</v>
      </c>
      <c r="L39" s="963"/>
    </row>
    <row r="40" spans="2:24" ht="13.5" thickBot="1" x14ac:dyDescent="0.25">
      <c r="B40" s="971"/>
      <c r="C40" s="211"/>
      <c r="D40" s="211"/>
      <c r="E40" s="211"/>
      <c r="F40" s="677"/>
      <c r="G40" s="674">
        <v>0</v>
      </c>
      <c r="H40" s="212">
        <v>0</v>
      </c>
      <c r="I40" s="212">
        <v>0</v>
      </c>
      <c r="J40" s="434">
        <f t="shared" si="8"/>
        <v>0</v>
      </c>
      <c r="K40" s="437">
        <f t="shared" si="7"/>
        <v>0</v>
      </c>
      <c r="L40" s="964"/>
    </row>
    <row r="41" spans="2:24" ht="16.5" thickBot="1" x14ac:dyDescent="0.25">
      <c r="B41" s="26"/>
      <c r="C41" s="45"/>
      <c r="D41" s="45"/>
      <c r="E41" s="46"/>
      <c r="F41" s="46"/>
      <c r="G41" s="46"/>
      <c r="H41" s="46"/>
      <c r="I41" s="46"/>
      <c r="J41" s="40"/>
      <c r="K41" s="438" t="s">
        <v>95</v>
      </c>
      <c r="L41" s="213">
        <f>SUM(L11:L40)</f>
        <v>87047149.879999995</v>
      </c>
    </row>
    <row r="42" spans="2:24" x14ac:dyDescent="0.2">
      <c r="B42" s="26"/>
      <c r="C42" s="45"/>
      <c r="D42" s="45"/>
      <c r="E42" s="46"/>
      <c r="F42" s="46"/>
      <c r="G42" s="46"/>
      <c r="H42" s="46"/>
      <c r="I42" s="46"/>
      <c r="J42" s="40"/>
      <c r="K42" s="40"/>
      <c r="L42" s="40"/>
    </row>
    <row r="43" spans="2:24" x14ac:dyDescent="0.2">
      <c r="B43" s="26"/>
      <c r="C43" s="26"/>
      <c r="D43" s="26"/>
      <c r="E43" s="26"/>
      <c r="F43" s="26"/>
      <c r="G43" s="26"/>
      <c r="H43" s="26"/>
      <c r="I43" s="26"/>
      <c r="J43" s="37"/>
      <c r="K43" s="37"/>
      <c r="L43" s="37"/>
    </row>
  </sheetData>
  <sheetProtection algorithmName="SHA-512" hashValue="Bjks+3GaYzVaOKGfBcWvlZlGZQZ+c6xuDzyMNpv81Gzdkcri6I52clLw3qK2TSlyG1Hxj6aqvuVYKOXkBE+g2Q==" saltValue="Ypu/jaE+Ec2CkGlH5XSTew==" spinCount="100000" sheet="1" objects="1" scenarios="1"/>
  <mergeCells count="14">
    <mergeCell ref="B26:B40"/>
    <mergeCell ref="L26:L40"/>
    <mergeCell ref="G9:J9"/>
    <mergeCell ref="K9:K10"/>
    <mergeCell ref="L9:L10"/>
    <mergeCell ref="T10:W10"/>
    <mergeCell ref="B11:B25"/>
    <mergeCell ref="L11:L25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8"/>
  <sheetViews>
    <sheetView showGridLines="0" topLeftCell="C1" zoomScaleNormal="100" workbookViewId="0">
      <selection activeCell="V14" sqref="V14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209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201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84" t="str">
        <f>+'B) Reajuste Tarifas y Ocupación'!F5</f>
        <v>(DEPTO./DELEG.)</v>
      </c>
      <c r="E4" s="768"/>
      <c r="F4" s="985"/>
      <c r="G4" s="234"/>
      <c r="H4" s="234"/>
      <c r="I4" s="234"/>
      <c r="J4" s="234"/>
      <c r="K4" s="234"/>
      <c r="L4" s="234"/>
      <c r="N4" s="234"/>
      <c r="P4" s="234"/>
    </row>
    <row r="5" spans="1:19" x14ac:dyDescent="0.2">
      <c r="A5" s="9"/>
      <c r="B5" s="19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P5" s="234"/>
    </row>
    <row r="6" spans="1:19" x14ac:dyDescent="0.2">
      <c r="A6" s="9"/>
      <c r="B6" s="19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P6" s="234"/>
    </row>
    <row r="7" spans="1:19" ht="12.75" customHeight="1" x14ac:dyDescent="0.2">
      <c r="A7" s="997" t="s">
        <v>130</v>
      </c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998"/>
      <c r="O7" s="999"/>
      <c r="P7" s="62"/>
    </row>
    <row r="8" spans="1:19" x14ac:dyDescent="0.2">
      <c r="A8" s="1000"/>
      <c r="B8" s="1001"/>
      <c r="C8" s="1001"/>
      <c r="D8" s="1001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2"/>
      <c r="P8" s="62"/>
    </row>
    <row r="9" spans="1:19" x14ac:dyDescent="0.2">
      <c r="A9" s="1003"/>
      <c r="B9" s="1004"/>
      <c r="C9" s="1004"/>
      <c r="D9" s="1004"/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5"/>
      <c r="P9" s="62"/>
    </row>
    <row r="10" spans="1:19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9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9" ht="15.75" x14ac:dyDescent="0.2">
      <c r="A12" s="954" t="s">
        <v>163</v>
      </c>
      <c r="B12" s="954"/>
      <c r="C12" s="954"/>
      <c r="D12" s="954"/>
      <c r="E12" s="235"/>
      <c r="F12" s="53"/>
      <c r="G12" s="53"/>
      <c r="H12" s="53"/>
      <c r="I12" s="52"/>
      <c r="J12" s="52"/>
      <c r="K12" s="53"/>
      <c r="L12" s="53"/>
      <c r="M12" s="53"/>
      <c r="N12" s="53"/>
      <c r="O12" s="53"/>
      <c r="P12" s="53"/>
    </row>
    <row r="13" spans="1:19" ht="13.5" thickBot="1" x14ac:dyDescent="0.25">
      <c r="A13" s="9"/>
      <c r="B13" s="19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P13" s="234"/>
    </row>
    <row r="14" spans="1:19" ht="20.25" customHeight="1" x14ac:dyDescent="0.2">
      <c r="A14" s="988" t="s">
        <v>135</v>
      </c>
      <c r="B14" s="990" t="s">
        <v>5</v>
      </c>
      <c r="C14" s="775" t="s">
        <v>218</v>
      </c>
      <c r="D14" s="776"/>
      <c r="E14" s="776"/>
      <c r="F14" s="776"/>
      <c r="G14" s="777"/>
      <c r="H14" s="994" t="s">
        <v>144</v>
      </c>
      <c r="I14" s="995"/>
      <c r="J14" s="995"/>
      <c r="K14" s="995"/>
      <c r="L14" s="996"/>
      <c r="M14" s="992" t="s">
        <v>111</v>
      </c>
      <c r="N14" s="993"/>
      <c r="O14" s="986" t="s">
        <v>112</v>
      </c>
      <c r="P14" s="987"/>
      <c r="Q14" s="982" t="s">
        <v>131</v>
      </c>
    </row>
    <row r="15" spans="1:19" ht="70.5" customHeight="1" thickBot="1" x14ac:dyDescent="0.25">
      <c r="A15" s="989"/>
      <c r="B15" s="991"/>
      <c r="C15" s="359" t="s">
        <v>87</v>
      </c>
      <c r="D15" s="360" t="s">
        <v>136</v>
      </c>
      <c r="E15" s="360" t="s">
        <v>137</v>
      </c>
      <c r="F15" s="360" t="s">
        <v>88</v>
      </c>
      <c r="G15" s="361" t="s">
        <v>89</v>
      </c>
      <c r="H15" s="362" t="s">
        <v>87</v>
      </c>
      <c r="I15" s="363" t="s">
        <v>136</v>
      </c>
      <c r="J15" s="363" t="s">
        <v>137</v>
      </c>
      <c r="K15" s="363" t="s">
        <v>88</v>
      </c>
      <c r="L15" s="364" t="s">
        <v>89</v>
      </c>
      <c r="M15" s="365" t="s">
        <v>72</v>
      </c>
      <c r="N15" s="209" t="s">
        <v>86</v>
      </c>
      <c r="O15" s="366" t="s">
        <v>72</v>
      </c>
      <c r="P15" s="209" t="s">
        <v>86</v>
      </c>
      <c r="Q15" s="983"/>
    </row>
    <row r="16" spans="1:19" ht="12.75" customHeight="1" x14ac:dyDescent="0.2">
      <c r="A16" s="979" t="str">
        <f>'B) Reajuste Tarifas y Ocupación'!A12</f>
        <v>Jardín Infantil Mar y Cielo</v>
      </c>
      <c r="B16" s="367" t="str">
        <f>+'B) Reajuste Tarifas y Ocupación'!B12</f>
        <v>Media jornada</v>
      </c>
      <c r="C16" s="342">
        <f>+'B) Reajuste Tarifas y Ocupación'!M12</f>
        <v>60300</v>
      </c>
      <c r="D16" s="343">
        <f>+'B) Reajuste Tarifas y Ocupación'!N12</f>
        <v>72400</v>
      </c>
      <c r="E16" s="343">
        <f>+'B) Reajuste Tarifas y Ocupación'!O12</f>
        <v>72400</v>
      </c>
      <c r="F16" s="343">
        <f>+'B) Reajuste Tarifas y Ocupación'!P12</f>
        <v>94600</v>
      </c>
      <c r="G16" s="344">
        <f>+'B) Reajuste Tarifas y Ocupación'!Q12</f>
        <v>111700</v>
      </c>
      <c r="H16" s="370">
        <f t="shared" ref="H16:K17" si="0">IFERROR(C16/$Q16,0)</f>
        <v>0.39801980198019804</v>
      </c>
      <c r="I16" s="149">
        <f t="shared" si="0"/>
        <v>0.47788778877887789</v>
      </c>
      <c r="J16" s="149">
        <f t="shared" si="0"/>
        <v>0.47788778877887789</v>
      </c>
      <c r="K16" s="149">
        <f t="shared" si="0"/>
        <v>0.62442244224422438</v>
      </c>
      <c r="L16" s="150">
        <f t="shared" ref="L16" si="1">IFERROR(G16/$Q16,0)</f>
        <v>0.73729372937293725</v>
      </c>
      <c r="M16" s="277" t="s">
        <v>247</v>
      </c>
      <c r="N16" s="214">
        <v>180000</v>
      </c>
      <c r="O16" s="277" t="s">
        <v>248</v>
      </c>
      <c r="P16" s="214">
        <v>123000</v>
      </c>
      <c r="Q16" s="372">
        <f>AVERAGE(N16,P16)</f>
        <v>151500</v>
      </c>
      <c r="R16" s="20"/>
      <c r="S16" s="21"/>
    </row>
    <row r="17" spans="1:19" ht="12.75" customHeight="1" x14ac:dyDescent="0.2">
      <c r="A17" s="980"/>
      <c r="B17" s="368" t="str">
        <f>+'B) Reajuste Tarifas y Ocupación'!B13</f>
        <v xml:space="preserve">Doble jornada </v>
      </c>
      <c r="C17" s="345">
        <f>+'B) Reajuste Tarifas y Ocupación'!M13</f>
        <v>89800</v>
      </c>
      <c r="D17" s="341">
        <f>+'B) Reajuste Tarifas y Ocupación'!N13</f>
        <v>107800</v>
      </c>
      <c r="E17" s="341">
        <f>+'B) Reajuste Tarifas y Ocupación'!O13</f>
        <v>107800</v>
      </c>
      <c r="F17" s="341">
        <f>+'B) Reajuste Tarifas y Ocupación'!P13</f>
        <v>134800</v>
      </c>
      <c r="G17" s="346">
        <f>+'B) Reajuste Tarifas y Ocupación'!Q13</f>
        <v>158000</v>
      </c>
      <c r="H17" s="152">
        <f t="shared" si="0"/>
        <v>0.55092024539877305</v>
      </c>
      <c r="I17" s="151">
        <f t="shared" si="0"/>
        <v>0.6613496932515337</v>
      </c>
      <c r="J17" s="151">
        <f t="shared" si="0"/>
        <v>0.6613496932515337</v>
      </c>
      <c r="K17" s="151">
        <f t="shared" si="0"/>
        <v>0.82699386503067485</v>
      </c>
      <c r="L17" s="371">
        <f t="shared" ref="L17" si="2">IFERROR(G17/$Q17,0)</f>
        <v>0.96932515337423308</v>
      </c>
      <c r="M17" s="215" t="s">
        <v>129</v>
      </c>
      <c r="N17" s="216"/>
      <c r="O17" s="215" t="s">
        <v>295</v>
      </c>
      <c r="P17" s="216">
        <v>163000</v>
      </c>
      <c r="Q17" s="373">
        <f>AVERAGE(N17,P17)</f>
        <v>163000</v>
      </c>
      <c r="R17" s="20"/>
      <c r="S17" s="21"/>
    </row>
    <row r="18" spans="1:19" ht="13.5" thickBot="1" x14ac:dyDescent="0.25">
      <c r="A18" s="981"/>
      <c r="B18" s="369" t="str">
        <f>+'B) Reajuste Tarifas y Ocupación'!B14</f>
        <v>Jornada completa</v>
      </c>
      <c r="C18" s="347">
        <f>+'B) Reajuste Tarifas y Ocupación'!M14</f>
        <v>140200</v>
      </c>
      <c r="D18" s="348">
        <f>+'B) Reajuste Tarifas y Ocupación'!N14</f>
        <v>168300</v>
      </c>
      <c r="E18" s="348">
        <f>+'B) Reajuste Tarifas y Ocupación'!O14</f>
        <v>168300</v>
      </c>
      <c r="F18" s="348">
        <f>+'B) Reajuste Tarifas y Ocupación'!P14</f>
        <v>175300</v>
      </c>
      <c r="G18" s="349">
        <f>+'B) Reajuste Tarifas y Ocupación'!Q14</f>
        <v>182300</v>
      </c>
      <c r="H18" s="219">
        <f t="shared" ref="H18" si="3">IFERROR(C18/$Q18,0)</f>
        <v>0.63454418726747708</v>
      </c>
      <c r="I18" s="220">
        <f t="shared" ref="I18" si="4">IFERROR(D18/$Q18,0)</f>
        <v>0.76172458428756351</v>
      </c>
      <c r="J18" s="220">
        <f t="shared" ref="J18" si="5">IFERROR(E18/$Q18,0)</f>
        <v>0.76172458428756351</v>
      </c>
      <c r="K18" s="220">
        <f t="shared" ref="K18" si="6">IFERROR(F18/$Q18,0)</f>
        <v>0.79340653372317216</v>
      </c>
      <c r="L18" s="221">
        <f t="shared" ref="L18" si="7">IFERROR(G18/$Q18,0)</f>
        <v>0.82508848315878092</v>
      </c>
      <c r="M18" s="217" t="s">
        <v>247</v>
      </c>
      <c r="N18" s="218">
        <v>280000</v>
      </c>
      <c r="O18" s="217" t="s">
        <v>248</v>
      </c>
      <c r="P18" s="218">
        <v>161892</v>
      </c>
      <c r="Q18" s="374">
        <f t="shared" ref="Q18" si="8">AVERAGE(N18,P18)</f>
        <v>220946</v>
      </c>
      <c r="R18" s="20"/>
      <c r="S18" s="21"/>
    </row>
  </sheetData>
  <sheetProtection algorithmName="SHA-512" hashValue="c82jCic6+59CeVDjm1USt7Hj5E8iImRzrgJP9s5gh5I7eM7gpE4j197CfYCgYP8RdlCTLy8K3+Uhvoi2FfUgHA==" saltValue="I7RUGEmrxI8Q4fARMdd/jw==" spinCount="100000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2021-03-02T13:21:07Z</dcterms:modified>
</cp:coreProperties>
</file>