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Documentos\2020\TARIFAS 2021\SIMULACION TARIFAS SC\"/>
    </mc:Choice>
  </mc:AlternateContent>
  <xr:revisionPtr revIDLastSave="0" documentId="13_ncr:1_{F8DFE80C-BC23-4876-8F46-84A4EF2958EB}" xr6:coauthVersionLast="45" xr6:coauthVersionMax="45" xr10:uidLastSave="{00000000-0000-0000-0000-000000000000}"/>
  <workbookProtection workbookPassword="9C6E" lockStructure="1"/>
  <bookViews>
    <workbookView xWindow="180" yWindow="6930" windowWidth="28830" windowHeight="7800" tabRatio="929" firstSheet="1" activeTab="3" xr2:uid="{00000000-000D-0000-FFFF-FFFF00000000}"/>
  </bookViews>
  <sheets>
    <sheet name="Instrucciones" sheetId="1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7" l="1"/>
  <c r="P19" i="7"/>
  <c r="O19" i="7"/>
  <c r="N19" i="7"/>
  <c r="I214" i="3" l="1"/>
  <c r="I148" i="3"/>
  <c r="I82" i="3"/>
  <c r="I18" i="3"/>
  <c r="W79" i="13" l="1"/>
  <c r="W78" i="13"/>
  <c r="W70" i="13"/>
  <c r="W69" i="13"/>
  <c r="W67" i="13"/>
  <c r="W64" i="13"/>
  <c r="W62" i="13"/>
  <c r="W60" i="13" s="1"/>
  <c r="W55" i="13"/>
  <c r="W54" i="13"/>
  <c r="W49" i="13"/>
  <c r="W48" i="13"/>
  <c r="W46" i="13"/>
  <c r="W45" i="13"/>
  <c r="W41" i="13"/>
  <c r="W38" i="13"/>
  <c r="W35" i="13"/>
  <c r="W34" i="13"/>
  <c r="W33" i="13"/>
  <c r="W32" i="13"/>
  <c r="W30" i="13"/>
  <c r="W29" i="13"/>
  <c r="W28" i="13"/>
  <c r="W26" i="13"/>
  <c r="W23" i="13"/>
  <c r="W22" i="13"/>
  <c r="W20" i="13" s="1"/>
  <c r="W15" i="13" s="1"/>
  <c r="W21" i="13"/>
  <c r="W16" i="13"/>
  <c r="W40" i="13" l="1"/>
  <c r="W80" i="13" s="1"/>
  <c r="B23" i="9" l="1"/>
  <c r="B22" i="9"/>
  <c r="C22" i="9"/>
  <c r="E30" i="2"/>
  <c r="E33" i="2"/>
  <c r="I30" i="2"/>
  <c r="D30" i="2" s="1"/>
  <c r="I33" i="2"/>
  <c r="D33" i="2" s="1"/>
  <c r="J37" i="12" l="1"/>
  <c r="J38" i="12"/>
  <c r="K38" i="12" s="1"/>
  <c r="J47" i="12"/>
  <c r="K47" i="12" s="1"/>
  <c r="J36" i="12"/>
  <c r="K36" i="12" s="1"/>
  <c r="J20" i="12"/>
  <c r="K20" i="12" s="1"/>
  <c r="J30" i="12"/>
  <c r="K30" i="12" s="1"/>
  <c r="J14" i="12" l="1"/>
  <c r="K14" i="12" s="1"/>
  <c r="J11" i="12"/>
  <c r="K11" i="12" s="1"/>
  <c r="D28" i="9" l="1"/>
  <c r="M116" i="3" l="1"/>
  <c r="C100" i="9" l="1"/>
  <c r="D99" i="9"/>
  <c r="E99" i="9" s="1"/>
  <c r="G99" i="9" s="1"/>
  <c r="D98" i="9"/>
  <c r="E98" i="9" s="1"/>
  <c r="D100" i="9" l="1"/>
  <c r="E100" i="9"/>
  <c r="G98" i="9"/>
  <c r="G100" i="9" s="1"/>
  <c r="M119" i="3"/>
  <c r="D64" i="3"/>
  <c r="I40" i="2" l="1"/>
  <c r="AB39" i="9"/>
  <c r="AB40" i="9"/>
  <c r="AB41" i="9"/>
  <c r="AB42" i="9"/>
  <c r="AB43" i="9"/>
  <c r="AB44" i="9"/>
  <c r="AB38" i="9"/>
  <c r="U38" i="9"/>
  <c r="U39" i="9"/>
  <c r="U40" i="9"/>
  <c r="U41" i="9"/>
  <c r="U42" i="9"/>
  <c r="U43" i="9"/>
  <c r="U44" i="9"/>
  <c r="U45" i="9"/>
  <c r="U46" i="9"/>
  <c r="U47" i="9"/>
  <c r="U48" i="9"/>
  <c r="U49" i="9"/>
  <c r="S50" i="9"/>
  <c r="U50" i="9" l="1"/>
  <c r="L39" i="9"/>
  <c r="L40" i="9"/>
  <c r="L41" i="9"/>
  <c r="L42" i="9"/>
  <c r="L43" i="9"/>
  <c r="L44" i="9"/>
  <c r="L45" i="9"/>
  <c r="L46" i="9"/>
  <c r="L47" i="9"/>
  <c r="L48" i="9"/>
  <c r="L49" i="9"/>
  <c r="L38" i="9"/>
  <c r="J46" i="9"/>
  <c r="J47" i="9"/>
  <c r="J48" i="9"/>
  <c r="J49" i="9"/>
  <c r="J45" i="9"/>
  <c r="L62" i="9"/>
  <c r="L63" i="9"/>
  <c r="L64" i="9"/>
  <c r="L65" i="9"/>
  <c r="L66" i="9"/>
  <c r="L67" i="9"/>
  <c r="L68" i="9"/>
  <c r="L69" i="9"/>
  <c r="L70" i="9"/>
  <c r="L71" i="9"/>
  <c r="L72" i="9"/>
  <c r="L61" i="9"/>
  <c r="K62" i="9"/>
  <c r="K63" i="9"/>
  <c r="M63" i="9" s="1"/>
  <c r="K64" i="9"/>
  <c r="K65" i="9"/>
  <c r="M65" i="9" s="1"/>
  <c r="K66" i="9"/>
  <c r="K67" i="9"/>
  <c r="M67" i="9" s="1"/>
  <c r="K68" i="9"/>
  <c r="M68" i="9" s="1"/>
  <c r="K69" i="9"/>
  <c r="K70" i="9"/>
  <c r="K71" i="9"/>
  <c r="K72" i="9"/>
  <c r="M72" i="9" s="1"/>
  <c r="K61" i="9"/>
  <c r="I72" i="9"/>
  <c r="I71" i="9"/>
  <c r="I70" i="9"/>
  <c r="I69" i="9"/>
  <c r="I68" i="9"/>
  <c r="K39" i="9"/>
  <c r="K40" i="9"/>
  <c r="K41" i="9"/>
  <c r="K42" i="9"/>
  <c r="K43" i="9"/>
  <c r="K44" i="9"/>
  <c r="K45" i="9"/>
  <c r="K46" i="9"/>
  <c r="K47" i="9"/>
  <c r="K48" i="9"/>
  <c r="K49" i="9"/>
  <c r="K38" i="9"/>
  <c r="C11" i="9"/>
  <c r="E11" i="9" s="1"/>
  <c r="G11" i="9" s="1"/>
  <c r="I11" i="9" s="1"/>
  <c r="J11" i="9" s="1"/>
  <c r="L11" i="9" s="1"/>
  <c r="B20" i="9"/>
  <c r="B19" i="9"/>
  <c r="B21" i="9" s="1"/>
  <c r="D22" i="9"/>
  <c r="C28" i="9"/>
  <c r="D145" i="3"/>
  <c r="H145" i="3" s="1"/>
  <c r="J22" i="12"/>
  <c r="K22" i="12" s="1"/>
  <c r="J23" i="12"/>
  <c r="K23" i="12" s="1"/>
  <c r="M127" i="3"/>
  <c r="O127" i="3" s="1"/>
  <c r="D268" i="3" s="1"/>
  <c r="P90" i="3"/>
  <c r="D96" i="3" s="1"/>
  <c r="H96" i="3" s="1"/>
  <c r="G96" i="3"/>
  <c r="M107" i="3"/>
  <c r="D51" i="3"/>
  <c r="D68" i="3"/>
  <c r="D65" i="3" s="1"/>
  <c r="E33" i="3"/>
  <c r="G51" i="3"/>
  <c r="E32" i="3"/>
  <c r="G32" i="3" s="1"/>
  <c r="H32" i="3" s="1"/>
  <c r="E29" i="3"/>
  <c r="F30" i="3"/>
  <c r="G30" i="3" s="1"/>
  <c r="H30" i="3" s="1"/>
  <c r="K37" i="12"/>
  <c r="I67" i="9"/>
  <c r="I44" i="9"/>
  <c r="I66" i="9"/>
  <c r="I43" i="9"/>
  <c r="I65" i="9"/>
  <c r="I42" i="9"/>
  <c r="I64" i="9"/>
  <c r="I41" i="9"/>
  <c r="I63" i="9"/>
  <c r="I40" i="9"/>
  <c r="I62" i="9"/>
  <c r="I39" i="9"/>
  <c r="I61" i="9"/>
  <c r="I38" i="9"/>
  <c r="F72" i="9"/>
  <c r="F71" i="9"/>
  <c r="F70" i="9"/>
  <c r="F67" i="9"/>
  <c r="F66" i="9"/>
  <c r="F43" i="9"/>
  <c r="E13" i="9"/>
  <c r="G13" i="9" s="1"/>
  <c r="I13" i="9" s="1"/>
  <c r="J13" i="9" s="1"/>
  <c r="L13" i="9" s="1"/>
  <c r="M13" i="9"/>
  <c r="F83" i="3" s="1"/>
  <c r="G83" i="3" s="1"/>
  <c r="E12" i="9"/>
  <c r="G12" i="9" s="1"/>
  <c r="I12" i="9" s="1"/>
  <c r="J12" i="9" s="1"/>
  <c r="L12" i="9" s="1"/>
  <c r="J31" i="12"/>
  <c r="K31" i="12" s="1"/>
  <c r="J32" i="12"/>
  <c r="J33" i="12"/>
  <c r="K33" i="12" s="1"/>
  <c r="J34" i="12"/>
  <c r="K34" i="12" s="1"/>
  <c r="J35" i="12"/>
  <c r="K35" i="12" s="1"/>
  <c r="O81" i="3"/>
  <c r="D219" i="3" s="1"/>
  <c r="G219" i="3"/>
  <c r="O90" i="3"/>
  <c r="D228" i="3"/>
  <c r="G228" i="3"/>
  <c r="H228" i="3"/>
  <c r="O104" i="3"/>
  <c r="D244" i="3" s="1"/>
  <c r="G244" i="3"/>
  <c r="G247" i="3"/>
  <c r="O119" i="3"/>
  <c r="D260" i="3" s="1"/>
  <c r="G260" i="3"/>
  <c r="O118" i="3"/>
  <c r="D259" i="3"/>
  <c r="G259" i="3"/>
  <c r="G252" i="3" s="1"/>
  <c r="O117" i="3"/>
  <c r="D258" i="3"/>
  <c r="G258" i="3"/>
  <c r="O116" i="3"/>
  <c r="D256" i="3" s="1"/>
  <c r="G256" i="3"/>
  <c r="O115" i="3"/>
  <c r="D255" i="3"/>
  <c r="H255" i="3" s="1"/>
  <c r="G255" i="3"/>
  <c r="O114" i="3"/>
  <c r="D254" i="3" s="1"/>
  <c r="G254" i="3"/>
  <c r="O111" i="3"/>
  <c r="D251" i="3"/>
  <c r="G251" i="3"/>
  <c r="H251" i="3"/>
  <c r="O108" i="3"/>
  <c r="D248" i="3" s="1"/>
  <c r="G248" i="3"/>
  <c r="O106" i="3"/>
  <c r="D246" i="3"/>
  <c r="H246" i="3" s="1"/>
  <c r="G246" i="3"/>
  <c r="O105" i="3"/>
  <c r="D245" i="3" s="1"/>
  <c r="G245" i="3"/>
  <c r="O95" i="3"/>
  <c r="D233" i="3" s="1"/>
  <c r="G233" i="3"/>
  <c r="O94" i="3"/>
  <c r="D232" i="3"/>
  <c r="H232" i="3" s="1"/>
  <c r="G232" i="3"/>
  <c r="O93" i="3"/>
  <c r="D231" i="3"/>
  <c r="G231" i="3"/>
  <c r="O91" i="3"/>
  <c r="D229" i="3" s="1"/>
  <c r="H229" i="3" s="1"/>
  <c r="G229" i="3"/>
  <c r="O89" i="3"/>
  <c r="D227" i="3"/>
  <c r="H227" i="3" s="1"/>
  <c r="G227" i="3"/>
  <c r="O88" i="3"/>
  <c r="D226" i="3" s="1"/>
  <c r="G226" i="3"/>
  <c r="O87" i="3"/>
  <c r="D225" i="3" s="1"/>
  <c r="G225" i="3"/>
  <c r="O86" i="3"/>
  <c r="D224" i="3"/>
  <c r="H224" i="3" s="1"/>
  <c r="G224" i="3"/>
  <c r="O85" i="3"/>
  <c r="D223" i="3" s="1"/>
  <c r="G223" i="3"/>
  <c r="O84" i="3"/>
  <c r="D222" i="3"/>
  <c r="G222" i="3"/>
  <c r="H222" i="3"/>
  <c r="O83" i="3"/>
  <c r="D221" i="3" s="1"/>
  <c r="G221" i="3"/>
  <c r="O82" i="3"/>
  <c r="D220" i="3"/>
  <c r="H220" i="3" s="1"/>
  <c r="G220" i="3"/>
  <c r="G268" i="3"/>
  <c r="O126" i="3"/>
  <c r="D267" i="3" s="1"/>
  <c r="H267" i="3" s="1"/>
  <c r="G267" i="3"/>
  <c r="O125" i="3"/>
  <c r="D266" i="3" s="1"/>
  <c r="H266" i="3" s="1"/>
  <c r="G266" i="3"/>
  <c r="O124" i="3"/>
  <c r="D265" i="3"/>
  <c r="H265" i="3" s="1"/>
  <c r="G265" i="3"/>
  <c r="O123" i="3"/>
  <c r="D264" i="3" s="1"/>
  <c r="G264" i="3"/>
  <c r="O122" i="3"/>
  <c r="D263" i="3" s="1"/>
  <c r="H263" i="3" s="1"/>
  <c r="G263" i="3"/>
  <c r="O121" i="3"/>
  <c r="D262" i="3" s="1"/>
  <c r="G262" i="3"/>
  <c r="G257" i="3"/>
  <c r="H257" i="3"/>
  <c r="O113" i="3"/>
  <c r="D253" i="3" s="1"/>
  <c r="H253" i="3" s="1"/>
  <c r="G253" i="3"/>
  <c r="O102" i="3"/>
  <c r="D242" i="3"/>
  <c r="H242" i="3" s="1"/>
  <c r="H241" i="3" s="1"/>
  <c r="G242" i="3"/>
  <c r="G241" i="3" s="1"/>
  <c r="O100" i="3"/>
  <c r="D240" i="3" s="1"/>
  <c r="G240" i="3"/>
  <c r="O99" i="3"/>
  <c r="D239" i="3" s="1"/>
  <c r="H239" i="3" s="1"/>
  <c r="G239" i="3"/>
  <c r="G23" i="3"/>
  <c r="H23" i="3"/>
  <c r="G29" i="3"/>
  <c r="H29" i="3" s="1"/>
  <c r="G48" i="3"/>
  <c r="H48" i="3"/>
  <c r="G49" i="3"/>
  <c r="H49" i="3"/>
  <c r="G33" i="3"/>
  <c r="H33" i="3"/>
  <c r="G68" i="3"/>
  <c r="G72" i="3"/>
  <c r="H72" i="3"/>
  <c r="G25" i="3"/>
  <c r="H25" i="3" s="1"/>
  <c r="G44" i="3"/>
  <c r="H44" i="3" s="1"/>
  <c r="G64" i="3"/>
  <c r="H64" i="3" s="1"/>
  <c r="G60" i="3"/>
  <c r="H60" i="3"/>
  <c r="G61" i="3"/>
  <c r="H61" i="3"/>
  <c r="G71" i="3"/>
  <c r="H71" i="3"/>
  <c r="G70" i="3"/>
  <c r="H70" i="3" s="1"/>
  <c r="G69" i="3"/>
  <c r="H69" i="3" s="1"/>
  <c r="G67" i="3"/>
  <c r="H67" i="3"/>
  <c r="G66" i="3"/>
  <c r="H66" i="3" s="1"/>
  <c r="G63" i="3"/>
  <c r="H63" i="3" s="1"/>
  <c r="G62" i="3"/>
  <c r="H62" i="3"/>
  <c r="G59" i="3"/>
  <c r="H59" i="3"/>
  <c r="G58" i="3"/>
  <c r="G56" i="3" s="1"/>
  <c r="H58" i="3"/>
  <c r="G57" i="3"/>
  <c r="H57" i="3" s="1"/>
  <c r="G55" i="3"/>
  <c r="H55" i="3"/>
  <c r="G52" i="3"/>
  <c r="H52" i="3" s="1"/>
  <c r="G50" i="3"/>
  <c r="H50" i="3"/>
  <c r="G46" i="3"/>
  <c r="H46" i="3" s="1"/>
  <c r="H45" i="3" s="1"/>
  <c r="G43" i="3"/>
  <c r="H43" i="3"/>
  <c r="G37" i="3"/>
  <c r="H37" i="3"/>
  <c r="G36" i="3"/>
  <c r="H36" i="3"/>
  <c r="G35" i="3"/>
  <c r="H35" i="3" s="1"/>
  <c r="G31" i="3"/>
  <c r="H31" i="3" s="1"/>
  <c r="G28" i="3"/>
  <c r="H28" i="3" s="1"/>
  <c r="G27" i="3"/>
  <c r="H27" i="3" s="1"/>
  <c r="G26" i="3"/>
  <c r="H26" i="3" s="1"/>
  <c r="G24" i="3"/>
  <c r="H24" i="3" s="1"/>
  <c r="B88" i="9"/>
  <c r="J73" i="9"/>
  <c r="M62" i="9"/>
  <c r="M64" i="9"/>
  <c r="M66" i="9"/>
  <c r="M70" i="9"/>
  <c r="M71" i="9"/>
  <c r="H74" i="9"/>
  <c r="H75" i="9"/>
  <c r="G61" i="9"/>
  <c r="G62" i="9"/>
  <c r="G63" i="9"/>
  <c r="G64" i="9"/>
  <c r="G65" i="9"/>
  <c r="F76" i="9"/>
  <c r="E74" i="9"/>
  <c r="E75" i="9"/>
  <c r="H73" i="9"/>
  <c r="E73" i="9"/>
  <c r="D61" i="9"/>
  <c r="D62" i="9"/>
  <c r="D63" i="9"/>
  <c r="D64" i="9"/>
  <c r="D65" i="9"/>
  <c r="D66" i="9"/>
  <c r="D67" i="9"/>
  <c r="D68" i="9"/>
  <c r="D69" i="9"/>
  <c r="D70" i="9"/>
  <c r="D71" i="9"/>
  <c r="D72" i="9"/>
  <c r="B73" i="9"/>
  <c r="V50" i="9"/>
  <c r="W56" i="9" s="1"/>
  <c r="AA38" i="9"/>
  <c r="AA39" i="9"/>
  <c r="AA40" i="9"/>
  <c r="AA41" i="9"/>
  <c r="AA42" i="9"/>
  <c r="AA43" i="9"/>
  <c r="AA44" i="9"/>
  <c r="Y45" i="9"/>
  <c r="Y46" i="9"/>
  <c r="Y47" i="9"/>
  <c r="Y48" i="9"/>
  <c r="Y49" i="9"/>
  <c r="AD38" i="9"/>
  <c r="AD39" i="9"/>
  <c r="AD40" i="9"/>
  <c r="AD41" i="9"/>
  <c r="AD42" i="9"/>
  <c r="AD43" i="9"/>
  <c r="AD44" i="9"/>
  <c r="W51" i="9"/>
  <c r="W53" i="9" s="1"/>
  <c r="V51" i="9"/>
  <c r="V52" i="9"/>
  <c r="H51" i="9"/>
  <c r="H52" i="9"/>
  <c r="G38" i="9"/>
  <c r="G50" i="9" s="1"/>
  <c r="G39" i="9"/>
  <c r="G40" i="9"/>
  <c r="G41" i="9"/>
  <c r="G42" i="9"/>
  <c r="F53" i="9"/>
  <c r="E51" i="9"/>
  <c r="E52" i="9"/>
  <c r="X38" i="9"/>
  <c r="X39" i="9"/>
  <c r="X40" i="9"/>
  <c r="X41" i="9"/>
  <c r="X42" i="9"/>
  <c r="X43" i="9"/>
  <c r="X44" i="9"/>
  <c r="X45" i="9"/>
  <c r="X46" i="9"/>
  <c r="X47" i="9"/>
  <c r="X48" i="9"/>
  <c r="X49" i="9"/>
  <c r="H50" i="9"/>
  <c r="E50" i="9"/>
  <c r="D38" i="9"/>
  <c r="D39" i="9"/>
  <c r="D40" i="9"/>
  <c r="D41" i="9"/>
  <c r="D42" i="9"/>
  <c r="D43" i="9"/>
  <c r="D44" i="9"/>
  <c r="D45" i="9"/>
  <c r="D46" i="9"/>
  <c r="D47" i="9"/>
  <c r="D48" i="9"/>
  <c r="D49" i="9"/>
  <c r="C50" i="9"/>
  <c r="B50" i="9"/>
  <c r="M12" i="9"/>
  <c r="F215" i="3" s="1"/>
  <c r="G215" i="3" s="1"/>
  <c r="M11" i="9"/>
  <c r="F149" i="3" s="1"/>
  <c r="G149" i="3" s="1"/>
  <c r="J4" i="9"/>
  <c r="C18" i="1"/>
  <c r="C19" i="1"/>
  <c r="Q19" i="1"/>
  <c r="Q15" i="7"/>
  <c r="G19" i="1" s="1"/>
  <c r="P15" i="7"/>
  <c r="F19" i="1" s="1"/>
  <c r="O15" i="7"/>
  <c r="N15" i="7"/>
  <c r="D19" i="1" s="1"/>
  <c r="I19" i="1" s="1"/>
  <c r="B19" i="1"/>
  <c r="Q18" i="1"/>
  <c r="B18" i="1"/>
  <c r="A18" i="1"/>
  <c r="Q14" i="7"/>
  <c r="G18" i="1" s="1"/>
  <c r="P14" i="7"/>
  <c r="F12" i="5" s="1"/>
  <c r="O14" i="7"/>
  <c r="N14" i="7"/>
  <c r="D18" i="1" s="1"/>
  <c r="P31" i="2"/>
  <c r="J12" i="12"/>
  <c r="K12" i="12" s="1"/>
  <c r="J13" i="12"/>
  <c r="K13" i="12" s="1"/>
  <c r="J15" i="12"/>
  <c r="K15" i="12" s="1"/>
  <c r="J16" i="12"/>
  <c r="K16" i="12" s="1"/>
  <c r="J17" i="12"/>
  <c r="K17" i="12" s="1"/>
  <c r="J18" i="12"/>
  <c r="K18" i="12" s="1"/>
  <c r="J19" i="12"/>
  <c r="K19" i="12" s="1"/>
  <c r="J21" i="12"/>
  <c r="K21" i="12" s="1"/>
  <c r="J24" i="12"/>
  <c r="K24" i="12" s="1"/>
  <c r="J25" i="12"/>
  <c r="K25" i="12" s="1"/>
  <c r="J26" i="12"/>
  <c r="K26" i="12" s="1"/>
  <c r="J29" i="12"/>
  <c r="K29" i="12" s="1"/>
  <c r="J46" i="12"/>
  <c r="K46" i="12" s="1"/>
  <c r="K32" i="12"/>
  <c r="J39" i="12"/>
  <c r="K39" i="12" s="1"/>
  <c r="J40" i="12"/>
  <c r="K40" i="12" s="1"/>
  <c r="J41" i="12"/>
  <c r="K41" i="12" s="1"/>
  <c r="J42" i="12"/>
  <c r="K42" i="12" s="1"/>
  <c r="J43" i="12"/>
  <c r="K43" i="12" s="1"/>
  <c r="J44" i="12"/>
  <c r="K44" i="12" s="1"/>
  <c r="J45" i="12"/>
  <c r="K45" i="12" s="1"/>
  <c r="J48" i="12"/>
  <c r="K48" i="12" s="1"/>
  <c r="J49" i="12"/>
  <c r="K49" i="12" s="1"/>
  <c r="J50" i="12"/>
  <c r="K50" i="12" s="1"/>
  <c r="J51" i="12"/>
  <c r="K51" i="12" s="1"/>
  <c r="J52" i="12"/>
  <c r="K52" i="12" s="1"/>
  <c r="J53" i="12"/>
  <c r="K53" i="12" s="1"/>
  <c r="J54" i="12"/>
  <c r="K54" i="12" s="1"/>
  <c r="F16" i="5"/>
  <c r="D16" i="5"/>
  <c r="H15" i="5"/>
  <c r="H16" i="5"/>
  <c r="I14" i="5"/>
  <c r="J14" i="5"/>
  <c r="K14" i="5"/>
  <c r="L14" i="5"/>
  <c r="E16" i="5"/>
  <c r="G16" i="5"/>
  <c r="Q16" i="5" s="1"/>
  <c r="R11" i="5"/>
  <c r="H11" i="5"/>
  <c r="J15" i="13"/>
  <c r="K15" i="13"/>
  <c r="R15" i="13" s="1"/>
  <c r="J16" i="13"/>
  <c r="K16" i="13" s="1"/>
  <c r="N16" i="13" s="1"/>
  <c r="J17" i="13"/>
  <c r="K17" i="13" s="1"/>
  <c r="J18" i="13"/>
  <c r="K18" i="13" s="1"/>
  <c r="J19" i="13"/>
  <c r="K19" i="13" s="1"/>
  <c r="J20" i="13"/>
  <c r="K20" i="13" s="1"/>
  <c r="J21" i="13"/>
  <c r="K21" i="13" s="1"/>
  <c r="J22" i="13"/>
  <c r="K22" i="13"/>
  <c r="P22" i="13" s="1"/>
  <c r="J23" i="13"/>
  <c r="K23" i="13"/>
  <c r="J24" i="13"/>
  <c r="K24" i="13"/>
  <c r="J25" i="13"/>
  <c r="K25" i="13" s="1"/>
  <c r="J26" i="13"/>
  <c r="K26" i="13" s="1"/>
  <c r="N26" i="13" s="1"/>
  <c r="J27" i="13"/>
  <c r="K27" i="13" s="1"/>
  <c r="R27" i="13" s="1"/>
  <c r="J28" i="13"/>
  <c r="K28" i="13" s="1"/>
  <c r="P28" i="13" s="1"/>
  <c r="J29" i="13"/>
  <c r="K29" i="13"/>
  <c r="P29" i="13" s="1"/>
  <c r="J35" i="13"/>
  <c r="K35" i="13"/>
  <c r="P35" i="13" s="1"/>
  <c r="J40" i="13"/>
  <c r="K40" i="13" s="1"/>
  <c r="J41" i="13"/>
  <c r="K41" i="13"/>
  <c r="P41" i="13" s="1"/>
  <c r="J42" i="13"/>
  <c r="K42" i="13" s="1"/>
  <c r="J43" i="13"/>
  <c r="K43" i="13" s="1"/>
  <c r="J44" i="13"/>
  <c r="K44" i="13" s="1"/>
  <c r="J45" i="13"/>
  <c r="K45" i="13" s="1"/>
  <c r="R45" i="13" s="1"/>
  <c r="K46" i="13"/>
  <c r="P46" i="13" s="1"/>
  <c r="N122" i="3"/>
  <c r="D197" i="3" s="1"/>
  <c r="H197" i="3" s="1"/>
  <c r="P122" i="3"/>
  <c r="N123" i="3"/>
  <c r="D198" i="3" s="1"/>
  <c r="P123" i="3"/>
  <c r="D132" i="3" s="1"/>
  <c r="H132" i="3" s="1"/>
  <c r="N124" i="3"/>
  <c r="P124" i="3"/>
  <c r="N125" i="3"/>
  <c r="D200" i="3" s="1"/>
  <c r="P125" i="3"/>
  <c r="D134" i="3" s="1"/>
  <c r="N126" i="3"/>
  <c r="D201" i="3" s="1"/>
  <c r="P126" i="3"/>
  <c r="N114" i="3"/>
  <c r="D188" i="3" s="1"/>
  <c r="H188" i="3" s="1"/>
  <c r="P114" i="3"/>
  <c r="N115" i="3"/>
  <c r="D189" i="3"/>
  <c r="P115" i="3"/>
  <c r="D123" i="3" s="1"/>
  <c r="H123" i="3" s="1"/>
  <c r="N116" i="3"/>
  <c r="P116" i="3"/>
  <c r="N117" i="3"/>
  <c r="P117" i="3"/>
  <c r="D126" i="3" s="1"/>
  <c r="H126" i="3" s="1"/>
  <c r="N118" i="3"/>
  <c r="D193" i="3" s="1"/>
  <c r="P118" i="3"/>
  <c r="N119" i="3"/>
  <c r="D194" i="3" s="1"/>
  <c r="P119" i="3"/>
  <c r="D128" i="3" s="1"/>
  <c r="N105" i="3"/>
  <c r="P105" i="3"/>
  <c r="D113" i="3" s="1"/>
  <c r="N106" i="3"/>
  <c r="D180" i="3"/>
  <c r="P106" i="3"/>
  <c r="N108" i="3"/>
  <c r="P108" i="3"/>
  <c r="D116" i="3"/>
  <c r="N109" i="3"/>
  <c r="D183" i="3" s="1"/>
  <c r="O109" i="3"/>
  <c r="D249" i="3" s="1"/>
  <c r="P109" i="3"/>
  <c r="D117" i="3" s="1"/>
  <c r="N110" i="3"/>
  <c r="D184" i="3" s="1"/>
  <c r="H184" i="3" s="1"/>
  <c r="O110" i="3"/>
  <c r="D250" i="3" s="1"/>
  <c r="G250" i="3"/>
  <c r="P110" i="3"/>
  <c r="D118" i="3" s="1"/>
  <c r="N111" i="3"/>
  <c r="P111" i="3"/>
  <c r="D119" i="3" s="1"/>
  <c r="N81" i="3"/>
  <c r="D153" i="3" s="1"/>
  <c r="H153" i="3" s="1"/>
  <c r="G153" i="3"/>
  <c r="N82" i="3"/>
  <c r="D154" i="3" s="1"/>
  <c r="H154" i="3" s="1"/>
  <c r="G154" i="3"/>
  <c r="N83" i="3"/>
  <c r="D155" i="3" s="1"/>
  <c r="H155" i="3" s="1"/>
  <c r="N84" i="3"/>
  <c r="D156" i="3" s="1"/>
  <c r="N85" i="3"/>
  <c r="D157" i="3" s="1"/>
  <c r="H157" i="3" s="1"/>
  <c r="G157" i="3"/>
  <c r="N86" i="3"/>
  <c r="D158" i="3" s="1"/>
  <c r="H158" i="3" s="1"/>
  <c r="N87" i="3"/>
  <c r="D159" i="3" s="1"/>
  <c r="H159" i="3" s="1"/>
  <c r="N88" i="3"/>
  <c r="N89" i="3"/>
  <c r="N90" i="3"/>
  <c r="D162" i="3" s="1"/>
  <c r="G162" i="3"/>
  <c r="N91" i="3"/>
  <c r="D163" i="3" s="1"/>
  <c r="N92" i="3"/>
  <c r="D164" i="3" s="1"/>
  <c r="N93" i="3"/>
  <c r="D165" i="3" s="1"/>
  <c r="H165" i="3" s="1"/>
  <c r="N94" i="3"/>
  <c r="D166" i="3" s="1"/>
  <c r="H166" i="3" s="1"/>
  <c r="G166" i="3"/>
  <c r="N95" i="3"/>
  <c r="D167" i="3" s="1"/>
  <c r="N96" i="3"/>
  <c r="D168" i="3" s="1"/>
  <c r="H168" i="3" s="1"/>
  <c r="O92" i="3"/>
  <c r="D230" i="3" s="1"/>
  <c r="O96" i="3"/>
  <c r="P81" i="3"/>
  <c r="D87" i="3" s="1"/>
  <c r="P82" i="3"/>
  <c r="D88" i="3" s="1"/>
  <c r="P83" i="3"/>
  <c r="P84" i="3"/>
  <c r="P85" i="3"/>
  <c r="P86" i="3"/>
  <c r="D92" i="3" s="1"/>
  <c r="H92" i="3" s="1"/>
  <c r="P87" i="3"/>
  <c r="D93" i="3" s="1"/>
  <c r="P88" i="3"/>
  <c r="P89" i="3"/>
  <c r="D95" i="3" s="1"/>
  <c r="P91" i="3"/>
  <c r="D97" i="3" s="1"/>
  <c r="H97" i="3" s="1"/>
  <c r="P92" i="3"/>
  <c r="P93" i="3"/>
  <c r="P94" i="3"/>
  <c r="P95" i="3"/>
  <c r="D101" i="3" s="1"/>
  <c r="P96" i="3"/>
  <c r="G230" i="3"/>
  <c r="D234" i="3"/>
  <c r="G234" i="3"/>
  <c r="O80" i="3"/>
  <c r="D218" i="3" s="1"/>
  <c r="H218" i="3" s="1"/>
  <c r="G270" i="3"/>
  <c r="G269" i="3" s="1"/>
  <c r="D269" i="3"/>
  <c r="G261" i="3"/>
  <c r="G249" i="3"/>
  <c r="G238" i="3"/>
  <c r="H238" i="3"/>
  <c r="G237" i="3"/>
  <c r="H237" i="3" s="1"/>
  <c r="G218" i="3"/>
  <c r="G217" i="3"/>
  <c r="H217" i="3" s="1"/>
  <c r="G216" i="3"/>
  <c r="H216" i="3"/>
  <c r="G213" i="3"/>
  <c r="H213" i="3"/>
  <c r="G212" i="3"/>
  <c r="G211" i="3"/>
  <c r="H211" i="3" s="1"/>
  <c r="G210" i="3"/>
  <c r="G191" i="3"/>
  <c r="H191" i="3" s="1"/>
  <c r="G200" i="3"/>
  <c r="N121" i="3"/>
  <c r="D196" i="3" s="1"/>
  <c r="H196" i="3" s="1"/>
  <c r="G193" i="3"/>
  <c r="D192" i="3"/>
  <c r="H192" i="3" s="1"/>
  <c r="G192" i="3"/>
  <c r="D190" i="3"/>
  <c r="N113" i="3"/>
  <c r="D187" i="3" s="1"/>
  <c r="H187" i="3" s="1"/>
  <c r="D179" i="3"/>
  <c r="G181" i="3"/>
  <c r="D182" i="3"/>
  <c r="G182" i="3"/>
  <c r="D185" i="3"/>
  <c r="N104" i="3"/>
  <c r="D178" i="3"/>
  <c r="N99" i="3"/>
  <c r="D173" i="3" s="1"/>
  <c r="H173" i="3" s="1"/>
  <c r="N100" i="3"/>
  <c r="D174" i="3" s="1"/>
  <c r="G187" i="3"/>
  <c r="G188" i="3"/>
  <c r="G189" i="3"/>
  <c r="G190" i="3"/>
  <c r="G194" i="3"/>
  <c r="G204" i="3"/>
  <c r="G203" i="3" s="1"/>
  <c r="G171" i="3"/>
  <c r="H171" i="3" s="1"/>
  <c r="G172" i="3"/>
  <c r="H172" i="3" s="1"/>
  <c r="G173" i="3"/>
  <c r="G174" i="3"/>
  <c r="G170" i="3"/>
  <c r="G176" i="3"/>
  <c r="G175" i="3"/>
  <c r="G178" i="3"/>
  <c r="G179" i="3"/>
  <c r="G180" i="3"/>
  <c r="G183" i="3"/>
  <c r="G184" i="3"/>
  <c r="G185" i="3"/>
  <c r="G196" i="3"/>
  <c r="G197" i="3"/>
  <c r="G198" i="3"/>
  <c r="G199" i="3"/>
  <c r="H199" i="3" s="1"/>
  <c r="G201" i="3"/>
  <c r="G202" i="3"/>
  <c r="N102" i="3"/>
  <c r="D176" i="3" s="1"/>
  <c r="D175" i="3" s="1"/>
  <c r="G155" i="3"/>
  <c r="D160" i="3"/>
  <c r="H160" i="3" s="1"/>
  <c r="G160" i="3"/>
  <c r="D161" i="3"/>
  <c r="G163" i="3"/>
  <c r="H163" i="3"/>
  <c r="G164" i="3"/>
  <c r="G168" i="3"/>
  <c r="N80" i="3"/>
  <c r="D152" i="3" s="1"/>
  <c r="D203" i="3"/>
  <c r="H178" i="3"/>
  <c r="H176" i="3"/>
  <c r="H175" i="3" s="1"/>
  <c r="G167" i="3"/>
  <c r="G165" i="3"/>
  <c r="G161" i="3"/>
  <c r="H161" i="3" s="1"/>
  <c r="G159" i="3"/>
  <c r="G158" i="3"/>
  <c r="G156" i="3"/>
  <c r="G152" i="3"/>
  <c r="G151" i="3"/>
  <c r="H151" i="3" s="1"/>
  <c r="G150" i="3"/>
  <c r="H150" i="3" s="1"/>
  <c r="G147" i="3"/>
  <c r="H147" i="3"/>
  <c r="G146" i="3"/>
  <c r="G145" i="3"/>
  <c r="G144" i="3"/>
  <c r="G143" i="3"/>
  <c r="D131" i="3"/>
  <c r="D133" i="3"/>
  <c r="D135" i="3"/>
  <c r="H135" i="3" s="1"/>
  <c r="D127" i="3"/>
  <c r="H127" i="3" s="1"/>
  <c r="D122" i="3"/>
  <c r="D124" i="3"/>
  <c r="H124" i="3" s="1"/>
  <c r="D114" i="3"/>
  <c r="H114" i="3" s="1"/>
  <c r="P104" i="3"/>
  <c r="D112" i="3"/>
  <c r="P102" i="3"/>
  <c r="D110" i="3"/>
  <c r="P100" i="3"/>
  <c r="D108" i="3" s="1"/>
  <c r="P99" i="3"/>
  <c r="D107" i="3" s="1"/>
  <c r="D89" i="3"/>
  <c r="D90" i="3"/>
  <c r="D91" i="3"/>
  <c r="H91" i="3" s="1"/>
  <c r="D94" i="3"/>
  <c r="D98" i="3"/>
  <c r="D99" i="3"/>
  <c r="D100" i="3"/>
  <c r="D102" i="3"/>
  <c r="H102" i="3" s="1"/>
  <c r="P80" i="3"/>
  <c r="D86" i="3"/>
  <c r="G14" i="3"/>
  <c r="G15" i="3"/>
  <c r="H15" i="3" s="1"/>
  <c r="G17" i="3"/>
  <c r="H17" i="3"/>
  <c r="G16" i="3"/>
  <c r="G74" i="3"/>
  <c r="G73" i="3" s="1"/>
  <c r="D73" i="3"/>
  <c r="G65" i="3"/>
  <c r="D56" i="3"/>
  <c r="G54" i="3"/>
  <c r="H54" i="3" s="1"/>
  <c r="G53" i="3"/>
  <c r="H53" i="3" s="1"/>
  <c r="G41" i="3"/>
  <c r="H41" i="3" s="1"/>
  <c r="G42" i="3"/>
  <c r="D45" i="3"/>
  <c r="D40" i="3"/>
  <c r="G38" i="3"/>
  <c r="H38" i="3"/>
  <c r="G34" i="3"/>
  <c r="H34" i="3" s="1"/>
  <c r="G22" i="3"/>
  <c r="G21" i="3"/>
  <c r="H21" i="3"/>
  <c r="G20" i="3"/>
  <c r="H20" i="3"/>
  <c r="G19" i="3"/>
  <c r="H19" i="3" s="1"/>
  <c r="D18" i="3"/>
  <c r="H189" i="3"/>
  <c r="P34" i="2"/>
  <c r="P35" i="2"/>
  <c r="D10" i="2" s="1"/>
  <c r="D29" i="2"/>
  <c r="I29" i="2" s="1"/>
  <c r="I31" i="2" s="1"/>
  <c r="E29" i="2"/>
  <c r="J29" i="2" s="1"/>
  <c r="J30" i="2"/>
  <c r="F29" i="2"/>
  <c r="K29" i="2" s="1"/>
  <c r="K30" i="2"/>
  <c r="L30" i="2"/>
  <c r="G30" i="2" s="1"/>
  <c r="M30" i="2"/>
  <c r="H30" i="2" s="1"/>
  <c r="D32" i="2"/>
  <c r="E32" i="2"/>
  <c r="J33" i="2"/>
  <c r="K33" i="2"/>
  <c r="F33" i="2"/>
  <c r="L33" i="2"/>
  <c r="G33" i="2" s="1"/>
  <c r="M33" i="2"/>
  <c r="H33" i="2"/>
  <c r="P41" i="2"/>
  <c r="P38" i="2"/>
  <c r="J37" i="2"/>
  <c r="K37" i="2"/>
  <c r="F37" i="2" s="1"/>
  <c r="L37" i="2"/>
  <c r="M37" i="2"/>
  <c r="I37" i="2"/>
  <c r="H30" i="7"/>
  <c r="A12" i="5"/>
  <c r="B12" i="5"/>
  <c r="C12" i="5"/>
  <c r="B13" i="5"/>
  <c r="C13" i="5"/>
  <c r="D13" i="5"/>
  <c r="P121" i="3"/>
  <c r="D130" i="3" s="1"/>
  <c r="P113" i="3"/>
  <c r="D121" i="3" s="1"/>
  <c r="D109" i="3"/>
  <c r="A12" i="3"/>
  <c r="A76" i="3"/>
  <c r="G138" i="3"/>
  <c r="G137" i="3" s="1"/>
  <c r="D137" i="3"/>
  <c r="G136" i="3"/>
  <c r="G135" i="3"/>
  <c r="G134" i="3"/>
  <c r="G133" i="3"/>
  <c r="H133" i="3" s="1"/>
  <c r="G132" i="3"/>
  <c r="G131" i="3"/>
  <c r="G130" i="3"/>
  <c r="G128" i="3"/>
  <c r="G127" i="3"/>
  <c r="G126" i="3"/>
  <c r="G125" i="3"/>
  <c r="H125" i="3"/>
  <c r="G124" i="3"/>
  <c r="G123" i="3"/>
  <c r="G122" i="3"/>
  <c r="H122" i="3" s="1"/>
  <c r="G121" i="3"/>
  <c r="G119" i="3"/>
  <c r="G118" i="3"/>
  <c r="G117" i="3"/>
  <c r="G116" i="3"/>
  <c r="G115" i="3"/>
  <c r="G114" i="3"/>
  <c r="G113" i="3"/>
  <c r="G112" i="3"/>
  <c r="G110" i="3"/>
  <c r="G109" i="3"/>
  <c r="G108" i="3"/>
  <c r="G107" i="3"/>
  <c r="G106" i="3"/>
  <c r="H106" i="3" s="1"/>
  <c r="G105" i="3"/>
  <c r="H105" i="3"/>
  <c r="G102" i="3"/>
  <c r="G101" i="3"/>
  <c r="G100" i="3"/>
  <c r="G99" i="3"/>
  <c r="G98" i="3"/>
  <c r="H98" i="3" s="1"/>
  <c r="G97" i="3"/>
  <c r="G95" i="3"/>
  <c r="G94" i="3"/>
  <c r="G93" i="3"/>
  <c r="H93" i="3" s="1"/>
  <c r="G92" i="3"/>
  <c r="G91" i="3"/>
  <c r="G90" i="3"/>
  <c r="G89" i="3"/>
  <c r="G88" i="3"/>
  <c r="G87" i="3"/>
  <c r="G86" i="3"/>
  <c r="G85" i="3"/>
  <c r="H85" i="3" s="1"/>
  <c r="G84" i="3"/>
  <c r="H84" i="3" s="1"/>
  <c r="G81" i="3"/>
  <c r="H81" i="3" s="1"/>
  <c r="G80" i="3"/>
  <c r="G79" i="3"/>
  <c r="G78" i="3"/>
  <c r="H131" i="3"/>
  <c r="H100" i="3"/>
  <c r="H118" i="3"/>
  <c r="H110" i="3"/>
  <c r="H109" i="3" s="1"/>
  <c r="H112" i="3"/>
  <c r="J43" i="2"/>
  <c r="E43" i="2" s="1"/>
  <c r="K43" i="2"/>
  <c r="F43" i="2" s="1"/>
  <c r="L43" i="2"/>
  <c r="G43" i="2" s="1"/>
  <c r="M43" i="2"/>
  <c r="H43" i="2"/>
  <c r="G13" i="5"/>
  <c r="M13" i="7"/>
  <c r="P25" i="2" s="1"/>
  <c r="P27" i="2" s="1"/>
  <c r="D12" i="5"/>
  <c r="A10" i="2"/>
  <c r="A29" i="7"/>
  <c r="B19" i="12"/>
  <c r="B29" i="7"/>
  <c r="H29" i="7"/>
  <c r="B30" i="7"/>
  <c r="B32" i="2" s="1"/>
  <c r="I32" i="2"/>
  <c r="I34" i="2" s="1"/>
  <c r="J32" i="2"/>
  <c r="J34" i="2" s="1"/>
  <c r="A29" i="2"/>
  <c r="B29" i="2"/>
  <c r="A22" i="2"/>
  <c r="J69" i="13"/>
  <c r="K69" i="13"/>
  <c r="J68" i="13"/>
  <c r="K68" i="13" s="1"/>
  <c r="J67" i="13"/>
  <c r="K67" i="13"/>
  <c r="J66" i="13"/>
  <c r="K66" i="13" s="1"/>
  <c r="J65" i="13"/>
  <c r="K65" i="13"/>
  <c r="I12" i="7"/>
  <c r="N12" i="7" s="1"/>
  <c r="D10" i="5" s="1"/>
  <c r="M12" i="7"/>
  <c r="P22" i="2" s="1"/>
  <c r="P24" i="2" s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53" i="13"/>
  <c r="K53" i="13" s="1"/>
  <c r="R53" i="13" s="1"/>
  <c r="J52" i="13"/>
  <c r="K52" i="13"/>
  <c r="J51" i="13"/>
  <c r="K51" i="13"/>
  <c r="N51" i="13" s="1"/>
  <c r="J50" i="13"/>
  <c r="K50" i="13"/>
  <c r="P50" i="13" s="1"/>
  <c r="H35" i="7"/>
  <c r="R43" i="13"/>
  <c r="N44" i="13"/>
  <c r="R51" i="13"/>
  <c r="N53" i="13"/>
  <c r="P53" i="13"/>
  <c r="Q16" i="1"/>
  <c r="D24" i="1"/>
  <c r="E24" i="1"/>
  <c r="R15" i="5"/>
  <c r="R16" i="5"/>
  <c r="R14" i="5"/>
  <c r="R10" i="5"/>
  <c r="H14" i="5"/>
  <c r="J10" i="5"/>
  <c r="K10" i="5"/>
  <c r="L10" i="5"/>
  <c r="J61" i="13"/>
  <c r="K61" i="13" s="1"/>
  <c r="J60" i="13"/>
  <c r="K60" i="13" s="1"/>
  <c r="J59" i="13"/>
  <c r="K59" i="13" s="1"/>
  <c r="J58" i="13"/>
  <c r="K58" i="13"/>
  <c r="P58" i="13" s="1"/>
  <c r="J57" i="13"/>
  <c r="K57" i="13" s="1"/>
  <c r="J56" i="13"/>
  <c r="K56" i="13"/>
  <c r="N56" i="13" s="1"/>
  <c r="J55" i="13"/>
  <c r="K55" i="13" s="1"/>
  <c r="J54" i="13"/>
  <c r="K54" i="13"/>
  <c r="J49" i="13"/>
  <c r="K49" i="13" s="1"/>
  <c r="J39" i="13"/>
  <c r="K39" i="13" s="1"/>
  <c r="J38" i="13"/>
  <c r="K38" i="13" s="1"/>
  <c r="J37" i="13"/>
  <c r="K37" i="13" s="1"/>
  <c r="J36" i="13"/>
  <c r="K36" i="13" s="1"/>
  <c r="J34" i="13"/>
  <c r="K34" i="13" s="1"/>
  <c r="P34" i="13" s="1"/>
  <c r="J33" i="13"/>
  <c r="K33" i="13"/>
  <c r="N33" i="13" s="1"/>
  <c r="J32" i="13"/>
  <c r="K32" i="13" s="1"/>
  <c r="J31" i="13"/>
  <c r="K31" i="13" s="1"/>
  <c r="J30" i="13"/>
  <c r="K30" i="13" s="1"/>
  <c r="E4" i="13"/>
  <c r="B40" i="12"/>
  <c r="B29" i="12"/>
  <c r="P61" i="13"/>
  <c r="N25" i="13"/>
  <c r="N29" i="13"/>
  <c r="P55" i="13"/>
  <c r="R40" i="13"/>
  <c r="P54" i="13"/>
  <c r="R32" i="13"/>
  <c r="N58" i="13"/>
  <c r="R58" i="13"/>
  <c r="N23" i="13"/>
  <c r="D41" i="2"/>
  <c r="N41" i="2" s="1"/>
  <c r="B12" i="2" s="1"/>
  <c r="D38" i="2"/>
  <c r="I23" i="2"/>
  <c r="D23" i="2" s="1"/>
  <c r="M21" i="7"/>
  <c r="I39" i="2"/>
  <c r="I41" i="2" s="1"/>
  <c r="O41" i="2" s="1"/>
  <c r="C23" i="1"/>
  <c r="F41" i="2"/>
  <c r="K41" i="2"/>
  <c r="L21" i="7"/>
  <c r="V16" i="5" s="1"/>
  <c r="K21" i="7"/>
  <c r="U16" i="5" s="1"/>
  <c r="J21" i="7"/>
  <c r="I21" i="7"/>
  <c r="S16" i="5" s="1"/>
  <c r="L19" i="7"/>
  <c r="K19" i="7"/>
  <c r="F14" i="5"/>
  <c r="J19" i="7"/>
  <c r="T14" i="5" s="1"/>
  <c r="K36" i="2"/>
  <c r="I19" i="7"/>
  <c r="S14" i="5" s="1"/>
  <c r="T16" i="5"/>
  <c r="D16" i="1"/>
  <c r="U14" i="5"/>
  <c r="L12" i="7"/>
  <c r="Q12" i="7" s="1"/>
  <c r="G10" i="5" s="1"/>
  <c r="Q10" i="5" s="1"/>
  <c r="K12" i="7"/>
  <c r="U10" i="5" s="1"/>
  <c r="E25" i="1"/>
  <c r="O16" i="5"/>
  <c r="K42" i="2"/>
  <c r="G24" i="1"/>
  <c r="N16" i="5"/>
  <c r="D25" i="1"/>
  <c r="G25" i="1"/>
  <c r="F24" i="1"/>
  <c r="F25" i="1"/>
  <c r="P16" i="5"/>
  <c r="P44" i="2"/>
  <c r="F42" i="2"/>
  <c r="E17" i="1"/>
  <c r="G17" i="1"/>
  <c r="D17" i="1"/>
  <c r="F17" i="1"/>
  <c r="K26" i="2"/>
  <c r="F26" i="2"/>
  <c r="K23" i="2"/>
  <c r="F23" i="2" s="1"/>
  <c r="J12" i="7"/>
  <c r="O12" i="7" s="1"/>
  <c r="K22" i="2" s="1"/>
  <c r="F22" i="2" s="1"/>
  <c r="H27" i="7"/>
  <c r="K25" i="2"/>
  <c r="K27" i="2" s="1"/>
  <c r="E4" i="12"/>
  <c r="B11" i="12"/>
  <c r="I43" i="2"/>
  <c r="E37" i="2"/>
  <c r="B42" i="2"/>
  <c r="B39" i="2"/>
  <c r="B36" i="2"/>
  <c r="J26" i="2"/>
  <c r="E26" i="2"/>
  <c r="L26" i="2"/>
  <c r="G26" i="2" s="1"/>
  <c r="M26" i="2"/>
  <c r="H26" i="2" s="1"/>
  <c r="I26" i="2"/>
  <c r="J23" i="2"/>
  <c r="E23" i="2" s="1"/>
  <c r="L23" i="2"/>
  <c r="M23" i="2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I42" i="2"/>
  <c r="I44" i="2" s="1"/>
  <c r="M42" i="2"/>
  <c r="H42" i="2" s="1"/>
  <c r="H36" i="7"/>
  <c r="B36" i="7"/>
  <c r="B35" i="7"/>
  <c r="H34" i="7"/>
  <c r="B34" i="7"/>
  <c r="A34" i="7"/>
  <c r="M25" i="2"/>
  <c r="H25" i="2" s="1"/>
  <c r="H28" i="7"/>
  <c r="A27" i="7"/>
  <c r="B28" i="7"/>
  <c r="B27" i="7"/>
  <c r="A16" i="1"/>
  <c r="C8" i="2"/>
  <c r="B8" i="2"/>
  <c r="M44" i="2"/>
  <c r="M41" i="2"/>
  <c r="H41" i="2"/>
  <c r="M36" i="2"/>
  <c r="H36" i="2"/>
  <c r="L42" i="2"/>
  <c r="G42" i="2" s="1"/>
  <c r="G44" i="2" s="1"/>
  <c r="L41" i="2"/>
  <c r="L25" i="2"/>
  <c r="L27" i="2"/>
  <c r="L36" i="2"/>
  <c r="G36" i="2" s="1"/>
  <c r="L44" i="2"/>
  <c r="G25" i="2"/>
  <c r="G41" i="2"/>
  <c r="Q17" i="1"/>
  <c r="Q23" i="1"/>
  <c r="Q24" i="1"/>
  <c r="J24" i="1" s="1"/>
  <c r="Q25" i="1"/>
  <c r="L25" i="1" s="1"/>
  <c r="G4" i="5"/>
  <c r="D4" i="1"/>
  <c r="B10" i="5"/>
  <c r="A10" i="5"/>
  <c r="A9" i="2"/>
  <c r="D44" i="2"/>
  <c r="A9" i="5"/>
  <c r="B9" i="5"/>
  <c r="J41" i="2"/>
  <c r="J42" i="2"/>
  <c r="E42" i="2" s="1"/>
  <c r="J25" i="2"/>
  <c r="E25" i="2" s="1"/>
  <c r="E41" i="2"/>
  <c r="J22" i="2"/>
  <c r="F44" i="9"/>
  <c r="F45" i="9"/>
  <c r="F46" i="9"/>
  <c r="F47" i="9"/>
  <c r="F48" i="9"/>
  <c r="F49" i="9"/>
  <c r="F68" i="9"/>
  <c r="F69" i="9"/>
  <c r="R41" i="13" l="1"/>
  <c r="R35" i="13"/>
  <c r="R22" i="13"/>
  <c r="G32" i="2"/>
  <c r="L32" i="2" s="1"/>
  <c r="G12" i="5"/>
  <c r="H29" i="2"/>
  <c r="M29" i="2" s="1"/>
  <c r="P38" i="13"/>
  <c r="R38" i="13"/>
  <c r="N38" i="13"/>
  <c r="R21" i="13"/>
  <c r="P21" i="13"/>
  <c r="N21" i="13"/>
  <c r="H201" i="3"/>
  <c r="D195" i="3"/>
  <c r="P33" i="13"/>
  <c r="R33" i="13"/>
  <c r="R60" i="13"/>
  <c r="N60" i="13"/>
  <c r="D82" i="3"/>
  <c r="P24" i="13"/>
  <c r="N24" i="13"/>
  <c r="E18" i="1"/>
  <c r="J18" i="1" s="1"/>
  <c r="E12" i="5"/>
  <c r="E19" i="1"/>
  <c r="J19" i="1" s="1"/>
  <c r="F32" i="2"/>
  <c r="F34" i="2" s="1"/>
  <c r="E13" i="5"/>
  <c r="K52" i="9"/>
  <c r="M69" i="9"/>
  <c r="J24" i="2"/>
  <c r="J27" i="2"/>
  <c r="K44" i="2"/>
  <c r="N22" i="13"/>
  <c r="P60" i="13"/>
  <c r="N46" i="13"/>
  <c r="H94" i="3"/>
  <c r="H117" i="3"/>
  <c r="G129" i="3"/>
  <c r="J31" i="2"/>
  <c r="G40" i="3"/>
  <c r="H108" i="3"/>
  <c r="G195" i="3"/>
  <c r="H182" i="3"/>
  <c r="H234" i="3"/>
  <c r="H162" i="3"/>
  <c r="H116" i="3"/>
  <c r="R20" i="13"/>
  <c r="P20" i="13"/>
  <c r="P16" i="13"/>
  <c r="R16" i="13"/>
  <c r="F18" i="1"/>
  <c r="K18" i="1" s="1"/>
  <c r="G29" i="2"/>
  <c r="L29" i="2" s="1"/>
  <c r="L31" i="2" s="1"/>
  <c r="H259" i="3"/>
  <c r="H219" i="3"/>
  <c r="H51" i="3"/>
  <c r="H47" i="3" s="1"/>
  <c r="D47" i="3"/>
  <c r="H268" i="3"/>
  <c r="E44" i="2"/>
  <c r="D45" i="2"/>
  <c r="H27" i="2"/>
  <c r="V14" i="5"/>
  <c r="C16" i="5"/>
  <c r="M16" i="5" s="1"/>
  <c r="C25" i="1"/>
  <c r="N20" i="13"/>
  <c r="N45" i="13"/>
  <c r="N10" i="5"/>
  <c r="H87" i="3"/>
  <c r="G104" i="3"/>
  <c r="G31" i="2"/>
  <c r="H90" i="3"/>
  <c r="H156" i="3"/>
  <c r="G209" i="3"/>
  <c r="P127" i="3"/>
  <c r="D136" i="3" s="1"/>
  <c r="H136" i="3" s="1"/>
  <c r="H134" i="3"/>
  <c r="P44" i="13"/>
  <c r="R44" i="13"/>
  <c r="P19" i="13"/>
  <c r="R19" i="13"/>
  <c r="N19" i="13"/>
  <c r="H231" i="3"/>
  <c r="H245" i="3"/>
  <c r="H254" i="3"/>
  <c r="H258" i="3"/>
  <c r="P14" i="5"/>
  <c r="R56" i="13"/>
  <c r="N35" i="13"/>
  <c r="R24" i="13"/>
  <c r="R29" i="13"/>
  <c r="P56" i="13"/>
  <c r="N54" i="13"/>
  <c r="R54" i="13"/>
  <c r="P51" i="13"/>
  <c r="N41" i="13"/>
  <c r="R46" i="13"/>
  <c r="F13" i="5"/>
  <c r="H32" i="2"/>
  <c r="H34" i="2" s="1"/>
  <c r="D31" i="2"/>
  <c r="G18" i="3"/>
  <c r="G45" i="3"/>
  <c r="G13" i="3"/>
  <c r="G12" i="3" s="1"/>
  <c r="H89" i="3"/>
  <c r="D241" i="3"/>
  <c r="N127" i="3"/>
  <c r="D202" i="3" s="1"/>
  <c r="H202" i="3" s="1"/>
  <c r="H198" i="3"/>
  <c r="H221" i="3"/>
  <c r="H225" i="3"/>
  <c r="P45" i="2"/>
  <c r="L24" i="1"/>
  <c r="H101" i="3"/>
  <c r="H119" i="3"/>
  <c r="H99" i="3"/>
  <c r="H180" i="3"/>
  <c r="H190" i="3"/>
  <c r="H185" i="3"/>
  <c r="H164" i="3"/>
  <c r="H183" i="3"/>
  <c r="H193" i="3"/>
  <c r="H68" i="3"/>
  <c r="H264" i="3"/>
  <c r="H223" i="3"/>
  <c r="H248" i="3"/>
  <c r="E16" i="1"/>
  <c r="C16" i="1"/>
  <c r="H16" i="1" s="1"/>
  <c r="E10" i="5"/>
  <c r="O10" i="5" s="1"/>
  <c r="C10" i="5"/>
  <c r="M10" i="5" s="1"/>
  <c r="S10" i="5"/>
  <c r="C11" i="5"/>
  <c r="M11" i="5" s="1"/>
  <c r="I25" i="2"/>
  <c r="D25" i="2" s="1"/>
  <c r="C17" i="1"/>
  <c r="H17" i="1" s="1"/>
  <c r="E22" i="2"/>
  <c r="M22" i="2"/>
  <c r="H22" i="2" s="1"/>
  <c r="V10" i="5"/>
  <c r="I22" i="2"/>
  <c r="D22" i="2" s="1"/>
  <c r="G16" i="1"/>
  <c r="I35" i="2"/>
  <c r="D26" i="2"/>
  <c r="D27" i="2" s="1"/>
  <c r="D24" i="2"/>
  <c r="K38" i="2"/>
  <c r="F36" i="2"/>
  <c r="F38" i="2" s="1"/>
  <c r="F45" i="2" s="1"/>
  <c r="P36" i="13"/>
  <c r="N36" i="13"/>
  <c r="K24" i="1"/>
  <c r="G23" i="2"/>
  <c r="P30" i="13"/>
  <c r="N30" i="13"/>
  <c r="P59" i="13"/>
  <c r="N59" i="13"/>
  <c r="H44" i="2"/>
  <c r="H79" i="3"/>
  <c r="G77" i="3"/>
  <c r="H130" i="3"/>
  <c r="H250" i="3"/>
  <c r="H200" i="3"/>
  <c r="P23" i="13"/>
  <c r="R23" i="13"/>
  <c r="E14" i="5"/>
  <c r="O14" i="5" s="1"/>
  <c r="E23" i="1"/>
  <c r="J23" i="1" s="1"/>
  <c r="K74" i="9"/>
  <c r="K73" i="9"/>
  <c r="I24" i="2"/>
  <c r="M27" i="2"/>
  <c r="E24" i="2"/>
  <c r="P12" i="7"/>
  <c r="N31" i="13"/>
  <c r="P31" i="13"/>
  <c r="P37" i="13"/>
  <c r="N37" i="13"/>
  <c r="R37" i="13"/>
  <c r="H95" i="3"/>
  <c r="H152" i="3"/>
  <c r="D148" i="3"/>
  <c r="N107" i="3"/>
  <c r="H181" i="3" s="1"/>
  <c r="O107" i="3"/>
  <c r="H247" i="3" s="1"/>
  <c r="P107" i="3"/>
  <c r="I24" i="1"/>
  <c r="N55" i="13"/>
  <c r="R55" i="13"/>
  <c r="R52" i="13"/>
  <c r="P52" i="13"/>
  <c r="N52" i="13"/>
  <c r="M31" i="2"/>
  <c r="H86" i="3"/>
  <c r="G243" i="3"/>
  <c r="P40" i="13"/>
  <c r="N40" i="13"/>
  <c r="N28" i="13"/>
  <c r="R28" i="13"/>
  <c r="P18" i="13"/>
  <c r="R18" i="13"/>
  <c r="N18" i="13"/>
  <c r="P49" i="13"/>
  <c r="R49" i="13"/>
  <c r="R48" i="13"/>
  <c r="P48" i="13"/>
  <c r="R42" i="13"/>
  <c r="P42" i="13"/>
  <c r="Q41" i="2"/>
  <c r="N44" i="2"/>
  <c r="F24" i="2"/>
  <c r="F28" i="2" s="1"/>
  <c r="G14" i="5"/>
  <c r="Q14" i="5" s="1"/>
  <c r="G23" i="1"/>
  <c r="L23" i="1" s="1"/>
  <c r="C14" i="5"/>
  <c r="M14" i="5" s="1"/>
  <c r="R31" i="13"/>
  <c r="N32" i="13"/>
  <c r="P32" i="13"/>
  <c r="N61" i="13"/>
  <c r="R61" i="13"/>
  <c r="N48" i="13"/>
  <c r="F30" i="2"/>
  <c r="F31" i="2" s="1"/>
  <c r="K31" i="2"/>
  <c r="G186" i="3"/>
  <c r="P45" i="13"/>
  <c r="P27" i="13"/>
  <c r="N27" i="13"/>
  <c r="R17" i="13"/>
  <c r="N17" i="13"/>
  <c r="P17" i="13"/>
  <c r="D243" i="3"/>
  <c r="H244" i="3"/>
  <c r="E27" i="2"/>
  <c r="I36" i="2"/>
  <c r="I38" i="2" s="1"/>
  <c r="R36" i="13"/>
  <c r="R30" i="13"/>
  <c r="K70" i="13"/>
  <c r="H88" i="3"/>
  <c r="H37" i="2"/>
  <c r="H38" i="2" s="1"/>
  <c r="H45" i="2" s="1"/>
  <c r="M38" i="2"/>
  <c r="M45" i="2" s="1"/>
  <c r="H179" i="3"/>
  <c r="D177" i="3"/>
  <c r="H167" i="3"/>
  <c r="H249" i="3"/>
  <c r="H113" i="3"/>
  <c r="P26" i="13"/>
  <c r="R26" i="13"/>
  <c r="D261" i="3"/>
  <c r="H262" i="3"/>
  <c r="H128" i="3"/>
  <c r="R25" i="13"/>
  <c r="P25" i="13"/>
  <c r="M61" i="9"/>
  <c r="M73" i="9" s="1"/>
  <c r="J44" i="2"/>
  <c r="O44" i="2" s="1"/>
  <c r="H23" i="2"/>
  <c r="R39" i="13"/>
  <c r="P39" i="13"/>
  <c r="N39" i="13"/>
  <c r="N57" i="13"/>
  <c r="P57" i="13"/>
  <c r="R57" i="13"/>
  <c r="N42" i="13"/>
  <c r="D120" i="3"/>
  <c r="H121" i="3"/>
  <c r="G37" i="2"/>
  <c r="G38" i="2" s="1"/>
  <c r="G45" i="2" s="1"/>
  <c r="L38" i="2"/>
  <c r="L45" i="2" s="1"/>
  <c r="G27" i="2"/>
  <c r="K24" i="2"/>
  <c r="K28" i="2" s="1"/>
  <c r="C15" i="5"/>
  <c r="M15" i="5" s="1"/>
  <c r="C24" i="1"/>
  <c r="H24" i="1" s="1"/>
  <c r="N49" i="13"/>
  <c r="R59" i="13"/>
  <c r="N34" i="13"/>
  <c r="R34" i="13"/>
  <c r="N50" i="13"/>
  <c r="R50" i="13"/>
  <c r="P47" i="13"/>
  <c r="N47" i="13"/>
  <c r="R47" i="13"/>
  <c r="G111" i="3"/>
  <c r="G120" i="3"/>
  <c r="G177" i="3"/>
  <c r="G169" i="3" s="1"/>
  <c r="P43" i="13"/>
  <c r="N43" i="13"/>
  <c r="P15" i="13"/>
  <c r="K62" i="13"/>
  <c r="N15" i="13"/>
  <c r="H56" i="3"/>
  <c r="H65" i="3"/>
  <c r="J17" i="1"/>
  <c r="F25" i="2"/>
  <c r="F27" i="2" s="1"/>
  <c r="G47" i="3"/>
  <c r="G39" i="3" s="1"/>
  <c r="L29" i="12"/>
  <c r="D144" i="3" s="1"/>
  <c r="H144" i="3" s="1"/>
  <c r="H226" i="3"/>
  <c r="T10" i="5"/>
  <c r="P28" i="2"/>
  <c r="D9" i="2" s="1"/>
  <c r="E34" i="2"/>
  <c r="E31" i="2"/>
  <c r="H22" i="3"/>
  <c r="H18" i="3" s="1"/>
  <c r="H42" i="3"/>
  <c r="H40" i="3" s="1"/>
  <c r="H233" i="3"/>
  <c r="L34" i="2"/>
  <c r="D34" i="2"/>
  <c r="H256" i="3"/>
  <c r="F23" i="1"/>
  <c r="K23" i="1" s="1"/>
  <c r="H19" i="1"/>
  <c r="I16" i="1"/>
  <c r="K17" i="1"/>
  <c r="K25" i="1"/>
  <c r="H25" i="1"/>
  <c r="I25" i="1"/>
  <c r="J25" i="1"/>
  <c r="H23" i="1"/>
  <c r="L18" i="1"/>
  <c r="K19" i="1"/>
  <c r="H18" i="1"/>
  <c r="I18" i="1"/>
  <c r="L19" i="1"/>
  <c r="I17" i="1"/>
  <c r="L17" i="1"/>
  <c r="J16" i="1"/>
  <c r="L16" i="1"/>
  <c r="L40" i="12"/>
  <c r="D210" i="3" s="1"/>
  <c r="D104" i="3"/>
  <c r="H107" i="3"/>
  <c r="D170" i="3"/>
  <c r="H174" i="3"/>
  <c r="H170" i="3" s="1"/>
  <c r="H240" i="3"/>
  <c r="H236" i="3" s="1"/>
  <c r="D236" i="3"/>
  <c r="D39" i="3"/>
  <c r="J74" i="3"/>
  <c r="L11" i="12"/>
  <c r="D14" i="3" s="1"/>
  <c r="J35" i="2"/>
  <c r="M32" i="2"/>
  <c r="M34" i="2" s="1"/>
  <c r="G34" i="2"/>
  <c r="L19" i="12"/>
  <c r="D78" i="3" s="1"/>
  <c r="D80" i="3" s="1"/>
  <c r="H80" i="3" s="1"/>
  <c r="AA48" i="9"/>
  <c r="AB48" i="9"/>
  <c r="AD48" i="9" s="1"/>
  <c r="AA47" i="9"/>
  <c r="AB47" i="9"/>
  <c r="AD47" i="9" s="1"/>
  <c r="AA46" i="9"/>
  <c r="AB46" i="9"/>
  <c r="AD46" i="9" s="1"/>
  <c r="AA49" i="9"/>
  <c r="AB49" i="9"/>
  <c r="AA45" i="9"/>
  <c r="AA50" i="9" s="1"/>
  <c r="AB45" i="9"/>
  <c r="AD45" i="9" s="1"/>
  <c r="C12" i="2"/>
  <c r="Y50" i="9"/>
  <c r="G52" i="9"/>
  <c r="B28" i="9"/>
  <c r="B27" i="9" s="1"/>
  <c r="M48" i="9"/>
  <c r="M44" i="9"/>
  <c r="M40" i="9"/>
  <c r="M47" i="9"/>
  <c r="M43" i="9"/>
  <c r="M39" i="9"/>
  <c r="J50" i="9"/>
  <c r="G51" i="9"/>
  <c r="K75" i="9"/>
  <c r="K76" i="9" s="1"/>
  <c r="G73" i="9"/>
  <c r="V53" i="9"/>
  <c r="G75" i="9"/>
  <c r="D50" i="9"/>
  <c r="H53" i="9"/>
  <c r="H204" i="3"/>
  <c r="H203" i="3" s="1"/>
  <c r="H270" i="3"/>
  <c r="H269" i="3" s="1"/>
  <c r="D186" i="3"/>
  <c r="H194" i="3"/>
  <c r="H260" i="3"/>
  <c r="H252" i="3" s="1"/>
  <c r="D252" i="3"/>
  <c r="H230" i="3"/>
  <c r="D214" i="3"/>
  <c r="H138" i="3"/>
  <c r="H137" i="3" s="1"/>
  <c r="H74" i="3"/>
  <c r="H73" i="3" s="1"/>
  <c r="G236" i="3"/>
  <c r="G74" i="9"/>
  <c r="K50" i="9"/>
  <c r="Y51" i="9"/>
  <c r="E76" i="9"/>
  <c r="M38" i="9"/>
  <c r="M46" i="9"/>
  <c r="M42" i="9"/>
  <c r="K51" i="9"/>
  <c r="K53" i="9" s="1"/>
  <c r="M75" i="9"/>
  <c r="M49" i="9"/>
  <c r="M45" i="9"/>
  <c r="M41" i="9"/>
  <c r="E53" i="9"/>
  <c r="Y52" i="9"/>
  <c r="D73" i="9"/>
  <c r="M74" i="9"/>
  <c r="H76" i="9"/>
  <c r="F73" i="9"/>
  <c r="X50" i="9"/>
  <c r="H83" i="3"/>
  <c r="G82" i="3"/>
  <c r="G76" i="3" s="1"/>
  <c r="H149" i="3"/>
  <c r="G148" i="3"/>
  <c r="G142" i="3" s="1"/>
  <c r="G214" i="3"/>
  <c r="G208" i="3" s="1"/>
  <c r="H215" i="3"/>
  <c r="P62" i="13" l="1"/>
  <c r="O62" i="13" s="1"/>
  <c r="AB15" i="13" s="1"/>
  <c r="AI15" i="13" s="1"/>
  <c r="AJ15" i="13" s="1"/>
  <c r="N62" i="13"/>
  <c r="M62" i="13" s="1"/>
  <c r="Z15" i="13" s="1"/>
  <c r="AG15" i="13" s="1"/>
  <c r="AH15" i="13" s="1"/>
  <c r="N34" i="2"/>
  <c r="O31" i="2"/>
  <c r="H31" i="2"/>
  <c r="N31" i="2" s="1"/>
  <c r="H35" i="2"/>
  <c r="F35" i="2"/>
  <c r="F46" i="2" s="1"/>
  <c r="M35" i="2"/>
  <c r="D35" i="2"/>
  <c r="R62" i="13"/>
  <c r="Q62" i="13" s="1"/>
  <c r="AD15" i="13" s="1"/>
  <c r="AK15" i="13" s="1"/>
  <c r="AL15" i="13" s="1"/>
  <c r="G75" i="3"/>
  <c r="H129" i="3"/>
  <c r="H148" i="3"/>
  <c r="G35" i="2"/>
  <c r="L35" i="2"/>
  <c r="G103" i="3"/>
  <c r="G139" i="3" s="1"/>
  <c r="D129" i="3"/>
  <c r="K32" i="2"/>
  <c r="K34" i="2" s="1"/>
  <c r="K35" i="2" s="1"/>
  <c r="H261" i="3"/>
  <c r="H177" i="3"/>
  <c r="H195" i="3"/>
  <c r="K45" i="2"/>
  <c r="J28" i="2"/>
  <c r="D28" i="2"/>
  <c r="P46" i="2"/>
  <c r="I27" i="2"/>
  <c r="O27" i="2" s="1"/>
  <c r="H24" i="2"/>
  <c r="H28" i="2" s="1"/>
  <c r="M24" i="2"/>
  <c r="M28" i="2" s="1"/>
  <c r="M46" i="2" s="1"/>
  <c r="N27" i="2"/>
  <c r="D146" i="3"/>
  <c r="H146" i="3" s="1"/>
  <c r="H143" i="3" s="1"/>
  <c r="H142" i="3" s="1"/>
  <c r="AD52" i="9"/>
  <c r="D23" i="1"/>
  <c r="I23" i="1" s="1"/>
  <c r="J36" i="2"/>
  <c r="D14" i="5"/>
  <c r="N14" i="5" s="1"/>
  <c r="H243" i="3"/>
  <c r="I45" i="2"/>
  <c r="Q44" i="2"/>
  <c r="H115" i="3"/>
  <c r="J138" i="3" s="1"/>
  <c r="D111" i="3"/>
  <c r="D103" i="3" s="1"/>
  <c r="G205" i="3"/>
  <c r="E35" i="2"/>
  <c r="H214" i="3"/>
  <c r="D235" i="3"/>
  <c r="G235" i="3"/>
  <c r="D169" i="3"/>
  <c r="H39" i="3"/>
  <c r="F16" i="1"/>
  <c r="K16" i="1" s="1"/>
  <c r="L22" i="2"/>
  <c r="F10" i="5"/>
  <c r="P10" i="5" s="1"/>
  <c r="H82" i="3"/>
  <c r="H120" i="3"/>
  <c r="E28" i="2"/>
  <c r="D212" i="3"/>
  <c r="H212" i="3" s="1"/>
  <c r="H210" i="3"/>
  <c r="H104" i="3"/>
  <c r="L55" i="12"/>
  <c r="H78" i="3"/>
  <c r="H77" i="3" s="1"/>
  <c r="D77" i="3"/>
  <c r="D76" i="3" s="1"/>
  <c r="D16" i="3"/>
  <c r="H16" i="3" s="1"/>
  <c r="H14" i="3"/>
  <c r="AB50" i="9"/>
  <c r="AB52" i="9"/>
  <c r="AB51" i="9"/>
  <c r="AD49" i="9"/>
  <c r="J270" i="3"/>
  <c r="E12" i="2"/>
  <c r="D13" i="2"/>
  <c r="Y53" i="9"/>
  <c r="G53" i="9"/>
  <c r="M52" i="9"/>
  <c r="M50" i="9"/>
  <c r="G76" i="9"/>
  <c r="M51" i="9"/>
  <c r="H186" i="3"/>
  <c r="J204" i="3"/>
  <c r="G271" i="3"/>
  <c r="M76" i="9"/>
  <c r="M77" i="9" s="1"/>
  <c r="AC15" i="13"/>
  <c r="K46" i="2" l="1"/>
  <c r="H235" i="3"/>
  <c r="H169" i="3"/>
  <c r="H205" i="3" s="1"/>
  <c r="F11" i="2" s="1"/>
  <c r="I28" i="2"/>
  <c r="I46" i="2" s="1"/>
  <c r="AE15" i="13"/>
  <c r="AR15" i="13" s="1"/>
  <c r="AP15" i="13"/>
  <c r="AA15" i="13"/>
  <c r="AN15" i="13" s="1"/>
  <c r="O34" i="2"/>
  <c r="Q34" i="2" s="1"/>
  <c r="D46" i="2"/>
  <c r="Q31" i="2"/>
  <c r="H46" i="2"/>
  <c r="N35" i="2"/>
  <c r="B10" i="2" s="1"/>
  <c r="H76" i="3"/>
  <c r="AL16" i="13"/>
  <c r="Q27" i="2"/>
  <c r="D209" i="3"/>
  <c r="D208" i="3" s="1"/>
  <c r="D271" i="3" s="1"/>
  <c r="D143" i="3"/>
  <c r="D142" i="3" s="1"/>
  <c r="D205" i="3" s="1"/>
  <c r="G22" i="2"/>
  <c r="G24" i="2" s="1"/>
  <c r="L24" i="2"/>
  <c r="H111" i="3"/>
  <c r="E36" i="2"/>
  <c r="E38" i="2" s="1"/>
  <c r="J38" i="2"/>
  <c r="H103" i="3"/>
  <c r="D139" i="3"/>
  <c r="H209" i="3"/>
  <c r="H208" i="3" s="1"/>
  <c r="H271" i="3" s="1"/>
  <c r="F12" i="2" s="1"/>
  <c r="H13" i="3"/>
  <c r="H12" i="3" s="1"/>
  <c r="H75" i="3" s="1"/>
  <c r="J75" i="3" s="1"/>
  <c r="D13" i="3"/>
  <c r="D12" i="3" s="1"/>
  <c r="D75" i="3" s="1"/>
  <c r="AB53" i="9"/>
  <c r="M53" i="9"/>
  <c r="M54" i="9" s="1"/>
  <c r="AD51" i="9"/>
  <c r="AD53" i="9" s="1"/>
  <c r="AD50" i="9"/>
  <c r="H139" i="3" l="1"/>
  <c r="J139" i="3" s="1"/>
  <c r="AE16" i="13"/>
  <c r="O35" i="2"/>
  <c r="C10" i="2" s="1"/>
  <c r="E10" i="2" s="1"/>
  <c r="Q35" i="2"/>
  <c r="J205" i="3"/>
  <c r="J271" i="3"/>
  <c r="G28" i="2"/>
  <c r="G46" i="2" s="1"/>
  <c r="N24" i="2"/>
  <c r="J45" i="2"/>
  <c r="J46" i="2" s="1"/>
  <c r="O38" i="2"/>
  <c r="E45" i="2"/>
  <c r="E46" i="2" s="1"/>
  <c r="N38" i="2"/>
  <c r="L28" i="2"/>
  <c r="L46" i="2" s="1"/>
  <c r="O24" i="2"/>
  <c r="O28" i="2" s="1"/>
  <c r="F10" i="2"/>
  <c r="H272" i="3"/>
  <c r="F9" i="2"/>
  <c r="Q24" i="2" l="1"/>
  <c r="Q28" i="2" s="1"/>
  <c r="N28" i="2"/>
  <c r="B11" i="2"/>
  <c r="N45" i="2"/>
  <c r="Q38" i="2"/>
  <c r="Q45" i="2" s="1"/>
  <c r="C11" i="2"/>
  <c r="O45" i="2"/>
  <c r="O46" i="2" s="1"/>
  <c r="C9" i="2"/>
  <c r="F13" i="2"/>
  <c r="G9" i="2" s="1"/>
  <c r="H9" i="2" s="1"/>
  <c r="E11" i="2" l="1"/>
  <c r="B9" i="2"/>
  <c r="N46" i="2"/>
  <c r="Q46" i="2"/>
  <c r="C13" i="2"/>
  <c r="G12" i="2"/>
  <c r="H12" i="2" s="1"/>
  <c r="I12" i="2" s="1"/>
  <c r="G11" i="2"/>
  <c r="H11" i="2" s="1"/>
  <c r="G10" i="2"/>
  <c r="H10" i="2" s="1"/>
  <c r="I10" i="2" s="1"/>
  <c r="I11" i="2" l="1"/>
  <c r="E9" i="2"/>
  <c r="B13" i="2"/>
  <c r="H13" i="2"/>
  <c r="G13" i="2"/>
  <c r="L12" i="2" s="1"/>
  <c r="E13" i="2" l="1"/>
  <c r="I9" i="2"/>
  <c r="I13" i="2" s="1"/>
  <c r="L10" i="2"/>
  <c r="L9" i="2"/>
  <c r="L11" i="2"/>
  <c r="L13" i="2" l="1"/>
</calcChain>
</file>

<file path=xl/sharedStrings.xml><?xml version="1.0" encoding="utf-8"?>
<sst xmlns="http://schemas.openxmlformats.org/spreadsheetml/2006/main" count="1185" uniqueCount="459">
  <si>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</si>
  <si>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</si>
  <si>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</si>
  <si>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</si>
  <si>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</si>
  <si>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</si>
  <si>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</si>
  <si>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</si>
  <si>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</si>
  <si>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</si>
  <si>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</si>
  <si>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</si>
  <si>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</si>
  <si>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</si>
  <si>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</si>
  <si>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</si>
  <si>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</si>
  <si>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</si>
  <si>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</si>
  <si>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</si>
  <si>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</si>
  <si>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</si>
  <si>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</si>
  <si>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</si>
  <si>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</si>
  <si>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</si>
  <si>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</si>
  <si>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</si>
  <si>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</si>
  <si>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</si>
  <si>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</si>
  <si>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</si>
  <si>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</si>
  <si>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</si>
  <si>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</si>
  <si>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</si>
  <si>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</si>
  <si>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</si>
  <si>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</si>
  <si>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</si>
  <si>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</si>
  <si>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</si>
  <si>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</si>
  <si>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</si>
  <si>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</si>
  <si>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</si>
  <si>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</si>
  <si>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</si>
  <si>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</si>
  <si>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</si>
  <si>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</si>
  <si>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</si>
  <si>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</si>
  <si>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</si>
  <si>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</si>
  <si>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</si>
  <si>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</si>
  <si>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</si>
  <si>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</si>
  <si>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</si>
  <si>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</si>
  <si>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</si>
  <si>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</si>
  <si>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</si>
  <si>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</si>
  <si>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</si>
  <si>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</si>
  <si>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</si>
  <si>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</si>
  <si>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</si>
  <si>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</si>
  <si>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</si>
  <si>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</si>
  <si>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</si>
  <si>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</si>
  <si>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</si>
  <si>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</si>
  <si>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</si>
  <si>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</si>
  <si>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</si>
  <si>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</si>
  <si>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</si>
  <si>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</si>
  <si>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</si>
  <si>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</si>
  <si>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</si>
  <si>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</si>
  <si>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</si>
  <si>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</si>
  <si>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</si>
  <si>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</si>
  <si>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</si>
  <si>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</si>
  <si>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</si>
  <si>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</si>
  <si>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</si>
  <si>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</si>
  <si>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</si>
  <si>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</si>
  <si>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</si>
  <si>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</si>
  <si>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</si>
  <si>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</si>
  <si>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</si>
  <si>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</si>
  <si>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</si>
  <si>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</si>
  <si>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</si>
  <si>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</si>
  <si>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</si>
  <si>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</si>
  <si>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</si>
  <si>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</si>
  <si>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</si>
  <si>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</si>
  <si>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</si>
  <si>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</si>
  <si>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</si>
  <si>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</si>
  <si>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</si>
  <si>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</si>
  <si>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</si>
  <si>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</si>
  <si>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</si>
  <si>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</si>
  <si>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</si>
  <si>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</si>
  <si>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</si>
  <si>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</si>
  <si>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</si>
  <si>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</si>
  <si>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</si>
  <si>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</si>
  <si>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</si>
  <si>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Media Jornada</t>
  </si>
  <si>
    <t>Jardines Infantiles</t>
  </si>
  <si>
    <t>Salas Cunas</t>
  </si>
  <si>
    <t>PDI</t>
  </si>
  <si>
    <t>GENDARMERIA</t>
  </si>
  <si>
    <t>Propuesta Mensualidad 2020</t>
  </si>
  <si>
    <t>Mensualidad 2020</t>
  </si>
  <si>
    <t>ÁREA APOYO A. EDUCACIONAL</t>
  </si>
  <si>
    <t>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</si>
  <si>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</si>
  <si>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</si>
  <si>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</si>
  <si>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</si>
  <si>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</si>
  <si>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</si>
  <si>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</si>
  <si>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</si>
  <si>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</si>
  <si>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</si>
  <si>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</si>
  <si>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</si>
  <si>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</si>
  <si>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</si>
  <si>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</si>
  <si>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</si>
  <si>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</si>
  <si>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</si>
  <si>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</si>
  <si>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</si>
  <si>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</si>
  <si>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</si>
  <si>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</si>
  <si>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</si>
  <si>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</si>
  <si>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</si>
  <si>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</si>
  <si>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</si>
  <si>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</si>
  <si>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</si>
  <si>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</si>
  <si>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</si>
  <si>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</si>
  <si>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</si>
  <si>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</si>
  <si>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</si>
  <si>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</si>
  <si>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</si>
  <si>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</si>
  <si>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</si>
  <si>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</si>
  <si>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</si>
  <si>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</si>
  <si>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</si>
  <si>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</si>
  <si>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</si>
  <si>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</si>
  <si>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</si>
  <si>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</si>
  <si>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</si>
  <si>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</si>
  <si>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</si>
  <si>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</si>
  <si>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</si>
  <si>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</si>
  <si>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</si>
  <si>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</si>
  <si>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</si>
  <si>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</si>
  <si>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</si>
  <si>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</si>
  <si>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</si>
  <si>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</si>
  <si>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</si>
  <si>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</si>
  <si>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</si>
  <si>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</si>
  <si>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</si>
  <si>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</si>
  <si>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</si>
  <si>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</si>
  <si>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</si>
  <si>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</si>
  <si>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</si>
  <si>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</si>
  <si>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</si>
  <si>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Propuesta Mensualidad 2021</t>
  </si>
  <si>
    <t>Matrícula 2021</t>
  </si>
  <si>
    <t>Mensualidad 2021</t>
  </si>
  <si>
    <t>Tarifa 2021</t>
  </si>
  <si>
    <t>Jardín Infantil Burbujitas de Mar</t>
  </si>
  <si>
    <t>Jornada  Completa</t>
  </si>
  <si>
    <t>Meta Ocupación niños 2021</t>
  </si>
  <si>
    <t>REMUNERACIONES 2020</t>
  </si>
  <si>
    <t>Costo Total por Servidor Reajustado 2021</t>
  </si>
  <si>
    <t>Gasto Total empresa</t>
  </si>
  <si>
    <t>Costo Total anual por Servidor 2020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</si>
  <si>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</si>
  <si>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</si>
  <si>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</si>
  <si>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</si>
  <si>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</si>
  <si>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>COSTO DIRECTO ESTIMADO 2021</t>
  </si>
  <si>
    <t xml:space="preserve"> </t>
  </si>
  <si>
    <t xml:space="preserve"> COSTOS DIRECTOS COMUNES  "BURBUJITAS DE MAR"</t>
  </si>
  <si>
    <t>AFL</t>
  </si>
  <si>
    <t>PAF</t>
  </si>
  <si>
    <t>&lt;</t>
  </si>
  <si>
    <t>JI
 (20%)</t>
  </si>
  <si>
    <t>SCD 
(60%)</t>
  </si>
  <si>
    <t>1) Calculo gasto Alimentacion del personal 2019</t>
  </si>
  <si>
    <t>NR</t>
  </si>
  <si>
    <t>Dias Mes</t>
  </si>
  <si>
    <t>Total C/U</t>
  </si>
  <si>
    <t>DESC.</t>
  </si>
  <si>
    <t>TOTAL  COSTO</t>
  </si>
  <si>
    <t>Total E.P.</t>
  </si>
  <si>
    <t>Total Mes</t>
  </si>
  <si>
    <t>SUB Total  Anual</t>
  </si>
  <si>
    <t>DIST. ADM.</t>
  </si>
  <si>
    <t>RACIONES</t>
  </si>
  <si>
    <t>Sala Cuna Dia</t>
  </si>
  <si>
    <t>20</t>
  </si>
  <si>
    <t>Sala Cuna Nocturna</t>
  </si>
  <si>
    <t>15</t>
  </si>
  <si>
    <t>COMPORTAMIENTO</t>
  </si>
  <si>
    <t>Raciones Salla cuna Dia</t>
  </si>
  <si>
    <t>Raciones Salla cuna Noche</t>
  </si>
  <si>
    <t>ANUAL</t>
  </si>
  <si>
    <t>Anual</t>
  </si>
  <si>
    <t>Promedio Ocupación  2019 (48)</t>
  </si>
  <si>
    <t>Promedio Ocupación  2019 (23)</t>
  </si>
  <si>
    <t>TOTAL GASTO 2019</t>
  </si>
  <si>
    <t xml:space="preserve">TOTAL RACIONES </t>
  </si>
  <si>
    <t>COSTO UNITARIO</t>
  </si>
  <si>
    <t>Raciones Sala cuna Noche</t>
  </si>
  <si>
    <t>Proyeccion Ocupaciób  2020 (45)</t>
  </si>
  <si>
    <t>Proyeccion Ocupaciób  2020 (24)</t>
  </si>
  <si>
    <t>3) Consumos Basicos</t>
  </si>
  <si>
    <t>SALA</t>
  </si>
  <si>
    <t>CUNA</t>
  </si>
  <si>
    <t>KW</t>
  </si>
  <si>
    <t>VALOR</t>
  </si>
  <si>
    <t xml:space="preserve">CUNA </t>
  </si>
  <si>
    <t>M3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</si>
  <si>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</si>
  <si>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</si>
  <si>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</si>
  <si>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</si>
  <si>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</si>
  <si>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</si>
  <si>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</si>
  <si>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</si>
  <si>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</si>
  <si>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</si>
  <si>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</si>
  <si>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</si>
  <si>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</si>
  <si>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ta</t>
  </si>
  <si>
    <t>tb</t>
  </si>
  <si>
    <t>total</t>
  </si>
  <si>
    <t>4) Gastos adicionales considerados en estructura por doble jornada, esto considera atención de niños en jardín infantil hasta las 16:00 Horas, esta jornada no considera  almuerzo.</t>
  </si>
  <si>
    <t xml:space="preserve">Concepto </t>
  </si>
  <si>
    <t>Valor</t>
  </si>
  <si>
    <t>Gas</t>
  </si>
  <si>
    <t>Electricidad</t>
  </si>
  <si>
    <t>Material de oficina</t>
  </si>
  <si>
    <t>Materiales y ütiles de aseo</t>
  </si>
  <si>
    <t>Jardín Infantil</t>
  </si>
  <si>
    <t>Sala Cuna</t>
  </si>
  <si>
    <t xml:space="preserve">La tarifa considera situación actual referente a personal de Educadoras de Párvulos que pertenecen  a la Institución, personal de planta Empleadas </t>
  </si>
  <si>
    <t xml:space="preserve">Civiles, de haber cambios por proceso de trasbordo, con la disminución de este tipo de personal para este Departamento, implicaría mayores gastos </t>
  </si>
  <si>
    <t>por concepto de remuneraciones en centro de costo afectado.</t>
  </si>
  <si>
    <t>Elsa Graciela</t>
  </si>
  <si>
    <t>Contanzo Montecinos</t>
  </si>
  <si>
    <t>Encargada de Presupuesto</t>
  </si>
  <si>
    <t xml:space="preserve">Romina </t>
  </si>
  <si>
    <t>Acosta Carrera</t>
  </si>
  <si>
    <t>Administrativo</t>
  </si>
  <si>
    <t>Roxana</t>
  </si>
  <si>
    <t>Correa Villa</t>
  </si>
  <si>
    <t>Cajera</t>
  </si>
  <si>
    <t xml:space="preserve">Amelia </t>
  </si>
  <si>
    <t>Garcia Arredondo</t>
  </si>
  <si>
    <t>Encargada de Tesorería</t>
  </si>
  <si>
    <t xml:space="preserve">Valentina </t>
  </si>
  <si>
    <t>Gonzalez Gonzalez</t>
  </si>
  <si>
    <t>Encargada Activo Fijo</t>
  </si>
  <si>
    <t xml:space="preserve">Erika </t>
  </si>
  <si>
    <t>Groth  Vega</t>
  </si>
  <si>
    <t>Supervisora Contable</t>
  </si>
  <si>
    <t xml:space="preserve">Franco </t>
  </si>
  <si>
    <t>Hinojosa Canales</t>
  </si>
  <si>
    <t>Maritza</t>
  </si>
  <si>
    <t>Mellado Medina</t>
  </si>
  <si>
    <t>Operadora sistema Activo</t>
  </si>
  <si>
    <t xml:space="preserve">Roxana </t>
  </si>
  <si>
    <t>Muñoz Cruces</t>
  </si>
  <si>
    <t xml:space="preserve">Antonio </t>
  </si>
  <si>
    <t>Toledo Araneda</t>
  </si>
  <si>
    <t xml:space="preserve">Lilian </t>
  </si>
  <si>
    <t>Garcia Ponce</t>
  </si>
  <si>
    <t>Encargado RR.HH.</t>
  </si>
  <si>
    <t xml:space="preserve">Daniela </t>
  </si>
  <si>
    <t>Golle Perez</t>
  </si>
  <si>
    <t xml:space="preserve">Luis </t>
  </si>
  <si>
    <t>Garrido Miranda</t>
  </si>
  <si>
    <t>Ramon</t>
  </si>
  <si>
    <t>Delgado Ramirez</t>
  </si>
  <si>
    <t xml:space="preserve">Cecilia </t>
  </si>
  <si>
    <t>Perez Bonte</t>
  </si>
  <si>
    <t>Prevencionista de Riesgo</t>
  </si>
  <si>
    <t xml:space="preserve">Jorge </t>
  </si>
  <si>
    <t>Ramirez Sepulveda</t>
  </si>
  <si>
    <t>Encargado mantención informática</t>
  </si>
  <si>
    <t>Hector</t>
  </si>
  <si>
    <t>Valencia Coronado</t>
  </si>
  <si>
    <t>Encargado Contratos Adq.</t>
  </si>
  <si>
    <t>Javier</t>
  </si>
  <si>
    <t>Niño Rubilar</t>
  </si>
  <si>
    <t>Encargado Infraestructura</t>
  </si>
  <si>
    <t xml:space="preserve">Carlos </t>
  </si>
  <si>
    <t>Rojas Solar</t>
  </si>
  <si>
    <t>Planes y Gestión</t>
  </si>
  <si>
    <t xml:space="preserve">Silvya </t>
  </si>
  <si>
    <t>Soto Villegas</t>
  </si>
  <si>
    <t>Auditoría Interna</t>
  </si>
  <si>
    <t xml:space="preserve">Jaime </t>
  </si>
  <si>
    <t>Ramos Morales</t>
  </si>
  <si>
    <t>Jaenette</t>
  </si>
  <si>
    <t>Retamal Mendoza</t>
  </si>
  <si>
    <t>ASISTENCIA JUR.</t>
  </si>
  <si>
    <t>Aporte Entregado a Departamento de Bienestar Iia Zona Naval</t>
  </si>
  <si>
    <t>COSTO INDIRECTO ESTIMADO 2021</t>
  </si>
  <si>
    <t>Osses</t>
  </si>
  <si>
    <t>Técnico en Párvulos</t>
  </si>
  <si>
    <t>Juana</t>
  </si>
  <si>
    <t>Erices</t>
  </si>
  <si>
    <t xml:space="preserve">Jardín Infantil </t>
  </si>
  <si>
    <t>Valeria</t>
  </si>
  <si>
    <t>Plaza</t>
  </si>
  <si>
    <t>Auxiliar de Aseo</t>
  </si>
  <si>
    <t>Francisca</t>
  </si>
  <si>
    <t>Educadora de Párvulos</t>
  </si>
  <si>
    <t xml:space="preserve">Francsheska </t>
  </si>
  <si>
    <t>Martínez</t>
  </si>
  <si>
    <t>Katty</t>
  </si>
  <si>
    <t>Elizabeth</t>
  </si>
  <si>
    <t>XXXX</t>
  </si>
  <si>
    <t>Nadia</t>
  </si>
  <si>
    <t>Violeta</t>
  </si>
  <si>
    <t>Sandra</t>
  </si>
  <si>
    <t>Fuentes</t>
  </si>
  <si>
    <t>Franchesca</t>
  </si>
  <si>
    <t>Pamela</t>
  </si>
  <si>
    <t>Margarita</t>
  </si>
  <si>
    <t>Manipuladora de alimentos</t>
  </si>
  <si>
    <t>Leidy</t>
  </si>
  <si>
    <t>Michelle</t>
  </si>
  <si>
    <t>Carla</t>
  </si>
  <si>
    <t>Liliana</t>
  </si>
  <si>
    <t>Maturana</t>
  </si>
  <si>
    <t>Yarlin</t>
  </si>
  <si>
    <t>XXXXX</t>
  </si>
  <si>
    <t>Valor 2020</t>
  </si>
  <si>
    <t>PROY. 2021</t>
  </si>
  <si>
    <t xml:space="preserve">Durán tecnico </t>
  </si>
  <si>
    <t>Cuevas Vidal</t>
  </si>
  <si>
    <t>Paulina</t>
  </si>
  <si>
    <t xml:space="preserve">Nallar </t>
  </si>
  <si>
    <t>Jardin Sala Cuna Nocturna</t>
  </si>
  <si>
    <t>Arias Utreras</t>
  </si>
  <si>
    <t>Marianela Isabel</t>
  </si>
  <si>
    <t>Fuentes  Coloma</t>
  </si>
  <si>
    <t>Hidalgo Noccetti</t>
  </si>
  <si>
    <t>Diaz Figueroa</t>
  </si>
  <si>
    <t>Escobar Castro</t>
  </si>
  <si>
    <t>Muñoz Mora</t>
  </si>
  <si>
    <t>Nuñez Riquelme</t>
  </si>
  <si>
    <t>Pedreros Sancho</t>
  </si>
  <si>
    <t>Zapata Ceballos</t>
  </si>
  <si>
    <t>Osorio Fierro</t>
  </si>
  <si>
    <t>Ramírez lopez</t>
  </si>
  <si>
    <t>Riffo Millanco</t>
  </si>
  <si>
    <t>Veliz Gutierrez</t>
  </si>
  <si>
    <t>REAL 2018</t>
  </si>
  <si>
    <t>REAL  2019</t>
  </si>
  <si>
    <t>PROYECCION 2021</t>
  </si>
  <si>
    <t>REAL 2020</t>
  </si>
  <si>
    <t xml:space="preserve">REAL 2020 </t>
  </si>
  <si>
    <t>MASCARILLAS</t>
  </si>
  <si>
    <t xml:space="preserve">SANITIZACION 10 MESES </t>
  </si>
  <si>
    <t>FUMIGACION 4 VECES AL AÑO</t>
  </si>
  <si>
    <t>REPARACION ANUAL CALDERA</t>
  </si>
  <si>
    <t>REPARACIONES VARIAS</t>
  </si>
  <si>
    <t>LICENCIAS INCLUIDAS</t>
  </si>
  <si>
    <t>INSTALACIONES</t>
  </si>
  <si>
    <t>CARTRIGUE</t>
  </si>
  <si>
    <t>DATO AÑO ANTERIOR ACTUALIZADO</t>
  </si>
  <si>
    <t>COMP. ENERO - AGOSTO</t>
  </si>
  <si>
    <t>PROY. SEPT - DIC</t>
  </si>
  <si>
    <t>INSUMOS COMPUTACIONALES</t>
  </si>
  <si>
    <t>OTROS MATERIALES Y SUMINISTROS</t>
  </si>
  <si>
    <t>REP. VEHICULOS</t>
  </si>
  <si>
    <t>PROY. CON 50% ADICIONAL</t>
  </si>
  <si>
    <t>VESTUARIO ADICIONAL COVID</t>
  </si>
  <si>
    <t xml:space="preserve">PROYECCION 2021 </t>
  </si>
  <si>
    <t>PROYECCION  SEGUROS  AÑO 2021</t>
  </si>
  <si>
    <t>CFO</t>
  </si>
  <si>
    <t>C. DE COSTO</t>
  </si>
  <si>
    <t>CODIGO</t>
  </si>
  <si>
    <t>VALOR INIC.</t>
  </si>
  <si>
    <t xml:space="preserve">SUBTOTAL </t>
  </si>
  <si>
    <t>ACT. 3%</t>
  </si>
  <si>
    <t>5) Proyeccion gastos seguros inmuebles de acuerdo a valor real  cancelado en año 2020.</t>
  </si>
  <si>
    <t>FUMIGACION, EXEMNES SICOLOGICOS PARA FUTUROS CONTRATOS Y EXAMENES  MANIPULADORA DE ALIMENTOS.</t>
  </si>
  <si>
    <t>SERVICIO ON - LINE</t>
  </si>
  <si>
    <t>VALOR UF  DIA 16/09 + 3%  X 0,238</t>
  </si>
  <si>
    <t>2) Calculo raconamiento Párvulo 2021</t>
  </si>
  <si>
    <t>JI The Baby School (Thno.)</t>
  </si>
  <si>
    <t>JI Mis Travesuras (Thno.)</t>
  </si>
  <si>
    <t>SC The baby School (Thno.)</t>
  </si>
  <si>
    <t>SC Mis Travesuras (Thno.)</t>
  </si>
  <si>
    <t xml:space="preserve">6) Se considera  la Renovación  mudadores    </t>
  </si>
  <si>
    <t>7) Notas Generales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</si>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</sst>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-&quot;$&quot;\ * #,##0_-;\-&quot;$&quot;\ * #,##0_-;_-&quot;$&quot;\ * &quot;-&quot;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* #,##0.00\ &quot;€&quot;_-;\-* #,##0.00\ &quot;€&quot;_-;_-* &quot;-&quot;??\ &quot;€&quot;_-;_-@_-"/>
    <numFmt numFmtId="167" formatCode="_-\$* #,##0.00_-;&quot;-$&quot;* #,##0.00_-;_-\$* \-??_-;_-@_-"/>
    <numFmt numFmtId="168" formatCode="\$#,##0_);&quot;($&quot;#,##0\)"/>
    <numFmt numFmtId="169" formatCode="_-&quot;$ &quot;* #,##0_-;&quot;-$ &quot;* #,##0_-;_-&quot;$ &quot;* \-_-;_-@_-"/>
    <numFmt numFmtId="170" formatCode="0\ %"/>
    <numFmt numFmtId="171" formatCode="0.0%"/>
    <numFmt numFmtId="172" formatCode="#,##0_ ;[Red]\-#,##0\ "/>
    <numFmt numFmtId="173" formatCode="_-* #,##0.00_-;\-* #,##0.00_-;_-* \-??_-;_-@_-"/>
    <numFmt numFmtId="174" formatCode="_-\ * #,##0_-;&quot;$ &quot;* #,##0_-;_-\ * \-_-;_-@_-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&quot;$&quot;\ #,##0"/>
    <numFmt numFmtId="179" formatCode="_-&quot;$&quot;* #,##0_-;\-&quot;$&quot;* #,##0_-;_-&quot;$&quot;* &quot;-&quot;??_-;_-@_-"/>
    <numFmt numFmtId="180" formatCode="#,##0_ ;\-#,##0\ "/>
    <numFmt numFmtId="181" formatCode="0.00\ %"/>
    <numFmt numFmtId="182" formatCode="_-\$* #,##0_-;&quot;-$&quot;* #,##0_-;_-\$* \-??_-;_-@_-"/>
    <numFmt numFmtId="183" formatCode="_-[$$-340A]\ * #,##0_-;\-[$$-340A]\ * #,##0_-;_-[$$-340A]\ * &quot;-&quot;??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* #,##0_-;\-* #,##0_-;_-* &quot;-&quot;??_-;_-@_-"/>
  </numFmts>
  <fonts count="40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0"/>
      <color theme="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bgColor rgb="FFFFFF00"/>
      </patternFill>
    </fill>
    <fill>
      <patternFill patternType="gray125">
        <bgColor theme="3" tint="0.79995117038483843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69D8FF"/>
        <bgColor indexed="64"/>
      </patternFill>
    </fill>
    <fill>
      <patternFill patternType="gray125">
        <bgColor rgb="FF69D8FF"/>
      </patternFill>
    </fill>
  </fills>
  <borders count="3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35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3" fontId="13" fillId="0" borderId="0"/>
    <xf numFmtId="167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7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4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73" fontId="13" fillId="0" borderId="0" applyFill="0" applyBorder="0" applyAlignment="0" applyProtection="0"/>
    <xf numFmtId="167" fontId="13" fillId="0" borderId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0" fontId="13" fillId="0" borderId="0"/>
  </cellStyleXfs>
  <cellXfs count="1183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70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9" fontId="12" fillId="9" borderId="0" xfId="13" applyNumberFormat="1" applyFont="1" applyFill="1" applyBorder="1" applyAlignment="1" applyProtection="1">
      <alignment vertical="center"/>
    </xf>
    <xf numFmtId="167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2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9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7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70" fontId="15" fillId="0" borderId="0" xfId="16" applyFont="1" applyBorder="1" applyAlignment="1" applyProtection="1">
      <alignment vertical="center"/>
    </xf>
    <xf numFmtId="175" fontId="0" fillId="0" borderId="0" xfId="12" applyNumberFormat="1" applyFont="1" applyFill="1" applyBorder="1" applyAlignment="1" applyProtection="1">
      <alignment vertical="center"/>
    </xf>
    <xf numFmtId="170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8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8" fontId="0" fillId="0" borderId="0" xfId="0" applyNumberFormat="1" applyFont="1" applyFill="1" applyBorder="1" applyAlignment="1" applyProtection="1">
      <alignment horizontal="right" vertical="center"/>
    </xf>
    <xf numFmtId="178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8" fontId="0" fillId="0" borderId="0" xfId="0" applyNumberFormat="1" applyFont="1" applyFill="1" applyBorder="1" applyProtection="1"/>
    <xf numFmtId="178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4" borderId="10" xfId="0" applyFont="1" applyFill="1" applyBorder="1" applyAlignment="1" applyProtection="1">
      <alignment horizontal="center" vertical="center" wrapText="1"/>
    </xf>
    <xf numFmtId="0" fontId="17" fillId="24" borderId="6" xfId="0" applyFont="1" applyFill="1" applyBorder="1" applyAlignment="1" applyProtection="1">
      <alignment horizontal="center" vertical="center" wrapText="1"/>
    </xf>
    <xf numFmtId="0" fontId="17" fillId="24" borderId="3" xfId="0" applyFont="1" applyFill="1" applyBorder="1" applyAlignment="1" applyProtection="1">
      <alignment horizontal="center" vertical="center" wrapText="1"/>
    </xf>
    <xf numFmtId="169" fontId="0" fillId="19" borderId="11" xfId="13" applyNumberFormat="1" applyFont="1" applyFill="1" applyBorder="1" applyAlignment="1" applyProtection="1">
      <alignment vertical="center"/>
    </xf>
    <xf numFmtId="169" fontId="0" fillId="19" borderId="6" xfId="13" applyNumberFormat="1" applyFont="1" applyFill="1" applyBorder="1" applyAlignment="1" applyProtection="1">
      <alignment vertical="center"/>
    </xf>
    <xf numFmtId="169" fontId="0" fillId="19" borderId="17" xfId="13" applyNumberFormat="1" applyFont="1" applyFill="1" applyBorder="1" applyAlignment="1" applyProtection="1">
      <alignment vertical="center"/>
    </xf>
    <xf numFmtId="169" fontId="12" fillId="19" borderId="3" xfId="13" applyNumberFormat="1" applyFont="1" applyFill="1" applyBorder="1" applyAlignment="1" applyProtection="1">
      <alignment vertical="center"/>
    </xf>
    <xf numFmtId="0" fontId="12" fillId="0" borderId="8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70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8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left" vertical="center"/>
    </xf>
    <xf numFmtId="169" fontId="21" fillId="31" borderId="35" xfId="13" applyNumberFormat="1" applyFont="1" applyFill="1" applyBorder="1" applyAlignment="1" applyProtection="1">
      <alignment vertical="center" wrapText="1"/>
    </xf>
    <xf numFmtId="169" fontId="17" fillId="35" borderId="14" xfId="0" applyNumberFormat="1" applyFont="1" applyFill="1" applyBorder="1" applyAlignment="1" applyProtection="1">
      <alignment horizontal="center" vertical="center" wrapText="1"/>
    </xf>
    <xf numFmtId="169" fontId="17" fillId="35" borderId="4" xfId="0" applyNumberFormat="1" applyFont="1" applyFill="1" applyBorder="1" applyAlignment="1" applyProtection="1">
      <alignment horizontal="center" vertical="center" wrapText="1"/>
    </xf>
    <xf numFmtId="169" fontId="17" fillId="35" borderId="26" xfId="0" applyNumberFormat="1" applyFont="1" applyFill="1" applyBorder="1" applyAlignment="1" applyProtection="1">
      <alignment horizontal="center" vertical="center" wrapText="1"/>
    </xf>
    <xf numFmtId="0" fontId="17" fillId="35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9" xfId="0" applyFont="1" applyFill="1" applyBorder="1" applyAlignment="1" applyProtection="1">
      <alignment horizontal="center" vertical="center" wrapText="1"/>
    </xf>
    <xf numFmtId="169" fontId="0" fillId="28" borderId="14" xfId="13" applyNumberFormat="1" applyFont="1" applyFill="1" applyBorder="1" applyAlignment="1" applyProtection="1">
      <alignment vertical="center"/>
    </xf>
    <xf numFmtId="169" fontId="0" fillId="28" borderId="3" xfId="13" applyNumberFormat="1" applyFont="1" applyFill="1" applyBorder="1" applyAlignment="1" applyProtection="1">
      <alignment vertical="center"/>
    </xf>
    <xf numFmtId="169" fontId="12" fillId="28" borderId="25" xfId="13" applyNumberFormat="1" applyFont="1" applyFill="1" applyBorder="1" applyAlignment="1" applyProtection="1">
      <alignment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8" fontId="12" fillId="25" borderId="29" xfId="0" applyNumberFormat="1" applyFont="1" applyFill="1" applyBorder="1" applyAlignment="1" applyProtection="1">
      <alignment horizontal="center" vertical="center"/>
    </xf>
    <xf numFmtId="171" fontId="12" fillId="19" borderId="29" xfId="16" applyNumberFormat="1" applyFont="1" applyFill="1" applyBorder="1" applyAlignment="1" applyProtection="1">
      <alignment horizontal="center" vertical="center"/>
    </xf>
    <xf numFmtId="178" fontId="0" fillId="25" borderId="29" xfId="0" applyNumberFormat="1" applyFont="1" applyFill="1" applyBorder="1" applyAlignment="1" applyProtection="1">
      <alignment horizontal="center" vertical="center"/>
    </xf>
    <xf numFmtId="169" fontId="0" fillId="28" borderId="54" xfId="13" applyNumberFormat="1" applyFont="1" applyFill="1" applyBorder="1" applyAlignment="1" applyProtection="1">
      <alignment vertical="center"/>
    </xf>
    <xf numFmtId="169" fontId="12" fillId="0" borderId="3" xfId="13" applyNumberFormat="1" applyFont="1" applyFill="1" applyBorder="1" applyAlignment="1" applyProtection="1">
      <alignment vertical="center"/>
    </xf>
    <xf numFmtId="169" fontId="0" fillId="28" borderId="55" xfId="13" applyNumberFormat="1" applyFont="1" applyFill="1" applyBorder="1" applyAlignment="1" applyProtection="1">
      <alignment vertical="center"/>
    </xf>
    <xf numFmtId="170" fontId="14" fillId="19" borderId="9" xfId="16" applyFont="1" applyFill="1" applyBorder="1" applyAlignment="1" applyProtection="1">
      <alignment horizontal="center" vertical="center"/>
    </xf>
    <xf numFmtId="169" fontId="21" fillId="15" borderId="12" xfId="13" applyNumberFormat="1" applyFont="1" applyFill="1" applyBorder="1" applyAlignment="1" applyProtection="1">
      <alignment vertical="center"/>
    </xf>
    <xf numFmtId="169" fontId="21" fillId="15" borderId="37" xfId="13" applyNumberFormat="1" applyFont="1" applyFill="1" applyBorder="1" applyAlignment="1" applyProtection="1">
      <alignment vertical="center"/>
    </xf>
    <xf numFmtId="0" fontId="12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9" fontId="0" fillId="0" borderId="0" xfId="13" applyNumberFormat="1" applyFont="1" applyFill="1" applyBorder="1" applyAlignment="1" applyProtection="1">
      <alignment vertical="center"/>
    </xf>
    <xf numFmtId="179" fontId="0" fillId="0" borderId="0" xfId="13" applyNumberFormat="1" applyFont="1" applyFill="1" applyBorder="1" applyProtection="1"/>
    <xf numFmtId="0" fontId="0" fillId="12" borderId="41" xfId="0" applyFont="1" applyFill="1" applyBorder="1" applyAlignment="1" applyProtection="1">
      <alignment horizontal="left" vertical="center"/>
      <protection locked="0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170" fontId="13" fillId="0" borderId="29" xfId="16" applyBorder="1" applyAlignment="1" applyProtection="1">
      <alignment horizontal="center" vertical="center"/>
    </xf>
    <xf numFmtId="170" fontId="13" fillId="0" borderId="0" xfId="16" applyFill="1" applyBorder="1" applyAlignment="1" applyProtection="1">
      <alignment horizontal="center" vertical="center"/>
    </xf>
    <xf numFmtId="170" fontId="12" fillId="16" borderId="2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9" fontId="12" fillId="34" borderId="58" xfId="0" applyNumberFormat="1" applyFont="1" applyFill="1" applyBorder="1" applyAlignment="1" applyProtection="1">
      <alignment horizontal="center" vertical="center" wrapText="1"/>
    </xf>
    <xf numFmtId="169" fontId="12" fillId="34" borderId="59" xfId="0" applyNumberFormat="1" applyFont="1" applyFill="1" applyBorder="1" applyAlignment="1" applyProtection="1">
      <alignment horizontal="center" vertical="center" wrapText="1"/>
    </xf>
    <xf numFmtId="0" fontId="0" fillId="12" borderId="61" xfId="0" applyFont="1" applyFill="1" applyBorder="1" applyProtection="1">
      <protection locked="0"/>
    </xf>
    <xf numFmtId="171" fontId="0" fillId="46" borderId="63" xfId="13" applyNumberFormat="1" applyFont="1" applyFill="1" applyBorder="1" applyAlignment="1" applyProtection="1">
      <alignment horizontal="center" vertical="center"/>
    </xf>
    <xf numFmtId="169" fontId="12" fillId="34" borderId="68" xfId="0" applyNumberFormat="1" applyFont="1" applyFill="1" applyBorder="1" applyAlignment="1" applyProtection="1">
      <alignment horizontal="center" vertical="center" wrapText="1"/>
    </xf>
    <xf numFmtId="169" fontId="12" fillId="15" borderId="73" xfId="0" applyNumberFormat="1" applyFont="1" applyFill="1" applyBorder="1" applyAlignment="1" applyProtection="1">
      <alignment horizontal="center" vertical="center" wrapText="1"/>
    </xf>
    <xf numFmtId="169" fontId="12" fillId="15" borderId="74" xfId="0" applyNumberFormat="1" applyFont="1" applyFill="1" applyBorder="1" applyAlignment="1" applyProtection="1">
      <alignment horizontal="center" vertical="center" wrapText="1"/>
    </xf>
    <xf numFmtId="169" fontId="12" fillId="15" borderId="75" xfId="0" applyNumberFormat="1" applyFont="1" applyFill="1" applyBorder="1" applyAlignment="1" applyProtection="1">
      <alignment horizontal="center" vertical="center" wrapText="1"/>
    </xf>
    <xf numFmtId="169" fontId="12" fillId="15" borderId="76" xfId="0" applyNumberFormat="1" applyFont="1" applyFill="1" applyBorder="1" applyAlignment="1" applyProtection="1">
      <alignment horizontal="center" vertical="center" wrapText="1"/>
    </xf>
    <xf numFmtId="171" fontId="0" fillId="12" borderId="62" xfId="13" applyNumberFormat="1" applyFont="1" applyFill="1" applyBorder="1" applyAlignment="1" applyProtection="1">
      <alignment horizontal="center" vertical="center"/>
      <protection locked="0"/>
    </xf>
    <xf numFmtId="171" fontId="0" fillId="12" borderId="64" xfId="13" applyNumberFormat="1" applyFont="1" applyFill="1" applyBorder="1" applyAlignment="1" applyProtection="1">
      <alignment horizontal="center" vertical="center"/>
      <protection locked="0"/>
    </xf>
    <xf numFmtId="169" fontId="12" fillId="34" borderId="82" xfId="0" applyNumberFormat="1" applyFont="1" applyFill="1" applyBorder="1" applyAlignment="1" applyProtection="1">
      <alignment horizontal="center" vertical="center" wrapText="1"/>
    </xf>
    <xf numFmtId="169" fontId="12" fillId="34" borderId="83" xfId="0" applyNumberFormat="1" applyFont="1" applyFill="1" applyBorder="1" applyAlignment="1" applyProtection="1">
      <alignment horizontal="center" vertical="center" wrapText="1"/>
    </xf>
    <xf numFmtId="169" fontId="21" fillId="31" borderId="89" xfId="13" applyNumberFormat="1" applyFont="1" applyFill="1" applyBorder="1" applyAlignment="1" applyProtection="1">
      <alignment vertical="center" wrapText="1"/>
    </xf>
    <xf numFmtId="169" fontId="21" fillId="31" borderId="90" xfId="13" applyNumberFormat="1" applyFont="1" applyFill="1" applyBorder="1" applyAlignment="1" applyProtection="1">
      <alignment vertical="center" wrapText="1"/>
    </xf>
    <xf numFmtId="169" fontId="0" fillId="28" borderId="74" xfId="13" applyNumberFormat="1" applyFont="1" applyFill="1" applyBorder="1" applyAlignment="1" applyProtection="1">
      <alignment vertical="center"/>
    </xf>
    <xf numFmtId="169" fontId="12" fillId="28" borderId="88" xfId="13" applyNumberFormat="1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 wrapText="1"/>
    </xf>
    <xf numFmtId="170" fontId="28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179" fontId="0" fillId="12" borderId="94" xfId="13" applyNumberFormat="1" applyFont="1" applyFill="1" applyBorder="1" applyAlignment="1" applyProtection="1">
      <alignment vertical="center"/>
      <protection locked="0"/>
    </xf>
    <xf numFmtId="0" fontId="0" fillId="12" borderId="95" xfId="0" applyFont="1" applyFill="1" applyBorder="1" applyAlignment="1" applyProtection="1">
      <alignment horizontal="left" vertical="center"/>
      <protection locked="0"/>
    </xf>
    <xf numFmtId="0" fontId="0" fillId="12" borderId="95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9" fontId="0" fillId="12" borderId="95" xfId="13" applyNumberFormat="1" applyFont="1" applyFill="1" applyBorder="1" applyAlignment="1" applyProtection="1">
      <alignment vertical="center"/>
      <protection locked="0"/>
    </xf>
    <xf numFmtId="0" fontId="0" fillId="12" borderId="98" xfId="0" applyFont="1" applyFill="1" applyBorder="1" applyProtection="1">
      <protection locked="0"/>
    </xf>
    <xf numFmtId="0" fontId="0" fillId="12" borderId="94" xfId="0" applyFont="1" applyFill="1" applyBorder="1" applyAlignment="1" applyProtection="1">
      <alignment horizontal="left" vertical="center"/>
      <protection locked="0"/>
    </xf>
    <xf numFmtId="0" fontId="0" fillId="12" borderId="94" xfId="0" applyFont="1" applyFill="1" applyBorder="1" applyProtection="1">
      <protection locked="0"/>
    </xf>
    <xf numFmtId="0" fontId="0" fillId="12" borderId="100" xfId="0" applyFont="1" applyFill="1" applyBorder="1" applyProtection="1">
      <protection locked="0"/>
    </xf>
    <xf numFmtId="178" fontId="0" fillId="0" borderId="101" xfId="0" applyNumberFormat="1" applyFont="1" applyFill="1" applyBorder="1" applyAlignment="1" applyProtection="1">
      <alignment horizontal="right" vertical="center"/>
    </xf>
    <xf numFmtId="178" fontId="0" fillId="0" borderId="103" xfId="0" applyNumberFormat="1" applyFont="1" applyFill="1" applyBorder="1" applyAlignment="1" applyProtection="1">
      <alignment horizontal="right" vertical="center"/>
    </xf>
    <xf numFmtId="178" fontId="0" fillId="0" borderId="104" xfId="0" applyNumberFormat="1" applyFont="1" applyFill="1" applyBorder="1" applyAlignment="1" applyProtection="1">
      <alignment horizontal="right" vertical="center"/>
    </xf>
    <xf numFmtId="179" fontId="0" fillId="12" borderId="98" xfId="13" applyNumberFormat="1" applyFont="1" applyFill="1" applyBorder="1" applyAlignment="1" applyProtection="1">
      <alignment vertical="center"/>
      <protection locked="0"/>
    </xf>
    <xf numFmtId="179" fontId="0" fillId="12" borderId="100" xfId="13" applyNumberFormat="1" applyFont="1" applyFill="1" applyBorder="1" applyAlignment="1" applyProtection="1">
      <alignment vertical="center"/>
      <protection locked="0"/>
    </xf>
    <xf numFmtId="179" fontId="0" fillId="12" borderId="96" xfId="13" applyNumberFormat="1" applyFont="1" applyFill="1" applyBorder="1" applyAlignment="1" applyProtection="1">
      <alignment vertical="center"/>
      <protection locked="0"/>
    </xf>
    <xf numFmtId="178" fontId="0" fillId="28" borderId="103" xfId="0" applyNumberFormat="1" applyFont="1" applyFill="1" applyBorder="1" applyAlignment="1" applyProtection="1">
      <alignment horizontal="right" vertical="center"/>
    </xf>
    <xf numFmtId="178" fontId="0" fillId="28" borderId="104" xfId="0" applyNumberFormat="1" applyFont="1" applyFill="1" applyBorder="1" applyAlignment="1" applyProtection="1">
      <alignment horizontal="right" vertical="center"/>
    </xf>
    <xf numFmtId="178" fontId="0" fillId="28" borderId="101" xfId="0" applyNumberFormat="1" applyFont="1" applyFill="1" applyBorder="1" applyAlignment="1" applyProtection="1">
      <alignment horizontal="right" vertical="center"/>
    </xf>
    <xf numFmtId="178" fontId="0" fillId="28" borderId="97" xfId="0" applyNumberFormat="1" applyFont="1" applyFill="1" applyBorder="1" applyAlignment="1" applyProtection="1">
      <alignment horizontal="right" vertical="center"/>
    </xf>
    <xf numFmtId="178" fontId="0" fillId="28" borderId="105" xfId="0" applyNumberFormat="1" applyFont="1" applyFill="1" applyBorder="1" applyAlignment="1" applyProtection="1">
      <alignment horizontal="right" vertical="center"/>
    </xf>
    <xf numFmtId="178" fontId="0" fillId="0" borderId="97" xfId="0" applyNumberFormat="1" applyFont="1" applyFill="1" applyBorder="1" applyAlignment="1" applyProtection="1">
      <alignment horizontal="right" vertical="center"/>
    </xf>
    <xf numFmtId="178" fontId="0" fillId="0" borderId="105" xfId="0" applyNumberFormat="1" applyFont="1" applyFill="1" applyBorder="1" applyAlignment="1" applyProtection="1">
      <alignment horizontal="right" vertical="center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94" xfId="0" applyFont="1" applyFill="1" applyBorder="1" applyAlignment="1" applyProtection="1">
      <alignment horizontal="left" vertical="center"/>
    </xf>
    <xf numFmtId="0" fontId="10" fillId="20" borderId="94" xfId="0" applyFont="1" applyFill="1" applyBorder="1" applyAlignment="1" applyProtection="1">
      <alignment horizontal="left" vertical="center"/>
    </xf>
    <xf numFmtId="176" fontId="18" fillId="0" borderId="94" xfId="0" applyNumberFormat="1" applyFont="1" applyFill="1" applyBorder="1" applyAlignment="1" applyProtection="1">
      <alignment horizontal="left"/>
    </xf>
    <xf numFmtId="0" fontId="12" fillId="21" borderId="94" xfId="0" applyFont="1" applyFill="1" applyBorder="1" applyAlignment="1" applyProtection="1">
      <alignment horizontal="center" vertical="center"/>
    </xf>
    <xf numFmtId="0" fontId="12" fillId="20" borderId="94" xfId="0" applyFont="1" applyFill="1" applyBorder="1" applyAlignment="1" applyProtection="1">
      <alignment horizontal="center" vertical="center" wrapText="1"/>
    </xf>
    <xf numFmtId="1" fontId="0" fillId="0" borderId="94" xfId="0" applyNumberFormat="1" applyFont="1" applyFill="1" applyBorder="1" applyAlignment="1" applyProtection="1">
      <alignment horizontal="center" vertical="center" wrapText="1"/>
    </xf>
    <xf numFmtId="0" fontId="12" fillId="30" borderId="94" xfId="0" applyFont="1" applyFill="1" applyBorder="1" applyAlignment="1" applyProtection="1">
      <alignment horizontal="center" vertical="center" wrapText="1"/>
    </xf>
    <xf numFmtId="0" fontId="12" fillId="31" borderId="94" xfId="0" applyFont="1" applyFill="1" applyBorder="1" applyAlignment="1" applyProtection="1">
      <alignment horizontal="left" vertical="center"/>
    </xf>
    <xf numFmtId="9" fontId="0" fillId="12" borderId="107" xfId="0" applyNumberFormat="1" applyFont="1" applyFill="1" applyBorder="1" applyAlignment="1" applyProtection="1">
      <alignment horizontal="center" vertical="center"/>
      <protection locked="0"/>
    </xf>
    <xf numFmtId="183" fontId="0" fillId="11" borderId="0" xfId="0" applyNumberFormat="1" applyFont="1" applyFill="1" applyProtection="1"/>
    <xf numFmtId="182" fontId="0" fillId="11" borderId="0" xfId="0" applyNumberFormat="1" applyFont="1" applyFill="1" applyProtection="1"/>
    <xf numFmtId="169" fontId="0" fillId="28" borderId="107" xfId="13" applyNumberFormat="1" applyFont="1" applyFill="1" applyBorder="1" applyAlignment="1" applyProtection="1">
      <alignment vertical="center"/>
    </xf>
    <xf numFmtId="169" fontId="0" fillId="0" borderId="107" xfId="13" applyNumberFormat="1" applyFont="1" applyFill="1" applyBorder="1" applyAlignment="1" applyProtection="1">
      <alignment vertical="center"/>
    </xf>
    <xf numFmtId="171" fontId="0" fillId="0" borderId="107" xfId="0" applyNumberFormat="1" applyFont="1" applyFill="1" applyBorder="1" applyAlignment="1" applyProtection="1">
      <alignment horizontal="center" vertical="center"/>
    </xf>
    <xf numFmtId="169" fontId="0" fillId="28" borderId="117" xfId="13" applyNumberFormat="1" applyFont="1" applyFill="1" applyBorder="1" applyAlignment="1" applyProtection="1">
      <alignment vertical="center"/>
    </xf>
    <xf numFmtId="168" fontId="0" fillId="0" borderId="119" xfId="13" applyNumberFormat="1" applyFont="1" applyFill="1" applyBorder="1" applyAlignment="1" applyProtection="1">
      <alignment vertical="center"/>
    </xf>
    <xf numFmtId="169" fontId="0" fillId="28" borderId="120" xfId="13" applyNumberFormat="1" applyFont="1" applyFill="1" applyBorder="1" applyAlignment="1" applyProtection="1">
      <alignment vertical="center"/>
    </xf>
    <xf numFmtId="169" fontId="12" fillId="15" borderId="121" xfId="0" applyNumberFormat="1" applyFont="1" applyFill="1" applyBorder="1" applyAlignment="1" applyProtection="1">
      <alignment horizontal="center" vertical="center" wrapText="1"/>
    </xf>
    <xf numFmtId="181" fontId="13" fillId="36" borderId="107" xfId="16" applyNumberFormat="1" applyFill="1" applyBorder="1" applyAlignment="1" applyProtection="1">
      <alignment horizontal="center" vertical="center"/>
    </xf>
    <xf numFmtId="181" fontId="13" fillId="36" borderId="124" xfId="16" applyNumberFormat="1" applyFill="1" applyBorder="1" applyAlignment="1" applyProtection="1">
      <alignment horizontal="center" vertical="center"/>
    </xf>
    <xf numFmtId="181" fontId="13" fillId="36" borderId="125" xfId="16" applyNumberFormat="1" applyFill="1" applyBorder="1" applyAlignment="1" applyProtection="1">
      <alignment horizontal="center" vertical="center"/>
    </xf>
    <xf numFmtId="169" fontId="12" fillId="15" borderId="127" xfId="0" applyNumberFormat="1" applyFont="1" applyFill="1" applyBorder="1" applyAlignment="1" applyProtection="1">
      <alignment horizontal="center" vertical="center" wrapText="1"/>
    </xf>
    <xf numFmtId="180" fontId="0" fillId="12" borderId="128" xfId="13" applyNumberFormat="1" applyFont="1" applyFill="1" applyBorder="1" applyAlignment="1" applyProtection="1">
      <alignment horizontal="center" vertical="center"/>
      <protection locked="0"/>
    </xf>
    <xf numFmtId="171" fontId="0" fillId="46" borderId="69" xfId="13" applyNumberFormat="1" applyFont="1" applyFill="1" applyBorder="1" applyAlignment="1" applyProtection="1">
      <alignment horizontal="center" vertical="center"/>
    </xf>
    <xf numFmtId="171" fontId="0" fillId="46" borderId="80" xfId="13" applyNumberFormat="1" applyFont="1" applyFill="1" applyBorder="1" applyAlignment="1" applyProtection="1">
      <alignment horizontal="center" vertical="center"/>
    </xf>
    <xf numFmtId="0" fontId="0" fillId="46" borderId="69" xfId="0" applyFont="1" applyFill="1" applyBorder="1" applyAlignment="1" applyProtection="1">
      <alignment horizontal="left" vertical="center"/>
    </xf>
    <xf numFmtId="0" fontId="0" fillId="46" borderId="78" xfId="0" applyFont="1" applyFill="1" applyBorder="1" applyAlignment="1" applyProtection="1">
      <alignment horizontal="left" vertical="center"/>
    </xf>
    <xf numFmtId="0" fontId="0" fillId="46" borderId="80" xfId="0" applyFont="1" applyFill="1" applyBorder="1" applyAlignment="1" applyProtection="1">
      <alignment horizontal="left" vertical="center"/>
    </xf>
    <xf numFmtId="170" fontId="13" fillId="0" borderId="0" xfId="16" applyProtection="1"/>
    <xf numFmtId="182" fontId="13" fillId="0" borderId="0" xfId="13" applyNumberFormat="1" applyProtection="1"/>
    <xf numFmtId="0" fontId="22" fillId="12" borderId="48" xfId="0" applyFont="1" applyFill="1" applyBorder="1" applyAlignment="1" applyProtection="1">
      <alignment horizontal="center" vertical="center"/>
      <protection locked="0"/>
    </xf>
    <xf numFmtId="179" fontId="0" fillId="12" borderId="124" xfId="13" applyNumberFormat="1" applyFont="1" applyFill="1" applyBorder="1" applyAlignment="1" applyProtection="1">
      <alignment vertical="center"/>
      <protection locked="0"/>
    </xf>
    <xf numFmtId="9" fontId="0" fillId="12" borderId="125" xfId="0" applyNumberFormat="1" applyFont="1" applyFill="1" applyBorder="1" applyAlignment="1" applyProtection="1">
      <alignment horizontal="center" vertical="center"/>
      <protection locked="0"/>
    </xf>
    <xf numFmtId="178" fontId="0" fillId="0" borderId="126" xfId="0" applyNumberFormat="1" applyFont="1" applyFill="1" applyBorder="1" applyAlignment="1" applyProtection="1">
      <alignment horizontal="right" vertical="center"/>
    </xf>
    <xf numFmtId="178" fontId="0" fillId="0" borderId="98" xfId="0" applyNumberFormat="1" applyFont="1" applyFill="1" applyBorder="1" applyAlignment="1" applyProtection="1">
      <alignment horizontal="right" vertical="center"/>
    </xf>
    <xf numFmtId="178" fontId="0" fillId="0" borderId="136" xfId="0" applyNumberFormat="1" applyFont="1" applyFill="1" applyBorder="1" applyAlignment="1" applyProtection="1">
      <alignment horizontal="right" vertical="center"/>
    </xf>
    <xf numFmtId="178" fontId="0" fillId="0" borderId="120" xfId="0" applyNumberFormat="1" applyFont="1" applyFill="1" applyBorder="1" applyAlignment="1" applyProtection="1">
      <alignment horizontal="right" vertical="center"/>
    </xf>
    <xf numFmtId="9" fontId="0" fillId="11" borderId="123" xfId="0" applyNumberFormat="1" applyFont="1" applyFill="1" applyBorder="1" applyAlignment="1" applyProtection="1">
      <alignment horizontal="center" vertical="center"/>
    </xf>
    <xf numFmtId="9" fontId="0" fillId="11" borderId="126" xfId="0" applyNumberFormat="1" applyFont="1" applyFill="1" applyBorder="1" applyAlignment="1" applyProtection="1">
      <alignment horizontal="center" vertical="center"/>
    </xf>
    <xf numFmtId="9" fontId="0" fillId="12" borderId="130" xfId="0" applyNumberFormat="1" applyFont="1" applyFill="1" applyBorder="1" applyAlignment="1" applyProtection="1">
      <alignment horizontal="center" vertical="center"/>
      <protection locked="0"/>
    </xf>
    <xf numFmtId="9" fontId="0" fillId="11" borderId="129" xfId="0" applyNumberFormat="1" applyFont="1" applyFill="1" applyBorder="1" applyAlignment="1" applyProtection="1">
      <alignment horizontal="center" vertical="center"/>
    </xf>
    <xf numFmtId="0" fontId="9" fillId="14" borderId="130" xfId="0" applyFont="1" applyFill="1" applyBorder="1" applyAlignment="1" applyProtection="1">
      <alignment horizontal="center" vertical="center"/>
    </xf>
    <xf numFmtId="0" fontId="9" fillId="48" borderId="129" xfId="0" applyFont="1" applyFill="1" applyBorder="1" applyAlignment="1" applyProtection="1">
      <alignment horizontal="center" vertical="center"/>
    </xf>
    <xf numFmtId="0" fontId="9" fillId="14" borderId="120" xfId="0" applyFont="1" applyFill="1" applyBorder="1" applyAlignment="1" applyProtection="1">
      <alignment horizontal="center" vertical="center"/>
    </xf>
    <xf numFmtId="0" fontId="9" fillId="48" borderId="143" xfId="0" applyFont="1" applyFill="1" applyBorder="1" applyAlignment="1" applyProtection="1">
      <alignment horizontal="center" vertical="center"/>
    </xf>
    <xf numFmtId="170" fontId="0" fillId="12" borderId="144" xfId="16" applyFont="1" applyFill="1" applyBorder="1" applyAlignment="1" applyProtection="1">
      <alignment horizontal="center" vertical="center"/>
      <protection locked="0"/>
    </xf>
    <xf numFmtId="170" fontId="0" fillId="12" borderId="143" xfId="16" applyFont="1" applyFill="1" applyBorder="1" applyAlignment="1" applyProtection="1">
      <alignment horizontal="center" vertical="center"/>
      <protection locked="0"/>
    </xf>
    <xf numFmtId="178" fontId="0" fillId="0" borderId="123" xfId="0" applyNumberFormat="1" applyFont="1" applyFill="1" applyBorder="1" applyAlignment="1" applyProtection="1">
      <alignment horizontal="right" vertical="center"/>
    </xf>
    <xf numFmtId="178" fontId="0" fillId="0" borderId="129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9" borderId="130" xfId="0" applyFont="1" applyFill="1" applyBorder="1" applyAlignment="1" applyProtection="1">
      <alignment horizontal="center" vertical="center"/>
    </xf>
    <xf numFmtId="0" fontId="9" fillId="49" borderId="129" xfId="0" applyFont="1" applyFill="1" applyBorder="1" applyAlignment="1" applyProtection="1">
      <alignment horizontal="center" vertical="center"/>
    </xf>
    <xf numFmtId="170" fontId="29" fillId="0" borderId="110" xfId="16" applyFont="1" applyFill="1" applyBorder="1" applyAlignment="1" applyProtection="1">
      <alignment horizontal="center" vertical="center"/>
    </xf>
    <xf numFmtId="170" fontId="29" fillId="0" borderId="113" xfId="16" applyFont="1" applyFill="1" applyBorder="1" applyAlignment="1" applyProtection="1">
      <alignment horizontal="center" vertical="center"/>
    </xf>
    <xf numFmtId="178" fontId="0" fillId="26" borderId="112" xfId="0" applyNumberFormat="1" applyFont="1" applyFill="1" applyBorder="1" applyAlignment="1" applyProtection="1">
      <alignment horizontal="right" vertical="center"/>
    </xf>
    <xf numFmtId="178" fontId="0" fillId="26" borderId="147" xfId="0" applyNumberFormat="1" applyFont="1" applyFill="1" applyBorder="1" applyAlignment="1" applyProtection="1">
      <alignment horizontal="right" vertical="center"/>
    </xf>
    <xf numFmtId="0" fontId="0" fillId="11" borderId="150" xfId="0" applyFont="1" applyFill="1" applyBorder="1" applyProtection="1"/>
    <xf numFmtId="0" fontId="0" fillId="11" borderId="151" xfId="0" applyFont="1" applyFill="1" applyBorder="1" applyProtection="1"/>
    <xf numFmtId="0" fontId="0" fillId="11" borderId="152" xfId="0" applyFont="1" applyFill="1" applyBorder="1" applyProtection="1"/>
    <xf numFmtId="0" fontId="0" fillId="11" borderId="139" xfId="0" applyFont="1" applyFill="1" applyBorder="1" applyProtection="1"/>
    <xf numFmtId="0" fontId="0" fillId="11" borderId="91" xfId="0" applyFont="1" applyFill="1" applyBorder="1" applyProtection="1"/>
    <xf numFmtId="0" fontId="24" fillId="0" borderId="139" xfId="0" applyFont="1" applyBorder="1" applyAlignment="1" applyProtection="1">
      <alignment vertical="center"/>
    </xf>
    <xf numFmtId="0" fontId="9" fillId="14" borderId="131" xfId="0" applyFont="1" applyFill="1" applyBorder="1" applyAlignment="1" applyProtection="1">
      <alignment horizontal="center" vertical="center"/>
    </xf>
    <xf numFmtId="0" fontId="9" fillId="14" borderId="148" xfId="0" applyFont="1" applyFill="1" applyBorder="1" applyAlignment="1" applyProtection="1">
      <alignment horizontal="center" vertical="center"/>
    </xf>
    <xf numFmtId="0" fontId="9" fillId="49" borderId="131" xfId="0" applyFont="1" applyFill="1" applyBorder="1" applyAlignment="1" applyProtection="1">
      <alignment horizontal="center" vertical="center"/>
    </xf>
    <xf numFmtId="0" fontId="9" fillId="49" borderId="148" xfId="0" applyFont="1" applyFill="1" applyBorder="1" applyAlignment="1" applyProtection="1">
      <alignment horizontal="center" vertical="center"/>
    </xf>
    <xf numFmtId="0" fontId="9" fillId="48" borderId="131" xfId="0" applyFont="1" applyFill="1" applyBorder="1" applyAlignment="1" applyProtection="1">
      <alignment horizontal="center" vertical="center"/>
    </xf>
    <xf numFmtId="0" fontId="9" fillId="48" borderId="148" xfId="0" applyFont="1" applyFill="1" applyBorder="1" applyAlignment="1" applyProtection="1">
      <alignment horizontal="center" vertical="center"/>
    </xf>
    <xf numFmtId="0" fontId="0" fillId="11" borderId="140" xfId="0" applyFont="1" applyFill="1" applyBorder="1" applyProtection="1"/>
    <xf numFmtId="0" fontId="0" fillId="11" borderId="146" xfId="0" applyFont="1" applyFill="1" applyBorder="1" applyProtection="1"/>
    <xf numFmtId="0" fontId="0" fillId="11" borderId="84" xfId="0" applyFont="1" applyFill="1" applyBorder="1" applyProtection="1"/>
    <xf numFmtId="171" fontId="0" fillId="12" borderId="77" xfId="13" applyNumberFormat="1" applyFont="1" applyFill="1" applyBorder="1" applyAlignment="1" applyProtection="1">
      <alignment horizontal="center" vertical="center"/>
      <protection locked="0"/>
    </xf>
    <xf numFmtId="171" fontId="0" fillId="46" borderId="81" xfId="13" applyNumberFormat="1" applyFont="1" applyFill="1" applyBorder="1" applyAlignment="1" applyProtection="1">
      <alignment horizontal="center" vertical="center"/>
    </xf>
    <xf numFmtId="0" fontId="12" fillId="16" borderId="148" xfId="0" applyFont="1" applyFill="1" applyBorder="1" applyAlignment="1" applyProtection="1">
      <alignment horizontal="center" vertical="center" wrapText="1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179" fontId="0" fillId="12" borderId="122" xfId="13" applyNumberFormat="1" applyFont="1" applyFill="1" applyBorder="1" applyAlignment="1" applyProtection="1">
      <alignment vertical="center"/>
      <protection locked="0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179" fontId="0" fillId="12" borderId="128" xfId="13" applyNumberFormat="1" applyFont="1" applyFill="1" applyBorder="1" applyAlignment="1" applyProtection="1">
      <alignment vertical="center"/>
      <protection locked="0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20" xfId="0" applyFont="1" applyFill="1" applyBorder="1" applyAlignment="1" applyProtection="1">
      <alignment horizontal="left" vertical="center"/>
      <protection locked="0"/>
    </xf>
    <xf numFmtId="178" fontId="0" fillId="28" borderId="123" xfId="0" applyNumberFormat="1" applyFont="1" applyFill="1" applyBorder="1" applyAlignment="1" applyProtection="1">
      <alignment vertical="center"/>
    </xf>
    <xf numFmtId="179" fontId="0" fillId="12" borderId="125" xfId="13" applyNumberFormat="1" applyFont="1" applyFill="1" applyBorder="1" applyAlignment="1" applyProtection="1">
      <alignment vertical="center"/>
      <protection locked="0"/>
    </xf>
    <xf numFmtId="178" fontId="0" fillId="28" borderId="126" xfId="0" applyNumberFormat="1" applyFont="1" applyFill="1" applyBorder="1" applyAlignment="1" applyProtection="1">
      <alignment vertical="center"/>
    </xf>
    <xf numFmtId="179" fontId="0" fillId="12" borderId="130" xfId="13" applyNumberFormat="1" applyFont="1" applyFill="1" applyBorder="1" applyAlignment="1" applyProtection="1">
      <alignment vertical="center"/>
      <protection locked="0"/>
    </xf>
    <xf numFmtId="178" fontId="0" fillId="28" borderId="129" xfId="0" applyNumberFormat="1" applyFont="1" applyFill="1" applyBorder="1" applyAlignment="1" applyProtection="1">
      <alignment vertical="center"/>
    </xf>
    <xf numFmtId="178" fontId="0" fillId="28" borderId="142" xfId="0" applyNumberFormat="1" applyFont="1" applyFill="1" applyBorder="1" applyAlignment="1" applyProtection="1">
      <alignment horizontal="right" vertical="center"/>
    </xf>
    <xf numFmtId="178" fontId="0" fillId="28" borderId="160" xfId="0" applyNumberFormat="1" applyFont="1" applyFill="1" applyBorder="1" applyAlignment="1" applyProtection="1">
      <alignment horizontal="right" vertical="center"/>
    </xf>
    <xf numFmtId="178" fontId="0" fillId="28" borderId="161" xfId="0" applyNumberFormat="1" applyFont="1" applyFill="1" applyBorder="1" applyAlignment="1" applyProtection="1">
      <alignment horizontal="right" vertical="center"/>
    </xf>
    <xf numFmtId="178" fontId="22" fillId="27" borderId="60" xfId="0" applyNumberFormat="1" applyFont="1" applyFill="1" applyBorder="1" applyAlignment="1" applyProtection="1">
      <alignment vertical="center"/>
    </xf>
    <xf numFmtId="181" fontId="13" fillId="36" borderId="120" xfId="16" applyNumberFormat="1" applyFill="1" applyBorder="1" applyAlignment="1" applyProtection="1">
      <alignment horizontal="center" vertical="center"/>
    </xf>
    <xf numFmtId="0" fontId="0" fillId="12" borderId="125" xfId="0" applyFont="1" applyFill="1" applyBorder="1" applyAlignment="1" applyProtection="1">
      <alignment horizontal="left" vertical="center"/>
      <protection locked="0"/>
    </xf>
    <xf numFmtId="169" fontId="0" fillId="12" borderId="126" xfId="13" applyNumberFormat="1" applyFont="1" applyFill="1" applyBorder="1" applyAlignment="1" applyProtection="1">
      <alignment vertical="center"/>
      <protection locked="0"/>
    </xf>
    <xf numFmtId="0" fontId="0" fillId="12" borderId="144" xfId="0" applyFont="1" applyFill="1" applyBorder="1" applyAlignment="1" applyProtection="1">
      <alignment horizontal="left" vertical="center"/>
      <protection locked="0"/>
    </xf>
    <xf numFmtId="0" fontId="0" fillId="12" borderId="143" xfId="0" applyFont="1" applyFill="1" applyBorder="1" applyAlignment="1" applyProtection="1">
      <alignment horizontal="left" vertical="center"/>
      <protection locked="0"/>
    </xf>
    <xf numFmtId="181" fontId="13" fillId="36" borderId="136" xfId="16" applyNumberFormat="1" applyFill="1" applyBorder="1" applyAlignment="1" applyProtection="1">
      <alignment horizontal="center" vertical="center"/>
    </xf>
    <xf numFmtId="0" fontId="12" fillId="16" borderId="129" xfId="0" applyFont="1" applyFill="1" applyBorder="1" applyAlignment="1" applyProtection="1">
      <alignment horizontal="center" vertical="center" wrapText="1"/>
    </xf>
    <xf numFmtId="181" fontId="13" fillId="36" borderId="130" xfId="16" applyNumberFormat="1" applyFill="1" applyBorder="1" applyAlignment="1" applyProtection="1">
      <alignment horizontal="center" vertical="center"/>
    </xf>
    <xf numFmtId="181" fontId="13" fillId="36" borderId="128" xfId="16" applyNumberFormat="1" applyFill="1" applyBorder="1" applyAlignment="1" applyProtection="1">
      <alignment horizontal="center" vertical="center"/>
    </xf>
    <xf numFmtId="181" fontId="13" fillId="36" borderId="12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9" fontId="0" fillId="0" borderId="0" xfId="0" applyNumberFormat="1" applyFont="1" applyAlignment="1" applyProtection="1">
      <alignment vertical="center"/>
    </xf>
    <xf numFmtId="169" fontId="12" fillId="0" borderId="0" xfId="0" applyNumberFormat="1" applyFont="1" applyAlignment="1" applyProtection="1">
      <alignment vertical="center"/>
    </xf>
    <xf numFmtId="169" fontId="0" fillId="28" borderId="167" xfId="13" applyNumberFormat="1" applyFont="1" applyFill="1" applyBorder="1" applyAlignment="1" applyProtection="1">
      <alignment vertical="center"/>
    </xf>
    <xf numFmtId="0" fontId="12" fillId="15" borderId="131" xfId="0" applyFont="1" applyFill="1" applyBorder="1" applyAlignment="1" applyProtection="1">
      <alignment horizontal="center" vertical="center"/>
    </xf>
    <xf numFmtId="0" fontId="12" fillId="15" borderId="165" xfId="0" applyFont="1" applyFill="1" applyBorder="1" applyAlignment="1" applyProtection="1">
      <alignment horizontal="center" vertical="center"/>
    </xf>
    <xf numFmtId="178" fontId="22" fillId="25" borderId="92" xfId="0" applyNumberFormat="1" applyFont="1" applyFill="1" applyBorder="1" applyAlignment="1" applyProtection="1">
      <alignment horizontal="right" vertical="center"/>
    </xf>
    <xf numFmtId="178" fontId="22" fillId="25" borderId="67" xfId="0" applyNumberFormat="1" applyFont="1" applyFill="1" applyBorder="1" applyAlignment="1" applyProtection="1">
      <alignment horizontal="right" vertical="center"/>
    </xf>
    <xf numFmtId="0" fontId="0" fillId="12" borderId="169" xfId="0" applyFont="1" applyFill="1" applyBorder="1" applyAlignment="1" applyProtection="1">
      <alignment horizontal="left" vertical="center"/>
      <protection locked="0"/>
    </xf>
    <xf numFmtId="0" fontId="0" fillId="12" borderId="122" xfId="0" applyFont="1" applyFill="1" applyBorder="1" applyProtection="1">
      <protection locked="0"/>
    </xf>
    <xf numFmtId="178" fontId="0" fillId="28" borderId="155" xfId="0" applyNumberFormat="1" applyFont="1" applyFill="1" applyBorder="1" applyAlignment="1" applyProtection="1">
      <alignment horizontal="right" vertical="center"/>
    </xf>
    <xf numFmtId="178" fontId="0" fillId="0" borderId="155" xfId="0" applyNumberFormat="1" applyFont="1" applyFill="1" applyBorder="1" applyAlignment="1" applyProtection="1">
      <alignment horizontal="right" vertical="center"/>
    </xf>
    <xf numFmtId="0" fontId="0" fillId="12" borderId="170" xfId="0" applyFont="1" applyFill="1" applyBorder="1" applyAlignment="1" applyProtection="1">
      <alignment horizontal="left" vertical="center"/>
      <protection locked="0"/>
    </xf>
    <xf numFmtId="0" fontId="0" fillId="12" borderId="170" xfId="0" applyFont="1" applyFill="1" applyBorder="1" applyProtection="1">
      <protection locked="0"/>
    </xf>
    <xf numFmtId="0" fontId="0" fillId="12" borderId="171" xfId="0" applyFont="1" applyFill="1" applyBorder="1" applyProtection="1">
      <protection locked="0"/>
    </xf>
    <xf numFmtId="179" fontId="0" fillId="12" borderId="136" xfId="13" applyNumberFormat="1" applyFont="1" applyFill="1" applyBorder="1" applyAlignment="1" applyProtection="1">
      <alignment vertical="center"/>
      <protection locked="0"/>
    </xf>
    <xf numFmtId="178" fontId="0" fillId="28" borderId="156" xfId="0" applyNumberFormat="1" applyFont="1" applyFill="1" applyBorder="1" applyAlignment="1" applyProtection="1">
      <alignment horizontal="right" vertical="center"/>
    </xf>
    <xf numFmtId="178" fontId="0" fillId="0" borderId="156" xfId="0" applyNumberFormat="1" applyFont="1" applyFill="1" applyBorder="1" applyAlignment="1" applyProtection="1">
      <alignment horizontal="right" vertical="center"/>
    </xf>
    <xf numFmtId="0" fontId="0" fillId="12" borderId="172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Protection="1">
      <protection locked="0"/>
    </xf>
    <xf numFmtId="0" fontId="0" fillId="12" borderId="136" xfId="0" applyFont="1" applyFill="1" applyBorder="1" applyProtection="1">
      <protection locked="0"/>
    </xf>
    <xf numFmtId="0" fontId="0" fillId="12" borderId="128" xfId="0" applyFont="1" applyFill="1" applyBorder="1" applyProtection="1">
      <protection locked="0"/>
    </xf>
    <xf numFmtId="0" fontId="0" fillId="12" borderId="120" xfId="0" applyFont="1" applyFill="1" applyBorder="1" applyProtection="1">
      <protection locked="0"/>
    </xf>
    <xf numFmtId="179" fontId="0" fillId="12" borderId="120" xfId="13" applyNumberFormat="1" applyFont="1" applyFill="1" applyBorder="1" applyAlignment="1" applyProtection="1">
      <alignment vertical="center"/>
      <protection locked="0"/>
    </xf>
    <xf numFmtId="178" fontId="0" fillId="28" borderId="157" xfId="0" applyNumberFormat="1" applyFont="1" applyFill="1" applyBorder="1" applyAlignment="1" applyProtection="1">
      <alignment horizontal="right" vertical="center"/>
    </xf>
    <xf numFmtId="178" fontId="0" fillId="0" borderId="157" xfId="0" applyNumberFormat="1" applyFont="1" applyFill="1" applyBorder="1" applyAlignment="1" applyProtection="1">
      <alignment horizontal="right" vertical="center"/>
    </xf>
    <xf numFmtId="9" fontId="0" fillId="43" borderId="65" xfId="0" applyNumberFormat="1" applyFont="1" applyFill="1" applyBorder="1" applyAlignment="1" applyProtection="1">
      <alignment horizontal="center" vertical="center"/>
    </xf>
    <xf numFmtId="178" fontId="0" fillId="25" borderId="66" xfId="0" applyNumberFormat="1" applyFont="1" applyFill="1" applyBorder="1" applyAlignment="1" applyProtection="1">
      <alignment horizontal="right" vertical="center"/>
    </xf>
    <xf numFmtId="9" fontId="0" fillId="43" borderId="66" xfId="0" applyNumberFormat="1" applyFont="1" applyFill="1" applyBorder="1" applyAlignment="1" applyProtection="1">
      <alignment horizontal="center" vertical="center"/>
    </xf>
    <xf numFmtId="170" fontId="0" fillId="43" borderId="66" xfId="16" applyFont="1" applyFill="1" applyBorder="1" applyAlignment="1" applyProtection="1">
      <alignment horizontal="center" vertical="center"/>
    </xf>
    <xf numFmtId="178" fontId="0" fillId="25" borderId="67" xfId="0" applyNumberFormat="1" applyFont="1" applyFill="1" applyBorder="1" applyAlignment="1" applyProtection="1">
      <alignment horizontal="right" vertical="center"/>
    </xf>
    <xf numFmtId="169" fontId="12" fillId="34" borderId="180" xfId="0" applyNumberFormat="1" applyFont="1" applyFill="1" applyBorder="1" applyAlignment="1" applyProtection="1">
      <alignment horizontal="center" vertical="center" wrapText="1"/>
    </xf>
    <xf numFmtId="169" fontId="12" fillId="34" borderId="181" xfId="0" applyNumberFormat="1" applyFont="1" applyFill="1" applyBorder="1" applyAlignment="1" applyProtection="1">
      <alignment horizontal="center" vertical="center" wrapText="1"/>
    </xf>
    <xf numFmtId="169" fontId="12" fillId="34" borderId="179" xfId="0" applyNumberFormat="1" applyFont="1" applyFill="1" applyBorder="1" applyAlignment="1" applyProtection="1">
      <alignment horizontal="center" vertical="center" wrapText="1"/>
    </xf>
    <xf numFmtId="179" fontId="0" fillId="46" borderId="182" xfId="13" applyNumberFormat="1" applyFont="1" applyFill="1" applyBorder="1" applyAlignment="1" applyProtection="1">
      <alignment vertical="center"/>
    </xf>
    <xf numFmtId="169" fontId="0" fillId="0" borderId="187" xfId="0" applyNumberFormat="1" applyFont="1" applyFill="1" applyBorder="1" applyAlignment="1" applyProtection="1">
      <alignment vertical="center"/>
    </xf>
    <xf numFmtId="169" fontId="12" fillId="39" borderId="187" xfId="0" applyNumberFormat="1" applyFont="1" applyFill="1" applyBorder="1" applyAlignment="1" applyProtection="1">
      <alignment vertical="center"/>
    </xf>
    <xf numFmtId="169" fontId="0" fillId="0" borderId="136" xfId="0" applyNumberFormat="1" applyFont="1" applyFill="1" applyBorder="1" applyAlignment="1" applyProtection="1">
      <alignment vertical="center"/>
    </xf>
    <xf numFmtId="169" fontId="12" fillId="39" borderId="136" xfId="0" applyNumberFormat="1" applyFont="1" applyFill="1" applyBorder="1" applyAlignment="1" applyProtection="1">
      <alignment vertical="center"/>
    </xf>
    <xf numFmtId="169" fontId="12" fillId="39" borderId="124" xfId="13" applyNumberFormat="1" applyFont="1" applyFill="1" applyBorder="1" applyAlignment="1" applyProtection="1">
      <alignment vertical="center"/>
    </xf>
    <xf numFmtId="169" fontId="0" fillId="10" borderId="163" xfId="13" applyNumberFormat="1" applyFont="1" applyFill="1" applyBorder="1" applyAlignment="1" applyProtection="1">
      <alignment horizontal="right" vertical="center"/>
    </xf>
    <xf numFmtId="169" fontId="0" fillId="10" borderId="124" xfId="13" applyNumberFormat="1" applyFont="1" applyFill="1" applyBorder="1" applyAlignment="1" applyProtection="1">
      <alignment horizontal="right" vertical="center"/>
    </xf>
    <xf numFmtId="169" fontId="13" fillId="45" borderId="124" xfId="13" applyNumberFormat="1" applyFont="1" applyFill="1" applyBorder="1" applyAlignment="1" applyProtection="1">
      <alignment vertical="center"/>
    </xf>
    <xf numFmtId="174" fontId="0" fillId="45" borderId="124" xfId="12" applyNumberFormat="1" applyFont="1" applyFill="1" applyBorder="1" applyAlignment="1" applyProtection="1">
      <alignment vertical="center"/>
    </xf>
    <xf numFmtId="169" fontId="12" fillId="39" borderId="124" xfId="13" applyNumberFormat="1" applyFont="1" applyFill="1" applyBorder="1" applyAlignment="1" applyProtection="1">
      <alignment horizontal="right" vertical="center"/>
    </xf>
    <xf numFmtId="169" fontId="12" fillId="39" borderId="126" xfId="13" applyNumberFormat="1" applyFont="1" applyFill="1" applyBorder="1" applyAlignment="1" applyProtection="1">
      <alignment horizontal="right" vertical="center"/>
    </xf>
    <xf numFmtId="169" fontId="21" fillId="31" borderId="191" xfId="13" applyNumberFormat="1" applyFont="1" applyFill="1" applyBorder="1" applyAlignment="1" applyProtection="1">
      <alignment vertical="center" wrapText="1"/>
    </xf>
    <xf numFmtId="169" fontId="21" fillId="31" borderId="148" xfId="13" applyNumberFormat="1" applyFont="1" applyFill="1" applyBorder="1" applyAlignment="1" applyProtection="1">
      <alignment vertical="center" wrapText="1"/>
    </xf>
    <xf numFmtId="169" fontId="21" fillId="31" borderId="65" xfId="13" applyNumberFormat="1" applyFont="1" applyFill="1" applyBorder="1" applyAlignment="1" applyProtection="1">
      <alignment vertical="center" wrapText="1"/>
    </xf>
    <xf numFmtId="179" fontId="0" fillId="46" borderId="107" xfId="13" applyNumberFormat="1" applyFont="1" applyFill="1" applyBorder="1" applyAlignment="1" applyProtection="1">
      <alignment vertical="center"/>
    </xf>
    <xf numFmtId="179" fontId="0" fillId="46" borderId="183" xfId="13" applyNumberFormat="1" applyFont="1" applyFill="1" applyBorder="1" applyAlignment="1" applyProtection="1">
      <alignment vertical="center"/>
    </xf>
    <xf numFmtId="0" fontId="0" fillId="0" borderId="142" xfId="0" applyFont="1" applyFill="1" applyBorder="1" applyAlignment="1" applyProtection="1">
      <alignment horizontal="left" vertical="center"/>
    </xf>
    <xf numFmtId="169" fontId="12" fillId="34" borderId="196" xfId="0" applyNumberFormat="1" applyFont="1" applyFill="1" applyBorder="1" applyAlignment="1" applyProtection="1">
      <alignment horizontal="center" vertical="center" wrapText="1"/>
    </xf>
    <xf numFmtId="0" fontId="12" fillId="16" borderId="197" xfId="0" applyFont="1" applyFill="1" applyBorder="1" applyAlignment="1" applyProtection="1">
      <alignment horizontal="center" vertical="center" wrapText="1"/>
    </xf>
    <xf numFmtId="180" fontId="0" fillId="12" borderId="107" xfId="13" applyNumberFormat="1" applyFont="1" applyFill="1" applyBorder="1" applyAlignment="1" applyProtection="1">
      <alignment horizontal="center" vertical="center"/>
      <protection locked="0"/>
    </xf>
    <xf numFmtId="180" fontId="0" fillId="12" borderId="182" xfId="13" applyNumberFormat="1" applyFont="1" applyFill="1" applyBorder="1" applyAlignment="1" applyProtection="1">
      <alignment horizontal="center" vertical="center"/>
      <protection locked="0"/>
    </xf>
    <xf numFmtId="180" fontId="0" fillId="12" borderId="130" xfId="13" applyNumberFormat="1" applyFont="1" applyFill="1" applyBorder="1" applyAlignment="1" applyProtection="1">
      <alignment horizontal="center" vertical="center"/>
      <protection locked="0"/>
    </xf>
    <xf numFmtId="0" fontId="0" fillId="0" borderId="132" xfId="0" applyFont="1" applyFill="1" applyBorder="1" applyAlignment="1" applyProtection="1">
      <alignment horizontal="left" vertical="center"/>
    </xf>
    <xf numFmtId="0" fontId="0" fillId="0" borderId="133" xfId="0" applyFont="1" applyFill="1" applyBorder="1" applyAlignment="1" applyProtection="1">
      <alignment horizontal="left" vertical="center"/>
    </xf>
    <xf numFmtId="0" fontId="0" fillId="0" borderId="134" xfId="0" applyFont="1" applyFill="1" applyBorder="1" applyAlignment="1" applyProtection="1">
      <alignment horizontal="left" vertical="center"/>
    </xf>
    <xf numFmtId="180" fontId="0" fillId="12" borderId="125" xfId="13" applyNumberFormat="1" applyFont="1" applyFill="1" applyBorder="1" applyAlignment="1" applyProtection="1">
      <alignment horizontal="center" vertical="center"/>
      <protection locked="0"/>
    </xf>
    <xf numFmtId="169" fontId="12" fillId="15" borderId="181" xfId="0" applyNumberFormat="1" applyFont="1" applyFill="1" applyBorder="1" applyAlignment="1" applyProtection="1">
      <alignment horizontal="center" vertical="center" wrapText="1"/>
    </xf>
    <xf numFmtId="169" fontId="12" fillId="15" borderId="186" xfId="0" applyNumberFormat="1" applyFont="1" applyFill="1" applyBorder="1" applyAlignment="1" applyProtection="1">
      <alignment horizontal="center" vertical="center" wrapText="1"/>
    </xf>
    <xf numFmtId="0" fontId="12" fillId="15" borderId="180" xfId="0" applyFont="1" applyFill="1" applyBorder="1" applyAlignment="1" applyProtection="1">
      <alignment horizontal="center" vertical="center"/>
    </xf>
    <xf numFmtId="0" fontId="12" fillId="15" borderId="178" xfId="0" applyFont="1" applyFill="1" applyBorder="1" applyAlignment="1" applyProtection="1">
      <alignment horizontal="center" vertical="center"/>
    </xf>
    <xf numFmtId="168" fontId="0" fillId="0" borderId="187" xfId="13" applyNumberFormat="1" applyFont="1" applyFill="1" applyBorder="1" applyAlignment="1" applyProtection="1">
      <alignment vertical="center"/>
    </xf>
    <xf numFmtId="169" fontId="0" fillId="28" borderId="204" xfId="13" applyNumberFormat="1" applyFont="1" applyFill="1" applyBorder="1" applyAlignment="1" applyProtection="1">
      <alignment vertical="center"/>
    </xf>
    <xf numFmtId="169" fontId="0" fillId="28" borderId="194" xfId="13" applyNumberFormat="1" applyFont="1" applyFill="1" applyBorder="1" applyAlignment="1" applyProtection="1">
      <alignment vertical="center"/>
    </xf>
    <xf numFmtId="181" fontId="13" fillId="36" borderId="182" xfId="16" applyNumberFormat="1" applyFill="1" applyBorder="1" applyAlignment="1" applyProtection="1">
      <alignment horizontal="center" vertical="center"/>
    </xf>
    <xf numFmtId="181" fontId="13" fillId="36" borderId="183" xfId="16" applyNumberFormat="1" applyFill="1" applyBorder="1" applyAlignment="1" applyProtection="1">
      <alignment horizontal="center" vertical="center"/>
    </xf>
    <xf numFmtId="169" fontId="0" fillId="28" borderId="130" xfId="13" applyNumberFormat="1" applyFont="1" applyFill="1" applyBorder="1" applyAlignment="1" applyProtection="1">
      <alignment vertical="center"/>
    </xf>
    <xf numFmtId="169" fontId="0" fillId="28" borderId="128" xfId="13" applyNumberFormat="1" applyFont="1" applyFill="1" applyBorder="1" applyAlignment="1" applyProtection="1">
      <alignment vertical="center"/>
    </xf>
    <xf numFmtId="169" fontId="12" fillId="15" borderId="185" xfId="0" applyNumberFormat="1" applyFont="1" applyFill="1" applyBorder="1" applyAlignment="1" applyProtection="1">
      <alignment horizontal="center" vertical="center" wrapText="1"/>
    </xf>
    <xf numFmtId="169" fontId="12" fillId="15" borderId="187" xfId="0" applyNumberFormat="1" applyFont="1" applyFill="1" applyBorder="1" applyAlignment="1" applyProtection="1">
      <alignment horizontal="center" vertical="center" wrapText="1"/>
    </xf>
    <xf numFmtId="168" fontId="0" fillId="0" borderId="208" xfId="13" applyNumberFormat="1" applyFont="1" applyFill="1" applyBorder="1" applyAlignment="1" applyProtection="1">
      <alignment vertical="center"/>
    </xf>
    <xf numFmtId="181" fontId="13" fillId="36" borderId="204" xfId="16" applyNumberFormat="1" applyFill="1" applyBorder="1" applyAlignment="1" applyProtection="1">
      <alignment horizontal="center" vertical="center"/>
    </xf>
    <xf numFmtId="181" fontId="13" fillId="36" borderId="194" xfId="16" applyNumberFormat="1" applyFill="1" applyBorder="1" applyAlignment="1" applyProtection="1">
      <alignment horizontal="center" vertical="center"/>
    </xf>
    <xf numFmtId="169" fontId="0" fillId="28" borderId="200" xfId="13" applyNumberFormat="1" applyFont="1" applyFill="1" applyBorder="1" applyAlignment="1" applyProtection="1">
      <alignment vertical="center"/>
    </xf>
    <xf numFmtId="169" fontId="0" fillId="28" borderId="125" xfId="13" applyNumberFormat="1" applyFont="1" applyFill="1" applyBorder="1" applyAlignment="1" applyProtection="1">
      <alignment vertical="center"/>
    </xf>
    <xf numFmtId="169" fontId="0" fillId="28" borderId="124" xfId="13" applyNumberFormat="1" applyFont="1" applyFill="1" applyBorder="1" applyAlignment="1" applyProtection="1">
      <alignment vertical="center"/>
    </xf>
    <xf numFmtId="169" fontId="0" fillId="28" borderId="136" xfId="13" applyNumberFormat="1" applyFont="1" applyFill="1" applyBorder="1" applyAlignment="1" applyProtection="1">
      <alignment vertical="center"/>
    </xf>
    <xf numFmtId="169" fontId="0" fillId="28" borderId="190" xfId="13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139" xfId="0" applyFont="1" applyFill="1" applyBorder="1" applyAlignment="1">
      <alignment horizontal="center" vertical="center" wrapText="1"/>
    </xf>
    <xf numFmtId="0" fontId="12" fillId="16" borderId="40" xfId="0" applyFont="1" applyFill="1" applyBorder="1" applyAlignment="1">
      <alignment horizontal="center" vertical="center" wrapText="1"/>
    </xf>
    <xf numFmtId="0" fontId="12" fillId="16" borderId="211" xfId="0" applyFont="1" applyFill="1" applyBorder="1" applyAlignment="1">
      <alignment horizontal="center" vertical="center" wrapText="1"/>
    </xf>
    <xf numFmtId="0" fontId="12" fillId="20" borderId="162" xfId="0" applyFont="1" applyFill="1" applyBorder="1" applyAlignment="1">
      <alignment horizontal="center" vertical="center" wrapText="1"/>
    </xf>
    <xf numFmtId="1" fontId="0" fillId="0" borderId="162" xfId="0" applyNumberFormat="1" applyBorder="1" applyAlignment="1">
      <alignment horizontal="center" vertical="center" wrapText="1"/>
    </xf>
    <xf numFmtId="1" fontId="0" fillId="0" borderId="215" xfId="0" applyNumberFormat="1" applyBorder="1" applyAlignment="1">
      <alignment horizontal="center"/>
    </xf>
    <xf numFmtId="1" fontId="0" fillId="0" borderId="164" xfId="0" applyNumberFormat="1" applyBorder="1"/>
    <xf numFmtId="1" fontId="0" fillId="43" borderId="162" xfId="0" applyNumberFormat="1" applyFill="1" applyBorder="1" applyAlignment="1">
      <alignment horizontal="center" vertical="center" wrapText="1"/>
    </xf>
    <xf numFmtId="1" fontId="0" fillId="0" borderId="87" xfId="0" applyNumberFormat="1" applyBorder="1" applyAlignment="1">
      <alignment horizontal="center" vertical="center" wrapText="1"/>
    </xf>
    <xf numFmtId="0" fontId="10" fillId="23" borderId="221" xfId="0" applyFont="1" applyFill="1" applyBorder="1" applyAlignment="1">
      <alignment horizontal="left" vertical="center"/>
    </xf>
    <xf numFmtId="169" fontId="10" fillId="23" borderId="222" xfId="13" applyNumberFormat="1" applyFont="1" applyFill="1" applyBorder="1" applyAlignment="1">
      <alignment horizontal="center" vertical="center"/>
    </xf>
    <xf numFmtId="169" fontId="10" fillId="23" borderId="219" xfId="13" applyNumberFormat="1" applyFont="1" applyFill="1" applyBorder="1" applyAlignment="1">
      <alignment horizontal="center" vertical="center"/>
    </xf>
    <xf numFmtId="169" fontId="10" fillId="20" borderId="218" xfId="13" applyNumberFormat="1" applyFont="1" applyFill="1" applyBorder="1" applyAlignment="1">
      <alignment horizontal="center" vertical="center"/>
    </xf>
    <xf numFmtId="169" fontId="10" fillId="20" borderId="222" xfId="13" applyNumberFormat="1" applyFont="1" applyFill="1" applyBorder="1" applyAlignment="1">
      <alignment horizontal="center" vertical="center"/>
    </xf>
    <xf numFmtId="169" fontId="10" fillId="20" borderId="219" xfId="13" applyNumberFormat="1" applyFont="1" applyFill="1" applyBorder="1" applyAlignment="1">
      <alignment horizontal="center" vertical="center"/>
    </xf>
    <xf numFmtId="164" fontId="0" fillId="12" borderId="216" xfId="32" applyFont="1" applyFill="1" applyBorder="1" applyAlignment="1" applyProtection="1">
      <alignment horizontal="center" vertical="center"/>
      <protection locked="0"/>
    </xf>
    <xf numFmtId="182" fontId="13" fillId="48" borderId="216" xfId="13" applyNumberFormat="1" applyFill="1" applyBorder="1" applyAlignment="1">
      <alignment vertical="center"/>
    </xf>
    <xf numFmtId="182" fontId="13" fillId="48" borderId="216" xfId="13" applyNumberFormat="1" applyFill="1" applyBorder="1"/>
    <xf numFmtId="164" fontId="0" fillId="58" borderId="216" xfId="32" applyFont="1" applyFill="1" applyBorder="1" applyAlignment="1" applyProtection="1">
      <alignment horizontal="center" vertical="center"/>
      <protection locked="0"/>
    </xf>
    <xf numFmtId="0" fontId="10" fillId="20" borderId="221" xfId="0" applyFont="1" applyFill="1" applyBorder="1" applyAlignment="1">
      <alignment horizontal="left" vertical="center"/>
    </xf>
    <xf numFmtId="176" fontId="18" fillId="0" borderId="221" xfId="0" applyNumberFormat="1" applyFont="1" applyBorder="1" applyAlignment="1">
      <alignment horizontal="left" wrapText="1"/>
    </xf>
    <xf numFmtId="176" fontId="18" fillId="0" borderId="221" xfId="0" applyNumberFormat="1" applyFont="1" applyBorder="1" applyAlignment="1">
      <alignment horizontal="left"/>
    </xf>
    <xf numFmtId="178" fontId="0" fillId="28" borderId="183" xfId="0" applyNumberFormat="1" applyFont="1" applyFill="1" applyBorder="1" applyAlignment="1" applyProtection="1">
      <alignment vertical="center"/>
    </xf>
    <xf numFmtId="178" fontId="0" fillId="28" borderId="210" xfId="0" applyNumberFormat="1" applyFont="1" applyFill="1" applyBorder="1" applyAlignment="1" applyProtection="1">
      <alignment horizontal="right" vertical="center"/>
    </xf>
    <xf numFmtId="0" fontId="0" fillId="12" borderId="216" xfId="0" applyFont="1" applyFill="1" applyBorder="1" applyAlignment="1" applyProtection="1">
      <alignment horizontal="left" vertical="center"/>
      <protection locked="0"/>
    </xf>
    <xf numFmtId="0" fontId="0" fillId="12" borderId="218" xfId="0" applyFont="1" applyFill="1" applyBorder="1" applyAlignment="1" applyProtection="1">
      <alignment horizontal="left" vertical="center"/>
      <protection locked="0"/>
    </xf>
    <xf numFmtId="179" fontId="0" fillId="12" borderId="227" xfId="13" applyNumberFormat="1" applyFont="1" applyFill="1" applyBorder="1" applyAlignment="1" applyProtection="1">
      <alignment vertical="center"/>
      <protection locked="0"/>
    </xf>
    <xf numFmtId="179" fontId="0" fillId="12" borderId="216" xfId="13" applyNumberFormat="1" applyFont="1" applyFill="1" applyBorder="1" applyAlignment="1" applyProtection="1">
      <alignment vertical="center"/>
      <protection locked="0"/>
    </xf>
    <xf numFmtId="178" fontId="0" fillId="28" borderId="213" xfId="0" applyNumberFormat="1" applyFont="1" applyFill="1" applyBorder="1" applyAlignment="1" applyProtection="1">
      <alignment vertical="center"/>
    </xf>
    <xf numFmtId="178" fontId="0" fillId="28" borderId="222" xfId="0" applyNumberFormat="1" applyFont="1" applyFill="1" applyBorder="1" applyAlignment="1" applyProtection="1">
      <alignment horizontal="right" vertical="center"/>
    </xf>
    <xf numFmtId="0" fontId="0" fillId="12" borderId="228" xfId="0" applyFont="1" applyFill="1" applyBorder="1" applyAlignment="1" applyProtection="1">
      <alignment horizontal="left" vertical="center"/>
      <protection locked="0"/>
    </xf>
    <xf numFmtId="0" fontId="0" fillId="12" borderId="229" xfId="0" applyFont="1" applyFill="1" applyBorder="1" applyAlignment="1" applyProtection="1">
      <alignment horizontal="left" vertical="center"/>
      <protection locked="0"/>
    </xf>
    <xf numFmtId="179" fontId="0" fillId="12" borderId="230" xfId="13" applyNumberFormat="1" applyFont="1" applyFill="1" applyBorder="1" applyAlignment="1" applyProtection="1">
      <alignment vertical="center"/>
      <protection locked="0"/>
    </xf>
    <xf numFmtId="179" fontId="0" fillId="12" borderId="228" xfId="13" applyNumberFormat="1" applyFont="1" applyFill="1" applyBorder="1" applyAlignment="1" applyProtection="1">
      <alignment vertical="center"/>
      <protection locked="0"/>
    </xf>
    <xf numFmtId="178" fontId="0" fillId="28" borderId="214" xfId="0" applyNumberFormat="1" applyFont="1" applyFill="1" applyBorder="1" applyAlignment="1" applyProtection="1">
      <alignment vertical="center"/>
    </xf>
    <xf numFmtId="178" fontId="0" fillId="28" borderId="231" xfId="0" applyNumberFormat="1" applyFont="1" applyFill="1" applyBorder="1" applyAlignment="1" applyProtection="1">
      <alignment horizontal="right" vertical="center"/>
    </xf>
    <xf numFmtId="179" fontId="13" fillId="28" borderId="183" xfId="13" applyNumberFormat="1" applyFill="1" applyBorder="1" applyAlignment="1">
      <alignment vertical="center"/>
    </xf>
    <xf numFmtId="179" fontId="13" fillId="28" borderId="227" xfId="13" applyNumberFormat="1" applyFill="1" applyBorder="1" applyAlignment="1">
      <alignment vertical="center"/>
    </xf>
    <xf numFmtId="179" fontId="13" fillId="28" borderId="216" xfId="13" applyNumberFormat="1" applyFill="1" applyBorder="1" applyAlignment="1">
      <alignment vertical="center"/>
    </xf>
    <xf numFmtId="179" fontId="13" fillId="28" borderId="213" xfId="13" applyNumberFormat="1" applyFill="1" applyBorder="1" applyAlignment="1">
      <alignment vertical="center"/>
    </xf>
    <xf numFmtId="179" fontId="13" fillId="28" borderId="230" xfId="13" applyNumberFormat="1" applyFill="1" applyBorder="1" applyAlignment="1">
      <alignment vertical="center"/>
    </xf>
    <xf numFmtId="179" fontId="13" fillId="28" borderId="228" xfId="13" applyNumberFormat="1" applyFill="1" applyBorder="1" applyAlignment="1">
      <alignment vertical="center"/>
    </xf>
    <xf numFmtId="179" fontId="13" fillId="28" borderId="214" xfId="13" applyNumberFormat="1" applyFill="1" applyBorder="1" applyAlignment="1">
      <alignment vertical="center"/>
    </xf>
    <xf numFmtId="179" fontId="13" fillId="28" borderId="182" xfId="13" applyNumberFormat="1" applyFill="1" applyBorder="1" applyAlignment="1">
      <alignment vertical="center"/>
    </xf>
    <xf numFmtId="179" fontId="13" fillId="28" borderId="107" xfId="13" applyNumberFormat="1" applyFill="1" applyBorder="1" applyAlignment="1">
      <alignment vertical="center"/>
    </xf>
    <xf numFmtId="169" fontId="21" fillId="31" borderId="230" xfId="13" applyNumberFormat="1" applyFont="1" applyFill="1" applyBorder="1" applyAlignment="1" applyProtection="1">
      <alignment vertical="center" wrapText="1"/>
    </xf>
    <xf numFmtId="169" fontId="21" fillId="31" borderId="228" xfId="13" applyNumberFormat="1" applyFont="1" applyFill="1" applyBorder="1" applyAlignment="1" applyProtection="1">
      <alignment vertical="center" wrapText="1"/>
    </xf>
    <xf numFmtId="169" fontId="21" fillId="31" borderId="214" xfId="13" applyNumberFormat="1" applyFont="1" applyFill="1" applyBorder="1" applyAlignment="1" applyProtection="1">
      <alignment vertical="center" wrapText="1"/>
    </xf>
    <xf numFmtId="0" fontId="0" fillId="0" borderId="232" xfId="0" applyFont="1" applyFill="1" applyBorder="1" applyAlignment="1" applyProtection="1">
      <alignment horizontal="left" vertical="center"/>
    </xf>
    <xf numFmtId="180" fontId="0" fillId="12" borderId="57" xfId="13" applyNumberFormat="1" applyFont="1" applyFill="1" applyBorder="1" applyAlignment="1" applyProtection="1">
      <alignment horizontal="center" vertical="center"/>
      <protection locked="0"/>
    </xf>
    <xf numFmtId="180" fontId="0" fillId="12" borderId="224" xfId="13" applyNumberFormat="1" applyFont="1" applyFill="1" applyBorder="1" applyAlignment="1" applyProtection="1">
      <alignment horizontal="center" vertical="center"/>
      <protection locked="0"/>
    </xf>
    <xf numFmtId="0" fontId="0" fillId="0" borderId="182" xfId="0" applyFont="1" applyFill="1" applyBorder="1" applyAlignment="1" applyProtection="1">
      <alignment horizontal="left" vertical="center"/>
    </xf>
    <xf numFmtId="0" fontId="0" fillId="0" borderId="228" xfId="0" applyFont="1" applyFill="1" applyBorder="1" applyAlignment="1" applyProtection="1">
      <alignment horizontal="left" vertical="center"/>
    </xf>
    <xf numFmtId="180" fontId="0" fillId="12" borderId="228" xfId="13" applyNumberFormat="1" applyFont="1" applyFill="1" applyBorder="1" applyAlignment="1" applyProtection="1">
      <alignment horizontal="center" vertical="center"/>
      <protection locked="0"/>
    </xf>
    <xf numFmtId="169" fontId="0" fillId="10" borderId="219" xfId="13" applyNumberFormat="1" applyFont="1" applyFill="1" applyBorder="1" applyAlignment="1" applyProtection="1">
      <alignment horizontal="right" vertical="center"/>
    </xf>
    <xf numFmtId="169" fontId="12" fillId="39" borderId="219" xfId="13" applyNumberFormat="1" applyFont="1" applyFill="1" applyBorder="1" applyAlignment="1" applyProtection="1">
      <alignment horizontal="right" vertical="center"/>
    </xf>
    <xf numFmtId="169" fontId="21" fillId="31" borderId="223" xfId="13" applyNumberFormat="1" applyFont="1" applyFill="1" applyBorder="1" applyAlignment="1" applyProtection="1">
      <alignment vertical="center" wrapText="1"/>
    </xf>
    <xf numFmtId="169" fontId="21" fillId="31" borderId="110" xfId="13" applyNumberFormat="1" applyFont="1" applyFill="1" applyBorder="1" applyAlignment="1" applyProtection="1">
      <alignment vertical="center" wrapText="1"/>
    </xf>
    <xf numFmtId="180" fontId="0" fillId="60" borderId="124" xfId="13" applyNumberFormat="1" applyFont="1" applyFill="1" applyBorder="1" applyAlignment="1" applyProtection="1">
      <alignment horizontal="center" vertical="center"/>
      <protection locked="0"/>
    </xf>
    <xf numFmtId="169" fontId="0" fillId="61" borderId="3" xfId="13" applyNumberFormat="1" applyFont="1" applyFill="1" applyBorder="1" applyAlignment="1" applyProtection="1">
      <alignment vertical="center"/>
    </xf>
    <xf numFmtId="169" fontId="0" fillId="61" borderId="74" xfId="13" applyNumberFormat="1" applyFont="1" applyFill="1" applyBorder="1" applyAlignment="1" applyProtection="1">
      <alignment vertical="center"/>
    </xf>
    <xf numFmtId="179" fontId="0" fillId="51" borderId="228" xfId="13" applyNumberFormat="1" applyFont="1" applyFill="1" applyBorder="1" applyAlignment="1" applyProtection="1">
      <alignment vertical="center"/>
    </xf>
    <xf numFmtId="179" fontId="0" fillId="51" borderId="182" xfId="13" applyNumberFormat="1" applyFont="1" applyFill="1" applyBorder="1" applyAlignment="1" applyProtection="1">
      <alignment vertical="center"/>
    </xf>
    <xf numFmtId="0" fontId="0" fillId="46" borderId="98" xfId="0" applyFont="1" applyFill="1" applyBorder="1" applyAlignment="1" applyProtection="1">
      <alignment horizontal="left" vertical="center"/>
    </xf>
    <xf numFmtId="0" fontId="0" fillId="46" borderId="211" xfId="0" applyFont="1" applyFill="1" applyBorder="1" applyAlignment="1" applyProtection="1">
      <alignment horizontal="left" vertical="center"/>
    </xf>
    <xf numFmtId="0" fontId="0" fillId="46" borderId="229" xfId="0" applyFont="1" applyFill="1" applyBorder="1" applyAlignment="1" applyProtection="1">
      <alignment horizontal="left" vertical="center"/>
    </xf>
    <xf numFmtId="169" fontId="12" fillId="34" borderId="237" xfId="0" applyNumberFormat="1" applyFont="1" applyFill="1" applyBorder="1" applyAlignment="1" applyProtection="1">
      <alignment horizontal="center" vertical="center" wrapText="1"/>
    </xf>
    <xf numFmtId="169" fontId="12" fillId="34" borderId="238" xfId="0" applyNumberFormat="1" applyFont="1" applyFill="1" applyBorder="1" applyAlignment="1" applyProtection="1">
      <alignment horizontal="center" vertical="center" wrapText="1"/>
    </xf>
    <xf numFmtId="169" fontId="12" fillId="34" borderId="239" xfId="0" applyNumberFormat="1" applyFont="1" applyFill="1" applyBorder="1" applyAlignment="1" applyProtection="1">
      <alignment horizontal="center" vertical="center" wrapText="1"/>
    </xf>
    <xf numFmtId="179" fontId="0" fillId="46" borderId="240" xfId="13" applyNumberFormat="1" applyFont="1" applyFill="1" applyBorder="1" applyAlignment="1" applyProtection="1">
      <alignment vertical="center"/>
    </xf>
    <xf numFmtId="179" fontId="0" fillId="51" borderId="241" xfId="13" applyNumberFormat="1" applyFont="1" applyFill="1" applyBorder="1" applyAlignment="1" applyProtection="1">
      <alignment vertical="center"/>
    </xf>
    <xf numFmtId="179" fontId="0" fillId="51" borderId="242" xfId="13" applyNumberFormat="1" applyFont="1" applyFill="1" applyBorder="1" applyAlignment="1" applyProtection="1">
      <alignment vertical="center"/>
    </xf>
    <xf numFmtId="179" fontId="0" fillId="51" borderId="107" xfId="13" applyNumberFormat="1" applyFont="1" applyFill="1" applyBorder="1" applyAlignment="1" applyProtection="1">
      <alignment vertical="center"/>
    </xf>
    <xf numFmtId="179" fontId="0" fillId="51" borderId="183" xfId="13" applyNumberFormat="1" applyFont="1" applyFill="1" applyBorder="1" applyAlignment="1" applyProtection="1">
      <alignment vertical="center"/>
    </xf>
    <xf numFmtId="179" fontId="0" fillId="51" borderId="230" xfId="13" applyNumberFormat="1" applyFont="1" applyFill="1" applyBorder="1" applyAlignment="1" applyProtection="1">
      <alignment vertical="center"/>
    </xf>
    <xf numFmtId="179" fontId="0" fillId="51" borderId="214" xfId="13" applyNumberFormat="1" applyFont="1" applyFill="1" applyBorder="1" applyAlignment="1" applyProtection="1">
      <alignment vertical="center"/>
    </xf>
    <xf numFmtId="169" fontId="12" fillId="15" borderId="244" xfId="0" applyNumberFormat="1" applyFont="1" applyFill="1" applyBorder="1" applyAlignment="1" applyProtection="1">
      <alignment horizontal="center" vertical="center" wrapText="1"/>
    </xf>
    <xf numFmtId="169" fontId="12" fillId="15" borderId="220" xfId="0" applyNumberFormat="1" applyFont="1" applyFill="1" applyBorder="1" applyAlignment="1" applyProtection="1">
      <alignment horizontal="center" vertical="center" wrapText="1"/>
    </xf>
    <xf numFmtId="169" fontId="12" fillId="15" borderId="233" xfId="0" applyNumberFormat="1" applyFont="1" applyFill="1" applyBorder="1" applyAlignment="1" applyProtection="1">
      <alignment horizontal="center" vertical="center" wrapText="1"/>
    </xf>
    <xf numFmtId="169" fontId="12" fillId="15" borderId="239" xfId="0" applyNumberFormat="1" applyFont="1" applyFill="1" applyBorder="1" applyAlignment="1" applyProtection="1">
      <alignment horizontal="center" vertical="center" wrapText="1"/>
    </xf>
    <xf numFmtId="171" fontId="0" fillId="12" borderId="245" xfId="13" applyNumberFormat="1" applyFont="1" applyFill="1" applyBorder="1" applyAlignment="1" applyProtection="1">
      <alignment horizontal="center" vertical="center"/>
      <protection locked="0"/>
    </xf>
    <xf numFmtId="171" fontId="0" fillId="46" borderId="246" xfId="13" applyNumberFormat="1" applyFont="1" applyFill="1" applyBorder="1" applyAlignment="1" applyProtection="1">
      <alignment horizontal="center" vertical="center"/>
    </xf>
    <xf numFmtId="171" fontId="0" fillId="46" borderId="247" xfId="13" applyNumberFormat="1" applyFont="1" applyFill="1" applyBorder="1" applyAlignment="1" applyProtection="1">
      <alignment horizontal="center" vertical="center"/>
    </xf>
    <xf numFmtId="171" fontId="0" fillId="12" borderId="240" xfId="13" applyNumberFormat="1" applyFont="1" applyFill="1" applyBorder="1" applyAlignment="1" applyProtection="1">
      <alignment horizontal="center" vertical="center"/>
      <protection locked="0"/>
    </xf>
    <xf numFmtId="171" fontId="0" fillId="51" borderId="241" xfId="13" applyNumberFormat="1" applyFont="1" applyFill="1" applyBorder="1" applyAlignment="1" applyProtection="1">
      <alignment horizontal="center" vertical="center"/>
    </xf>
    <xf numFmtId="171" fontId="0" fillId="51" borderId="242" xfId="13" applyNumberFormat="1" applyFont="1" applyFill="1" applyBorder="1" applyAlignment="1" applyProtection="1">
      <alignment horizontal="center" vertical="center"/>
    </xf>
    <xf numFmtId="179" fontId="0" fillId="51" borderId="245" xfId="13" applyNumberFormat="1" applyFont="1" applyFill="1" applyBorder="1" applyAlignment="1" applyProtection="1">
      <alignment vertical="center"/>
    </xf>
    <xf numFmtId="179" fontId="0" fillId="28" borderId="245" xfId="13" applyNumberFormat="1" applyFont="1" applyFill="1" applyBorder="1" applyAlignment="1" applyProtection="1">
      <alignment vertical="center"/>
    </xf>
    <xf numFmtId="179" fontId="0" fillId="28" borderId="246" xfId="13" applyNumberFormat="1" applyFont="1" applyFill="1" applyBorder="1" applyAlignment="1" applyProtection="1">
      <alignment vertical="center"/>
    </xf>
    <xf numFmtId="179" fontId="0" fillId="28" borderId="247" xfId="13" applyNumberFormat="1" applyFont="1" applyFill="1" applyBorder="1" applyAlignment="1" applyProtection="1">
      <alignment vertical="center"/>
    </xf>
    <xf numFmtId="179" fontId="0" fillId="28" borderId="240" xfId="13" applyNumberFormat="1" applyFont="1" applyFill="1" applyBorder="1" applyAlignment="1" applyProtection="1">
      <alignment vertical="center"/>
    </xf>
    <xf numFmtId="180" fontId="12" fillId="28" borderId="183" xfId="0" applyNumberFormat="1" applyFont="1" applyFill="1" applyBorder="1" applyAlignment="1" applyProtection="1">
      <alignment horizontal="center" vertical="center"/>
    </xf>
    <xf numFmtId="180" fontId="12" fillId="28" borderId="148" xfId="0" applyNumberFormat="1" applyFont="1" applyFill="1" applyBorder="1" applyAlignment="1" applyProtection="1">
      <alignment horizontal="center" vertical="center"/>
    </xf>
    <xf numFmtId="180" fontId="12" fillId="28" borderId="214" xfId="0" applyNumberFormat="1" applyFont="1" applyFill="1" applyBorder="1" applyAlignment="1" applyProtection="1">
      <alignment horizontal="center" vertical="center"/>
    </xf>
    <xf numFmtId="180" fontId="12" fillId="28" borderId="126" xfId="0" applyNumberFormat="1" applyFont="1" applyFill="1" applyBorder="1" applyAlignment="1" applyProtection="1">
      <alignment horizontal="center" vertical="center"/>
    </xf>
    <xf numFmtId="180" fontId="12" fillId="28" borderId="129" xfId="0" applyNumberFormat="1" applyFont="1" applyFill="1" applyBorder="1" applyAlignment="1" applyProtection="1">
      <alignment horizontal="center" vertical="center"/>
    </xf>
    <xf numFmtId="0" fontId="12" fillId="21" borderId="254" xfId="0" applyFont="1" applyFill="1" applyBorder="1" applyAlignment="1">
      <alignment horizontal="center" vertical="center"/>
    </xf>
    <xf numFmtId="0" fontId="10" fillId="23" borderId="255" xfId="0" applyFont="1" applyFill="1" applyBorder="1" applyAlignment="1">
      <alignment horizontal="left" vertical="center"/>
    </xf>
    <xf numFmtId="169" fontId="10" fillId="23" borderId="251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20" borderId="255" xfId="0" applyFont="1" applyFill="1" applyBorder="1" applyAlignment="1">
      <alignment horizontal="left" vertical="center"/>
    </xf>
    <xf numFmtId="169" fontId="10" fillId="20" borderId="251" xfId="13" applyNumberFormat="1" applyFont="1" applyFill="1" applyBorder="1" applyAlignment="1">
      <alignment horizontal="center" vertical="center"/>
    </xf>
    <xf numFmtId="169" fontId="12" fillId="41" borderId="251" xfId="13" applyNumberFormat="1" applyFont="1" applyFill="1" applyBorder="1" applyAlignment="1">
      <alignment vertical="center"/>
    </xf>
    <xf numFmtId="176" fontId="18" fillId="0" borderId="255" xfId="0" applyNumberFormat="1" applyFont="1" applyBorder="1" applyAlignment="1">
      <alignment horizontal="left"/>
    </xf>
    <xf numFmtId="169" fontId="0" fillId="46" borderId="251" xfId="13" applyNumberFormat="1" applyFont="1" applyFill="1" applyBorder="1" applyAlignment="1">
      <alignment vertical="center"/>
    </xf>
    <xf numFmtId="169" fontId="18" fillId="28" borderId="251" xfId="13" applyNumberFormat="1" applyFont="1" applyFill="1" applyBorder="1" applyAlignment="1">
      <alignment vertical="center"/>
    </xf>
    <xf numFmtId="169" fontId="0" fillId="12" borderId="251" xfId="13" applyNumberFormat="1" applyFont="1" applyFill="1" applyBorder="1" applyAlignment="1" applyProtection="1">
      <alignment vertical="center"/>
      <protection locked="0"/>
    </xf>
    <xf numFmtId="169" fontId="18" fillId="12" borderId="251" xfId="13" applyNumberFormat="1" applyFont="1" applyFill="1" applyBorder="1" applyAlignment="1" applyProtection="1">
      <alignment vertical="center"/>
      <protection locked="0"/>
    </xf>
    <xf numFmtId="177" fontId="18" fillId="12" borderId="251" xfId="12" applyNumberFormat="1" applyFont="1" applyFill="1" applyBorder="1" applyAlignment="1" applyProtection="1">
      <alignment vertical="center"/>
      <protection locked="0"/>
    </xf>
    <xf numFmtId="176" fontId="29" fillId="0" borderId="255" xfId="0" applyNumberFormat="1" applyFont="1" applyBorder="1" applyAlignment="1">
      <alignment horizontal="left"/>
    </xf>
    <xf numFmtId="169" fontId="10" fillId="20" borderId="251" xfId="13" applyNumberFormat="1" applyFont="1" applyFill="1" applyBorder="1" applyAlignment="1">
      <alignment vertical="center"/>
    </xf>
    <xf numFmtId="169" fontId="0" fillId="58" borderId="251" xfId="13" applyNumberFormat="1" applyFont="1" applyFill="1" applyBorder="1" applyAlignment="1" applyProtection="1">
      <alignment vertical="center"/>
      <protection locked="0"/>
    </xf>
    <xf numFmtId="176" fontId="18" fillId="0" borderId="256" xfId="0" applyNumberFormat="1" applyFont="1" applyBorder="1" applyAlignment="1">
      <alignment horizontal="left"/>
    </xf>
    <xf numFmtId="169" fontId="0" fillId="27" borderId="251" xfId="13" applyNumberFormat="1" applyFont="1" applyFill="1" applyBorder="1" applyAlignment="1">
      <alignment vertical="center"/>
    </xf>
    <xf numFmtId="182" fontId="13" fillId="27" borderId="251" xfId="13" applyNumberFormat="1" applyFill="1" applyBorder="1"/>
    <xf numFmtId="0" fontId="12" fillId="21" borderId="258" xfId="0" applyFont="1" applyFill="1" applyBorder="1" applyAlignment="1">
      <alignment horizontal="center" vertical="center"/>
    </xf>
    <xf numFmtId="0" fontId="10" fillId="23" borderId="259" xfId="0" applyFont="1" applyFill="1" applyBorder="1" applyAlignment="1">
      <alignment horizontal="left" vertical="center"/>
    </xf>
    <xf numFmtId="169" fontId="10" fillId="23" borderId="246" xfId="13" applyNumberFormat="1" applyFont="1" applyFill="1" applyBorder="1" applyAlignment="1">
      <alignment horizontal="center" vertical="center"/>
    </xf>
    <xf numFmtId="169" fontId="10" fillId="53" borderId="246" xfId="13" applyNumberFormat="1" applyFont="1" applyFill="1" applyBorder="1" applyAlignment="1">
      <alignment vertical="center"/>
    </xf>
    <xf numFmtId="169" fontId="12" fillId="40" borderId="246" xfId="13" applyNumberFormat="1" applyFont="1" applyFill="1" applyBorder="1" applyAlignment="1">
      <alignment vertical="center"/>
    </xf>
    <xf numFmtId="169" fontId="10" fillId="23" borderId="260" xfId="13" applyNumberFormat="1" applyFont="1" applyFill="1" applyBorder="1" applyAlignment="1">
      <alignment horizontal="center" vertical="center"/>
    </xf>
    <xf numFmtId="169" fontId="10" fillId="54" borderId="251" xfId="13" applyNumberFormat="1" applyFont="1" applyFill="1" applyBorder="1" applyAlignment="1">
      <alignment vertical="center"/>
    </xf>
    <xf numFmtId="169" fontId="10" fillId="20" borderId="166" xfId="13" applyNumberFormat="1" applyFont="1" applyFill="1" applyBorder="1" applyAlignment="1">
      <alignment horizontal="center" vertical="center"/>
    </xf>
    <xf numFmtId="177" fontId="18" fillId="28" borderId="251" xfId="12" applyNumberFormat="1" applyFont="1" applyFill="1" applyBorder="1" applyAlignment="1">
      <alignment vertical="center"/>
    </xf>
    <xf numFmtId="169" fontId="10" fillId="27" borderId="261" xfId="13" applyNumberFormat="1" applyFont="1" applyFill="1" applyBorder="1" applyAlignment="1">
      <alignment vertical="center"/>
    </xf>
    <xf numFmtId="177" fontId="13" fillId="28" borderId="251" xfId="12" applyNumberFormat="1" applyFill="1" applyBorder="1"/>
    <xf numFmtId="169" fontId="10" fillId="55" borderId="251" xfId="13" applyNumberFormat="1" applyFont="1" applyFill="1" applyBorder="1" applyAlignment="1">
      <alignment vertical="center"/>
    </xf>
    <xf numFmtId="169" fontId="10" fillId="23" borderId="166" xfId="13" applyNumberFormat="1" applyFont="1" applyFill="1" applyBorder="1" applyAlignment="1">
      <alignment horizontal="center" vertical="center"/>
    </xf>
    <xf numFmtId="169" fontId="10" fillId="20" borderId="253" xfId="13" applyNumberFormat="1" applyFont="1" applyFill="1" applyBorder="1" applyAlignment="1">
      <alignment horizontal="center" vertical="center"/>
    </xf>
    <xf numFmtId="177" fontId="13" fillId="12" borderId="251" xfId="12" applyNumberFormat="1" applyFill="1" applyBorder="1" applyProtection="1">
      <protection locked="0"/>
    </xf>
    <xf numFmtId="169" fontId="18" fillId="56" borderId="251" xfId="13" applyNumberFormat="1" applyFont="1" applyFill="1" applyBorder="1" applyAlignment="1">
      <alignment vertical="center"/>
    </xf>
    <xf numFmtId="177" fontId="13" fillId="56" borderId="251" xfId="12" applyNumberFormat="1" applyFill="1" applyBorder="1"/>
    <xf numFmtId="169" fontId="18" fillId="57" borderId="251" xfId="13" applyNumberFormat="1" applyFont="1" applyFill="1" applyBorder="1" applyAlignment="1">
      <alignment vertical="center"/>
    </xf>
    <xf numFmtId="177" fontId="13" fillId="58" borderId="251" xfId="12" applyNumberFormat="1" applyFill="1" applyBorder="1" applyProtection="1">
      <protection locked="0"/>
    </xf>
    <xf numFmtId="169" fontId="10" fillId="27" borderId="262" xfId="13" applyNumberFormat="1" applyFont="1" applyFill="1" applyBorder="1" applyAlignment="1">
      <alignment vertical="center"/>
    </xf>
    <xf numFmtId="0" fontId="12" fillId="30" borderId="263" xfId="0" applyFont="1" applyFill="1" applyBorder="1" applyAlignment="1">
      <alignment horizontal="center" vertical="center" wrapText="1"/>
    </xf>
    <xf numFmtId="0" fontId="12" fillId="31" borderId="264" xfId="0" applyFont="1" applyFill="1" applyBorder="1" applyAlignment="1">
      <alignment vertical="center"/>
    </xf>
    <xf numFmtId="168" fontId="12" fillId="31" borderId="228" xfId="13" applyNumberFormat="1" applyFont="1" applyFill="1" applyBorder="1" applyAlignment="1">
      <alignment vertical="center"/>
    </xf>
    <xf numFmtId="168" fontId="12" fillId="32" borderId="228" xfId="13" applyNumberFormat="1" applyFont="1" applyFill="1" applyBorder="1" applyAlignment="1">
      <alignment vertical="center"/>
    </xf>
    <xf numFmtId="168" fontId="12" fillId="31" borderId="145" xfId="13" applyNumberFormat="1" applyFont="1" applyFill="1" applyBorder="1" applyAlignment="1">
      <alignment vertical="center"/>
    </xf>
    <xf numFmtId="169" fontId="12" fillId="43" borderId="172" xfId="13" applyNumberFormat="1" applyFont="1" applyFill="1" applyBorder="1" applyAlignment="1">
      <alignment horizontal="center" vertical="center"/>
    </xf>
    <xf numFmtId="0" fontId="12" fillId="43" borderId="172" xfId="0" applyFont="1" applyFill="1" applyBorder="1" applyAlignment="1">
      <alignment horizontal="center" vertical="center"/>
    </xf>
    <xf numFmtId="169" fontId="10" fillId="62" borderId="246" xfId="13" applyNumberFormat="1" applyFont="1" applyFill="1" applyBorder="1" applyAlignment="1">
      <alignment vertical="center"/>
    </xf>
    <xf numFmtId="0" fontId="10" fillId="20" borderId="265" xfId="0" applyFont="1" applyFill="1" applyBorder="1" applyAlignment="1">
      <alignment horizontal="left" vertical="center"/>
    </xf>
    <xf numFmtId="169" fontId="10" fillId="20" borderId="266" xfId="13" applyNumberFormat="1" applyFont="1" applyFill="1" applyBorder="1" applyAlignment="1">
      <alignment horizontal="center" vertical="center"/>
    </xf>
    <xf numFmtId="169" fontId="10" fillId="22" borderId="266" xfId="13" applyNumberFormat="1" applyFont="1" applyFill="1" applyBorder="1" applyAlignment="1">
      <alignment vertical="center"/>
    </xf>
    <xf numFmtId="169" fontId="12" fillId="41" borderId="266" xfId="13" applyNumberFormat="1" applyFont="1" applyFill="1" applyBorder="1" applyAlignment="1">
      <alignment vertical="center"/>
    </xf>
    <xf numFmtId="176" fontId="18" fillId="0" borderId="265" xfId="0" applyNumberFormat="1" applyFont="1" applyBorder="1" applyAlignment="1">
      <alignment horizontal="left"/>
    </xf>
    <xf numFmtId="169" fontId="0" fillId="46" borderId="266" xfId="13" applyNumberFormat="1" applyFont="1" applyFill="1" applyBorder="1" applyAlignment="1">
      <alignment vertical="center"/>
    </xf>
    <xf numFmtId="169" fontId="18" fillId="1" borderId="266" xfId="13" applyNumberFormat="1" applyFont="1" applyFill="1" applyBorder="1" applyAlignment="1">
      <alignment vertical="center"/>
    </xf>
    <xf numFmtId="177" fontId="18" fillId="1" borderId="266" xfId="12" applyNumberFormat="1" applyFont="1" applyFill="1" applyBorder="1" applyAlignment="1">
      <alignment vertical="center"/>
    </xf>
    <xf numFmtId="169" fontId="18" fillId="28" borderId="266" xfId="13" applyNumberFormat="1" applyFont="1" applyFill="1" applyBorder="1" applyAlignment="1">
      <alignment vertical="center"/>
    </xf>
    <xf numFmtId="169" fontId="10" fillId="27" borderId="267" xfId="13" applyNumberFormat="1" applyFont="1" applyFill="1" applyBorder="1" applyAlignment="1">
      <alignment vertical="center"/>
    </xf>
    <xf numFmtId="169" fontId="0" fillId="12" borderId="266" xfId="13" applyNumberFormat="1" applyFont="1" applyFill="1" applyBorder="1" applyAlignment="1" applyProtection="1">
      <alignment vertical="center"/>
      <protection locked="0"/>
    </xf>
    <xf numFmtId="169" fontId="18" fillId="12" borderId="266" xfId="13" applyNumberFormat="1" applyFont="1" applyFill="1" applyBorder="1" applyAlignment="1" applyProtection="1">
      <alignment vertical="center"/>
      <protection locked="0"/>
    </xf>
    <xf numFmtId="177" fontId="18" fillId="12" borderId="266" xfId="12" applyNumberFormat="1" applyFont="1" applyFill="1" applyBorder="1" applyAlignment="1" applyProtection="1">
      <alignment vertical="center"/>
      <protection locked="0"/>
    </xf>
    <xf numFmtId="169" fontId="10" fillId="20" borderId="266" xfId="13" applyNumberFormat="1" applyFont="1" applyFill="1" applyBorder="1" applyAlignment="1" applyProtection="1">
      <alignment horizontal="center" vertical="center"/>
      <protection locked="0"/>
    </xf>
    <xf numFmtId="169" fontId="10" fillId="22" borderId="266" xfId="13" applyNumberFormat="1" applyFont="1" applyFill="1" applyBorder="1" applyAlignment="1" applyProtection="1">
      <alignment vertical="center"/>
      <protection locked="0"/>
    </xf>
    <xf numFmtId="176" fontId="29" fillId="0" borderId="265" xfId="0" applyNumberFormat="1" applyFont="1" applyBorder="1" applyAlignment="1">
      <alignment horizontal="left"/>
    </xf>
    <xf numFmtId="169" fontId="13" fillId="12" borderId="266" xfId="13" applyNumberFormat="1" applyFill="1" applyBorder="1" applyAlignment="1" applyProtection="1">
      <alignment vertical="center"/>
      <protection locked="0"/>
    </xf>
    <xf numFmtId="165" fontId="18" fillId="12" borderId="266" xfId="31" applyFont="1" applyFill="1" applyBorder="1" applyAlignment="1" applyProtection="1">
      <alignment vertical="center"/>
      <protection locked="0"/>
    </xf>
    <xf numFmtId="169" fontId="18" fillId="59" borderId="266" xfId="13" applyNumberFormat="1" applyFont="1" applyFill="1" applyBorder="1" applyAlignment="1" applyProtection="1">
      <alignment vertical="center"/>
      <protection locked="0"/>
    </xf>
    <xf numFmtId="165" fontId="10" fillId="59" borderId="266" xfId="31" applyFont="1" applyFill="1" applyBorder="1" applyAlignment="1" applyProtection="1">
      <alignment vertical="center"/>
      <protection locked="0"/>
    </xf>
    <xf numFmtId="169" fontId="18" fillId="58" borderId="266" xfId="13" applyNumberFormat="1" applyFont="1" applyFill="1" applyBorder="1" applyAlignment="1" applyProtection="1">
      <alignment vertical="center"/>
      <protection locked="0"/>
    </xf>
    <xf numFmtId="165" fontId="18" fillId="58" borderId="266" xfId="31" applyFont="1" applyFill="1" applyBorder="1" applyAlignment="1" applyProtection="1">
      <alignment vertical="center"/>
      <protection locked="0"/>
    </xf>
    <xf numFmtId="169" fontId="10" fillId="59" borderId="266" xfId="13" applyNumberFormat="1" applyFont="1" applyFill="1" applyBorder="1" applyAlignment="1" applyProtection="1">
      <alignment vertical="center"/>
      <protection locked="0"/>
    </xf>
    <xf numFmtId="0" fontId="12" fillId="21" borderId="268" xfId="0" applyFont="1" applyFill="1" applyBorder="1" applyAlignment="1">
      <alignment horizontal="center" vertical="center"/>
    </xf>
    <xf numFmtId="0" fontId="10" fillId="23" borderId="265" xfId="0" applyFont="1" applyFill="1" applyBorder="1" applyAlignment="1">
      <alignment horizontal="left" vertical="center"/>
    </xf>
    <xf numFmtId="169" fontId="10" fillId="23" borderId="266" xfId="13" applyNumberFormat="1" applyFont="1" applyFill="1" applyBorder="1" applyAlignment="1" applyProtection="1">
      <alignment horizontal="center" vertical="center"/>
      <protection locked="0"/>
    </xf>
    <xf numFmtId="169" fontId="10" fillId="40" borderId="266" xfId="13" applyNumberFormat="1" applyFont="1" applyFill="1" applyBorder="1" applyAlignment="1" applyProtection="1">
      <alignment vertical="center"/>
      <protection locked="0"/>
    </xf>
    <xf numFmtId="169" fontId="10" fillId="23" borderId="269" xfId="13" applyNumberFormat="1" applyFont="1" applyFill="1" applyBorder="1" applyAlignment="1" applyProtection="1">
      <alignment horizontal="center" vertical="center"/>
      <protection locked="0"/>
    </xf>
    <xf numFmtId="169" fontId="10" fillId="41" borderId="266" xfId="13" applyNumberFormat="1" applyFont="1" applyFill="1" applyBorder="1" applyAlignment="1" applyProtection="1">
      <alignment vertical="center"/>
      <protection locked="0"/>
    </xf>
    <xf numFmtId="169" fontId="10" fillId="20" borderId="266" xfId="13" applyNumberFormat="1" applyFont="1" applyFill="1" applyBorder="1" applyAlignment="1">
      <alignment vertical="center"/>
    </xf>
    <xf numFmtId="169" fontId="10" fillId="20" borderId="267" xfId="13" applyNumberFormat="1" applyFont="1" applyFill="1" applyBorder="1" applyAlignment="1">
      <alignment vertical="center"/>
    </xf>
    <xf numFmtId="165" fontId="10" fillId="41" borderId="266" xfId="31" applyFont="1" applyFill="1" applyBorder="1" applyAlignment="1" applyProtection="1">
      <alignment vertical="center"/>
      <protection locked="0"/>
    </xf>
    <xf numFmtId="169" fontId="0" fillId="58" borderId="266" xfId="13" applyNumberFormat="1" applyFont="1" applyFill="1" applyBorder="1" applyAlignment="1" applyProtection="1">
      <alignment vertical="center"/>
      <protection locked="0"/>
    </xf>
    <xf numFmtId="176" fontId="18" fillId="0" borderId="270" xfId="0" applyNumberFormat="1" applyFont="1" applyBorder="1" applyAlignment="1">
      <alignment horizontal="left"/>
    </xf>
    <xf numFmtId="169" fontId="10" fillId="27" borderId="271" xfId="13" applyNumberFormat="1" applyFont="1" applyFill="1" applyBorder="1" applyAlignment="1">
      <alignment vertical="center"/>
    </xf>
    <xf numFmtId="0" fontId="12" fillId="30" borderId="272" xfId="0" applyFont="1" applyFill="1" applyBorder="1" applyAlignment="1">
      <alignment horizontal="center" vertical="center" wrapText="1"/>
    </xf>
    <xf numFmtId="0" fontId="12" fillId="31" borderId="273" xfId="0" applyFont="1" applyFill="1" applyBorder="1" applyAlignment="1">
      <alignment vertical="center"/>
    </xf>
    <xf numFmtId="168" fontId="12" fillId="31" borderId="274" xfId="13" applyNumberFormat="1" applyFont="1" applyFill="1" applyBorder="1" applyAlignment="1">
      <alignment vertical="center"/>
    </xf>
    <xf numFmtId="0" fontId="12" fillId="17" borderId="228" xfId="0" applyFont="1" applyFill="1" applyBorder="1" applyAlignment="1" applyProtection="1">
      <alignment horizontal="center" vertical="center" wrapText="1"/>
    </xf>
    <xf numFmtId="175" fontId="12" fillId="17" borderId="228" xfId="12" applyNumberFormat="1" applyFont="1" applyFill="1" applyBorder="1" applyAlignment="1" applyProtection="1">
      <alignment horizontal="center" vertical="center" wrapText="1"/>
    </xf>
    <xf numFmtId="0" fontId="10" fillId="17" borderId="228" xfId="0" applyFont="1" applyFill="1" applyBorder="1" applyAlignment="1" applyProtection="1">
      <alignment horizontal="center" vertical="center"/>
    </xf>
    <xf numFmtId="177" fontId="13" fillId="28" borderId="251" xfId="12" applyNumberFormat="1" applyFont="1" applyFill="1" applyBorder="1"/>
    <xf numFmtId="0" fontId="10" fillId="20" borderId="281" xfId="0" applyFont="1" applyFill="1" applyBorder="1" applyAlignment="1">
      <alignment horizontal="left" vertical="center"/>
    </xf>
    <xf numFmtId="169" fontId="10" fillId="20" borderId="282" xfId="13" applyNumberFormat="1" applyFont="1" applyFill="1" applyBorder="1" applyAlignment="1">
      <alignment horizontal="center" vertical="center"/>
    </xf>
    <xf numFmtId="169" fontId="10" fillId="54" borderId="282" xfId="13" applyNumberFormat="1" applyFont="1" applyFill="1" applyBorder="1" applyAlignment="1">
      <alignment vertical="center"/>
    </xf>
    <xf numFmtId="169" fontId="12" fillId="41" borderId="282" xfId="13" applyNumberFormat="1" applyFont="1" applyFill="1" applyBorder="1" applyAlignment="1">
      <alignment vertical="center"/>
    </xf>
    <xf numFmtId="176" fontId="18" fillId="0" borderId="281" xfId="0" applyNumberFormat="1" applyFont="1" applyBorder="1" applyAlignment="1">
      <alignment horizontal="left"/>
    </xf>
    <xf numFmtId="169" fontId="0" fillId="46" borderId="282" xfId="13" applyNumberFormat="1" applyFont="1" applyFill="1" applyBorder="1" applyAlignment="1">
      <alignment vertical="center"/>
    </xf>
    <xf numFmtId="169" fontId="18" fillId="28" borderId="282" xfId="13" applyNumberFormat="1" applyFont="1" applyFill="1" applyBorder="1" applyAlignment="1">
      <alignment vertical="center"/>
    </xf>
    <xf numFmtId="177" fontId="18" fillId="28" borderId="282" xfId="12" applyNumberFormat="1" applyFont="1" applyFill="1" applyBorder="1" applyAlignment="1">
      <alignment vertical="center"/>
    </xf>
    <xf numFmtId="169" fontId="10" fillId="27" borderId="283" xfId="13" applyNumberFormat="1" applyFont="1" applyFill="1" applyBorder="1" applyAlignment="1">
      <alignment vertical="center"/>
    </xf>
    <xf numFmtId="169" fontId="0" fillId="12" borderId="282" xfId="13" applyNumberFormat="1" applyFont="1" applyFill="1" applyBorder="1" applyAlignment="1" applyProtection="1">
      <alignment vertical="center"/>
      <protection locked="0"/>
    </xf>
    <xf numFmtId="169" fontId="18" fillId="12" borderId="282" xfId="13" applyNumberFormat="1" applyFont="1" applyFill="1" applyBorder="1" applyAlignment="1" applyProtection="1">
      <alignment vertical="center"/>
      <protection locked="0"/>
    </xf>
    <xf numFmtId="177" fontId="18" fillId="12" borderId="282" xfId="12" applyNumberFormat="1" applyFont="1" applyFill="1" applyBorder="1" applyAlignment="1" applyProtection="1">
      <alignment vertical="center"/>
      <protection locked="0"/>
    </xf>
    <xf numFmtId="176" fontId="29" fillId="0" borderId="281" xfId="0" applyNumberFormat="1" applyFont="1" applyBorder="1" applyAlignment="1">
      <alignment horizontal="left"/>
    </xf>
    <xf numFmtId="0" fontId="12" fillId="21" borderId="284" xfId="0" applyFont="1" applyFill="1" applyBorder="1" applyAlignment="1">
      <alignment horizontal="center" vertical="center"/>
    </xf>
    <xf numFmtId="0" fontId="10" fillId="23" borderId="281" xfId="0" applyFont="1" applyFill="1" applyBorder="1" applyAlignment="1">
      <alignment horizontal="left" vertical="center"/>
    </xf>
    <xf numFmtId="169" fontId="10" fillId="55" borderId="282" xfId="13" applyNumberFormat="1" applyFont="1" applyFill="1" applyBorder="1" applyAlignment="1">
      <alignment vertical="center"/>
    </xf>
    <xf numFmtId="169" fontId="10" fillId="20" borderId="285" xfId="13" applyNumberFormat="1" applyFont="1" applyFill="1" applyBorder="1" applyAlignment="1">
      <alignment horizontal="center" vertical="center"/>
    </xf>
    <xf numFmtId="177" fontId="13" fillId="12" borderId="282" xfId="12" applyNumberFormat="1" applyFill="1" applyBorder="1" applyProtection="1">
      <protection locked="0"/>
    </xf>
    <xf numFmtId="169" fontId="18" fillId="56" borderId="282" xfId="13" applyNumberFormat="1" applyFont="1" applyFill="1" applyBorder="1" applyAlignment="1">
      <alignment vertical="center"/>
    </xf>
    <xf numFmtId="177" fontId="13" fillId="56" borderId="282" xfId="12" applyNumberFormat="1" applyFill="1" applyBorder="1"/>
    <xf numFmtId="169" fontId="10" fillId="20" borderId="282" xfId="13" applyNumberFormat="1" applyFont="1" applyFill="1" applyBorder="1" applyAlignment="1">
      <alignment vertical="center"/>
    </xf>
    <xf numFmtId="169" fontId="18" fillId="57" borderId="282" xfId="13" applyNumberFormat="1" applyFont="1" applyFill="1" applyBorder="1" applyAlignment="1">
      <alignment vertical="center"/>
    </xf>
    <xf numFmtId="169" fontId="0" fillId="58" borderId="282" xfId="13" applyNumberFormat="1" applyFont="1" applyFill="1" applyBorder="1" applyAlignment="1" applyProtection="1">
      <alignment vertical="center"/>
      <protection locked="0"/>
    </xf>
    <xf numFmtId="177" fontId="13" fillId="58" borderId="282" xfId="12" applyNumberFormat="1" applyFill="1" applyBorder="1" applyProtection="1">
      <protection locked="0"/>
    </xf>
    <xf numFmtId="177" fontId="13" fillId="28" borderId="282" xfId="12" applyNumberFormat="1" applyFill="1" applyBorder="1"/>
    <xf numFmtId="176" fontId="18" fillId="0" borderId="286" xfId="0" applyNumberFormat="1" applyFont="1" applyBorder="1" applyAlignment="1">
      <alignment horizontal="left"/>
    </xf>
    <xf numFmtId="169" fontId="10" fillId="27" borderId="287" xfId="13" applyNumberFormat="1" applyFont="1" applyFill="1" applyBorder="1" applyAlignment="1">
      <alignment vertical="center"/>
    </xf>
    <xf numFmtId="0" fontId="12" fillId="30" borderId="289" xfId="0" applyFont="1" applyFill="1" applyBorder="1" applyAlignment="1">
      <alignment horizontal="center" vertical="center" wrapText="1"/>
    </xf>
    <xf numFmtId="0" fontId="12" fillId="31" borderId="290" xfId="0" applyFont="1" applyFill="1" applyBorder="1" applyAlignment="1">
      <alignment vertical="center"/>
    </xf>
    <xf numFmtId="168" fontId="12" fillId="31" borderId="291" xfId="13" applyNumberFormat="1" applyFont="1" applyFill="1" applyBorder="1" applyAlignment="1">
      <alignment vertical="center"/>
    </xf>
    <xf numFmtId="169" fontId="10" fillId="23" borderId="282" xfId="13" applyNumberFormat="1" applyFont="1" applyFill="1" applyBorder="1" applyAlignment="1">
      <alignment horizontal="center" vertical="center"/>
    </xf>
    <xf numFmtId="169" fontId="0" fillId="27" borderId="282" xfId="13" applyNumberFormat="1" applyFont="1" applyFill="1" applyBorder="1" applyAlignment="1">
      <alignment vertical="center"/>
    </xf>
    <xf numFmtId="182" fontId="13" fillId="27" borderId="292" xfId="13" applyNumberFormat="1" applyFill="1" applyBorder="1"/>
    <xf numFmtId="169" fontId="12" fillId="43" borderId="293" xfId="13" applyNumberFormat="1" applyFont="1" applyFill="1" applyBorder="1" applyAlignment="1">
      <alignment horizontal="center" vertical="center"/>
    </xf>
    <xf numFmtId="0" fontId="12" fillId="43" borderId="293" xfId="0" applyFont="1" applyFill="1" applyBorder="1" applyAlignment="1">
      <alignment horizontal="center" vertical="center"/>
    </xf>
    <xf numFmtId="168" fontId="23" fillId="29" borderId="111" xfId="0" applyNumberFormat="1" applyFont="1" applyFill="1" applyBorder="1" applyAlignment="1">
      <alignment vertical="center"/>
    </xf>
    <xf numFmtId="0" fontId="12" fillId="17" borderId="228" xfId="0" applyFont="1" applyFill="1" applyBorder="1" applyAlignment="1">
      <alignment horizontal="center" vertical="center" wrapText="1"/>
    </xf>
    <xf numFmtId="175" fontId="12" fillId="17" borderId="228" xfId="12" applyNumberFormat="1" applyFont="1" applyFill="1" applyBorder="1" applyAlignment="1">
      <alignment horizontal="center" vertical="center" wrapText="1"/>
    </xf>
    <xf numFmtId="0" fontId="10" fillId="17" borderId="228" xfId="0" applyFont="1" applyFill="1" applyBorder="1" applyAlignment="1">
      <alignment horizontal="center" vertical="center"/>
    </xf>
    <xf numFmtId="169" fontId="0" fillId="52" borderId="292" xfId="13" applyNumberFormat="1" applyFont="1" applyFill="1" applyBorder="1" applyAlignment="1" applyProtection="1">
      <alignment vertical="center"/>
    </xf>
    <xf numFmtId="169" fontId="0" fillId="28" borderId="246" xfId="13" applyNumberFormat="1" applyFont="1" applyFill="1" applyBorder="1" applyAlignment="1" applyProtection="1">
      <alignment vertical="center"/>
    </xf>
    <xf numFmtId="169" fontId="0" fillId="36" borderId="246" xfId="13" applyNumberFormat="1" applyFont="1" applyFill="1" applyBorder="1" applyAlignment="1" applyProtection="1">
      <alignment vertical="center"/>
    </xf>
    <xf numFmtId="169" fontId="0" fillId="0" borderId="246" xfId="13" applyNumberFormat="1" applyFont="1" applyFill="1" applyBorder="1" applyAlignment="1" applyProtection="1">
      <alignment vertical="center"/>
    </xf>
    <xf numFmtId="171" fontId="0" fillId="0" borderId="246" xfId="0" applyNumberFormat="1" applyFont="1" applyFill="1" applyBorder="1" applyAlignment="1" applyProtection="1">
      <alignment horizontal="center" vertical="center"/>
    </xf>
    <xf numFmtId="171" fontId="0" fillId="0" borderId="247" xfId="0" applyNumberFormat="1" applyFont="1" applyFill="1" applyBorder="1" applyAlignment="1" applyProtection="1">
      <alignment horizontal="center" vertical="center"/>
    </xf>
    <xf numFmtId="169" fontId="0" fillId="28" borderId="228" xfId="13" applyNumberFormat="1" applyFont="1" applyFill="1" applyBorder="1" applyAlignment="1" applyProtection="1">
      <alignment vertical="center"/>
    </xf>
    <xf numFmtId="169" fontId="0" fillId="52" borderId="228" xfId="13" applyNumberFormat="1" applyFont="1" applyFill="1" applyBorder="1" applyAlignment="1" applyProtection="1">
      <alignment vertical="center"/>
    </xf>
    <xf numFmtId="169" fontId="0" fillId="1" borderId="228" xfId="13" applyNumberFormat="1" applyFont="1" applyFill="1" applyBorder="1" applyAlignment="1" applyProtection="1">
      <alignment vertical="center"/>
    </xf>
    <xf numFmtId="171" fontId="0" fillId="1" borderId="228" xfId="0" applyNumberFormat="1" applyFont="1" applyFill="1" applyBorder="1" applyAlignment="1" applyProtection="1">
      <alignment horizontal="center" vertical="center"/>
    </xf>
    <xf numFmtId="171" fontId="0" fillId="1" borderId="214" xfId="0" applyNumberFormat="1" applyFont="1" applyFill="1" applyBorder="1" applyAlignment="1" applyProtection="1">
      <alignment horizontal="center" vertical="center"/>
    </xf>
    <xf numFmtId="169" fontId="0" fillId="0" borderId="228" xfId="13" applyNumberFormat="1" applyFont="1" applyFill="1" applyBorder="1" applyAlignment="1" applyProtection="1">
      <alignment vertical="center"/>
    </xf>
    <xf numFmtId="171" fontId="0" fillId="0" borderId="228" xfId="0" applyNumberFormat="1" applyFont="1" applyFill="1" applyBorder="1" applyAlignment="1" applyProtection="1">
      <alignment horizontal="center" vertical="center"/>
    </xf>
    <xf numFmtId="171" fontId="0" fillId="0" borderId="214" xfId="0" applyNumberFormat="1" applyFont="1" applyFill="1" applyBorder="1" applyAlignment="1" applyProtection="1">
      <alignment horizontal="center" vertical="center"/>
    </xf>
    <xf numFmtId="169" fontId="0" fillId="61" borderId="228" xfId="13" applyNumberFormat="1" applyFont="1" applyFill="1" applyBorder="1" applyAlignment="1" applyProtection="1">
      <alignment vertical="center"/>
    </xf>
    <xf numFmtId="169" fontId="0" fillId="52" borderId="246" xfId="13" applyNumberFormat="1" applyFont="1" applyFill="1" applyBorder="1" applyAlignment="1" applyProtection="1">
      <alignment vertical="center"/>
    </xf>
    <xf numFmtId="169" fontId="0" fillId="52" borderId="247" xfId="13" applyNumberFormat="1" applyFont="1" applyFill="1" applyBorder="1" applyAlignment="1" applyProtection="1">
      <alignment vertical="center"/>
    </xf>
    <xf numFmtId="169" fontId="0" fillId="52" borderId="214" xfId="13" applyNumberFormat="1" applyFont="1" applyFill="1" applyBorder="1" applyAlignment="1" applyProtection="1">
      <alignment vertical="center"/>
    </xf>
    <xf numFmtId="171" fontId="0" fillId="51" borderId="79" xfId="13" applyNumberFormat="1" applyFont="1" applyFill="1" applyBorder="1" applyAlignment="1" applyProtection="1">
      <alignment horizontal="center" vertical="center"/>
    </xf>
    <xf numFmtId="171" fontId="0" fillId="51" borderId="78" xfId="13" applyNumberFormat="1" applyFont="1" applyFill="1" applyBorder="1" applyAlignment="1" applyProtection="1">
      <alignment horizontal="center" vertical="center"/>
    </xf>
    <xf numFmtId="169" fontId="0" fillId="61" borderId="292" xfId="13" applyNumberFormat="1" applyFont="1" applyFill="1" applyBorder="1" applyAlignment="1" applyProtection="1">
      <alignment vertical="center"/>
    </xf>
    <xf numFmtId="169" fontId="12" fillId="34" borderId="296" xfId="0" applyNumberFormat="1" applyFont="1" applyFill="1" applyBorder="1" applyAlignment="1" applyProtection="1">
      <alignment horizontal="center" vertical="center" wrapText="1"/>
    </xf>
    <xf numFmtId="169" fontId="12" fillId="15" borderId="296" xfId="0" applyNumberFormat="1" applyFont="1" applyFill="1" applyBorder="1" applyAlignment="1" applyProtection="1">
      <alignment horizontal="center" vertical="center" wrapText="1"/>
    </xf>
    <xf numFmtId="169" fontId="12" fillId="15" borderId="297" xfId="0" applyNumberFormat="1" applyFont="1" applyFill="1" applyBorder="1" applyAlignment="1" applyProtection="1">
      <alignment horizontal="center" vertical="center" wrapText="1"/>
    </xf>
    <xf numFmtId="169" fontId="0" fillId="52" borderId="294" xfId="13" applyNumberFormat="1" applyFont="1" applyFill="1" applyBorder="1" applyAlignment="1" applyProtection="1">
      <alignment vertical="center"/>
    </xf>
    <xf numFmtId="168" fontId="0" fillId="0" borderId="299" xfId="13" applyNumberFormat="1" applyFont="1" applyFill="1" applyBorder="1" applyAlignment="1" applyProtection="1">
      <alignment vertical="center"/>
    </xf>
    <xf numFmtId="168" fontId="0" fillId="0" borderId="184" xfId="13" applyNumberFormat="1" applyFont="1" applyFill="1" applyBorder="1" applyAlignment="1" applyProtection="1">
      <alignment vertical="center"/>
    </xf>
    <xf numFmtId="168" fontId="0" fillId="0" borderId="301" xfId="13" applyNumberFormat="1" applyFont="1" applyFill="1" applyBorder="1" applyAlignment="1" applyProtection="1">
      <alignment vertical="center"/>
    </xf>
    <xf numFmtId="169" fontId="12" fillId="34" borderId="295" xfId="0" applyNumberFormat="1" applyFont="1" applyFill="1" applyBorder="1" applyAlignment="1" applyProtection="1">
      <alignment horizontal="center" vertical="center" wrapText="1"/>
    </xf>
    <xf numFmtId="169" fontId="12" fillId="34" borderId="297" xfId="0" applyNumberFormat="1" applyFont="1" applyFill="1" applyBorder="1" applyAlignment="1" applyProtection="1">
      <alignment horizontal="center" vertical="center" wrapText="1"/>
    </xf>
    <xf numFmtId="169" fontId="0" fillId="28" borderId="247" xfId="13" applyNumberFormat="1" applyFont="1" applyFill="1" applyBorder="1" applyAlignment="1" applyProtection="1">
      <alignment vertical="center"/>
    </xf>
    <xf numFmtId="169" fontId="0" fillId="28" borderId="230" xfId="13" applyNumberFormat="1" applyFont="1" applyFill="1" applyBorder="1" applyAlignment="1" applyProtection="1">
      <alignment vertical="center"/>
    </xf>
    <xf numFmtId="169" fontId="0" fillId="61" borderId="214" xfId="13" applyNumberFormat="1" applyFont="1" applyFill="1" applyBorder="1" applyAlignment="1" applyProtection="1">
      <alignment vertical="center"/>
    </xf>
    <xf numFmtId="169" fontId="0" fillId="28" borderId="214" xfId="13" applyNumberFormat="1" applyFont="1" applyFill="1" applyBorder="1" applyAlignment="1" applyProtection="1">
      <alignment vertical="center"/>
    </xf>
    <xf numFmtId="169" fontId="0" fillId="28" borderId="298" xfId="13" applyNumberFormat="1" applyFont="1" applyFill="1" applyBorder="1" applyAlignment="1" applyProtection="1">
      <alignment vertical="center"/>
    </xf>
    <xf numFmtId="169" fontId="0" fillId="61" borderId="294" xfId="13" applyNumberFormat="1" applyFont="1" applyFill="1" applyBorder="1" applyAlignment="1" applyProtection="1">
      <alignment vertical="center"/>
    </xf>
    <xf numFmtId="169" fontId="12" fillId="15" borderId="295" xfId="0" applyNumberFormat="1" applyFont="1" applyFill="1" applyBorder="1" applyAlignment="1" applyProtection="1">
      <alignment horizontal="center" vertical="center" wrapText="1"/>
    </xf>
    <xf numFmtId="169" fontId="0" fillId="36" borderId="107" xfId="13" applyNumberFormat="1" applyFont="1" applyFill="1" applyBorder="1" applyAlignment="1" applyProtection="1">
      <alignment vertical="center"/>
    </xf>
    <xf numFmtId="169" fontId="0" fillId="36" borderId="247" xfId="13" applyNumberFormat="1" applyFont="1" applyFill="1" applyBorder="1" applyAlignment="1" applyProtection="1">
      <alignment vertical="center"/>
    </xf>
    <xf numFmtId="169" fontId="0" fillId="36" borderId="230" xfId="13" applyNumberFormat="1" applyFont="1" applyFill="1" applyBorder="1" applyAlignment="1" applyProtection="1">
      <alignment vertical="center"/>
    </xf>
    <xf numFmtId="169" fontId="0" fillId="52" borderId="107" xfId="13" applyNumberFormat="1" applyFont="1" applyFill="1" applyBorder="1" applyAlignment="1" applyProtection="1">
      <alignment vertical="center"/>
    </xf>
    <xf numFmtId="169" fontId="0" fillId="52" borderId="230" xfId="13" applyNumberFormat="1" applyFont="1" applyFill="1" applyBorder="1" applyAlignment="1" applyProtection="1">
      <alignment vertical="center"/>
    </xf>
    <xf numFmtId="169" fontId="0" fillId="36" borderId="298" xfId="13" applyNumberFormat="1" applyFont="1" applyFill="1" applyBorder="1" applyAlignment="1" applyProtection="1">
      <alignment vertical="center"/>
    </xf>
    <xf numFmtId="169" fontId="0" fillId="0" borderId="247" xfId="13" applyNumberFormat="1" applyFont="1" applyFill="1" applyBorder="1" applyAlignment="1" applyProtection="1">
      <alignment vertical="center"/>
    </xf>
    <xf numFmtId="169" fontId="0" fillId="0" borderId="230" xfId="13" applyNumberFormat="1" applyFont="1" applyFill="1" applyBorder="1" applyAlignment="1" applyProtection="1">
      <alignment vertical="center"/>
    </xf>
    <xf numFmtId="169" fontId="0" fillId="1" borderId="214" xfId="13" applyNumberFormat="1" applyFont="1" applyFill="1" applyBorder="1" applyAlignment="1" applyProtection="1">
      <alignment vertical="center"/>
    </xf>
    <xf numFmtId="169" fontId="0" fillId="0" borderId="298" xfId="13" applyNumberFormat="1" applyFont="1" applyFill="1" applyBorder="1" applyAlignment="1" applyProtection="1">
      <alignment vertical="center"/>
    </xf>
    <xf numFmtId="169" fontId="0" fillId="0" borderId="214" xfId="13" applyNumberFormat="1" applyFont="1" applyFill="1" applyBorder="1" applyAlignment="1" applyProtection="1">
      <alignment vertical="center"/>
    </xf>
    <xf numFmtId="171" fontId="0" fillId="0" borderId="230" xfId="0" applyNumberFormat="1" applyFont="1" applyFill="1" applyBorder="1" applyAlignment="1" applyProtection="1">
      <alignment horizontal="center" vertical="center"/>
    </xf>
    <xf numFmtId="171" fontId="0" fillId="0" borderId="298" xfId="0" applyNumberFormat="1" applyFont="1" applyFill="1" applyBorder="1" applyAlignment="1" applyProtection="1">
      <alignment horizontal="center" vertical="center"/>
    </xf>
    <xf numFmtId="178" fontId="21" fillId="27" borderId="92" xfId="0" applyNumberFormat="1" applyFont="1" applyFill="1" applyBorder="1" applyAlignment="1" applyProtection="1">
      <alignment horizontal="center" vertical="center"/>
    </xf>
    <xf numFmtId="169" fontId="12" fillId="34" borderId="302" xfId="0" applyNumberFormat="1" applyFont="1" applyFill="1" applyBorder="1" applyAlignment="1" applyProtection="1">
      <alignment horizontal="center" vertical="center" wrapText="1"/>
    </xf>
    <xf numFmtId="179" fontId="0" fillId="51" borderId="194" xfId="13" applyNumberFormat="1" applyFont="1" applyFill="1" applyBorder="1" applyAlignment="1" applyProtection="1">
      <alignment vertical="center"/>
    </xf>
    <xf numFmtId="179" fontId="0" fillId="51" borderId="229" xfId="13" applyNumberFormat="1" applyFont="1" applyFill="1" applyBorder="1" applyAlignment="1" applyProtection="1">
      <alignment vertical="center"/>
    </xf>
    <xf numFmtId="181" fontId="13" fillId="36" borderId="209" xfId="16" applyNumberFormat="1" applyFill="1" applyBorder="1" applyAlignment="1" applyProtection="1">
      <alignment horizontal="center" vertical="center"/>
    </xf>
    <xf numFmtId="181" fontId="13" fillId="36" borderId="143" xfId="16" applyNumberFormat="1" applyFill="1" applyBorder="1" applyAlignment="1" applyProtection="1">
      <alignment horizontal="center" vertical="center"/>
    </xf>
    <xf numFmtId="169" fontId="0" fillId="28" borderId="295" xfId="13" applyNumberFormat="1" applyFont="1" applyFill="1" applyBorder="1" applyAlignment="1" applyProtection="1">
      <alignment vertical="center"/>
    </xf>
    <xf numFmtId="169" fontId="0" fillId="28" borderId="296" xfId="13" applyNumberFormat="1" applyFont="1" applyFill="1" applyBorder="1" applyAlignment="1" applyProtection="1">
      <alignment vertical="center"/>
    </xf>
    <xf numFmtId="169" fontId="0" fillId="28" borderId="300" xfId="13" applyNumberFormat="1" applyFont="1" applyFill="1" applyBorder="1" applyAlignment="1" applyProtection="1">
      <alignment vertical="center"/>
    </xf>
    <xf numFmtId="169" fontId="0" fillId="28" borderId="183" xfId="13" applyNumberFormat="1" applyFont="1" applyFill="1" applyBorder="1" applyAlignment="1" applyProtection="1">
      <alignment vertical="center"/>
    </xf>
    <xf numFmtId="169" fontId="13" fillId="0" borderId="292" xfId="13" applyNumberFormat="1" applyFont="1" applyFill="1" applyBorder="1" applyAlignment="1" applyProtection="1">
      <alignment vertical="center"/>
    </xf>
    <xf numFmtId="174" fontId="0" fillId="0" borderId="292" xfId="12" applyNumberFormat="1" applyFont="1" applyFill="1" applyBorder="1" applyAlignment="1" applyProtection="1">
      <alignment vertical="center"/>
    </xf>
    <xf numFmtId="169" fontId="12" fillId="39" borderId="292" xfId="13" applyNumberFormat="1" applyFont="1" applyFill="1" applyBorder="1" applyAlignment="1" applyProtection="1">
      <alignment vertical="center"/>
    </xf>
    <xf numFmtId="169" fontId="13" fillId="0" borderId="252" xfId="13" applyNumberFormat="1" applyFont="1" applyFill="1" applyBorder="1" applyAlignment="1" applyProtection="1">
      <alignment vertical="center"/>
    </xf>
    <xf numFmtId="169" fontId="13" fillId="0" borderId="294" xfId="13" applyNumberFormat="1" applyFont="1" applyFill="1" applyBorder="1" applyAlignment="1" applyProtection="1">
      <alignment vertical="center"/>
    </xf>
    <xf numFmtId="174" fontId="0" fillId="0" borderId="252" xfId="12" applyNumberFormat="1" applyFont="1" applyFill="1" applyBorder="1" applyAlignment="1" applyProtection="1">
      <alignment vertical="center"/>
    </xf>
    <xf numFmtId="174" fontId="0" fillId="0" borderId="294" xfId="12" applyNumberFormat="1" applyFont="1" applyFill="1" applyBorder="1" applyAlignment="1" applyProtection="1">
      <alignment vertical="center"/>
    </xf>
    <xf numFmtId="169" fontId="12" fillId="39" borderId="252" xfId="13" applyNumberFormat="1" applyFont="1" applyFill="1" applyBorder="1" applyAlignment="1" applyProtection="1">
      <alignment vertical="center"/>
    </xf>
    <xf numFmtId="169" fontId="12" fillId="39" borderId="294" xfId="13" applyNumberFormat="1" applyFont="1" applyFill="1" applyBorder="1" applyAlignment="1" applyProtection="1">
      <alignment vertical="center"/>
    </xf>
    <xf numFmtId="169" fontId="13" fillId="1" borderId="252" xfId="13" applyNumberFormat="1" applyFont="1" applyFill="1" applyBorder="1" applyAlignment="1" applyProtection="1">
      <alignment vertical="center"/>
    </xf>
    <xf numFmtId="174" fontId="0" fillId="1" borderId="252" xfId="12" applyNumberFormat="1" applyFont="1" applyFill="1" applyBorder="1" applyAlignment="1" applyProtection="1">
      <alignment vertical="center"/>
    </xf>
    <xf numFmtId="169" fontId="12" fillId="47" borderId="252" xfId="13" applyNumberFormat="1" applyFont="1" applyFill="1" applyBorder="1" applyAlignment="1" applyProtection="1">
      <alignment vertical="center"/>
    </xf>
    <xf numFmtId="169" fontId="12" fillId="47" borderId="292" xfId="13" applyNumberFormat="1" applyFont="1" applyFill="1" applyBorder="1" applyAlignment="1" applyProtection="1">
      <alignment vertical="center"/>
    </xf>
    <xf numFmtId="169" fontId="13" fillId="1" borderId="292" xfId="13" applyNumberFormat="1" applyFont="1" applyFill="1" applyBorder="1" applyAlignment="1" applyProtection="1">
      <alignment vertical="center"/>
    </xf>
    <xf numFmtId="169" fontId="13" fillId="1" borderId="294" xfId="13" applyNumberFormat="1" applyFont="1" applyFill="1" applyBorder="1" applyAlignment="1" applyProtection="1">
      <alignment vertical="center"/>
    </xf>
    <xf numFmtId="174" fontId="0" fillId="1" borderId="292" xfId="12" applyNumberFormat="1" applyFont="1" applyFill="1" applyBorder="1" applyAlignment="1" applyProtection="1">
      <alignment vertical="center"/>
    </xf>
    <xf numFmtId="174" fontId="0" fillId="1" borderId="294" xfId="12" applyNumberFormat="1" applyFont="1" applyFill="1" applyBorder="1" applyAlignment="1" applyProtection="1">
      <alignment vertical="center"/>
    </xf>
    <xf numFmtId="169" fontId="13" fillId="1" borderId="306" xfId="13" applyNumberFormat="1" applyFont="1" applyFill="1" applyBorder="1" applyAlignment="1" applyProtection="1">
      <alignment vertical="center"/>
    </xf>
    <xf numFmtId="169" fontId="13" fillId="0" borderId="111" xfId="13" applyNumberFormat="1" applyFont="1" applyFill="1" applyBorder="1" applyAlignment="1" applyProtection="1">
      <alignment vertical="center"/>
    </xf>
    <xf numFmtId="169" fontId="0" fillId="0" borderId="111" xfId="13" applyNumberFormat="1" applyFont="1" applyFill="1" applyBorder="1" applyAlignment="1" applyProtection="1">
      <alignment vertical="center"/>
    </xf>
    <xf numFmtId="169" fontId="0" fillId="0" borderId="307" xfId="13" applyNumberFormat="1" applyFont="1" applyFill="1" applyBorder="1" applyAlignment="1" applyProtection="1">
      <alignment vertical="center"/>
    </xf>
    <xf numFmtId="169" fontId="0" fillId="0" borderId="292" xfId="13" applyNumberFormat="1" applyFont="1" applyFill="1" applyBorder="1" applyAlignment="1" applyProtection="1">
      <alignment vertical="center"/>
    </xf>
    <xf numFmtId="169" fontId="0" fillId="0" borderId="294" xfId="13" applyNumberFormat="1" applyFont="1" applyFill="1" applyBorder="1" applyAlignment="1" applyProtection="1">
      <alignment vertical="center"/>
    </xf>
    <xf numFmtId="169" fontId="21" fillId="31" borderId="292" xfId="13" applyNumberFormat="1" applyFont="1" applyFill="1" applyBorder="1" applyAlignment="1" applyProtection="1">
      <alignment vertical="center" wrapText="1"/>
    </xf>
    <xf numFmtId="169" fontId="21" fillId="31" borderId="294" xfId="13" applyNumberFormat="1" applyFont="1" applyFill="1" applyBorder="1" applyAlignment="1" applyProtection="1">
      <alignment vertical="center" wrapText="1"/>
    </xf>
    <xf numFmtId="169" fontId="21" fillId="31" borderId="278" xfId="13" applyNumberFormat="1" applyFont="1" applyFill="1" applyBorder="1" applyAlignment="1" applyProtection="1">
      <alignment vertical="center" wrapText="1"/>
    </xf>
    <xf numFmtId="169" fontId="21" fillId="31" borderId="309" xfId="13" applyNumberFormat="1" applyFont="1" applyFill="1" applyBorder="1" applyAlignment="1" applyProtection="1">
      <alignment vertical="center" wrapText="1"/>
    </xf>
    <xf numFmtId="169" fontId="21" fillId="31" borderId="310" xfId="13" applyNumberFormat="1" applyFont="1" applyFill="1" applyBorder="1" applyAlignment="1" applyProtection="1">
      <alignment vertical="center" wrapText="1"/>
    </xf>
    <xf numFmtId="169" fontId="12" fillId="34" borderId="107" xfId="0" applyNumberFormat="1" applyFont="1" applyFill="1" applyBorder="1" applyAlignment="1" applyProtection="1">
      <alignment horizontal="center" vertical="center" wrapText="1"/>
    </xf>
    <xf numFmtId="169" fontId="12" fillId="34" borderId="204" xfId="0" applyNumberFormat="1" applyFont="1" applyFill="1" applyBorder="1" applyAlignment="1" applyProtection="1">
      <alignment horizontal="center" vertical="center" wrapText="1"/>
    </xf>
    <xf numFmtId="169" fontId="12" fillId="34" borderId="183" xfId="0" applyNumberFormat="1" applyFont="1" applyFill="1" applyBorder="1" applyAlignment="1" applyProtection="1">
      <alignment horizontal="center" vertical="center" wrapText="1"/>
    </xf>
    <xf numFmtId="169" fontId="21" fillId="31" borderId="252" xfId="13" applyNumberFormat="1" applyFont="1" applyFill="1" applyBorder="1" applyAlignment="1" applyProtection="1">
      <alignment vertical="center" wrapText="1"/>
    </xf>
    <xf numFmtId="169" fontId="0" fillId="10" borderId="308" xfId="13" applyNumberFormat="1" applyFont="1" applyFill="1" applyBorder="1" applyAlignment="1" applyProtection="1">
      <alignment horizontal="right" vertical="center"/>
    </xf>
    <xf numFmtId="169" fontId="0" fillId="10" borderId="111" xfId="13" applyNumberFormat="1" applyFont="1" applyFill="1" applyBorder="1" applyAlignment="1" applyProtection="1">
      <alignment horizontal="right" vertical="center"/>
    </xf>
    <xf numFmtId="169" fontId="13" fillId="45" borderId="111" xfId="13" applyNumberFormat="1" applyFont="1" applyFill="1" applyBorder="1" applyAlignment="1" applyProtection="1">
      <alignment vertical="center"/>
    </xf>
    <xf numFmtId="169" fontId="0" fillId="10" borderId="304" xfId="13" applyNumberFormat="1" applyFont="1" applyFill="1" applyBorder="1" applyAlignment="1" applyProtection="1">
      <alignment horizontal="right" vertical="center"/>
    </xf>
    <xf numFmtId="169" fontId="0" fillId="10" borderId="314" xfId="13" applyNumberFormat="1" applyFont="1" applyFill="1" applyBorder="1" applyAlignment="1" applyProtection="1">
      <alignment horizontal="right" vertical="center"/>
    </xf>
    <xf numFmtId="169" fontId="13" fillId="43" borderId="292" xfId="13" applyNumberFormat="1" applyFont="1" applyFill="1" applyBorder="1" applyAlignment="1" applyProtection="1">
      <alignment vertical="center"/>
    </xf>
    <xf numFmtId="169" fontId="0" fillId="10" borderId="303" xfId="13" applyNumberFormat="1" applyFont="1" applyFill="1" applyBorder="1" applyAlignment="1" applyProtection="1">
      <alignment horizontal="right" vertical="center"/>
    </xf>
    <xf numFmtId="169" fontId="0" fillId="10" borderId="316" xfId="13" applyNumberFormat="1" applyFont="1" applyFill="1" applyBorder="1" applyAlignment="1" applyProtection="1">
      <alignment horizontal="right" vertical="center"/>
    </xf>
    <xf numFmtId="174" fontId="0" fillId="12" borderId="292" xfId="12" applyNumberFormat="1" applyFont="1" applyFill="1" applyBorder="1" applyAlignment="1" applyProtection="1">
      <alignment vertical="center"/>
      <protection locked="0"/>
    </xf>
    <xf numFmtId="169" fontId="12" fillId="39" borderId="304" xfId="13" applyNumberFormat="1" applyFont="1" applyFill="1" applyBorder="1" applyAlignment="1" applyProtection="1">
      <alignment horizontal="right" vertical="center"/>
    </xf>
    <xf numFmtId="169" fontId="12" fillId="39" borderId="314" xfId="13" applyNumberFormat="1" applyFont="1" applyFill="1" applyBorder="1" applyAlignment="1" applyProtection="1">
      <alignment horizontal="right" vertical="center"/>
    </xf>
    <xf numFmtId="169" fontId="12" fillId="39" borderId="315" xfId="13" applyNumberFormat="1" applyFont="1" applyFill="1" applyBorder="1" applyAlignment="1" applyProtection="1">
      <alignment horizontal="right" vertical="center"/>
    </xf>
    <xf numFmtId="169" fontId="0" fillId="10" borderId="89" xfId="13" applyNumberFormat="1" applyFont="1" applyFill="1" applyBorder="1" applyAlignment="1" applyProtection="1">
      <alignment horizontal="right" vertical="center"/>
    </xf>
    <xf numFmtId="169" fontId="0" fillId="10" borderId="292" xfId="13" applyNumberFormat="1" applyFont="1" applyFill="1" applyBorder="1" applyAlignment="1" applyProtection="1">
      <alignment horizontal="right" vertical="center"/>
    </xf>
    <xf numFmtId="169" fontId="12" fillId="34" borderId="299" xfId="0" applyNumberFormat="1" applyFont="1" applyFill="1" applyBorder="1" applyAlignment="1" applyProtection="1">
      <alignment horizontal="center" vertical="center" wrapText="1"/>
    </xf>
    <xf numFmtId="169" fontId="13" fillId="0" borderId="301" xfId="13" applyNumberFormat="1" applyFont="1" applyFill="1" applyBorder="1" applyAlignment="1" applyProtection="1">
      <alignment vertical="center"/>
    </xf>
    <xf numFmtId="174" fontId="0" fillId="0" borderId="301" xfId="12" applyNumberFormat="1" applyFont="1" applyFill="1" applyBorder="1" applyAlignment="1" applyProtection="1">
      <alignment vertical="center"/>
    </xf>
    <xf numFmtId="169" fontId="12" fillId="39" borderId="301" xfId="13" applyNumberFormat="1" applyFont="1" applyFill="1" applyBorder="1" applyAlignment="1" applyProtection="1">
      <alignment vertical="center"/>
    </xf>
    <xf numFmtId="169" fontId="21" fillId="31" borderId="301" xfId="13" applyNumberFormat="1" applyFont="1" applyFill="1" applyBorder="1" applyAlignment="1" applyProtection="1">
      <alignment vertical="center" wrapText="1"/>
    </xf>
    <xf numFmtId="169" fontId="21" fillId="31" borderId="229" xfId="13" applyNumberFormat="1" applyFont="1" applyFill="1" applyBorder="1" applyAlignment="1" applyProtection="1">
      <alignment vertical="center" wrapText="1"/>
    </xf>
    <xf numFmtId="169" fontId="13" fillId="0" borderId="317" xfId="13" applyNumberFormat="1" applyFont="1" applyFill="1" applyBorder="1" applyAlignment="1" applyProtection="1">
      <alignment vertical="center"/>
    </xf>
    <xf numFmtId="169" fontId="13" fillId="1" borderId="301" xfId="13" applyNumberFormat="1" applyFont="1" applyFill="1" applyBorder="1" applyAlignment="1" applyProtection="1">
      <alignment vertical="center"/>
    </xf>
    <xf numFmtId="174" fontId="0" fillId="1" borderId="301" xfId="12" applyNumberFormat="1" applyFont="1" applyFill="1" applyBorder="1" applyAlignment="1" applyProtection="1">
      <alignment vertical="center"/>
    </xf>
    <xf numFmtId="169" fontId="12" fillId="47" borderId="301" xfId="13" applyNumberFormat="1" applyFont="1" applyFill="1" applyBorder="1" applyAlignment="1" applyProtection="1">
      <alignment vertical="center"/>
    </xf>
    <xf numFmtId="169" fontId="21" fillId="31" borderId="114" xfId="13" applyNumberFormat="1" applyFont="1" applyFill="1" applyBorder="1" applyAlignment="1" applyProtection="1">
      <alignment vertical="center" wrapText="1"/>
    </xf>
    <xf numFmtId="169" fontId="0" fillId="0" borderId="252" xfId="13" applyNumberFormat="1" applyFont="1" applyFill="1" applyBorder="1" applyAlignment="1" applyProtection="1">
      <alignment vertical="center"/>
    </xf>
    <xf numFmtId="169" fontId="0" fillId="0" borderId="306" xfId="13" applyNumberFormat="1" applyFont="1" applyFill="1" applyBorder="1" applyAlignment="1" applyProtection="1">
      <alignment vertical="center"/>
    </xf>
    <xf numFmtId="169" fontId="21" fillId="31" borderId="60" xfId="13" applyNumberFormat="1" applyFont="1" applyFill="1" applyBorder="1" applyAlignment="1" applyProtection="1">
      <alignment vertical="center" wrapText="1"/>
    </xf>
    <xf numFmtId="179" fontId="13" fillId="12" borderId="107" xfId="13" applyNumberFormat="1" applyFont="1" applyFill="1" applyBorder="1" applyAlignment="1" applyProtection="1">
      <alignment vertical="center"/>
    </xf>
    <xf numFmtId="179" fontId="13" fillId="28" borderId="204" xfId="13" applyNumberFormat="1" applyFont="1" applyFill="1" applyBorder="1" applyAlignment="1" applyProtection="1">
      <alignment vertical="center"/>
    </xf>
    <xf numFmtId="179" fontId="13" fillId="28" borderId="183" xfId="13" applyNumberFormat="1" applyFont="1" applyFill="1" applyBorder="1" applyAlignment="1" applyProtection="1">
      <alignment vertical="center"/>
    </xf>
    <xf numFmtId="179" fontId="13" fillId="12" borderId="230" xfId="13" applyNumberFormat="1" applyFont="1" applyFill="1" applyBorder="1" applyAlignment="1" applyProtection="1">
      <alignment vertical="center"/>
    </xf>
    <xf numFmtId="179" fontId="13" fillId="28" borderId="228" xfId="13" applyNumberFormat="1" applyFont="1" applyFill="1" applyBorder="1" applyAlignment="1" applyProtection="1">
      <alignment vertical="center"/>
    </xf>
    <xf numFmtId="179" fontId="13" fillId="28" borderId="214" xfId="13" applyNumberFormat="1" applyFont="1" applyFill="1" applyBorder="1" applyAlignment="1" applyProtection="1">
      <alignment vertical="center"/>
    </xf>
    <xf numFmtId="0" fontId="14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49" fontId="13" fillId="0" borderId="92" xfId="34" applyNumberFormat="1" applyFont="1" applyFill="1" applyBorder="1" applyProtection="1">
      <protection locked="0"/>
    </xf>
    <xf numFmtId="186" fontId="0" fillId="0" borderId="92" xfId="12" applyNumberFormat="1" applyFont="1" applyFill="1" applyBorder="1" applyProtection="1">
      <protection locked="0"/>
    </xf>
    <xf numFmtId="186" fontId="0" fillId="0" borderId="92" xfId="12" applyNumberFormat="1" applyFont="1" applyFill="1" applyBorder="1" applyAlignment="1" applyProtection="1">
      <alignment wrapText="1"/>
      <protection locked="0"/>
    </xf>
    <xf numFmtId="186" fontId="0" fillId="0" borderId="114" xfId="12" applyNumberFormat="1" applyFont="1" applyFill="1" applyBorder="1" applyProtection="1">
      <protection locked="0"/>
    </xf>
    <xf numFmtId="0" fontId="0" fillId="0" borderId="65" xfId="0" applyBorder="1" applyProtection="1">
      <protection locked="0"/>
    </xf>
    <xf numFmtId="186" fontId="0" fillId="0" borderId="318" xfId="12" applyNumberFormat="1" applyFont="1" applyFill="1" applyBorder="1" applyProtection="1">
      <protection locked="0"/>
    </xf>
    <xf numFmtId="0" fontId="0" fillId="0" borderId="292" xfId="0" applyBorder="1" applyProtection="1">
      <protection locked="0"/>
    </xf>
    <xf numFmtId="0" fontId="29" fillId="0" borderId="156" xfId="0" applyFont="1" applyFill="1" applyBorder="1" applyAlignment="1" applyProtection="1">
      <alignment horizontal="center"/>
      <protection locked="0"/>
    </xf>
    <xf numFmtId="3" fontId="29" fillId="43" borderId="156" xfId="0" applyNumberFormat="1" applyFont="1" applyFill="1" applyBorder="1" applyProtection="1">
      <protection locked="0"/>
    </xf>
    <xf numFmtId="177" fontId="13" fillId="0" borderId="156" xfId="12" applyNumberFormat="1" applyBorder="1" applyProtection="1">
      <protection locked="0"/>
    </xf>
    <xf numFmtId="49" fontId="0" fillId="0" borderId="156" xfId="34" applyNumberFormat="1" applyFont="1" applyFill="1" applyBorder="1" applyAlignment="1" applyProtection="1">
      <alignment horizontal="center"/>
      <protection locked="0"/>
    </xf>
    <xf numFmtId="186" fontId="13" fillId="0" borderId="156" xfId="12" applyNumberFormat="1" applyFont="1" applyFill="1" applyBorder="1" applyProtection="1">
      <protection locked="0"/>
    </xf>
    <xf numFmtId="180" fontId="13" fillId="0" borderId="156" xfId="12" applyNumberFormat="1" applyFont="1" applyFill="1" applyBorder="1" applyAlignment="1" applyProtection="1">
      <alignment horizontal="center"/>
      <protection locked="0"/>
    </xf>
    <xf numFmtId="186" fontId="13" fillId="0" borderId="319" xfId="12" applyNumberFormat="1" applyFont="1" applyFill="1" applyBorder="1" applyProtection="1">
      <protection locked="0"/>
    </xf>
    <xf numFmtId="186" fontId="13" fillId="0" borderId="320" xfId="12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0" fontId="35" fillId="0" borderId="292" xfId="0" applyFont="1" applyBorder="1" applyAlignment="1" applyProtection="1">
      <alignment horizontal="center" vertical="center"/>
    </xf>
    <xf numFmtId="0" fontId="35" fillId="0" borderId="292" xfId="0" applyFont="1" applyBorder="1" applyAlignment="1" applyProtection="1">
      <alignment vertical="center"/>
    </xf>
    <xf numFmtId="0" fontId="36" fillId="0" borderId="292" xfId="0" applyFont="1" applyBorder="1" applyAlignment="1" applyProtection="1">
      <alignment horizontal="center" vertical="center"/>
    </xf>
    <xf numFmtId="3" fontId="35" fillId="0" borderId="292" xfId="0" applyNumberFormat="1" applyFont="1" applyBorder="1" applyAlignment="1" applyProtection="1">
      <alignment horizontal="right" vertical="center"/>
    </xf>
    <xf numFmtId="0" fontId="12" fillId="0" borderId="292" xfId="0" applyFont="1" applyBorder="1" applyProtection="1">
      <protection locked="0"/>
    </xf>
    <xf numFmtId="3" fontId="37" fillId="0" borderId="292" xfId="0" applyNumberFormat="1" applyFont="1" applyBorder="1" applyAlignment="1" applyProtection="1">
      <alignment horizontal="right" vertical="center"/>
    </xf>
    <xf numFmtId="3" fontId="35" fillId="0" borderId="292" xfId="0" applyNumberFormat="1" applyFont="1" applyBorder="1" applyAlignment="1" applyProtection="1">
      <alignment vertical="center"/>
    </xf>
    <xf numFmtId="3" fontId="35" fillId="0" borderId="292" xfId="0" applyNumberFormat="1" applyFont="1" applyBorder="1" applyAlignment="1" applyProtection="1">
      <alignment horizontal="center" vertical="center"/>
    </xf>
    <xf numFmtId="0" fontId="27" fillId="0" borderId="292" xfId="0" applyFont="1" applyBorder="1" applyProtection="1">
      <protection locked="0"/>
    </xf>
    <xf numFmtId="2" fontId="36" fillId="0" borderId="292" xfId="0" applyNumberFormat="1" applyFont="1" applyBorder="1" applyAlignment="1" applyProtection="1">
      <alignment vertical="center"/>
    </xf>
    <xf numFmtId="2" fontId="36" fillId="0" borderId="0" xfId="0" applyNumberFormat="1" applyFont="1" applyAlignment="1" applyProtection="1">
      <alignment vertical="center"/>
    </xf>
    <xf numFmtId="3" fontId="35" fillId="0" borderId="0" xfId="0" applyNumberFormat="1" applyFont="1" applyAlignment="1" applyProtection="1">
      <alignment horizontal="right" vertical="center"/>
    </xf>
    <xf numFmtId="0" fontId="35" fillId="0" borderId="0" xfId="0" applyFont="1" applyAlignment="1" applyProtection="1">
      <alignment vertical="center"/>
    </xf>
    <xf numFmtId="3" fontId="38" fillId="12" borderId="292" xfId="0" applyNumberFormat="1" applyFont="1" applyFill="1" applyBorder="1" applyAlignment="1" applyProtection="1">
      <alignment horizontal="right" vertical="center"/>
    </xf>
    <xf numFmtId="2" fontId="38" fillId="12" borderId="292" xfId="0" applyNumberFormat="1" applyFont="1" applyFill="1" applyBorder="1" applyAlignment="1" applyProtection="1">
      <alignment vertical="center"/>
    </xf>
    <xf numFmtId="0" fontId="13" fillId="0" borderId="0" xfId="27"/>
    <xf numFmtId="0" fontId="22" fillId="0" borderId="0" xfId="27" applyFont="1"/>
    <xf numFmtId="0" fontId="12" fillId="0" borderId="0" xfId="27" applyFont="1"/>
    <xf numFmtId="0" fontId="12" fillId="0" borderId="30" xfId="27" applyFont="1" applyBorder="1"/>
    <xf numFmtId="0" fontId="12" fillId="0" borderId="100" xfId="27" applyFont="1" applyBorder="1"/>
    <xf numFmtId="0" fontId="12" fillId="0" borderId="321" xfId="27" applyFont="1" applyBorder="1"/>
    <xf numFmtId="0" fontId="12" fillId="0" borderId="41" xfId="27" applyFont="1" applyBorder="1"/>
    <xf numFmtId="0" fontId="12" fillId="0" borderId="61" xfId="27" applyFont="1" applyBorder="1"/>
    <xf numFmtId="0" fontId="12" fillId="0" borderId="23" xfId="27" applyFont="1" applyBorder="1" applyAlignment="1">
      <alignment horizontal="center"/>
    </xf>
    <xf numFmtId="0" fontId="12" fillId="0" borderId="43" xfId="27" applyFont="1" applyBorder="1"/>
    <xf numFmtId="0" fontId="12" fillId="12" borderId="61" xfId="27" applyFont="1" applyFill="1" applyBorder="1"/>
    <xf numFmtId="0" fontId="12" fillId="12" borderId="23" xfId="27" applyFont="1" applyFill="1" applyBorder="1" applyAlignment="1">
      <alignment horizontal="center"/>
    </xf>
    <xf numFmtId="0" fontId="12" fillId="12" borderId="43" xfId="27" applyFont="1" applyFill="1" applyBorder="1"/>
    <xf numFmtId="0" fontId="12" fillId="0" borderId="111" xfId="27" applyFont="1" applyBorder="1"/>
    <xf numFmtId="0" fontId="12" fillId="0" borderId="292" xfId="27" applyFont="1" applyBorder="1" applyAlignment="1">
      <alignment horizontal="center"/>
    </xf>
    <xf numFmtId="0" fontId="12" fillId="12" borderId="292" xfId="27" applyFont="1" applyFill="1" applyBorder="1" applyAlignment="1">
      <alignment horizontal="center"/>
    </xf>
    <xf numFmtId="0" fontId="13" fillId="0" borderId="292" xfId="27" applyBorder="1"/>
    <xf numFmtId="177" fontId="13" fillId="0" borderId="292" xfId="12" applyNumberFormat="1" applyBorder="1"/>
    <xf numFmtId="0" fontId="13" fillId="0" borderId="292" xfId="27" applyBorder="1" applyAlignment="1">
      <alignment horizontal="center"/>
    </xf>
    <xf numFmtId="3" fontId="13" fillId="0" borderId="292" xfId="27" applyNumberFormat="1" applyBorder="1"/>
    <xf numFmtId="3" fontId="13" fillId="12" borderId="292" xfId="27" applyNumberFormat="1" applyFont="1" applyFill="1" applyBorder="1" applyAlignment="1">
      <alignment horizontal="center"/>
    </xf>
    <xf numFmtId="0" fontId="13" fillId="12" borderId="292" xfId="27" applyFill="1" applyBorder="1" applyAlignment="1">
      <alignment horizontal="center"/>
    </xf>
    <xf numFmtId="3" fontId="13" fillId="12" borderId="292" xfId="27" applyNumberFormat="1" applyFill="1" applyBorder="1"/>
    <xf numFmtId="3" fontId="13" fillId="0" borderId="292" xfId="27" applyNumberFormat="1" applyFont="1" applyBorder="1" applyAlignment="1">
      <alignment horizontal="center"/>
    </xf>
    <xf numFmtId="3" fontId="13" fillId="0" borderId="292" xfId="27" applyNumberFormat="1" applyFill="1" applyBorder="1"/>
    <xf numFmtId="3" fontId="13" fillId="0" borderId="292" xfId="27" applyNumberFormat="1" applyFont="1" applyFill="1" applyBorder="1" applyAlignment="1">
      <alignment horizontal="center"/>
    </xf>
    <xf numFmtId="0" fontId="13" fillId="0" borderId="292" xfId="27" applyFont="1" applyBorder="1"/>
    <xf numFmtId="3" fontId="12" fillId="0" borderId="292" xfId="27" applyNumberFormat="1" applyFont="1" applyBorder="1"/>
    <xf numFmtId="0" fontId="12" fillId="0" borderId="292" xfId="27" applyFont="1" applyBorder="1"/>
    <xf numFmtId="3" fontId="12" fillId="12" borderId="292" xfId="27" applyNumberFormat="1" applyFont="1" applyFill="1" applyBorder="1"/>
    <xf numFmtId="0" fontId="12" fillId="12" borderId="292" xfId="27" applyFont="1" applyFill="1" applyBorder="1"/>
    <xf numFmtId="3" fontId="12" fillId="0" borderId="292" xfId="27" applyNumberFormat="1" applyFont="1" applyBorder="1" applyAlignment="1">
      <alignment horizontal="center"/>
    </xf>
    <xf numFmtId="0" fontId="27" fillId="0" borderId="30" xfId="27" applyFont="1" applyBorder="1" applyAlignment="1">
      <alignment horizontal="center"/>
    </xf>
    <xf numFmtId="0" fontId="13" fillId="12" borderId="0" xfId="27" applyFill="1"/>
    <xf numFmtId="0" fontId="13" fillId="12" borderId="292" xfId="27" applyFont="1" applyFill="1" applyBorder="1"/>
    <xf numFmtId="10" fontId="13" fillId="0" borderId="322" xfId="27" applyNumberFormat="1" applyBorder="1" applyAlignment="1">
      <alignment horizontal="center"/>
    </xf>
    <xf numFmtId="1" fontId="27" fillId="0" borderId="292" xfId="27" applyNumberFormat="1" applyFont="1" applyBorder="1" applyAlignment="1">
      <alignment horizontal="center"/>
    </xf>
    <xf numFmtId="3" fontId="27" fillId="0" borderId="292" xfId="27" applyNumberFormat="1" applyFont="1" applyBorder="1"/>
    <xf numFmtId="3" fontId="12" fillId="0" borderId="0" xfId="27" applyNumberFormat="1" applyFont="1"/>
    <xf numFmtId="3" fontId="13" fillId="0" borderId="292" xfId="27" applyNumberFormat="1" applyBorder="1" applyAlignment="1">
      <alignment horizontal="center"/>
    </xf>
    <xf numFmtId="3" fontId="13" fillId="0" borderId="292" xfId="27" applyNumberFormat="1" applyFill="1" applyBorder="1" applyAlignment="1">
      <alignment horizontal="center"/>
    </xf>
    <xf numFmtId="0" fontId="13" fillId="0" borderId="292" xfId="27" applyFill="1" applyBorder="1" applyAlignment="1">
      <alignment horizontal="center"/>
    </xf>
    <xf numFmtId="0" fontId="27" fillId="0" borderId="292" xfId="27" applyFont="1" applyBorder="1" applyAlignment="1">
      <alignment horizontal="center"/>
    </xf>
    <xf numFmtId="3" fontId="13" fillId="0" borderId="0" xfId="27" applyNumberFormat="1"/>
    <xf numFmtId="0" fontId="12" fillId="0" borderId="292" xfId="0" applyFont="1" applyBorder="1" applyAlignment="1" applyProtection="1">
      <alignment horizontal="center"/>
      <protection locked="0"/>
    </xf>
    <xf numFmtId="177" fontId="12" fillId="0" borderId="292" xfId="12" applyNumberFormat="1" applyFont="1" applyBorder="1"/>
    <xf numFmtId="0" fontId="0" fillId="12" borderId="323" xfId="0" applyFont="1" applyFill="1" applyBorder="1" applyAlignment="1" applyProtection="1">
      <alignment horizontal="left" vertical="center"/>
      <protection locked="0"/>
    </xf>
    <xf numFmtId="0" fontId="0" fillId="12" borderId="246" xfId="0" applyFont="1" applyFill="1" applyBorder="1" applyAlignment="1" applyProtection="1">
      <alignment horizontal="left" vertical="center"/>
      <protection locked="0"/>
    </xf>
    <xf numFmtId="0" fontId="0" fillId="12" borderId="246" xfId="0" applyFont="1" applyFill="1" applyBorder="1" applyProtection="1">
      <protection locked="0"/>
    </xf>
    <xf numFmtId="0" fontId="0" fillId="12" borderId="299" xfId="0" applyFont="1" applyFill="1" applyBorder="1" applyProtection="1">
      <protection locked="0"/>
    </xf>
    <xf numFmtId="179" fontId="0" fillId="12" borderId="246" xfId="13" applyNumberFormat="1" applyFont="1" applyFill="1" applyBorder="1" applyAlignment="1" applyProtection="1">
      <alignment vertical="center"/>
      <protection locked="0"/>
    </xf>
    <xf numFmtId="0" fontId="0" fillId="12" borderId="292" xfId="0" applyFont="1" applyFill="1" applyBorder="1" applyAlignment="1" applyProtection="1">
      <alignment horizontal="left" vertical="center"/>
      <protection locked="0"/>
    </xf>
    <xf numFmtId="0" fontId="0" fillId="12" borderId="292" xfId="0" applyFont="1" applyFill="1" applyBorder="1" applyProtection="1">
      <protection locked="0"/>
    </xf>
    <xf numFmtId="179" fontId="0" fillId="12" borderId="292" xfId="13" applyNumberFormat="1" applyFont="1" applyFill="1" applyBorder="1" applyAlignment="1" applyProtection="1">
      <alignment vertical="center"/>
      <protection locked="0"/>
    </xf>
    <xf numFmtId="0" fontId="0" fillId="12" borderId="228" xfId="0" applyFont="1" applyFill="1" applyBorder="1" applyProtection="1">
      <protection locked="0"/>
    </xf>
    <xf numFmtId="0" fontId="0" fillId="12" borderId="229" xfId="0" applyFont="1" applyFill="1" applyBorder="1" applyProtection="1">
      <protection locked="0"/>
    </xf>
    <xf numFmtId="0" fontId="0" fillId="12" borderId="324" xfId="0" applyFont="1" applyFill="1" applyBorder="1" applyAlignment="1" applyProtection="1">
      <alignment horizontal="left" vertical="center"/>
      <protection locked="0"/>
    </xf>
    <xf numFmtId="0" fontId="0" fillId="12" borderId="325" xfId="0" applyFont="1" applyFill="1" applyBorder="1" applyProtection="1">
      <protection locked="0"/>
    </xf>
    <xf numFmtId="9" fontId="0" fillId="12" borderId="298" xfId="0" applyNumberFormat="1" applyFont="1" applyFill="1" applyBorder="1" applyAlignment="1" applyProtection="1">
      <alignment horizontal="center" vertical="center"/>
      <protection locked="0"/>
    </xf>
    <xf numFmtId="9" fontId="0" fillId="12" borderId="230" xfId="0" applyNumberFormat="1" applyFont="1" applyFill="1" applyBorder="1" applyAlignment="1" applyProtection="1">
      <alignment horizontal="center" vertical="center"/>
      <protection locked="0"/>
    </xf>
    <xf numFmtId="0" fontId="0" fillId="12" borderId="299" xfId="0" applyFont="1" applyFill="1" applyBorder="1" applyAlignment="1" applyProtection="1">
      <alignment horizontal="left" vertical="center"/>
      <protection locked="0"/>
    </xf>
    <xf numFmtId="179" fontId="13" fillId="12" borderId="245" xfId="13" applyNumberFormat="1" applyFont="1" applyFill="1" applyBorder="1" applyAlignment="1" applyProtection="1">
      <alignment vertical="center"/>
      <protection locked="0"/>
    </xf>
    <xf numFmtId="179" fontId="13" fillId="12" borderId="246" xfId="13" applyNumberFormat="1" applyFont="1" applyFill="1" applyBorder="1" applyAlignment="1" applyProtection="1">
      <alignment vertical="center"/>
      <protection locked="0"/>
    </xf>
    <xf numFmtId="0" fontId="0" fillId="12" borderId="282" xfId="0" applyFont="1" applyFill="1" applyBorder="1" applyAlignment="1" applyProtection="1">
      <alignment horizontal="left" vertical="center"/>
      <protection locked="0"/>
    </xf>
    <xf numFmtId="179" fontId="13" fillId="12" borderId="252" xfId="13" applyNumberFormat="1" applyFont="1" applyFill="1" applyBorder="1" applyAlignment="1" applyProtection="1">
      <alignment vertical="center"/>
      <protection locked="0"/>
    </xf>
    <xf numFmtId="179" fontId="13" fillId="12" borderId="282" xfId="13" applyNumberFormat="1" applyFont="1" applyFill="1" applyBorder="1" applyAlignment="1" applyProtection="1">
      <alignment vertical="center"/>
      <protection locked="0"/>
    </xf>
    <xf numFmtId="0" fontId="0" fillId="11" borderId="0" xfId="0" applyFont="1" applyFill="1" applyAlignment="1" applyProtection="1">
      <alignment horizontal="center"/>
    </xf>
    <xf numFmtId="49" fontId="0" fillId="0" borderId="92" xfId="34" applyNumberFormat="1" applyFont="1" applyFill="1" applyBorder="1" applyAlignment="1" applyProtection="1">
      <alignment horizontal="center"/>
      <protection locked="0"/>
    </xf>
    <xf numFmtId="177" fontId="13" fillId="0" borderId="156" xfId="12" applyNumberFormat="1" applyBorder="1" applyAlignment="1" applyProtection="1">
      <alignment horizontal="left"/>
      <protection locked="0"/>
    </xf>
    <xf numFmtId="179" fontId="0" fillId="12" borderId="282" xfId="13" applyNumberFormat="1" applyFont="1" applyFill="1" applyBorder="1" applyAlignment="1" applyProtection="1">
      <alignment vertical="center"/>
      <protection locked="0"/>
    </xf>
    <xf numFmtId="177" fontId="13" fillId="0" borderId="292" xfId="27" applyNumberFormat="1" applyBorder="1" applyAlignment="1"/>
    <xf numFmtId="1" fontId="13" fillId="0" borderId="292" xfId="27" applyNumberFormat="1" applyBorder="1" applyAlignment="1">
      <alignment horizontal="center"/>
    </xf>
    <xf numFmtId="0" fontId="13" fillId="0" borderId="292" xfId="27" applyBorder="1" applyAlignment="1"/>
    <xf numFmtId="1" fontId="13" fillId="12" borderId="292" xfId="27" applyNumberFormat="1" applyFill="1" applyBorder="1" applyAlignment="1">
      <alignment horizontal="center"/>
    </xf>
    <xf numFmtId="179" fontId="13" fillId="12" borderId="219" xfId="13" applyNumberFormat="1" applyFont="1" applyFill="1" applyBorder="1" applyAlignment="1" applyProtection="1">
      <alignment vertical="center"/>
      <protection locked="0"/>
    </xf>
    <xf numFmtId="179" fontId="0" fillId="12" borderId="219" xfId="13" applyNumberFormat="1" applyFont="1" applyFill="1" applyBorder="1" applyAlignment="1" applyProtection="1">
      <alignment vertical="center"/>
      <protection locked="0"/>
    </xf>
    <xf numFmtId="179" fontId="13" fillId="12" borderId="156" xfId="13" applyNumberFormat="1" applyFont="1" applyFill="1" applyBorder="1" applyAlignment="1" applyProtection="1">
      <alignment vertical="center"/>
      <protection locked="0"/>
    </xf>
    <xf numFmtId="179" fontId="0" fillId="12" borderId="156" xfId="13" applyNumberFormat="1" applyFont="1" applyFill="1" applyBorder="1" applyAlignment="1" applyProtection="1">
      <alignment vertical="center"/>
      <protection locked="0"/>
    </xf>
    <xf numFmtId="179" fontId="0" fillId="12" borderId="157" xfId="13" applyNumberFormat="1" applyFont="1" applyFill="1" applyBorder="1" applyAlignment="1" applyProtection="1">
      <alignment vertical="center"/>
      <protection locked="0"/>
    </xf>
    <xf numFmtId="3" fontId="35" fillId="0" borderId="111" xfId="0" applyNumberFormat="1" applyFont="1" applyBorder="1" applyAlignment="1" applyProtection="1">
      <alignment horizontal="right" vertical="center"/>
    </xf>
    <xf numFmtId="3" fontId="35" fillId="0" borderId="241" xfId="0" applyNumberFormat="1" applyFont="1" applyBorder="1" applyAlignment="1" applyProtection="1">
      <alignment horizontal="right" vertical="center"/>
    </xf>
    <xf numFmtId="0" fontId="29" fillId="0" borderId="92" xfId="0" applyFont="1" applyFill="1" applyBorder="1" applyAlignment="1" applyProtection="1">
      <alignment horizontal="center"/>
      <protection locked="0"/>
    </xf>
    <xf numFmtId="0" fontId="0" fillId="0" borderId="282" xfId="0" applyBorder="1" applyProtection="1">
      <protection locked="0"/>
    </xf>
    <xf numFmtId="0" fontId="12" fillId="43" borderId="61" xfId="27" applyFont="1" applyFill="1" applyBorder="1"/>
    <xf numFmtId="0" fontId="12" fillId="43" borderId="23" xfId="27" applyFont="1" applyFill="1" applyBorder="1" applyAlignment="1">
      <alignment horizontal="center"/>
    </xf>
    <xf numFmtId="0" fontId="12" fillId="43" borderId="43" xfId="27" applyFont="1" applyFill="1" applyBorder="1"/>
    <xf numFmtId="0" fontId="12" fillId="43" borderId="292" xfId="27" applyFont="1" applyFill="1" applyBorder="1" applyAlignment="1">
      <alignment horizontal="center"/>
    </xf>
    <xf numFmtId="3" fontId="13" fillId="43" borderId="292" xfId="27" applyNumberFormat="1" applyFont="1" applyFill="1" applyBorder="1" applyAlignment="1">
      <alignment horizontal="center"/>
    </xf>
    <xf numFmtId="1" fontId="13" fillId="43" borderId="292" xfId="27" applyNumberFormat="1" applyFill="1" applyBorder="1" applyAlignment="1">
      <alignment horizontal="center"/>
    </xf>
    <xf numFmtId="3" fontId="13" fillId="43" borderId="292" xfId="27" applyNumberFormat="1" applyFill="1" applyBorder="1"/>
    <xf numFmtId="177" fontId="13" fillId="12" borderId="292" xfId="12" applyNumberFormat="1" applyFill="1" applyBorder="1"/>
    <xf numFmtId="177" fontId="0" fillId="0" borderId="0" xfId="12" applyNumberFormat="1" applyFont="1"/>
    <xf numFmtId="179" fontId="13" fillId="12" borderId="299" xfId="13" applyNumberFormat="1" applyFont="1" applyFill="1" applyBorder="1" applyAlignment="1" applyProtection="1">
      <alignment vertical="center"/>
      <protection locked="0"/>
    </xf>
    <xf numFmtId="179" fontId="13" fillId="12" borderId="218" xfId="13" applyNumberFormat="1" applyFont="1" applyFill="1" applyBorder="1" applyAlignment="1" applyProtection="1">
      <alignment vertical="center"/>
      <protection locked="0"/>
    </xf>
    <xf numFmtId="179" fontId="13" fillId="12" borderId="228" xfId="13" applyNumberFormat="1" applyFont="1" applyFill="1" applyBorder="1" applyAlignment="1" applyProtection="1">
      <alignment vertical="center"/>
      <protection locked="0"/>
    </xf>
    <xf numFmtId="178" fontId="0" fillId="11" borderId="0" xfId="0" applyNumberFormat="1" applyFont="1" applyFill="1" applyProtection="1"/>
    <xf numFmtId="170" fontId="0" fillId="12" borderId="41" xfId="16" applyNumberFormat="1" applyFont="1" applyFill="1" applyBorder="1" applyAlignment="1" applyProtection="1">
      <alignment horizontal="center" vertical="center"/>
      <protection locked="0"/>
    </xf>
    <xf numFmtId="178" fontId="39" fillId="11" borderId="0" xfId="0" applyNumberFormat="1" applyFont="1" applyFill="1" applyBorder="1" applyProtection="1"/>
    <xf numFmtId="0" fontId="13" fillId="43" borderId="292" xfId="27" applyFill="1" applyBorder="1" applyAlignment="1">
      <alignment horizontal="center"/>
    </xf>
    <xf numFmtId="0" fontId="12" fillId="0" borderId="0" xfId="0" applyFont="1"/>
    <xf numFmtId="0" fontId="12" fillId="0" borderId="92" xfId="0" applyFont="1" applyBorder="1" applyAlignment="1">
      <alignment horizontal="center"/>
    </xf>
    <xf numFmtId="0" fontId="12" fillId="0" borderId="92" xfId="0" applyFont="1" applyFill="1" applyBorder="1" applyAlignment="1">
      <alignment horizontal="center"/>
    </xf>
    <xf numFmtId="0" fontId="0" fillId="0" borderId="327" xfId="0" applyBorder="1" applyAlignment="1">
      <alignment horizontal="center"/>
    </xf>
    <xf numFmtId="177" fontId="13" fillId="0" borderId="327" xfId="12" applyNumberFormat="1" applyBorder="1"/>
    <xf numFmtId="177" fontId="0" fillId="0" borderId="327" xfId="0" applyNumberFormat="1" applyBorder="1"/>
    <xf numFmtId="177" fontId="13" fillId="0" borderId="157" xfId="12" applyNumberFormat="1" applyBorder="1"/>
    <xf numFmtId="0" fontId="0" fillId="0" borderId="139" xfId="0" applyBorder="1"/>
    <xf numFmtId="0" fontId="12" fillId="0" borderId="114" xfId="0" applyFont="1" applyBorder="1"/>
    <xf numFmtId="177" fontId="12" fillId="0" borderId="92" xfId="12" applyNumberFormat="1" applyFont="1" applyBorder="1"/>
    <xf numFmtId="0" fontId="0" fillId="0" borderId="92" xfId="0" applyBorder="1"/>
    <xf numFmtId="177" fontId="12" fillId="0" borderId="92" xfId="0" applyNumberFormat="1" applyFont="1" applyBorder="1"/>
    <xf numFmtId="0" fontId="0" fillId="0" borderId="0" xfId="0" applyBorder="1"/>
    <xf numFmtId="0" fontId="0" fillId="0" borderId="91" xfId="0" applyBorder="1"/>
    <xf numFmtId="0" fontId="12" fillId="0" borderId="168" xfId="0" applyFont="1" applyBorder="1" applyAlignment="1">
      <alignment horizontal="center"/>
    </xf>
    <xf numFmtId="177" fontId="13" fillId="0" borderId="328" xfId="12" applyNumberFormat="1" applyBorder="1"/>
    <xf numFmtId="0" fontId="0" fillId="0" borderId="157" xfId="0" applyBorder="1" applyAlignment="1">
      <alignment horizontal="center"/>
    </xf>
    <xf numFmtId="177" fontId="13" fillId="0" borderId="145" xfId="12" applyNumberFormat="1" applyBorder="1"/>
    <xf numFmtId="177" fontId="0" fillId="0" borderId="157" xfId="0" applyNumberFormat="1" applyBorder="1"/>
    <xf numFmtId="0" fontId="0" fillId="12" borderId="111" xfId="0" applyFont="1" applyFill="1" applyBorder="1" applyAlignment="1" applyProtection="1">
      <alignment horizontal="left" vertical="center"/>
      <protection locked="0"/>
    </xf>
    <xf numFmtId="0" fontId="0" fillId="12" borderId="317" xfId="0" applyFont="1" applyFill="1" applyBorder="1" applyAlignment="1" applyProtection="1">
      <alignment horizontal="left" vertical="center"/>
      <protection locked="0"/>
    </xf>
    <xf numFmtId="179" fontId="13" fillId="12" borderId="111" xfId="13" applyNumberFormat="1" applyFont="1" applyFill="1" applyBorder="1" applyAlignment="1" applyProtection="1">
      <alignment vertical="center"/>
      <protection locked="0"/>
    </xf>
    <xf numFmtId="179" fontId="0" fillId="12" borderId="143" xfId="13" applyNumberFormat="1" applyFont="1" applyFill="1" applyBorder="1" applyAlignment="1" applyProtection="1">
      <alignment vertical="center"/>
      <protection locked="0"/>
    </xf>
    <xf numFmtId="0" fontId="28" fillId="12" borderId="282" xfId="0" applyFont="1" applyFill="1" applyBorder="1" applyAlignment="1" applyProtection="1">
      <alignment horizontal="left" vertical="center"/>
      <protection locked="0"/>
    </xf>
    <xf numFmtId="0" fontId="28" fillId="12" borderId="218" xfId="0" applyFont="1" applyFill="1" applyBorder="1" applyAlignment="1" applyProtection="1">
      <alignment horizontal="left" vertical="center"/>
      <protection locked="0"/>
    </xf>
    <xf numFmtId="179" fontId="28" fillId="12" borderId="156" xfId="13" applyNumberFormat="1" applyFont="1" applyFill="1" applyBorder="1" applyAlignment="1" applyProtection="1">
      <alignment vertical="center"/>
      <protection locked="0"/>
    </xf>
    <xf numFmtId="179" fontId="28" fillId="12" borderId="219" xfId="13" applyNumberFormat="1" applyFont="1" applyFill="1" applyBorder="1" applyAlignment="1" applyProtection="1">
      <alignment vertical="center"/>
      <protection locked="0"/>
    </xf>
    <xf numFmtId="179" fontId="28" fillId="12" borderId="282" xfId="13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79" fontId="13" fillId="12" borderId="319" xfId="13" applyNumberFormat="1" applyFont="1" applyFill="1" applyBorder="1" applyAlignment="1" applyProtection="1">
      <alignment vertical="center"/>
      <protection locked="0"/>
    </xf>
    <xf numFmtId="179" fontId="13" fillId="12" borderId="308" xfId="13" applyNumberFormat="1" applyFont="1" applyFill="1" applyBorder="1" applyAlignment="1" applyProtection="1">
      <alignment vertical="center"/>
      <protection locked="0"/>
    </xf>
    <xf numFmtId="0" fontId="28" fillId="12" borderId="111" xfId="0" applyFont="1" applyFill="1" applyBorder="1" applyAlignment="1" applyProtection="1">
      <alignment horizontal="left" vertical="center"/>
      <protection locked="0"/>
    </xf>
    <xf numFmtId="0" fontId="28" fillId="12" borderId="317" xfId="0" applyFont="1" applyFill="1" applyBorder="1" applyAlignment="1" applyProtection="1">
      <alignment horizontal="left" vertical="center"/>
      <protection locked="0"/>
    </xf>
    <xf numFmtId="0" fontId="12" fillId="16" borderId="134" xfId="0" applyFont="1" applyFill="1" applyBorder="1" applyAlignment="1">
      <alignment horizontal="center" vertical="center" wrapText="1"/>
    </xf>
    <xf numFmtId="0" fontId="12" fillId="16" borderId="229" xfId="0" applyFont="1" applyFill="1" applyBorder="1" applyAlignment="1">
      <alignment horizontal="center" vertical="center" wrapText="1"/>
    </xf>
    <xf numFmtId="0" fontId="12" fillId="16" borderId="228" xfId="0" applyFont="1" applyFill="1" applyBorder="1" applyAlignment="1">
      <alignment horizontal="center" vertical="center" wrapText="1"/>
    </xf>
    <xf numFmtId="0" fontId="0" fillId="12" borderId="326" xfId="0" applyFont="1" applyFill="1" applyBorder="1" applyAlignment="1" applyProtection="1">
      <alignment horizontal="left" vertical="center"/>
      <protection locked="0"/>
    </xf>
    <xf numFmtId="169" fontId="13" fillId="12" borderId="247" xfId="13" applyNumberFormat="1" applyFont="1" applyFill="1" applyBorder="1" applyAlignment="1" applyProtection="1">
      <alignment vertical="center"/>
      <protection locked="0"/>
    </xf>
    <xf numFmtId="169" fontId="13" fillId="12" borderId="214" xfId="13" applyNumberFormat="1" applyFont="1" applyFill="1" applyBorder="1" applyAlignment="1" applyProtection="1">
      <alignment vertical="center"/>
      <protection locked="0"/>
    </xf>
    <xf numFmtId="0" fontId="0" fillId="12" borderId="245" xfId="0" applyFont="1" applyFill="1" applyBorder="1" applyAlignment="1" applyProtection="1">
      <alignment horizontal="left" vertical="center"/>
      <protection locked="0"/>
    </xf>
    <xf numFmtId="0" fontId="0" fillId="12" borderId="230" xfId="0" applyFont="1" applyFill="1" applyBorder="1" applyAlignment="1" applyProtection="1">
      <alignment horizontal="left" vertical="center"/>
      <protection locked="0"/>
    </xf>
    <xf numFmtId="179" fontId="13" fillId="12" borderId="306" xfId="13" applyNumberFormat="1" applyFill="1" applyBorder="1" applyAlignment="1" applyProtection="1">
      <alignment vertical="center"/>
      <protection locked="0"/>
    </xf>
    <xf numFmtId="179" fontId="13" fillId="12" borderId="111" xfId="13" applyNumberFormat="1" applyFill="1" applyBorder="1" applyAlignment="1" applyProtection="1">
      <alignment vertical="center"/>
      <protection locked="0"/>
    </xf>
    <xf numFmtId="178" fontId="0" fillId="28" borderId="247" xfId="0" applyNumberFormat="1" applyFill="1" applyBorder="1" applyAlignment="1">
      <alignment vertical="center"/>
    </xf>
    <xf numFmtId="178" fontId="0" fillId="28" borderId="142" xfId="0" applyNumberFormat="1" applyFill="1" applyBorder="1" applyAlignment="1">
      <alignment horizontal="right" vertical="center"/>
    </xf>
    <xf numFmtId="179" fontId="13" fillId="12" borderId="252" xfId="13" applyNumberFormat="1" applyFill="1" applyBorder="1" applyAlignment="1" applyProtection="1">
      <alignment vertical="center"/>
      <protection locked="0"/>
    </xf>
    <xf numFmtId="179" fontId="13" fillId="12" borderId="282" xfId="13" applyNumberFormat="1" applyFill="1" applyBorder="1" applyAlignment="1" applyProtection="1">
      <alignment vertical="center"/>
      <protection locked="0"/>
    </xf>
    <xf numFmtId="178" fontId="0" fillId="28" borderId="285" xfId="0" applyNumberFormat="1" applyFill="1" applyBorder="1" applyAlignment="1">
      <alignment vertical="center"/>
    </xf>
    <xf numFmtId="178" fontId="0" fillId="28" borderId="321" xfId="0" applyNumberFormat="1" applyFill="1" applyBorder="1" applyAlignment="1">
      <alignment horizontal="right" vertical="center"/>
    </xf>
    <xf numFmtId="170" fontId="14" fillId="19" borderId="65" xfId="16" applyNumberFormat="1" applyFont="1" applyFill="1" applyBorder="1" applyAlignment="1" applyProtection="1">
      <alignment horizontal="center" vertical="center"/>
    </xf>
    <xf numFmtId="169" fontId="13" fillId="12" borderId="282" xfId="13" applyNumberFormat="1" applyFill="1" applyBorder="1" applyAlignment="1" applyProtection="1">
      <alignment vertical="center"/>
      <protection locked="0"/>
    </xf>
    <xf numFmtId="169" fontId="10" fillId="20" borderId="282" xfId="13" applyNumberFormat="1" applyFont="1" applyFill="1" applyBorder="1" applyAlignment="1" applyProtection="1">
      <alignment horizontal="center" vertical="center"/>
      <protection locked="0"/>
    </xf>
    <xf numFmtId="169" fontId="12" fillId="30" borderId="28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vertical="center"/>
    </xf>
    <xf numFmtId="179" fontId="0" fillId="63" borderId="107" xfId="13" applyNumberFormat="1" applyFont="1" applyFill="1" applyBorder="1" applyAlignment="1" applyProtection="1">
      <alignment vertical="center"/>
    </xf>
    <xf numFmtId="179" fontId="0" fillId="63" borderId="204" xfId="13" applyNumberFormat="1" applyFont="1" applyFill="1" applyBorder="1" applyAlignment="1" applyProtection="1">
      <alignment vertical="center"/>
    </xf>
    <xf numFmtId="179" fontId="0" fillId="63" borderId="183" xfId="13" applyNumberFormat="1" applyFont="1" applyFill="1" applyBorder="1" applyAlignment="1" applyProtection="1">
      <alignment vertical="center"/>
    </xf>
    <xf numFmtId="179" fontId="0" fillId="63" borderId="298" xfId="13" applyNumberFormat="1" applyFont="1" applyFill="1" applyBorder="1" applyAlignment="1" applyProtection="1">
      <alignment vertical="center"/>
    </xf>
    <xf numFmtId="179" fontId="0" fillId="64" borderId="292" xfId="13" applyNumberFormat="1" applyFont="1" applyFill="1" applyBorder="1" applyAlignment="1" applyProtection="1">
      <alignment vertical="center"/>
    </xf>
    <xf numFmtId="179" fontId="0" fillId="64" borderId="294" xfId="13" applyNumberFormat="1" applyFont="1" applyFill="1" applyBorder="1" applyAlignment="1" applyProtection="1">
      <alignment vertical="center"/>
    </xf>
    <xf numFmtId="179" fontId="13" fillId="63" borderId="230" xfId="13" applyNumberFormat="1" applyFont="1" applyFill="1" applyBorder="1" applyAlignment="1" applyProtection="1">
      <alignment vertical="center"/>
    </xf>
    <xf numFmtId="179" fontId="0" fillId="64" borderId="228" xfId="13" applyNumberFormat="1" applyFont="1" applyFill="1" applyBorder="1" applyAlignment="1" applyProtection="1">
      <alignment vertical="center"/>
    </xf>
    <xf numFmtId="179" fontId="0" fillId="64" borderId="214" xfId="13" applyNumberFormat="1" applyFont="1" applyFill="1" applyBorder="1" applyAlignment="1" applyProtection="1">
      <alignment vertical="center"/>
    </xf>
    <xf numFmtId="0" fontId="20" fillId="0" borderId="0" xfId="20"/>
    <xf numFmtId="0" fontId="0" fillId="0" borderId="0" xfId="0" applyFont="1"/>
    <xf numFmtId="0" fontId="20" fillId="0" borderId="0" xfId="2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169" fontId="26" fillId="44" borderId="312" xfId="0" applyNumberFormat="1" applyFont="1" applyFill="1" applyBorder="1" applyAlignment="1" applyProtection="1">
      <alignment horizontal="center" vertical="center" wrapText="1"/>
    </xf>
    <xf numFmtId="169" fontId="26" fillId="44" borderId="83" xfId="0" applyNumberFormat="1" applyFont="1" applyFill="1" applyBorder="1" applyAlignment="1" applyProtection="1">
      <alignment horizontal="center" vertical="center" wrapText="1"/>
    </xf>
    <xf numFmtId="169" fontId="0" fillId="9" borderId="126" xfId="13" applyNumberFormat="1" applyFont="1" applyFill="1" applyBorder="1" applyAlignment="1" applyProtection="1">
      <alignment horizontal="right" vertical="center"/>
    </xf>
    <xf numFmtId="169" fontId="0" fillId="9" borderId="307" xfId="13" applyNumberFormat="1" applyFont="1" applyFill="1" applyBorder="1" applyAlignment="1" applyProtection="1">
      <alignment horizontal="right" vertical="center"/>
    </xf>
    <xf numFmtId="169" fontId="17" fillId="33" borderId="275" xfId="0" applyNumberFormat="1" applyFont="1" applyFill="1" applyBorder="1" applyAlignment="1" applyProtection="1">
      <alignment horizontal="center" vertical="center" wrapText="1"/>
    </xf>
    <xf numFmtId="169" fontId="17" fillId="33" borderId="89" xfId="0" applyNumberFormat="1" applyFont="1" applyFill="1" applyBorder="1" applyAlignment="1" applyProtection="1">
      <alignment horizontal="center" vertical="center" wrapText="1"/>
    </xf>
    <xf numFmtId="169" fontId="17" fillId="33" borderId="276" xfId="0" applyNumberFormat="1" applyFont="1" applyFill="1" applyBorder="1" applyAlignment="1" applyProtection="1">
      <alignment horizontal="center" vertical="center" wrapText="1"/>
    </xf>
    <xf numFmtId="169" fontId="17" fillId="33" borderId="21" xfId="0" applyNumberFormat="1" applyFont="1" applyFill="1" applyBorder="1" applyAlignment="1" applyProtection="1">
      <alignment horizontal="center" vertical="center" wrapText="1"/>
    </xf>
    <xf numFmtId="169" fontId="17" fillId="33" borderId="313" xfId="0" applyNumberFormat="1" applyFont="1" applyFill="1" applyBorder="1" applyAlignment="1" applyProtection="1">
      <alignment horizontal="center" vertical="center" wrapText="1"/>
    </xf>
    <xf numFmtId="169" fontId="17" fillId="33" borderId="91" xfId="0" applyNumberFormat="1" applyFont="1" applyFill="1" applyBorder="1" applyAlignment="1" applyProtection="1">
      <alignment horizontal="center" vertical="center" wrapText="1"/>
    </xf>
    <xf numFmtId="169" fontId="0" fillId="9" borderId="315" xfId="13" applyNumberFormat="1" applyFont="1" applyFill="1" applyBorder="1" applyAlignment="1" applyProtection="1">
      <alignment horizontal="right" vertical="center"/>
    </xf>
    <xf numFmtId="169" fontId="0" fillId="9" borderId="305" xfId="13" applyNumberFormat="1" applyFont="1" applyFill="1" applyBorder="1" applyAlignment="1" applyProtection="1">
      <alignment horizontal="right" vertical="center"/>
    </xf>
    <xf numFmtId="169" fontId="0" fillId="9" borderId="166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2" fillId="12" borderId="5" xfId="0" applyFont="1" applyFill="1" applyBorder="1" applyAlignment="1" applyProtection="1">
      <alignment horizontal="center" vertical="center"/>
      <protection locked="0"/>
    </xf>
    <xf numFmtId="0" fontId="22" fillId="12" borderId="56" xfId="0" applyFont="1" applyFill="1" applyBorder="1" applyAlignment="1" applyProtection="1">
      <alignment horizontal="center" vertical="center"/>
      <protection locked="0"/>
    </xf>
    <xf numFmtId="0" fontId="22" fillId="12" borderId="6" xfId="0" applyFont="1" applyFill="1" applyBorder="1" applyAlignment="1" applyProtection="1">
      <alignment horizontal="center" vertical="center"/>
      <protection locked="0"/>
    </xf>
    <xf numFmtId="169" fontId="12" fillId="15" borderId="70" xfId="0" applyNumberFormat="1" applyFont="1" applyFill="1" applyBorder="1" applyAlignment="1" applyProtection="1">
      <alignment horizontal="center" vertical="center"/>
    </xf>
    <xf numFmtId="169" fontId="12" fillId="15" borderId="186" xfId="0" applyNumberFormat="1" applyFont="1" applyFill="1" applyBorder="1" applyAlignment="1" applyProtection="1">
      <alignment horizontal="center" vertical="center"/>
    </xf>
    <xf numFmtId="169" fontId="22" fillId="38" borderId="275" xfId="0" applyNumberFormat="1" applyFont="1" applyFill="1" applyBorder="1" applyAlignment="1" applyProtection="1">
      <alignment horizontal="center" vertical="center" wrapText="1"/>
    </xf>
    <xf numFmtId="169" fontId="22" fillId="38" borderId="276" xfId="0" applyNumberFormat="1" applyFont="1" applyFill="1" applyBorder="1" applyAlignment="1" applyProtection="1">
      <alignment horizontal="center" vertical="center" wrapText="1"/>
    </xf>
    <xf numFmtId="169" fontId="22" fillId="38" borderId="277" xfId="0" applyNumberFormat="1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31" xfId="0" applyFont="1" applyFill="1" applyBorder="1" applyAlignment="1" applyProtection="1">
      <alignment horizontal="center" vertical="center" wrapText="1"/>
    </xf>
    <xf numFmtId="0" fontId="12" fillId="15" borderId="34" xfId="0" applyFont="1" applyFill="1" applyBorder="1" applyAlignment="1" applyProtection="1">
      <alignment horizontal="center" vertical="center" wrapText="1"/>
    </xf>
    <xf numFmtId="0" fontId="12" fillId="15" borderId="32" xfId="0" applyFont="1" applyFill="1" applyBorder="1" applyAlignment="1" applyProtection="1">
      <alignment horizontal="center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169" fontId="21" fillId="31" borderId="114" xfId="0" applyNumberFormat="1" applyFont="1" applyFill="1" applyBorder="1" applyAlignment="1" applyProtection="1">
      <alignment horizontal="right" vertical="center"/>
    </xf>
    <xf numFmtId="169" fontId="21" fillId="31" borderId="193" xfId="0" applyNumberFormat="1" applyFont="1" applyFill="1" applyBorder="1" applyAlignment="1" applyProtection="1">
      <alignment horizontal="right" vertical="center"/>
    </xf>
    <xf numFmtId="169" fontId="21" fillId="31" borderId="168" xfId="0" applyNumberFormat="1" applyFont="1" applyFill="1" applyBorder="1" applyAlignment="1" applyProtection="1">
      <alignment horizontal="right" vertical="center"/>
    </xf>
    <xf numFmtId="169" fontId="23" fillId="33" borderId="225" xfId="0" applyNumberFormat="1" applyFont="1" applyFill="1" applyBorder="1" applyAlignment="1" applyProtection="1">
      <alignment horizontal="center" vertical="center" wrapText="1"/>
    </xf>
    <xf numFmtId="169" fontId="23" fillId="33" borderId="46" xfId="0" applyNumberFormat="1" applyFont="1" applyFill="1" applyBorder="1" applyAlignment="1" applyProtection="1">
      <alignment horizontal="center" vertical="center" wrapText="1"/>
    </xf>
    <xf numFmtId="169" fontId="23" fillId="33" borderId="311" xfId="0" applyNumberFormat="1" applyFont="1" applyFill="1" applyBorder="1" applyAlignment="1" applyProtection="1">
      <alignment horizontal="center" vertical="center" wrapText="1"/>
    </xf>
    <xf numFmtId="169" fontId="21" fillId="31" borderId="27" xfId="0" applyNumberFormat="1" applyFont="1" applyFill="1" applyBorder="1" applyAlignment="1" applyProtection="1">
      <alignment horizontal="center" vertical="center"/>
    </xf>
    <xf numFmtId="169" fontId="21" fillId="31" borderId="188" xfId="0" applyNumberFormat="1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 wrapText="1"/>
    </xf>
    <xf numFmtId="0" fontId="22" fillId="0" borderId="36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22" fillId="36" borderId="79" xfId="0" applyFont="1" applyFill="1" applyBorder="1" applyAlignment="1" applyProtection="1">
      <alignment horizontal="center" vertical="center" wrapText="1"/>
    </xf>
    <xf numFmtId="0" fontId="22" fillId="36" borderId="191" xfId="0" applyFont="1" applyFill="1" applyBorder="1" applyAlignment="1" applyProtection="1">
      <alignment horizontal="center" vertical="center" wrapText="1"/>
    </xf>
    <xf numFmtId="169" fontId="21" fillId="31" borderId="191" xfId="0" applyNumberFormat="1" applyFont="1" applyFill="1" applyBorder="1" applyAlignment="1" applyProtection="1">
      <alignment horizontal="center" vertical="center"/>
    </xf>
    <xf numFmtId="169" fontId="21" fillId="31" borderId="192" xfId="0" applyNumberFormat="1" applyFont="1" applyFill="1" applyBorder="1" applyAlignment="1" applyProtection="1">
      <alignment horizontal="center" vertical="center"/>
    </xf>
    <xf numFmtId="0" fontId="0" fillId="0" borderId="79" xfId="0" applyFont="1" applyFill="1" applyBorder="1" applyAlignment="1" applyProtection="1">
      <alignment horizontal="center" vertical="center" wrapText="1"/>
    </xf>
    <xf numFmtId="169" fontId="23" fillId="33" borderId="248" xfId="0" applyNumberFormat="1" applyFont="1" applyFill="1" applyBorder="1" applyAlignment="1" applyProtection="1">
      <alignment horizontal="center" vertical="center" wrapText="1"/>
    </xf>
    <xf numFmtId="169" fontId="23" fillId="33" borderId="249" xfId="0" applyNumberFormat="1" applyFont="1" applyFill="1" applyBorder="1" applyAlignment="1" applyProtection="1">
      <alignment horizontal="center" vertical="center" wrapText="1"/>
    </xf>
    <xf numFmtId="169" fontId="23" fillId="33" borderId="250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169" fontId="12" fillId="15" borderId="243" xfId="0" applyNumberFormat="1" applyFont="1" applyFill="1" applyBorder="1" applyAlignment="1" applyProtection="1">
      <alignment horizontal="center" vertical="center" wrapText="1"/>
    </xf>
    <xf numFmtId="169" fontId="12" fillId="15" borderId="51" xfId="0" applyNumberFormat="1" applyFont="1" applyFill="1" applyBorder="1" applyAlignment="1" applyProtection="1">
      <alignment horizontal="center" vertical="center" wrapText="1"/>
    </xf>
    <xf numFmtId="169" fontId="12" fillId="15" borderId="152" xfId="0" applyNumberFormat="1" applyFont="1" applyFill="1" applyBorder="1" applyAlignment="1" applyProtection="1">
      <alignment horizontal="center" vertical="center" wrapText="1"/>
    </xf>
    <xf numFmtId="0" fontId="22" fillId="16" borderId="194" xfId="0" applyFont="1" applyFill="1" applyBorder="1" applyAlignment="1" applyProtection="1">
      <alignment horizontal="center" vertical="center" wrapText="1"/>
    </xf>
    <xf numFmtId="0" fontId="22" fillId="16" borderId="61" xfId="0" applyFont="1" applyFill="1" applyBorder="1" applyAlignment="1" applyProtection="1">
      <alignment horizontal="center" vertical="center" wrapText="1"/>
    </xf>
    <xf numFmtId="169" fontId="23" fillId="33" borderId="195" xfId="0" applyNumberFormat="1" applyFont="1" applyFill="1" applyBorder="1" applyAlignment="1" applyProtection="1">
      <alignment horizontal="center" vertical="center" wrapText="1"/>
    </xf>
    <xf numFmtId="169" fontId="23" fillId="33" borderId="85" xfId="0" applyNumberFormat="1" applyFont="1" applyFill="1" applyBorder="1" applyAlignment="1" applyProtection="1">
      <alignment horizontal="center" vertical="center" wrapText="1"/>
    </xf>
    <xf numFmtId="169" fontId="23" fillId="33" borderId="86" xfId="0" applyNumberFormat="1" applyFont="1" applyFill="1" applyBorder="1" applyAlignment="1" applyProtection="1">
      <alignment horizontal="center" vertical="center" wrapText="1"/>
    </xf>
    <xf numFmtId="0" fontId="22" fillId="15" borderId="38" xfId="0" applyFont="1" applyFill="1" applyBorder="1" applyAlignment="1" applyProtection="1">
      <alignment horizontal="center" vertical="center" wrapText="1"/>
    </xf>
    <xf numFmtId="0" fontId="22" fillId="15" borderId="57" xfId="0" applyFont="1" applyFill="1" applyBorder="1" applyAlignment="1" applyProtection="1">
      <alignment horizontal="center" vertical="center" wrapText="1"/>
    </xf>
    <xf numFmtId="0" fontId="22" fillId="16" borderId="72" xfId="0" applyFont="1" applyFill="1" applyBorder="1" applyAlignment="1" applyProtection="1">
      <alignment horizontal="center" vertical="center" wrapText="1"/>
    </xf>
    <xf numFmtId="169" fontId="23" fillId="33" borderId="31" xfId="0" applyNumberFormat="1" applyFont="1" applyFill="1" applyBorder="1" applyAlignment="1" applyProtection="1">
      <alignment horizontal="center" vertical="center" wrapText="1"/>
    </xf>
    <xf numFmtId="169" fontId="23" fillId="33" borderId="32" xfId="0" applyNumberFormat="1" applyFont="1" applyFill="1" applyBorder="1" applyAlignment="1" applyProtection="1">
      <alignment horizontal="center" vertical="center" wrapText="1"/>
    </xf>
    <xf numFmtId="169" fontId="23" fillId="33" borderId="70" xfId="0" applyNumberFormat="1" applyFont="1" applyFill="1" applyBorder="1" applyAlignment="1" applyProtection="1">
      <alignment horizontal="center" vertical="center" wrapText="1"/>
    </xf>
    <xf numFmtId="169" fontId="12" fillId="15" borderId="71" xfId="0" applyNumberFormat="1" applyFont="1" applyFill="1" applyBorder="1" applyAlignment="1" applyProtection="1">
      <alignment horizontal="center" vertical="center" wrapText="1"/>
    </xf>
    <xf numFmtId="169" fontId="23" fillId="33" borderId="107" xfId="0" applyNumberFormat="1" applyFont="1" applyFill="1" applyBorder="1" applyAlignment="1" applyProtection="1">
      <alignment horizontal="center" vertical="center" wrapText="1"/>
    </xf>
    <xf numFmtId="169" fontId="23" fillId="33" borderId="204" xfId="0" applyNumberFormat="1" applyFont="1" applyFill="1" applyBorder="1" applyAlignment="1" applyProtection="1">
      <alignment horizontal="center" vertical="center" wrapText="1"/>
    </xf>
    <xf numFmtId="169" fontId="23" fillId="33" borderId="183" xfId="0" applyNumberFormat="1" applyFont="1" applyFill="1" applyBorder="1" applyAlignment="1" applyProtection="1">
      <alignment horizontal="center" vertical="center" wrapText="1"/>
    </xf>
    <xf numFmtId="0" fontId="21" fillId="46" borderId="107" xfId="0" applyFont="1" applyFill="1" applyBorder="1" applyAlignment="1" applyProtection="1">
      <alignment horizontal="center" vertical="center" wrapText="1"/>
    </xf>
    <xf numFmtId="0" fontId="21" fillId="46" borderId="57" xfId="0" applyFont="1" applyFill="1" applyBorder="1" applyAlignment="1" applyProtection="1">
      <alignment horizontal="center" vertical="center" wrapText="1"/>
    </xf>
    <xf numFmtId="0" fontId="22" fillId="15" borderId="62" xfId="0" applyFont="1" applyFill="1" applyBorder="1" applyAlignment="1" applyProtection="1">
      <alignment horizontal="center" vertical="center" wrapText="1"/>
    </xf>
    <xf numFmtId="0" fontId="22" fillId="15" borderId="131" xfId="0" applyFont="1" applyFill="1" applyBorder="1" applyAlignment="1" applyProtection="1">
      <alignment horizontal="center" vertical="center" wrapText="1"/>
    </xf>
    <xf numFmtId="0" fontId="21" fillId="46" borderId="230" xfId="0" applyFont="1" applyFill="1" applyBorder="1" applyAlignment="1" applyProtection="1">
      <alignment horizontal="center" vertical="center" wrapText="1"/>
    </xf>
    <xf numFmtId="0" fontId="21" fillId="0" borderId="107" xfId="0" applyFont="1" applyFill="1" applyBorder="1" applyAlignment="1" applyProtection="1">
      <alignment horizontal="center" vertical="center" wrapText="1"/>
    </xf>
    <xf numFmtId="0" fontId="21" fillId="0" borderId="230" xfId="0" applyFont="1" applyFill="1" applyBorder="1" applyAlignment="1" applyProtection="1">
      <alignment horizontal="center" vertical="center" wrapText="1"/>
    </xf>
    <xf numFmtId="0" fontId="21" fillId="0" borderId="132" xfId="0" applyFont="1" applyFill="1" applyBorder="1" applyAlignment="1" applyProtection="1">
      <alignment horizontal="center" vertical="center" wrapText="1"/>
    </xf>
    <xf numFmtId="0" fontId="21" fillId="0" borderId="133" xfId="0" applyFont="1" applyFill="1" applyBorder="1" applyAlignment="1" applyProtection="1">
      <alignment horizontal="center" vertical="center" wrapText="1"/>
    </xf>
    <xf numFmtId="0" fontId="21" fillId="0" borderId="134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16" borderId="98" xfId="0" applyFont="1" applyFill="1" applyBorder="1" applyAlignment="1" applyProtection="1">
      <alignment horizontal="center" vertical="center" wrapText="1"/>
    </xf>
    <xf numFmtId="0" fontId="22" fillId="16" borderId="211" xfId="0" applyFont="1" applyFill="1" applyBorder="1" applyAlignment="1" applyProtection="1">
      <alignment horizontal="center" vertical="center" wrapText="1"/>
    </xf>
    <xf numFmtId="169" fontId="23" fillId="33" borderId="234" xfId="0" applyNumberFormat="1" applyFont="1" applyFill="1" applyBorder="1" applyAlignment="1" applyProtection="1">
      <alignment horizontal="center" vertical="center" wrapText="1"/>
    </xf>
    <xf numFmtId="169" fontId="23" fillId="33" borderId="235" xfId="0" applyNumberFormat="1" applyFont="1" applyFill="1" applyBorder="1" applyAlignment="1" applyProtection="1">
      <alignment horizontal="center" vertical="center" wrapText="1"/>
    </xf>
    <xf numFmtId="169" fontId="23" fillId="33" borderId="236" xfId="0" applyNumberFormat="1" applyFont="1" applyFill="1" applyBorder="1" applyAlignment="1" applyProtection="1">
      <alignment horizontal="center" vertical="center" wrapText="1"/>
    </xf>
    <xf numFmtId="0" fontId="22" fillId="15" borderId="107" xfId="0" applyFont="1" applyFill="1" applyBorder="1" applyAlignment="1" applyProtection="1">
      <alignment horizontal="center" vertical="center" wrapText="1"/>
    </xf>
    <xf numFmtId="0" fontId="22" fillId="16" borderId="142" xfId="0" applyFont="1" applyFill="1" applyBorder="1" applyAlignment="1" applyProtection="1">
      <alignment horizontal="center" vertical="center" wrapText="1"/>
    </xf>
    <xf numFmtId="0" fontId="22" fillId="16" borderId="23" xfId="0" applyFont="1" applyFill="1" applyBorder="1" applyAlignment="1" applyProtection="1">
      <alignment horizontal="center" vertical="center" wrapText="1"/>
    </xf>
    <xf numFmtId="0" fontId="22" fillId="15" borderId="155" xfId="0" applyFont="1" applyFill="1" applyBorder="1" applyAlignment="1" applyProtection="1">
      <alignment horizontal="center" vertical="center" wrapText="1"/>
    </xf>
    <xf numFmtId="0" fontId="22" fillId="15" borderId="137" xfId="0" applyFont="1" applyFill="1" applyBorder="1" applyAlignment="1" applyProtection="1">
      <alignment horizontal="center" vertical="center" wrapText="1"/>
    </xf>
    <xf numFmtId="0" fontId="21" fillId="0" borderId="155" xfId="0" applyFont="1" applyFill="1" applyBorder="1" applyAlignment="1" applyProtection="1">
      <alignment horizontal="center" vertical="center" wrapText="1"/>
    </xf>
    <xf numFmtId="0" fontId="21" fillId="0" borderId="137" xfId="0" applyFont="1" applyFill="1" applyBorder="1" applyAlignment="1" applyProtection="1">
      <alignment horizontal="center" vertical="center" wrapText="1"/>
    </xf>
    <xf numFmtId="0" fontId="22" fillId="13" borderId="153" xfId="0" applyFont="1" applyFill="1" applyBorder="1" applyAlignment="1" applyProtection="1">
      <alignment horizontal="center" vertical="center"/>
      <protection locked="0"/>
    </xf>
    <xf numFmtId="0" fontId="22" fillId="13" borderId="154" xfId="0" applyFont="1" applyFill="1" applyBorder="1" applyAlignment="1" applyProtection="1">
      <alignment horizontal="center" vertical="center"/>
      <protection locked="0"/>
    </xf>
    <xf numFmtId="0" fontId="21" fillId="46" borderId="62" xfId="0" applyFont="1" applyFill="1" applyBorder="1" applyAlignment="1" applyProtection="1">
      <alignment horizontal="center" vertical="center" wrapText="1"/>
    </xf>
    <xf numFmtId="0" fontId="21" fillId="46" borderId="77" xfId="0" applyFont="1" applyFill="1" applyBorder="1" applyAlignment="1" applyProtection="1">
      <alignment horizontal="center" vertical="center" wrapText="1"/>
    </xf>
    <xf numFmtId="0" fontId="21" fillId="46" borderId="64" xfId="0" applyFont="1" applyFill="1" applyBorder="1" applyAlignment="1" applyProtection="1">
      <alignment horizontal="center" vertical="center" wrapText="1"/>
    </xf>
    <xf numFmtId="0" fontId="33" fillId="36" borderId="220" xfId="0" applyFont="1" applyFill="1" applyBorder="1" applyAlignment="1">
      <alignment horizontal="center" vertical="center" wrapText="1"/>
    </xf>
    <xf numFmtId="0" fontId="33" fillId="36" borderId="111" xfId="0" applyFont="1" applyFill="1" applyBorder="1" applyAlignment="1">
      <alignment horizontal="center" vertical="center" wrapText="1"/>
    </xf>
    <xf numFmtId="0" fontId="30" fillId="50" borderId="257" xfId="0" applyFont="1" applyFill="1" applyBorder="1" applyAlignment="1">
      <alignment horizontal="center" vertical="center" wrapText="1"/>
    </xf>
    <xf numFmtId="0" fontId="30" fillId="50" borderId="217" xfId="0" applyFont="1" applyFill="1" applyBorder="1" applyAlignment="1">
      <alignment horizontal="center" vertical="center" wrapText="1"/>
    </xf>
    <xf numFmtId="167" fontId="12" fillId="18" borderId="247" xfId="13" applyFont="1" applyFill="1" applyBorder="1" applyAlignment="1" applyProtection="1">
      <alignment horizontal="center" vertical="center" wrapText="1"/>
    </xf>
    <xf numFmtId="167" fontId="12" fillId="18" borderId="214" xfId="13" applyFont="1" applyFill="1" applyBorder="1" applyAlignment="1" applyProtection="1">
      <alignment horizontal="center" vertical="center" wrapText="1"/>
    </xf>
    <xf numFmtId="0" fontId="10" fillId="15" borderId="277" xfId="0" applyFont="1" applyFill="1" applyBorder="1" applyAlignment="1" applyProtection="1">
      <alignment horizontal="center" vertical="center"/>
    </xf>
    <xf numFmtId="0" fontId="10" fillId="15" borderId="28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22" fillId="12" borderId="42" xfId="0" applyFont="1" applyFill="1" applyBorder="1" applyAlignment="1" applyProtection="1">
      <alignment horizontal="center" vertical="center"/>
      <protection locked="0"/>
    </xf>
    <xf numFmtId="0" fontId="22" fillId="12" borderId="28" xfId="0" applyFont="1" applyFill="1" applyBorder="1" applyAlignment="1" applyProtection="1">
      <alignment horizontal="center" vertical="center"/>
      <protection locked="0"/>
    </xf>
    <xf numFmtId="0" fontId="33" fillId="36" borderId="220" xfId="0" applyFont="1" applyFill="1" applyBorder="1" applyAlignment="1">
      <alignment horizontal="center" vertical="center"/>
    </xf>
    <xf numFmtId="0" fontId="33" fillId="36" borderId="111" xfId="0" applyFont="1" applyFill="1" applyBorder="1" applyAlignment="1">
      <alignment horizontal="center" vertical="center"/>
    </xf>
    <xf numFmtId="175" fontId="23" fillId="29" borderId="0" xfId="12" applyNumberFormat="1" applyFont="1" applyFill="1" applyBorder="1" applyAlignment="1">
      <alignment horizontal="right" vertical="center" wrapText="1"/>
    </xf>
    <xf numFmtId="175" fontId="23" fillId="29" borderId="53" xfId="12" applyNumberFormat="1" applyFont="1" applyFill="1" applyBorder="1" applyAlignment="1">
      <alignment horizontal="right" vertical="center" wrapText="1"/>
    </xf>
    <xf numFmtId="0" fontId="22" fillId="0" borderId="225" xfId="0" applyFont="1" applyBorder="1" applyAlignment="1">
      <alignment horizontal="center" vertical="top" wrapText="1"/>
    </xf>
    <xf numFmtId="0" fontId="22" fillId="0" borderId="226" xfId="0" applyFont="1" applyBorder="1" applyAlignment="1">
      <alignment horizontal="center" vertical="top" wrapText="1"/>
    </xf>
    <xf numFmtId="0" fontId="22" fillId="0" borderId="110" xfId="0" applyFont="1" applyBorder="1" applyAlignment="1">
      <alignment horizontal="center" vertical="top" wrapText="1"/>
    </xf>
    <xf numFmtId="0" fontId="12" fillId="17" borderId="276" xfId="0" applyFont="1" applyFill="1" applyBorder="1" applyAlignment="1" applyProtection="1">
      <alignment horizontal="center" vertical="center"/>
    </xf>
    <xf numFmtId="0" fontId="12" fillId="17" borderId="279" xfId="0" applyFont="1" applyFill="1" applyBorder="1" applyAlignment="1" applyProtection="1">
      <alignment horizontal="center" vertical="center"/>
    </xf>
    <xf numFmtId="0" fontId="10" fillId="16" borderId="275" xfId="0" applyFont="1" applyFill="1" applyBorder="1" applyAlignment="1" applyProtection="1">
      <alignment horizontal="center" vertical="center"/>
    </xf>
    <xf numFmtId="0" fontId="10" fillId="16" borderId="278" xfId="0" applyFont="1" applyFill="1" applyBorder="1" applyAlignment="1" applyProtection="1">
      <alignment horizontal="center" vertical="center"/>
    </xf>
    <xf numFmtId="0" fontId="10" fillId="17" borderId="246" xfId="0" applyFont="1" applyFill="1" applyBorder="1" applyAlignment="1" applyProtection="1">
      <alignment horizontal="center" vertical="center"/>
    </xf>
    <xf numFmtId="0" fontId="10" fillId="16" borderId="246" xfId="0" applyFont="1" applyFill="1" applyBorder="1" applyAlignment="1" applyProtection="1">
      <alignment horizontal="center" vertical="center" wrapText="1"/>
    </xf>
    <xf numFmtId="0" fontId="10" fillId="16" borderId="228" xfId="0" applyFont="1" applyFill="1" applyBorder="1" applyAlignment="1" applyProtection="1">
      <alignment horizontal="center" vertical="center" wrapText="1"/>
    </xf>
    <xf numFmtId="167" fontId="12" fillId="18" borderId="152" xfId="13" applyFont="1" applyFill="1" applyBorder="1" applyAlignment="1">
      <alignment horizontal="center" vertical="center" wrapText="1"/>
    </xf>
    <xf numFmtId="167" fontId="12" fillId="18" borderId="84" xfId="13" applyFont="1" applyFill="1" applyBorder="1" applyAlignment="1">
      <alignment horizontal="center" vertical="center" wrapText="1"/>
    </xf>
    <xf numFmtId="0" fontId="22" fillId="0" borderId="288" xfId="0" applyFont="1" applyBorder="1" applyAlignment="1">
      <alignment horizontal="center" vertical="top" wrapText="1"/>
    </xf>
    <xf numFmtId="0" fontId="10" fillId="16" borderId="275" xfId="0" applyFont="1" applyFill="1" applyBorder="1" applyAlignment="1">
      <alignment horizontal="center" vertical="center"/>
    </xf>
    <xf numFmtId="0" fontId="10" fillId="16" borderId="278" xfId="0" applyFont="1" applyFill="1" applyBorder="1" applyAlignment="1">
      <alignment horizontal="center" vertical="center"/>
    </xf>
    <xf numFmtId="0" fontId="12" fillId="17" borderId="276" xfId="0" applyFont="1" applyFill="1" applyBorder="1" applyAlignment="1">
      <alignment horizontal="center" vertical="center"/>
    </xf>
    <xf numFmtId="0" fontId="12" fillId="17" borderId="279" xfId="0" applyFont="1" applyFill="1" applyBorder="1" applyAlignment="1">
      <alignment horizontal="center" vertical="center"/>
    </xf>
    <xf numFmtId="0" fontId="10" fillId="15" borderId="277" xfId="0" applyFont="1" applyFill="1" applyBorder="1" applyAlignment="1">
      <alignment horizontal="center" vertical="center"/>
    </xf>
    <xf numFmtId="0" fontId="10" fillId="15" borderId="280" xfId="0" applyFont="1" applyFill="1" applyBorder="1" applyAlignment="1">
      <alignment horizontal="center" vertical="center"/>
    </xf>
    <xf numFmtId="0" fontId="10" fillId="16" borderId="246" xfId="0" applyFont="1" applyFill="1" applyBorder="1" applyAlignment="1">
      <alignment horizontal="center" vertical="center" wrapText="1"/>
    </xf>
    <xf numFmtId="0" fontId="10" fillId="16" borderId="228" xfId="0" applyFont="1" applyFill="1" applyBorder="1" applyAlignment="1">
      <alignment horizontal="center" vertical="center" wrapText="1"/>
    </xf>
    <xf numFmtId="0" fontId="10" fillId="17" borderId="246" xfId="0" applyFont="1" applyFill="1" applyBorder="1" applyAlignment="1">
      <alignment horizontal="center" vertical="center"/>
    </xf>
    <xf numFmtId="169" fontId="10" fillId="23" borderId="222" xfId="13" applyNumberFormat="1" applyFont="1" applyFill="1" applyBorder="1" applyAlignment="1">
      <alignment horizontal="center" vertical="center"/>
    </xf>
    <xf numFmtId="169" fontId="10" fillId="23" borderId="219" xfId="13" applyNumberFormat="1" applyFont="1" applyFill="1" applyBorder="1" applyAlignment="1">
      <alignment horizontal="center" vertical="center"/>
    </xf>
    <xf numFmtId="169" fontId="10" fillId="20" borderId="218" xfId="13" applyNumberFormat="1" applyFont="1" applyFill="1" applyBorder="1" applyAlignment="1">
      <alignment horizontal="center" vertical="center"/>
    </xf>
    <xf numFmtId="169" fontId="10" fillId="20" borderId="222" xfId="13" applyNumberFormat="1" applyFont="1" applyFill="1" applyBorder="1" applyAlignment="1">
      <alignment horizontal="center" vertical="center"/>
    </xf>
    <xf numFmtId="169" fontId="10" fillId="20" borderId="219" xfId="1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22" fillId="48" borderId="141" xfId="0" applyFont="1" applyFill="1" applyBorder="1" applyAlignment="1" applyProtection="1">
      <alignment horizontal="center" vertical="center" textRotation="90" wrapText="1"/>
    </xf>
    <xf numFmtId="0" fontId="22" fillId="48" borderId="135" xfId="0" applyFont="1" applyFill="1" applyBorder="1" applyAlignment="1" applyProtection="1">
      <alignment horizontal="center" vertical="center" textRotation="90" wrapText="1"/>
    </xf>
    <xf numFmtId="0" fontId="22" fillId="48" borderId="60" xfId="0" applyFont="1" applyFill="1" applyBorder="1" applyAlignment="1" applyProtection="1">
      <alignment horizontal="center" vertical="center" textRotation="90" wrapText="1"/>
    </xf>
    <xf numFmtId="0" fontId="22" fillId="48" borderId="141" xfId="0" applyFont="1" applyFill="1" applyBorder="1" applyAlignment="1" applyProtection="1">
      <alignment horizontal="left" vertical="center" wrapText="1"/>
    </xf>
    <xf numFmtId="0" fontId="22" fillId="48" borderId="135" xfId="0" applyFont="1" applyFill="1" applyBorder="1" applyAlignment="1" applyProtection="1">
      <alignment horizontal="left" vertical="center" wrapText="1"/>
    </xf>
    <xf numFmtId="0" fontId="22" fillId="48" borderId="60" xfId="0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11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11" xfId="0" applyFont="1" applyFill="1" applyBorder="1" applyAlignment="1" applyProtection="1">
      <alignment horizontal="center" vertical="center" wrapText="1"/>
    </xf>
    <xf numFmtId="0" fontId="12" fillId="26" borderId="212" xfId="0" applyFont="1" applyFill="1" applyBorder="1" applyAlignment="1">
      <alignment horizontal="center" vertical="center" wrapText="1"/>
    </xf>
    <xf numFmtId="0" fontId="12" fillId="26" borderId="60" xfId="0" applyFont="1" applyFill="1" applyBorder="1" applyAlignment="1">
      <alignment horizontal="center" vertical="center" wrapText="1"/>
    </xf>
    <xf numFmtId="0" fontId="17" fillId="14" borderId="132" xfId="0" applyFont="1" applyFill="1" applyBorder="1" applyAlignment="1" applyProtection="1">
      <alignment horizontal="center" vertical="center"/>
    </xf>
    <xf numFmtId="0" fontId="17" fillId="14" borderId="142" xfId="0" applyFont="1" applyFill="1" applyBorder="1" applyAlignment="1" applyProtection="1">
      <alignment horizontal="center" vertical="center"/>
    </xf>
    <xf numFmtId="0" fontId="17" fillId="49" borderId="132" xfId="0" applyFont="1" applyFill="1" applyBorder="1" applyAlignment="1" applyProtection="1">
      <alignment horizontal="center" vertical="center"/>
    </xf>
    <xf numFmtId="0" fontId="17" fillId="49" borderId="108" xfId="0" applyFont="1" applyFill="1" applyBorder="1" applyAlignment="1" applyProtection="1">
      <alignment horizontal="center" vertical="center"/>
    </xf>
    <xf numFmtId="0" fontId="17" fillId="48" borderId="142" xfId="0" applyFont="1" applyFill="1" applyBorder="1" applyAlignment="1" applyProtection="1">
      <alignment horizontal="center" vertical="center"/>
    </xf>
    <xf numFmtId="0" fontId="17" fillId="48" borderId="108" xfId="0" applyFont="1" applyFill="1" applyBorder="1" applyAlignment="1" applyProtection="1">
      <alignment horizontal="center" vertical="center"/>
    </xf>
    <xf numFmtId="0" fontId="12" fillId="16" borderId="47" xfId="0" applyFont="1" applyFill="1" applyBorder="1" applyAlignment="1" applyProtection="1">
      <alignment horizontal="center" vertical="center" wrapText="1"/>
    </xf>
    <xf numFmtId="0" fontId="12" fillId="16" borderId="50" xfId="0" applyFont="1" applyFill="1" applyBorder="1" applyAlignment="1" applyProtection="1">
      <alignment horizontal="center" vertical="center" wrapText="1"/>
    </xf>
    <xf numFmtId="0" fontId="12" fillId="16" borderId="52" xfId="0" applyFont="1" applyFill="1" applyBorder="1" applyAlignment="1" applyProtection="1">
      <alignment horizontal="center" vertical="center" wrapText="1"/>
    </xf>
    <xf numFmtId="0" fontId="12" fillId="16" borderId="53" xfId="0" applyFont="1" applyFill="1" applyBorder="1" applyAlignment="1" applyProtection="1">
      <alignment horizontal="center" vertical="center" wrapText="1"/>
    </xf>
    <xf numFmtId="0" fontId="12" fillId="16" borderId="46" xfId="0" applyFont="1" applyFill="1" applyBorder="1" applyAlignment="1" applyProtection="1">
      <alignment horizontal="center" vertical="center"/>
    </xf>
    <xf numFmtId="0" fontId="12" fillId="16" borderId="13" xfId="0" applyFont="1" applyFill="1" applyBorder="1" applyAlignment="1" applyProtection="1">
      <alignment horizontal="center" vertical="center"/>
    </xf>
    <xf numFmtId="0" fontId="12" fillId="16" borderId="46" xfId="0" applyFont="1" applyFill="1" applyBorder="1" applyAlignment="1" applyProtection="1">
      <alignment horizontal="center" vertical="center" wrapText="1"/>
    </xf>
    <xf numFmtId="0" fontId="12" fillId="16" borderId="13" xfId="0" applyFont="1" applyFill="1" applyBorder="1" applyAlignment="1" applyProtection="1">
      <alignment horizontal="center" vertical="center" wrapText="1"/>
    </xf>
    <xf numFmtId="0" fontId="21" fillId="16" borderId="132" xfId="0" applyFont="1" applyFill="1" applyBorder="1" applyAlignment="1">
      <alignment horizontal="center" vertical="center"/>
    </xf>
    <xf numFmtId="0" fontId="21" fillId="16" borderId="210" xfId="0" applyFont="1" applyFill="1" applyBorder="1" applyAlignment="1">
      <alignment horizontal="center" vertical="center"/>
    </xf>
    <xf numFmtId="0" fontId="25" fillId="48" borderId="102" xfId="0" applyFont="1" applyFill="1" applyBorder="1" applyAlignment="1" applyProtection="1">
      <alignment horizontal="center" vertical="center" textRotation="90" wrapText="1"/>
    </xf>
    <xf numFmtId="0" fontId="25" fillId="48" borderId="91" xfId="0" applyFont="1" applyFill="1" applyBorder="1" applyAlignment="1" applyProtection="1">
      <alignment horizontal="center" vertical="center" textRotation="90" wrapText="1"/>
    </xf>
    <xf numFmtId="0" fontId="25" fillId="48" borderId="84" xfId="0" applyFont="1" applyFill="1" applyBorder="1" applyAlignment="1" applyProtection="1">
      <alignment horizontal="center" vertical="center" textRotation="90" wrapText="1"/>
    </xf>
    <xf numFmtId="0" fontId="22" fillId="12" borderId="103" xfId="0" applyFont="1" applyFill="1" applyBorder="1" applyAlignment="1" applyProtection="1">
      <alignment horizontal="left" vertical="center" wrapText="1"/>
      <protection locked="0"/>
    </xf>
    <xf numFmtId="0" fontId="22" fillId="12" borderId="104" xfId="0" applyFont="1" applyFill="1" applyBorder="1" applyAlignment="1" applyProtection="1">
      <alignment horizontal="left" vertical="center" wrapText="1"/>
      <protection locked="0"/>
    </xf>
    <xf numFmtId="0" fontId="22" fillId="12" borderId="101" xfId="0" applyFont="1" applyFill="1" applyBorder="1" applyAlignment="1" applyProtection="1">
      <alignment horizontal="left" vertical="center" wrapText="1"/>
      <protection locked="0"/>
    </xf>
    <xf numFmtId="0" fontId="22" fillId="12" borderId="97" xfId="0" applyFont="1" applyFill="1" applyBorder="1" applyAlignment="1" applyProtection="1">
      <alignment horizontal="left" vertical="center" wrapText="1"/>
      <protection locked="0"/>
    </xf>
    <xf numFmtId="0" fontId="22" fillId="12" borderId="135" xfId="0" applyFont="1" applyFill="1" applyBorder="1" applyAlignment="1" applyProtection="1">
      <alignment horizontal="left" vertical="center" wrapText="1"/>
      <protection locked="0"/>
    </xf>
    <xf numFmtId="0" fontId="22" fillId="12" borderId="99" xfId="0" applyFont="1" applyFill="1" applyBorder="1" applyAlignment="1" applyProtection="1">
      <alignment horizontal="left" vertical="center" wrapText="1"/>
      <protection locked="0"/>
    </xf>
    <xf numFmtId="0" fontId="22" fillId="12" borderId="60" xfId="0" applyFont="1" applyFill="1" applyBorder="1" applyAlignment="1" applyProtection="1">
      <alignment horizontal="left" vertical="center" wrapText="1"/>
      <protection locked="0"/>
    </xf>
    <xf numFmtId="0" fontId="12" fillId="16" borderId="141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</xf>
    <xf numFmtId="0" fontId="10" fillId="16" borderId="94" xfId="0" applyFont="1" applyFill="1" applyBorder="1" applyAlignment="1" applyProtection="1">
      <alignment horizontal="center" vertical="center" wrapText="1"/>
    </xf>
    <xf numFmtId="0" fontId="17" fillId="48" borderId="132" xfId="0" applyFont="1" applyFill="1" applyBorder="1" applyAlignment="1" applyProtection="1">
      <alignment horizontal="center" vertical="center"/>
    </xf>
    <xf numFmtId="0" fontId="9" fillId="14" borderId="134" xfId="0" applyFont="1" applyFill="1" applyBorder="1" applyAlignment="1" applyProtection="1">
      <alignment horizontal="center" vertical="center"/>
    </xf>
    <xf numFmtId="0" fontId="9" fillId="14" borderId="145" xfId="0" applyFont="1" applyFill="1" applyBorder="1" applyAlignment="1" applyProtection="1">
      <alignment horizontal="center" vertical="center"/>
    </xf>
    <xf numFmtId="0" fontId="17" fillId="14" borderId="107" xfId="0" applyFont="1" applyFill="1" applyBorder="1" applyAlignment="1" applyProtection="1">
      <alignment horizontal="center" vertical="center"/>
    </xf>
    <xf numFmtId="0" fontId="17" fillId="14" borderId="98" xfId="0" applyFont="1" applyFill="1" applyBorder="1" applyAlignment="1" applyProtection="1">
      <alignment horizontal="center" vertical="center"/>
    </xf>
    <xf numFmtId="0" fontId="17" fillId="49" borderId="107" xfId="0" applyFont="1" applyFill="1" applyBorder="1" applyAlignment="1" applyProtection="1">
      <alignment horizontal="center" vertical="center"/>
    </xf>
    <xf numFmtId="0" fontId="17" fillId="49" borderId="123" xfId="0" applyFont="1" applyFill="1" applyBorder="1" applyAlignment="1" applyProtection="1">
      <alignment horizontal="center" vertical="center"/>
    </xf>
    <xf numFmtId="0" fontId="17" fillId="48" borderId="109" xfId="0" applyFont="1" applyFill="1" applyBorder="1" applyAlignment="1" applyProtection="1">
      <alignment horizontal="center" vertical="center"/>
    </xf>
    <xf numFmtId="0" fontId="17" fillId="48" borderId="123" xfId="0" applyFont="1" applyFill="1" applyBorder="1" applyAlignment="1" applyProtection="1">
      <alignment horizontal="center" vertical="center"/>
    </xf>
    <xf numFmtId="0" fontId="17" fillId="14" borderId="108" xfId="0" applyFont="1" applyFill="1" applyBorder="1" applyAlignment="1" applyProtection="1">
      <alignment horizontal="center" vertical="center"/>
    </xf>
    <xf numFmtId="178" fontId="0" fillId="25" borderId="114" xfId="0" applyNumberFormat="1" applyFont="1" applyFill="1" applyBorder="1" applyAlignment="1" applyProtection="1">
      <alignment horizontal="center" vertical="center"/>
    </xf>
    <xf numFmtId="178" fontId="0" fillId="25" borderId="168" xfId="0" applyNumberFormat="1" applyFont="1" applyFill="1" applyBorder="1" applyAlignment="1" applyProtection="1">
      <alignment horizontal="center" vertical="center"/>
    </xf>
    <xf numFmtId="0" fontId="9" fillId="49" borderId="134" xfId="0" applyFont="1" applyFill="1" applyBorder="1" applyAlignment="1" applyProtection="1">
      <alignment horizontal="center" vertical="center"/>
    </xf>
    <xf numFmtId="0" fontId="9" fillId="49" borderId="145" xfId="0" applyFont="1" applyFill="1" applyBorder="1" applyAlignment="1" applyProtection="1">
      <alignment horizontal="center" vertical="center"/>
    </xf>
    <xf numFmtId="0" fontId="9" fillId="48" borderId="134" xfId="0" applyFont="1" applyFill="1" applyBorder="1" applyAlignment="1" applyProtection="1">
      <alignment horizontal="center" vertical="center"/>
    </xf>
    <xf numFmtId="0" fontId="9" fillId="48" borderId="145" xfId="0" applyFont="1" applyFill="1" applyBorder="1" applyAlignment="1" applyProtection="1">
      <alignment horizontal="center" vertical="center"/>
    </xf>
    <xf numFmtId="0" fontId="22" fillId="0" borderId="107" xfId="0" applyFont="1" applyFill="1" applyBorder="1" applyAlignment="1" applyProtection="1">
      <alignment horizontal="left" vertical="center" wrapText="1"/>
    </xf>
    <xf numFmtId="0" fontId="22" fillId="0" borderId="230" xfId="0" applyFont="1" applyFill="1" applyBorder="1" applyAlignment="1" applyProtection="1">
      <alignment horizontal="left" vertical="center" wrapText="1"/>
    </xf>
    <xf numFmtId="0" fontId="22" fillId="16" borderId="107" xfId="0" applyFont="1" applyFill="1" applyBorder="1" applyAlignment="1" applyProtection="1">
      <alignment horizontal="center" vertical="center"/>
    </xf>
    <xf numFmtId="0" fontId="22" fillId="16" borderId="246" xfId="0" applyFont="1" applyFill="1" applyBorder="1" applyAlignment="1" applyProtection="1">
      <alignment horizontal="center" vertical="center"/>
    </xf>
    <xf numFmtId="0" fontId="22" fillId="16" borderId="247" xfId="0" applyFont="1" applyFill="1" applyBorder="1" applyAlignment="1" applyProtection="1">
      <alignment horizontal="center" vertical="center"/>
    </xf>
    <xf numFmtId="0" fontId="22" fillId="0" borderId="298" xfId="0" applyFont="1" applyFill="1" applyBorder="1" applyAlignment="1" applyProtection="1">
      <alignment horizontal="left" vertical="center" wrapText="1"/>
    </xf>
    <xf numFmtId="0" fontId="22" fillId="12" borderId="18" xfId="0" applyFont="1" applyFill="1" applyBorder="1" applyAlignment="1" applyProtection="1">
      <alignment horizontal="center" vertical="center"/>
      <protection locked="0"/>
    </xf>
    <xf numFmtId="0" fontId="22" fillId="12" borderId="19" xfId="0" applyFont="1" applyFill="1" applyBorder="1" applyAlignment="1" applyProtection="1">
      <alignment horizontal="center" vertical="center"/>
      <protection locked="0"/>
    </xf>
    <xf numFmtId="169" fontId="22" fillId="17" borderId="107" xfId="0" applyNumberFormat="1" applyFont="1" applyFill="1" applyBorder="1" applyAlignment="1" applyProtection="1">
      <alignment horizontal="center" vertical="center" wrapText="1"/>
    </xf>
    <xf numFmtId="169" fontId="22" fillId="17" borderId="246" xfId="0" applyNumberFormat="1" applyFont="1" applyFill="1" applyBorder="1" applyAlignment="1" applyProtection="1">
      <alignment horizontal="center" vertical="center" wrapText="1"/>
    </xf>
    <xf numFmtId="169" fontId="22" fillId="17" borderId="247" xfId="0" applyNumberFormat="1" applyFont="1" applyFill="1" applyBorder="1" applyAlignment="1" applyProtection="1">
      <alignment horizontal="center" vertical="center" wrapText="1"/>
    </xf>
    <xf numFmtId="169" fontId="23" fillId="33" borderId="246" xfId="0" applyNumberFormat="1" applyFont="1" applyFill="1" applyBorder="1" applyAlignment="1" applyProtection="1">
      <alignment horizontal="center" vertical="center" wrapText="1"/>
    </xf>
    <xf numFmtId="169" fontId="23" fillId="33" borderId="247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107" xfId="0" applyFont="1" applyFill="1" applyBorder="1" applyAlignment="1" applyProtection="1">
      <alignment horizontal="center" vertical="center" wrapText="1"/>
    </xf>
    <xf numFmtId="0" fontId="12" fillId="15" borderId="295" xfId="0" applyFont="1" applyFill="1" applyBorder="1" applyAlignment="1" applyProtection="1">
      <alignment horizontal="center" vertical="center" wrapText="1"/>
    </xf>
    <xf numFmtId="0" fontId="12" fillId="15" borderId="299" xfId="0" applyFont="1" applyFill="1" applyBorder="1" applyAlignment="1" applyProtection="1">
      <alignment horizontal="center" vertical="center" wrapText="1"/>
    </xf>
    <xf numFmtId="0" fontId="12" fillId="15" borderId="300" xfId="0" applyFont="1" applyFill="1" applyBorder="1" applyAlignment="1" applyProtection="1">
      <alignment horizontal="center" vertical="center" wrapText="1"/>
    </xf>
    <xf numFmtId="0" fontId="22" fillId="11" borderId="150" xfId="0" applyFont="1" applyFill="1" applyBorder="1" applyAlignment="1" applyProtection="1">
      <alignment horizontal="center" vertical="center" wrapText="1"/>
    </xf>
    <xf numFmtId="0" fontId="22" fillId="11" borderId="139" xfId="0" applyFont="1" applyFill="1" applyBorder="1" applyAlignment="1" applyProtection="1">
      <alignment horizontal="center" vertical="center" wrapText="1"/>
    </xf>
    <xf numFmtId="0" fontId="22" fillId="11" borderId="140" xfId="0" applyFont="1" applyFill="1" applyBorder="1" applyAlignment="1" applyProtection="1">
      <alignment horizontal="center" vertical="center" wrapText="1"/>
    </xf>
    <xf numFmtId="178" fontId="22" fillId="28" borderId="141" xfId="0" applyNumberFormat="1" applyFont="1" applyFill="1" applyBorder="1" applyAlignment="1" applyProtection="1">
      <alignment horizontal="right" vertical="center"/>
    </xf>
    <xf numFmtId="178" fontId="22" fillId="28" borderId="99" xfId="0" applyNumberFormat="1" applyFont="1" applyFill="1" applyBorder="1" applyAlignment="1" applyProtection="1">
      <alignment horizontal="right" vertical="center"/>
    </xf>
    <xf numFmtId="178" fontId="22" fillId="28" borderId="6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45" xfId="0" applyFont="1" applyFill="1" applyBorder="1" applyAlignment="1" applyProtection="1">
      <alignment horizontal="center" vertical="center" wrapText="1"/>
    </xf>
    <xf numFmtId="0" fontId="12" fillId="16" borderId="158" xfId="0" applyFont="1" applyFill="1" applyBorder="1" applyAlignment="1" applyProtection="1">
      <alignment horizontal="center" vertical="center" wrapText="1"/>
    </xf>
    <xf numFmtId="0" fontId="12" fillId="16" borderId="329" xfId="0" applyFont="1" applyFill="1" applyBorder="1" applyAlignment="1" applyProtection="1">
      <alignment horizontal="center" vertical="center"/>
    </xf>
    <xf numFmtId="0" fontId="12" fillId="16" borderId="331" xfId="0" applyFont="1" applyFill="1" applyBorder="1" applyAlignment="1" applyProtection="1">
      <alignment horizontal="center" vertical="center"/>
    </xf>
    <xf numFmtId="0" fontId="12" fillId="16" borderId="329" xfId="0" applyFont="1" applyFill="1" applyBorder="1" applyAlignment="1" applyProtection="1">
      <alignment horizontal="center" vertical="center" wrapText="1"/>
    </xf>
    <xf numFmtId="0" fontId="12" fillId="16" borderId="331" xfId="0" applyFont="1" applyFill="1" applyBorder="1" applyAlignment="1" applyProtection="1">
      <alignment horizontal="center" vertical="center" wrapText="1"/>
    </xf>
    <xf numFmtId="0" fontId="12" fillId="26" borderId="141" xfId="0" applyFont="1" applyFill="1" applyBorder="1" applyAlignment="1" applyProtection="1">
      <alignment horizontal="center" vertical="center" wrapText="1"/>
    </xf>
    <xf numFmtId="0" fontId="12" fillId="26" borderId="99" xfId="0" applyFont="1" applyFill="1" applyBorder="1" applyAlignment="1" applyProtection="1">
      <alignment horizontal="center" vertical="center" wrapText="1"/>
    </xf>
    <xf numFmtId="0" fontId="22" fillId="11" borderId="225" xfId="0" applyFont="1" applyFill="1" applyBorder="1" applyAlignment="1" applyProtection="1">
      <alignment horizontal="center" vertical="center" wrapText="1"/>
    </xf>
    <xf numFmtId="0" fontId="22" fillId="11" borderId="226" xfId="0" applyFont="1" applyFill="1" applyBorder="1" applyAlignment="1" applyProtection="1">
      <alignment horizontal="center" vertical="center" wrapText="1"/>
    </xf>
    <xf numFmtId="0" fontId="12" fillId="16" borderId="330" xfId="0" applyFont="1" applyFill="1" applyBorder="1" applyAlignment="1" applyProtection="1">
      <alignment horizontal="center" vertical="center" wrapText="1"/>
    </xf>
    <xf numFmtId="0" fontId="12" fillId="16" borderId="332" xfId="0" applyFont="1" applyFill="1" applyBorder="1" applyAlignment="1" applyProtection="1">
      <alignment horizontal="center" vertical="center" wrapText="1"/>
    </xf>
    <xf numFmtId="0" fontId="22" fillId="11" borderId="110" xfId="0" applyFont="1" applyFill="1" applyBorder="1" applyAlignment="1" applyProtection="1">
      <alignment horizontal="center" vertical="center" wrapText="1"/>
    </xf>
    <xf numFmtId="178" fontId="22" fillId="28" borderId="212" xfId="0" applyNumberFormat="1" applyFont="1" applyFill="1" applyBorder="1" applyAlignment="1" applyProtection="1">
      <alignment horizontal="right" vertical="center"/>
    </xf>
    <xf numFmtId="178" fontId="22" fillId="28" borderId="135" xfId="0" applyNumberFormat="1" applyFont="1" applyFill="1" applyBorder="1" applyAlignment="1" applyProtection="1">
      <alignment horizontal="right" vertical="center"/>
    </xf>
    <xf numFmtId="0" fontId="12" fillId="16" borderId="139" xfId="0" applyFont="1" applyFill="1" applyBorder="1" applyAlignment="1" applyProtection="1">
      <alignment horizontal="center" vertical="center" wrapText="1"/>
    </xf>
    <xf numFmtId="0" fontId="12" fillId="16" borderId="111" xfId="0" applyFont="1" applyFill="1" applyBorder="1" applyAlignment="1" applyProtection="1">
      <alignment horizontal="center" vertical="center"/>
    </xf>
    <xf numFmtId="0" fontId="12" fillId="16" borderId="159" xfId="0" applyFont="1" applyFill="1" applyBorder="1" applyAlignment="1" applyProtection="1">
      <alignment horizontal="center" vertical="center"/>
    </xf>
    <xf numFmtId="0" fontId="12" fillId="16" borderId="111" xfId="0" applyFont="1" applyFill="1" applyBorder="1" applyAlignment="1" applyProtection="1">
      <alignment horizontal="center" vertical="center" wrapText="1"/>
    </xf>
    <xf numFmtId="0" fontId="12" fillId="16" borderId="159" xfId="0" applyFont="1" applyFill="1" applyBorder="1" applyAlignment="1" applyProtection="1">
      <alignment horizontal="center" vertical="center" wrapText="1"/>
    </xf>
    <xf numFmtId="0" fontId="12" fillId="16" borderId="138" xfId="0" applyFont="1" applyFill="1" applyBorder="1" applyAlignment="1" applyProtection="1">
      <alignment horizontal="center" vertical="center" wrapText="1"/>
    </xf>
    <xf numFmtId="0" fontId="12" fillId="16" borderId="149" xfId="0" applyFont="1" applyFill="1" applyBorder="1" applyAlignment="1" applyProtection="1">
      <alignment horizontal="center" vertical="center" wrapText="1"/>
    </xf>
    <xf numFmtId="0" fontId="21" fillId="0" borderId="207" xfId="0" applyFont="1" applyFill="1" applyBorder="1" applyAlignment="1" applyProtection="1">
      <alignment horizontal="center" vertical="center" wrapText="1"/>
    </xf>
    <xf numFmtId="0" fontId="21" fillId="0" borderId="189" xfId="0" applyFont="1" applyFill="1" applyBorder="1" applyAlignment="1" applyProtection="1">
      <alignment horizontal="center" vertical="center" wrapText="1"/>
    </xf>
    <xf numFmtId="0" fontId="21" fillId="0" borderId="118" xfId="0" applyFont="1" applyFill="1" applyBorder="1" applyAlignment="1" applyProtection="1">
      <alignment horizontal="center" vertical="center" wrapText="1"/>
    </xf>
    <xf numFmtId="0" fontId="22" fillId="15" borderId="176" xfId="0" applyFont="1" applyFill="1" applyBorder="1" applyAlignment="1" applyProtection="1">
      <alignment horizontal="center" vertical="center" wrapText="1"/>
    </xf>
    <xf numFmtId="0" fontId="22" fillId="15" borderId="189" xfId="0" applyFont="1" applyFill="1" applyBorder="1" applyAlignment="1" applyProtection="1">
      <alignment horizontal="center" vertical="center" wrapText="1"/>
    </xf>
    <xf numFmtId="0" fontId="22" fillId="15" borderId="198" xfId="0" applyFont="1" applyFill="1" applyBorder="1" applyAlignment="1" applyProtection="1">
      <alignment horizontal="center" vertical="center" wrapText="1"/>
    </xf>
    <xf numFmtId="0" fontId="22" fillId="15" borderId="115" xfId="0" applyFont="1" applyFill="1" applyBorder="1" applyAlignment="1" applyProtection="1">
      <alignment horizontal="center" vertical="center" wrapText="1"/>
    </xf>
    <xf numFmtId="0" fontId="12" fillId="16" borderId="199" xfId="0" applyFont="1" applyFill="1" applyBorder="1" applyAlignment="1" applyProtection="1">
      <alignment horizontal="center" vertical="center"/>
    </xf>
    <xf numFmtId="0" fontId="12" fillId="16" borderId="200" xfId="0" applyFont="1" applyFill="1" applyBorder="1" applyAlignment="1" applyProtection="1">
      <alignment horizontal="center" vertical="center"/>
    </xf>
    <xf numFmtId="169" fontId="23" fillId="33" borderId="176" xfId="0" applyNumberFormat="1" applyFont="1" applyFill="1" applyBorder="1" applyAlignment="1" applyProtection="1">
      <alignment horizontal="center" vertical="center" wrapText="1"/>
    </xf>
    <xf numFmtId="169" fontId="23" fillId="33" borderId="174" xfId="0" applyNumberFormat="1" applyFont="1" applyFill="1" applyBorder="1" applyAlignment="1" applyProtection="1">
      <alignment horizontal="center" vertical="center" wrapText="1"/>
    </xf>
    <xf numFmtId="169" fontId="23" fillId="33" borderId="177" xfId="0" applyNumberFormat="1" applyFont="1" applyFill="1" applyBorder="1" applyAlignment="1" applyProtection="1">
      <alignment horizontal="center" vertical="center" wrapText="1"/>
    </xf>
    <xf numFmtId="169" fontId="12" fillId="17" borderId="173" xfId="0" applyNumberFormat="1" applyFont="1" applyFill="1" applyBorder="1" applyAlignment="1" applyProtection="1">
      <alignment horizontal="center" vertical="center" wrapText="1"/>
    </xf>
    <xf numFmtId="169" fontId="12" fillId="17" borderId="174" xfId="0" applyNumberFormat="1" applyFont="1" applyFill="1" applyBorder="1" applyAlignment="1" applyProtection="1">
      <alignment horizontal="center" vertical="center" wrapText="1"/>
    </xf>
    <xf numFmtId="169" fontId="12" fillId="17" borderId="175" xfId="0" applyNumberFormat="1" applyFont="1" applyFill="1" applyBorder="1" applyAlignment="1" applyProtection="1">
      <alignment horizontal="center" vertical="center" wrapText="1"/>
    </xf>
    <xf numFmtId="0" fontId="12" fillId="16" borderId="206" xfId="0" applyFont="1" applyFill="1" applyBorder="1" applyAlignment="1" applyProtection="1">
      <alignment horizontal="center" vertical="center" wrapText="1"/>
    </xf>
    <xf numFmtId="0" fontId="12" fillId="16" borderId="91" xfId="0" applyFont="1" applyFill="1" applyBorder="1" applyAlignment="1" applyProtection="1">
      <alignment horizontal="center" vertical="center" wrapText="1"/>
    </xf>
    <xf numFmtId="0" fontId="12" fillId="16" borderId="203" xfId="0" applyFont="1" applyFill="1" applyBorder="1" applyAlignment="1" applyProtection="1">
      <alignment horizontal="center" vertical="center" wrapText="1"/>
    </xf>
    <xf numFmtId="0" fontId="12" fillId="16" borderId="116" xfId="0" applyFont="1" applyFill="1" applyBorder="1" applyAlignment="1" applyProtection="1">
      <alignment horizontal="center" vertical="center" wrapText="1"/>
    </xf>
    <xf numFmtId="0" fontId="22" fillId="12" borderId="15" xfId="0" applyFont="1" applyFill="1" applyBorder="1" applyAlignment="1" applyProtection="1">
      <alignment horizontal="center" vertical="center"/>
      <protection locked="0"/>
    </xf>
    <xf numFmtId="0" fontId="22" fillId="12" borderId="16" xfId="0" applyFont="1" applyFill="1" applyBorder="1" applyAlignment="1" applyProtection="1">
      <alignment horizontal="center" vertical="center"/>
      <protection locked="0"/>
    </xf>
    <xf numFmtId="0" fontId="12" fillId="16" borderId="201" xfId="0" applyFont="1" applyFill="1" applyBorder="1" applyAlignment="1" applyProtection="1">
      <alignment horizontal="center" vertical="center"/>
    </xf>
    <xf numFmtId="0" fontId="12" fillId="16" borderId="202" xfId="0" applyFont="1" applyFill="1" applyBorder="1" applyAlignment="1" applyProtection="1">
      <alignment horizontal="center" vertical="center"/>
    </xf>
    <xf numFmtId="0" fontId="0" fillId="37" borderId="39" xfId="0" applyFont="1" applyFill="1" applyBorder="1" applyAlignment="1" applyProtection="1">
      <alignment horizontal="left" vertical="center" wrapText="1"/>
    </xf>
    <xf numFmtId="0" fontId="0" fillId="37" borderId="23" xfId="0" applyFont="1" applyFill="1" applyBorder="1" applyAlignment="1" applyProtection="1">
      <alignment horizontal="left" vertical="center" wrapText="1"/>
    </xf>
    <xf numFmtId="0" fontId="0" fillId="37" borderId="43" xfId="0" applyFont="1" applyFill="1" applyBorder="1" applyAlignment="1" applyProtection="1">
      <alignment horizontal="left" vertical="center" wrapText="1"/>
    </xf>
    <xf numFmtId="0" fontId="0" fillId="37" borderId="40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44" xfId="0" applyFont="1" applyFill="1" applyBorder="1" applyAlignment="1" applyProtection="1">
      <alignment horizontal="left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20" xfId="0" applyFont="1" applyFill="1" applyBorder="1" applyAlignment="1" applyProtection="1">
      <alignment horizontal="left" vertical="center" wrapText="1"/>
    </xf>
    <xf numFmtId="0" fontId="0" fillId="37" borderId="22" xfId="0" applyFont="1" applyFill="1" applyBorder="1" applyAlignment="1" applyProtection="1">
      <alignment horizontal="left" vertical="center" wrapText="1"/>
    </xf>
    <xf numFmtId="0" fontId="12" fillId="16" borderId="107" xfId="0" applyFont="1" applyFill="1" applyBorder="1" applyAlignment="1" applyProtection="1">
      <alignment horizontal="center" vertical="center"/>
    </xf>
    <xf numFmtId="0" fontId="12" fillId="16" borderId="183" xfId="0" applyFont="1" applyFill="1" applyBorder="1" applyAlignment="1" applyProtection="1">
      <alignment horizontal="center" vertical="center"/>
    </xf>
    <xf numFmtId="0" fontId="12" fillId="16" borderId="205" xfId="0" applyFont="1" applyFill="1" applyBorder="1" applyAlignment="1" applyProtection="1">
      <alignment horizontal="center" vertical="center"/>
    </xf>
    <xf numFmtId="0" fontId="22" fillId="12" borderId="100" xfId="0" applyFont="1" applyFill="1" applyBorder="1" applyAlignment="1" applyProtection="1">
      <alignment horizontal="center" vertical="center"/>
      <protection locked="0"/>
    </xf>
    <xf numFmtId="0" fontId="22" fillId="12" borderId="41" xfId="0" applyFont="1" applyFill="1" applyBorder="1" applyAlignment="1" applyProtection="1">
      <alignment horizontal="center" vertical="center"/>
      <protection locked="0"/>
    </xf>
  </cellXfs>
  <cellStyles count="3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1" builtinId="6"/>
    <cellStyle name="Millares 2" xfId="24" xr:uid="{00000000-0005-0000-0000-000011000000}"/>
    <cellStyle name="Moneda" xfId="13" builtinId="4"/>
    <cellStyle name="Moneda [0]" xfId="32" builtinId="7"/>
    <cellStyle name="Moneda [0] 2" xfId="33" xr:uid="{00000000-0005-0000-0000-000014000000}"/>
    <cellStyle name="Moneda 2" xfId="26" xr:uid="{00000000-0005-0000-0000-000015000000}"/>
    <cellStyle name="Moneda 3" xfId="25" xr:uid="{00000000-0005-0000-0000-000016000000}"/>
    <cellStyle name="Neutral" xfId="14" builtinId="28" customBuiltin="1"/>
    <cellStyle name="Normal" xfId="0" builtinId="0"/>
    <cellStyle name="Normal 2" xfId="27" xr:uid="{00000000-0005-0000-0000-000019000000}"/>
    <cellStyle name="Normal 3" xfId="28" xr:uid="{00000000-0005-0000-0000-00001A000000}"/>
    <cellStyle name="Normal 4" xfId="29" xr:uid="{00000000-0005-0000-0000-00001B000000}"/>
    <cellStyle name="Normal_Hoja1 2" xfId="34" xr:uid="{00000000-0005-0000-0000-00001C000000}"/>
    <cellStyle name="Note" xfId="15" xr:uid="{00000000-0005-0000-0000-00001D000000}"/>
    <cellStyle name="Porcentaje" xfId="16" builtinId="5"/>
    <cellStyle name="Porcentaje 2" xfId="30" xr:uid="{00000000-0005-0000-0000-00001F000000}"/>
    <cellStyle name="Status" xfId="17" xr:uid="{00000000-0005-0000-0000-000020000000}"/>
    <cellStyle name="Text" xfId="18" xr:uid="{00000000-0005-0000-0000-000021000000}"/>
    <cellStyle name="Warning" xfId="19" xr:uid="{00000000-0005-0000-0000-000022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0000CC"/>
      <color rgb="FFFF0909"/>
      <color rgb="FF000099"/>
      <color rgb="FF69D8FF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254005</xdr:colOff>
      <xdr:row>57</xdr:row>
      <xdr:rowOff>74083</xdr:rowOff>
    </xdr:from>
    <xdr:to>
      <xdr:col>16</xdr:col>
      <xdr:colOff>484339</xdr:colOff>
      <xdr:row>111</xdr:row>
      <xdr:rowOff>46701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EEBF693-29F0-432B-9139-E63B8F7D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5" y="912283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285755</xdr:colOff>
      <xdr:row>112</xdr:row>
      <xdr:rowOff>63499</xdr:rowOff>
    </xdr:from>
    <xdr:to>
      <xdr:col>8</xdr:col>
      <xdr:colOff>391395</xdr:colOff>
      <xdr:row>162</xdr:row>
      <xdr:rowOff>23326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7FA5E4-86DE-4406-A56D-C241194F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5" y="1784349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264589</xdr:colOff>
      <xdr:row>7</xdr:row>
      <xdr:rowOff>0</xdr:rowOff>
    </xdr:from>
    <xdr:to>
      <xdr:col>16</xdr:col>
      <xdr:colOff>497423</xdr:colOff>
      <xdr:row>55</xdr:row>
      <xdr:rowOff>136108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D87678A-5AF0-4450-ABE5-A1E8BCEE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589" y="111125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\FINANZAS\TARIFAS\PLANILLA%20TARIF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>
        <row r="5">
          <cell r="F5" t="str">
            <v>(DEPTO./DELEG.)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zoomScale="90" zoomScaleNormal="90" workbookViewId="0">
      <selection activeCell="R14" sqref="R14"/>
    </sheetView>
  </sheetViews>
  <sheetFormatPr baseColWidth="10" defaultColWidth="11.42578125" defaultRowHeight="12.75" x14ac:dyDescent="0.2"/>
  <cols>
    <col min="1" max="16384" width="11.42578125" style="85"/>
  </cols>
  <sheetData>
    <row r="1" spans="3:10" x14ac:dyDescent="0.2">
      <c r="J1" s="84"/>
    </row>
    <row r="2" spans="3:10" x14ac:dyDescent="0.2">
      <c r="J2" s="84" t="s">
        <v>83</v>
      </c>
    </row>
    <row r="3" spans="3:10" x14ac:dyDescent="0.2">
      <c r="J3" s="84"/>
    </row>
    <row r="5" spans="3:10" x14ac:dyDescent="0.2">
      <c r="C5" s="86"/>
      <c r="D5" s="86"/>
      <c r="E5" s="86"/>
      <c r="F5" s="86"/>
      <c r="G5" s="86"/>
      <c r="H5" s="86"/>
      <c r="I5" s="86"/>
      <c r="J5" s="86"/>
    </row>
    <row r="6" spans="3:10" x14ac:dyDescent="0.2">
      <c r="C6" s="86"/>
      <c r="D6" s="86"/>
      <c r="E6" s="86"/>
      <c r="F6" s="86"/>
      <c r="G6" s="86"/>
      <c r="H6" s="86"/>
      <c r="I6" s="86"/>
      <c r="J6" s="86"/>
    </row>
    <row r="7" spans="3:10" x14ac:dyDescent="0.2">
      <c r="C7" s="86"/>
      <c r="D7" s="86"/>
      <c r="E7" s="86"/>
      <c r="F7" s="86"/>
      <c r="G7" s="86"/>
      <c r="H7" s="86"/>
      <c r="I7" s="86"/>
      <c r="J7" s="86"/>
    </row>
    <row r="8" spans="3:10" x14ac:dyDescent="0.2">
      <c r="C8" s="86"/>
      <c r="D8" s="86"/>
      <c r="E8" s="86"/>
      <c r="F8" s="86"/>
      <c r="G8" s="86"/>
      <c r="H8" s="86"/>
      <c r="I8" s="86"/>
      <c r="J8" s="86"/>
    </row>
    <row r="9" spans="3:10" x14ac:dyDescent="0.2">
      <c r="C9" s="86"/>
      <c r="D9" s="86"/>
      <c r="E9" s="86"/>
      <c r="F9" s="86"/>
      <c r="G9" s="86"/>
      <c r="H9" s="86"/>
      <c r="I9" s="86"/>
      <c r="J9" s="86"/>
    </row>
    <row r="10" spans="3:10" x14ac:dyDescent="0.2">
      <c r="C10" s="86"/>
      <c r="D10" s="86"/>
      <c r="E10" s="86"/>
      <c r="F10" s="86"/>
      <c r="G10" s="86"/>
      <c r="H10" s="86"/>
      <c r="I10" s="86"/>
      <c r="J10" s="86"/>
    </row>
    <row r="11" spans="3:10" x14ac:dyDescent="0.2">
      <c r="C11" s="86"/>
      <c r="D11" s="86"/>
      <c r="E11" s="86"/>
      <c r="F11" s="86"/>
      <c r="G11" s="86"/>
      <c r="H11" s="86"/>
      <c r="I11" s="86"/>
      <c r="J11" s="86"/>
    </row>
    <row r="12" spans="3:10" x14ac:dyDescent="0.2">
      <c r="C12" s="86"/>
      <c r="D12" s="86"/>
      <c r="E12" s="86"/>
      <c r="F12" s="86"/>
      <c r="G12" s="86"/>
      <c r="H12" s="86"/>
      <c r="I12" s="86"/>
      <c r="J12" s="86"/>
    </row>
    <row r="13" spans="3:10" x14ac:dyDescent="0.2">
      <c r="C13" s="86"/>
      <c r="D13" s="86"/>
      <c r="E13" s="86"/>
      <c r="F13" s="86"/>
      <c r="G13" s="86"/>
      <c r="H13" s="86"/>
      <c r="I13" s="86"/>
      <c r="J13" s="86"/>
    </row>
    <row r="14" spans="3:10" x14ac:dyDescent="0.2">
      <c r="C14" s="86"/>
      <c r="D14" s="86"/>
      <c r="E14" s="86"/>
      <c r="F14" s="86"/>
      <c r="G14" s="86"/>
      <c r="H14" s="86"/>
      <c r="I14" s="86"/>
      <c r="J14" s="86"/>
    </row>
    <row r="15" spans="3:10" x14ac:dyDescent="0.2">
      <c r="C15" s="86"/>
      <c r="D15" s="86"/>
      <c r="E15" s="86"/>
      <c r="F15" s="86"/>
      <c r="G15" s="86"/>
      <c r="H15" s="86"/>
      <c r="I15" s="86"/>
      <c r="J15" s="86"/>
    </row>
    <row r="16" spans="3:10" x14ac:dyDescent="0.2">
      <c r="C16" s="86"/>
      <c r="D16" s="86"/>
      <c r="E16" s="86"/>
      <c r="F16" s="86"/>
      <c r="G16" s="86"/>
      <c r="H16" s="86"/>
      <c r="I16" s="86"/>
      <c r="J16" s="86"/>
    </row>
    <row r="17" spans="3:10" x14ac:dyDescent="0.2">
      <c r="C17" s="86"/>
      <c r="D17" s="86"/>
      <c r="E17" s="86"/>
      <c r="F17" s="86"/>
      <c r="G17" s="86"/>
      <c r="H17" s="86"/>
      <c r="I17" s="86"/>
      <c r="J17" s="86"/>
    </row>
    <row r="18" spans="3:10" x14ac:dyDescent="0.2">
      <c r="C18" s="86"/>
      <c r="D18" s="86"/>
      <c r="E18" s="86"/>
      <c r="F18" s="86"/>
      <c r="G18" s="86"/>
      <c r="H18" s="86"/>
      <c r="I18" s="86"/>
      <c r="J18" s="86"/>
    </row>
    <row r="19" spans="3:10" x14ac:dyDescent="0.2">
      <c r="C19" s="86"/>
      <c r="D19" s="86"/>
      <c r="E19" s="86"/>
      <c r="F19" s="86"/>
      <c r="G19" s="86"/>
      <c r="H19" s="86"/>
      <c r="I19" s="86"/>
      <c r="J19" s="86"/>
    </row>
    <row r="20" spans="3:10" x14ac:dyDescent="0.2">
      <c r="C20" s="86"/>
      <c r="D20" s="86"/>
      <c r="E20" s="86"/>
      <c r="F20" s="86"/>
      <c r="G20" s="86"/>
      <c r="H20" s="86"/>
      <c r="I20" s="86"/>
      <c r="J20" s="86"/>
    </row>
    <row r="21" spans="3:10" x14ac:dyDescent="0.2">
      <c r="C21" s="86"/>
      <c r="D21" s="86"/>
      <c r="E21" s="86"/>
      <c r="F21" s="86"/>
      <c r="G21" s="86"/>
      <c r="H21" s="86"/>
      <c r="I21" s="86"/>
      <c r="J21" s="86"/>
    </row>
    <row r="22" spans="3:10" x14ac:dyDescent="0.2">
      <c r="C22" s="86"/>
      <c r="D22" s="86"/>
      <c r="E22" s="86"/>
      <c r="F22" s="86"/>
      <c r="G22" s="86"/>
      <c r="H22" s="86"/>
      <c r="I22" s="86"/>
      <c r="J22" s="86"/>
    </row>
    <row r="23" spans="3:10" x14ac:dyDescent="0.2">
      <c r="C23" s="86"/>
      <c r="D23" s="86"/>
      <c r="E23" s="86"/>
      <c r="F23" s="86"/>
      <c r="G23" s="86"/>
      <c r="H23" s="86"/>
      <c r="I23" s="86"/>
      <c r="J23" s="86"/>
    </row>
    <row r="24" spans="3:10" x14ac:dyDescent="0.2">
      <c r="C24" s="86"/>
      <c r="D24" s="86"/>
      <c r="E24" s="86"/>
      <c r="F24" s="86"/>
      <c r="G24" s="86"/>
      <c r="H24" s="86"/>
      <c r="I24" s="86"/>
      <c r="J24" s="86"/>
    </row>
    <row r="25" spans="3:10" x14ac:dyDescent="0.2">
      <c r="C25" s="86"/>
      <c r="D25" s="86"/>
      <c r="E25" s="86"/>
      <c r="F25" s="86"/>
      <c r="G25" s="86"/>
      <c r="H25" s="86"/>
      <c r="I25" s="86"/>
      <c r="J25" s="86"/>
    </row>
    <row r="26" spans="3:10" x14ac:dyDescent="0.2">
      <c r="C26" s="86"/>
      <c r="D26" s="86"/>
      <c r="E26" s="86"/>
      <c r="F26" s="86"/>
      <c r="G26" s="86"/>
      <c r="H26" s="86"/>
      <c r="I26" s="86"/>
      <c r="J26" s="86"/>
    </row>
    <row r="27" spans="3:10" x14ac:dyDescent="0.2">
      <c r="C27" s="86"/>
      <c r="D27" s="86"/>
      <c r="E27" s="86"/>
      <c r="F27" s="86"/>
      <c r="G27" s="86"/>
      <c r="H27" s="86"/>
      <c r="I27" s="86"/>
      <c r="J27" s="86"/>
    </row>
    <row r="28" spans="3:10" x14ac:dyDescent="0.2">
      <c r="C28" s="86"/>
      <c r="D28" s="86"/>
      <c r="E28" s="86"/>
      <c r="F28" s="86"/>
      <c r="G28" s="86"/>
      <c r="H28" s="86"/>
      <c r="I28" s="86"/>
      <c r="J28" s="86"/>
    </row>
    <row r="29" spans="3:10" x14ac:dyDescent="0.2">
      <c r="C29" s="86"/>
      <c r="D29" s="86"/>
      <c r="E29" s="86"/>
      <c r="F29" s="86"/>
      <c r="G29" s="86"/>
      <c r="H29" s="86"/>
      <c r="I29" s="86"/>
      <c r="J29" s="86"/>
    </row>
    <row r="30" spans="3:10" x14ac:dyDescent="0.2">
      <c r="C30" s="86"/>
      <c r="D30" s="86"/>
      <c r="E30" s="86"/>
      <c r="F30" s="86"/>
      <c r="G30" s="86"/>
      <c r="H30" s="86"/>
      <c r="I30" s="86"/>
      <c r="J30" s="86"/>
    </row>
    <row r="31" spans="3:10" x14ac:dyDescent="0.2">
      <c r="C31" s="86"/>
      <c r="D31" s="86"/>
      <c r="E31" s="86"/>
      <c r="F31" s="86"/>
      <c r="G31" s="86"/>
      <c r="H31" s="86"/>
      <c r="I31" s="86"/>
      <c r="J31" s="86"/>
    </row>
    <row r="32" spans="3:10" x14ac:dyDescent="0.2">
      <c r="C32" s="86"/>
      <c r="D32" s="86"/>
      <c r="E32" s="86"/>
      <c r="F32" s="86"/>
      <c r="G32" s="86"/>
      <c r="H32" s="86"/>
      <c r="I32" s="86"/>
      <c r="J32" s="86"/>
    </row>
    <row r="33" spans="3:10" x14ac:dyDescent="0.2">
      <c r="C33" s="86"/>
      <c r="D33" s="86"/>
      <c r="E33" s="86"/>
      <c r="F33" s="86"/>
      <c r="G33" s="86"/>
      <c r="H33" s="86"/>
      <c r="I33" s="86"/>
      <c r="J33" s="86"/>
    </row>
    <row r="34" spans="3:10" x14ac:dyDescent="0.2">
      <c r="C34" s="86"/>
      <c r="D34" s="86"/>
      <c r="E34" s="86"/>
      <c r="F34" s="86"/>
      <c r="G34" s="86"/>
      <c r="H34" s="86"/>
      <c r="I34" s="86"/>
      <c r="J34" s="86"/>
    </row>
    <row r="35" spans="3:10" x14ac:dyDescent="0.2">
      <c r="C35" s="86"/>
      <c r="D35" s="86"/>
      <c r="E35" s="86"/>
      <c r="F35" s="86"/>
      <c r="G35" s="86"/>
      <c r="H35" s="86"/>
      <c r="I35" s="86"/>
      <c r="J35" s="86"/>
    </row>
    <row r="36" spans="3:10" x14ac:dyDescent="0.2">
      <c r="C36" s="86"/>
      <c r="D36" s="86"/>
      <c r="E36" s="86"/>
      <c r="F36" s="86"/>
      <c r="G36" s="86"/>
      <c r="H36" s="86"/>
      <c r="I36" s="86"/>
      <c r="J36" s="86"/>
    </row>
    <row r="37" spans="3:10" x14ac:dyDescent="0.2">
      <c r="C37" s="86"/>
      <c r="D37" s="86"/>
      <c r="E37" s="86"/>
      <c r="F37" s="86"/>
      <c r="G37" s="86"/>
      <c r="H37" s="86"/>
      <c r="I37" s="86"/>
      <c r="J37" s="86"/>
    </row>
    <row r="38" spans="3:10" x14ac:dyDescent="0.2">
      <c r="C38" s="86"/>
      <c r="D38" s="86"/>
      <c r="E38" s="86"/>
      <c r="F38" s="86"/>
      <c r="G38" s="86"/>
      <c r="H38" s="86"/>
      <c r="I38" s="86"/>
      <c r="J38" s="86"/>
    </row>
    <row r="39" spans="3:10" x14ac:dyDescent="0.2">
      <c r="C39" s="86"/>
      <c r="D39" s="86"/>
      <c r="E39" s="86"/>
      <c r="F39" s="86"/>
      <c r="G39" s="86"/>
      <c r="H39" s="86"/>
      <c r="I39" s="86"/>
      <c r="J39" s="86"/>
    </row>
    <row r="40" spans="3:10" x14ac:dyDescent="0.2">
      <c r="C40" s="86"/>
      <c r="D40" s="86"/>
      <c r="E40" s="86"/>
      <c r="F40" s="86"/>
      <c r="G40" s="86"/>
      <c r="H40" s="86"/>
      <c r="I40" s="86"/>
      <c r="J40" s="86"/>
    </row>
    <row r="41" spans="3:10" x14ac:dyDescent="0.2">
      <c r="C41" s="86"/>
      <c r="D41" s="86"/>
      <c r="E41" s="86"/>
      <c r="F41" s="86"/>
      <c r="G41" s="86"/>
      <c r="H41" s="86"/>
      <c r="I41" s="86"/>
      <c r="J41" s="86"/>
    </row>
    <row r="42" spans="3:10" x14ac:dyDescent="0.2">
      <c r="C42" s="86"/>
      <c r="D42" s="86"/>
      <c r="E42" s="86"/>
      <c r="F42" s="86"/>
      <c r="G42" s="86"/>
      <c r="H42" s="86"/>
      <c r="I42" s="86"/>
      <c r="J42" s="86"/>
    </row>
    <row r="43" spans="3:10" x14ac:dyDescent="0.2">
      <c r="C43" s="86"/>
      <c r="D43" s="86"/>
      <c r="E43" s="86"/>
      <c r="F43" s="86"/>
      <c r="G43" s="86"/>
      <c r="H43" s="86"/>
      <c r="I43" s="86"/>
      <c r="J43" s="86"/>
    </row>
    <row r="44" spans="3:10" x14ac:dyDescent="0.2">
      <c r="C44" s="86"/>
      <c r="D44" s="86"/>
      <c r="E44" s="86"/>
      <c r="F44" s="86"/>
      <c r="G44" s="86"/>
      <c r="H44" s="86"/>
      <c r="I44" s="86"/>
      <c r="J44" s="86"/>
    </row>
    <row r="45" spans="3:10" x14ac:dyDescent="0.2">
      <c r="C45" s="86"/>
      <c r="D45" s="86"/>
      <c r="E45" s="86"/>
      <c r="F45" s="86"/>
      <c r="G45" s="86"/>
      <c r="H45" s="86"/>
      <c r="I45" s="86"/>
      <c r="J45" s="86"/>
    </row>
    <row r="46" spans="3:10" x14ac:dyDescent="0.2">
      <c r="C46" s="86"/>
      <c r="D46" s="86"/>
      <c r="E46" s="86"/>
      <c r="F46" s="86"/>
      <c r="G46" s="86"/>
      <c r="H46" s="86"/>
      <c r="I46" s="86"/>
      <c r="J46" s="86"/>
    </row>
    <row r="47" spans="3:10" x14ac:dyDescent="0.2">
      <c r="C47" s="86"/>
      <c r="D47" s="86"/>
      <c r="E47" s="86"/>
      <c r="F47" s="86"/>
      <c r="G47" s="86"/>
      <c r="H47" s="86"/>
      <c r="I47" s="86"/>
      <c r="J47" s="86"/>
    </row>
    <row r="48" spans="3:10" x14ac:dyDescent="0.2">
      <c r="C48" s="86"/>
      <c r="D48" s="86"/>
      <c r="E48" s="86"/>
      <c r="F48" s="86"/>
      <c r="G48" s="86"/>
      <c r="H48" s="86"/>
      <c r="I48" s="86"/>
      <c r="J48" s="86"/>
    </row>
    <row r="49" spans="3:10" x14ac:dyDescent="0.2">
      <c r="C49" s="86"/>
      <c r="D49" s="86"/>
      <c r="E49" s="86"/>
      <c r="F49" s="86"/>
      <c r="G49" s="86"/>
      <c r="H49" s="86"/>
      <c r="I49" s="86"/>
      <c r="J49" s="86"/>
    </row>
    <row r="50" spans="3:10" x14ac:dyDescent="0.2">
      <c r="C50" s="86"/>
      <c r="D50" s="86"/>
      <c r="E50" s="86"/>
      <c r="F50" s="86"/>
      <c r="G50" s="86"/>
      <c r="H50" s="86"/>
      <c r="I50" s="86"/>
      <c r="J50" s="86"/>
    </row>
    <row r="51" spans="3:10" x14ac:dyDescent="0.2">
      <c r="C51" s="86"/>
      <c r="D51" s="86"/>
      <c r="E51" s="86"/>
      <c r="F51" s="86"/>
      <c r="G51" s="86"/>
      <c r="H51" s="86"/>
      <c r="I51" s="86"/>
      <c r="J51" s="86"/>
    </row>
    <row r="52" spans="3:10" x14ac:dyDescent="0.2">
      <c r="C52" s="86"/>
      <c r="D52" s="86"/>
      <c r="E52" s="86"/>
      <c r="F52" s="86"/>
      <c r="G52" s="86"/>
      <c r="H52" s="86"/>
      <c r="I52" s="86"/>
      <c r="J52" s="86"/>
    </row>
  </sheetData>
  <sheetProtection algorithmName="SHA-512" hashValue="nwZ7mazxV1DSukZVK5kFeg5c2xMnwGuBXjERGn98zzaHA3FOs+nrdbavC0XxFiuxEuvtpKybhMgm0XzOBvTFXg==" saltValue="KrergC2gBv1hdcIBs7BLn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AD110"/>
  <sheetViews>
    <sheetView showGridLines="0" zoomScale="80" zoomScaleNormal="80" workbookViewId="0">
      <selection activeCell="H27" sqref="H27"/>
    </sheetView>
  </sheetViews>
  <sheetFormatPr baseColWidth="10" defaultColWidth="11.42578125" defaultRowHeight="12.75" x14ac:dyDescent="0.2"/>
  <cols>
    <col min="1" max="1" width="23" style="97" customWidth="1"/>
    <col min="2" max="2" width="18.42578125" style="97" customWidth="1"/>
    <col min="3" max="3" width="26" style="97" customWidth="1"/>
    <col min="4" max="4" width="18.7109375" style="97" customWidth="1"/>
    <col min="5" max="5" width="13" style="97" bestFit="1" customWidth="1"/>
    <col min="6" max="6" width="18.7109375" style="97" customWidth="1"/>
    <col min="7" max="9" width="11.42578125" style="97"/>
    <col min="10" max="11" width="13.28515625" style="97" customWidth="1"/>
    <col min="12" max="16384" width="11.42578125" style="97"/>
  </cols>
  <sheetData>
    <row r="1" spans="1:18" x14ac:dyDescent="0.2">
      <c r="J1" s="264"/>
      <c r="K1" s="267"/>
    </row>
    <row r="2" spans="1:18" x14ac:dyDescent="0.2">
      <c r="J2" s="264" t="s">
        <v>204</v>
      </c>
      <c r="K2" s="267"/>
    </row>
    <row r="4" spans="1:18" ht="19.5" customHeight="1" x14ac:dyDescent="0.2">
      <c r="I4" s="265" t="s">
        <v>0</v>
      </c>
      <c r="J4" s="1181" t="str">
        <f>+'[1]B) Reajuste Tarifas y Ocupación'!F5</f>
        <v>(DEPTO./DELEG.)</v>
      </c>
      <c r="K4" s="1182"/>
    </row>
    <row r="6" spans="1:18" ht="12.75" customHeight="1" x14ac:dyDescent="0.2">
      <c r="A6" s="266" t="s">
        <v>123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8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18" x14ac:dyDescent="0.2">
      <c r="A8" s="700" t="s">
        <v>243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ht="13.5" thickBot="1" x14ac:dyDescent="0.25">
      <c r="A9" s="701"/>
      <c r="B9" s="700"/>
      <c r="C9" s="700"/>
      <c r="D9" s="701"/>
      <c r="E9" s="701"/>
      <c r="F9" s="701"/>
      <c r="G9" s="701"/>
      <c r="H9" s="701"/>
      <c r="I9" s="701"/>
    </row>
    <row r="10" spans="1:18" ht="13.5" thickBot="1" x14ac:dyDescent="0.25">
      <c r="A10" s="814" t="s">
        <v>244</v>
      </c>
      <c r="B10" s="702" t="s">
        <v>81</v>
      </c>
      <c r="C10" s="800" t="s">
        <v>397</v>
      </c>
      <c r="D10" s="800" t="s">
        <v>245</v>
      </c>
      <c r="E10" s="703" t="s">
        <v>246</v>
      </c>
      <c r="F10" s="703" t="s">
        <v>247</v>
      </c>
      <c r="G10" s="703" t="s">
        <v>248</v>
      </c>
      <c r="H10" s="704" t="s">
        <v>249</v>
      </c>
      <c r="I10" s="703" t="s">
        <v>250</v>
      </c>
      <c r="J10" s="705" t="s">
        <v>251</v>
      </c>
      <c r="K10" s="706" t="s">
        <v>252</v>
      </c>
      <c r="L10" s="707" t="s">
        <v>106</v>
      </c>
      <c r="M10" s="708" t="s">
        <v>253</v>
      </c>
    </row>
    <row r="11" spans="1:18" x14ac:dyDescent="0.2">
      <c r="A11" s="709">
        <v>1</v>
      </c>
      <c r="B11" s="710" t="s">
        <v>254</v>
      </c>
      <c r="C11" s="801">
        <f>2027*1.03</f>
        <v>2087.81</v>
      </c>
      <c r="D11" s="712" t="s">
        <v>255</v>
      </c>
      <c r="E11" s="713">
        <f>+C11*D11</f>
        <v>41756.199999999997</v>
      </c>
      <c r="F11" s="713"/>
      <c r="G11" s="713">
        <f>+E11-F11</f>
        <v>41756.199999999997</v>
      </c>
      <c r="H11" s="714">
        <v>10</v>
      </c>
      <c r="I11" s="713">
        <f>+G11*H11</f>
        <v>417562</v>
      </c>
      <c r="J11" s="715">
        <f>+I11*12</f>
        <v>5010744</v>
      </c>
      <c r="K11" s="711"/>
      <c r="L11" s="716">
        <f>+J11+K11</f>
        <v>5010744</v>
      </c>
      <c r="M11" s="708">
        <f>+D11*H11*12</f>
        <v>2400</v>
      </c>
    </row>
    <row r="12" spans="1:18" x14ac:dyDescent="0.2">
      <c r="A12" s="709">
        <v>2</v>
      </c>
      <c r="B12" s="710" t="s">
        <v>256</v>
      </c>
      <c r="C12" s="801">
        <v>2088</v>
      </c>
      <c r="D12" s="712" t="s">
        <v>257</v>
      </c>
      <c r="E12" s="713">
        <f>+C12*D12</f>
        <v>31320</v>
      </c>
      <c r="F12" s="713"/>
      <c r="G12" s="713">
        <f>+E12-F12</f>
        <v>31320</v>
      </c>
      <c r="H12" s="714">
        <v>2</v>
      </c>
      <c r="I12" s="713">
        <f>+G12*H12</f>
        <v>62640</v>
      </c>
      <c r="J12" s="715">
        <f>+I12*12</f>
        <v>751680</v>
      </c>
      <c r="K12" s="711"/>
      <c r="L12" s="716">
        <f>+J12+K12</f>
        <v>751680</v>
      </c>
      <c r="M12" s="708">
        <f>+D12*H12*12</f>
        <v>360</v>
      </c>
    </row>
    <row r="13" spans="1:18" x14ac:dyDescent="0.2">
      <c r="A13" s="709">
        <v>3</v>
      </c>
      <c r="B13" s="710" t="s">
        <v>403</v>
      </c>
      <c r="C13" s="801">
        <v>2088</v>
      </c>
      <c r="D13" s="712" t="s">
        <v>255</v>
      </c>
      <c r="E13" s="713">
        <f>+C13*D13</f>
        <v>41760</v>
      </c>
      <c r="F13" s="713"/>
      <c r="G13" s="713">
        <f>+E13-F13</f>
        <v>41760</v>
      </c>
      <c r="H13" s="714">
        <v>3</v>
      </c>
      <c r="I13" s="713">
        <f>+G13*H13</f>
        <v>125280</v>
      </c>
      <c r="J13" s="715">
        <f>+I13*12</f>
        <v>1503360</v>
      </c>
      <c r="K13" s="711"/>
      <c r="L13" s="716">
        <f>+J13+K13</f>
        <v>1503360</v>
      </c>
      <c r="M13" s="708">
        <f>+D13*H13*12</f>
        <v>720</v>
      </c>
    </row>
    <row r="15" spans="1:18" x14ac:dyDescent="0.2">
      <c r="A15" s="717" t="s">
        <v>451</v>
      </c>
    </row>
    <row r="17" spans="1:5" x14ac:dyDescent="0.2">
      <c r="A17" s="708" t="s">
        <v>258</v>
      </c>
      <c r="B17" s="718">
        <v>2020</v>
      </c>
      <c r="C17" s="719" t="s">
        <v>259</v>
      </c>
      <c r="D17" s="719" t="s">
        <v>260</v>
      </c>
      <c r="E17" s="719"/>
    </row>
    <row r="18" spans="1:5" x14ac:dyDescent="0.2">
      <c r="A18" s="708" t="s">
        <v>261</v>
      </c>
      <c r="B18" s="720" t="s">
        <v>262</v>
      </c>
      <c r="C18" s="719" t="s">
        <v>263</v>
      </c>
      <c r="D18" s="719" t="s">
        <v>264</v>
      </c>
      <c r="E18" s="719"/>
    </row>
    <row r="19" spans="1:5" x14ac:dyDescent="0.2">
      <c r="A19" s="815" t="s">
        <v>432</v>
      </c>
      <c r="B19" s="813">
        <f>2300139*1.03</f>
        <v>2369143.17</v>
      </c>
      <c r="C19" s="719"/>
      <c r="D19" s="719"/>
      <c r="E19" s="719"/>
    </row>
    <row r="20" spans="1:5" x14ac:dyDescent="0.2">
      <c r="A20" s="815" t="s">
        <v>433</v>
      </c>
      <c r="B20" s="812">
        <f>2500000*1.03</f>
        <v>2575000</v>
      </c>
      <c r="C20" s="719"/>
      <c r="D20" s="719"/>
      <c r="E20" s="719"/>
    </row>
    <row r="21" spans="1:5" x14ac:dyDescent="0.2">
      <c r="A21" s="722" t="s">
        <v>265</v>
      </c>
      <c r="B21" s="723">
        <f>+B19+B20</f>
        <v>4944143.17</v>
      </c>
      <c r="C21" s="719"/>
      <c r="D21" s="719"/>
      <c r="E21" s="719"/>
    </row>
    <row r="22" spans="1:5" x14ac:dyDescent="0.2">
      <c r="A22" s="708" t="s">
        <v>266</v>
      </c>
      <c r="B22" s="724">
        <f>+C22+D22</f>
        <v>42840</v>
      </c>
      <c r="C22" s="725">
        <f>33*3*30*12</f>
        <v>35640</v>
      </c>
      <c r="D22" s="724">
        <f>20*2*15*12</f>
        <v>7200</v>
      </c>
      <c r="E22" s="719"/>
    </row>
    <row r="23" spans="1:5" x14ac:dyDescent="0.2">
      <c r="A23" s="726" t="s">
        <v>267</v>
      </c>
      <c r="B23" s="727">
        <f>+B21/B22</f>
        <v>115.40950443510738</v>
      </c>
      <c r="C23" s="721"/>
      <c r="D23" s="719"/>
      <c r="E23" s="719"/>
    </row>
    <row r="24" spans="1:5" x14ac:dyDescent="0.2">
      <c r="B24" s="728"/>
      <c r="C24" s="729"/>
      <c r="D24" s="730"/>
      <c r="E24" s="730"/>
    </row>
    <row r="25" spans="1:5" x14ac:dyDescent="0.2">
      <c r="B25" s="718" t="s">
        <v>398</v>
      </c>
      <c r="C25" s="719" t="s">
        <v>259</v>
      </c>
      <c r="D25" s="719" t="s">
        <v>268</v>
      </c>
      <c r="E25" s="719"/>
    </row>
    <row r="26" spans="1:5" x14ac:dyDescent="0.2">
      <c r="B26" s="720" t="s">
        <v>262</v>
      </c>
      <c r="C26" s="719" t="s">
        <v>269</v>
      </c>
      <c r="D26" s="719" t="s">
        <v>270</v>
      </c>
      <c r="E26" s="719"/>
    </row>
    <row r="27" spans="1:5" x14ac:dyDescent="0.2">
      <c r="B27" s="731">
        <f>+B28*B29</f>
        <v>6273687.5999999996</v>
      </c>
      <c r="C27" s="719"/>
      <c r="D27" s="719"/>
      <c r="E27" s="719"/>
    </row>
    <row r="28" spans="1:5" x14ac:dyDescent="0.2">
      <c r="B28" s="724">
        <f>+C28+D28</f>
        <v>54360</v>
      </c>
      <c r="C28" s="725">
        <f>42*3*30*12</f>
        <v>45360</v>
      </c>
      <c r="D28" s="724">
        <f>25*2*15*12</f>
        <v>9000</v>
      </c>
      <c r="E28" s="719"/>
    </row>
    <row r="29" spans="1:5" x14ac:dyDescent="0.2">
      <c r="B29" s="732">
        <v>115.41</v>
      </c>
      <c r="C29" s="721"/>
      <c r="D29" s="719"/>
      <c r="E29" s="719"/>
    </row>
    <row r="32" spans="1:5" x14ac:dyDescent="0.2">
      <c r="A32" s="97" t="s">
        <v>271</v>
      </c>
    </row>
    <row r="34" spans="1:30" ht="15.75" x14ac:dyDescent="0.25">
      <c r="A34" s="733"/>
      <c r="B34" s="734" t="s">
        <v>24</v>
      </c>
      <c r="C34" s="733"/>
      <c r="D34" s="733"/>
      <c r="E34" s="733"/>
      <c r="F34" s="733"/>
      <c r="G34" s="733"/>
      <c r="H34" s="733"/>
      <c r="I34" s="733"/>
      <c r="J34" s="733"/>
      <c r="K34" s="733"/>
      <c r="L34" s="733"/>
      <c r="M34" s="733"/>
      <c r="N34" s="733"/>
      <c r="O34" s="733"/>
      <c r="P34" s="733"/>
      <c r="Q34" s="733"/>
      <c r="R34" s="733"/>
      <c r="S34" s="734" t="s">
        <v>26</v>
      </c>
      <c r="T34" s="733"/>
      <c r="U34" s="733"/>
      <c r="V34" s="733"/>
      <c r="W34" s="733"/>
      <c r="X34" s="733"/>
      <c r="Y34" s="733"/>
      <c r="Z34" s="733"/>
      <c r="AA34" s="733"/>
      <c r="AB34" s="733"/>
      <c r="AC34" s="733"/>
      <c r="AD34" s="733"/>
    </row>
    <row r="35" spans="1:30" x14ac:dyDescent="0.2">
      <c r="A35" s="733"/>
      <c r="B35" s="735"/>
      <c r="C35" s="735"/>
      <c r="D35" s="735"/>
      <c r="E35" s="735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5"/>
      <c r="T35" s="735"/>
      <c r="U35" s="735"/>
      <c r="V35" s="735"/>
      <c r="W35" s="733"/>
      <c r="X35" s="733"/>
      <c r="Y35" s="733"/>
      <c r="Z35" s="733"/>
      <c r="AA35" s="733"/>
      <c r="AB35" s="733"/>
      <c r="AC35" s="733"/>
      <c r="AD35" s="733"/>
    </row>
    <row r="36" spans="1:30" x14ac:dyDescent="0.2">
      <c r="A36" s="736" t="s">
        <v>272</v>
      </c>
      <c r="B36" s="737"/>
      <c r="C36" s="738" t="s">
        <v>418</v>
      </c>
      <c r="D36" s="739"/>
      <c r="E36" s="740"/>
      <c r="F36" s="741" t="s">
        <v>419</v>
      </c>
      <c r="G36" s="742"/>
      <c r="H36" s="816"/>
      <c r="I36" s="817" t="s">
        <v>422</v>
      </c>
      <c r="J36" s="818"/>
      <c r="K36" s="743"/>
      <c r="L36" s="744" t="s">
        <v>420</v>
      </c>
      <c r="M36" s="745"/>
      <c r="N36" s="733"/>
      <c r="O36" s="733"/>
      <c r="P36" s="733"/>
      <c r="Q36" s="733"/>
      <c r="R36" s="736" t="s">
        <v>272</v>
      </c>
      <c r="S36" s="737"/>
      <c r="T36" s="738" t="s">
        <v>418</v>
      </c>
      <c r="U36" s="739"/>
      <c r="V36" s="740"/>
      <c r="W36" s="741" t="s">
        <v>419</v>
      </c>
      <c r="X36" s="742"/>
      <c r="Y36" s="816"/>
      <c r="Z36" s="817" t="s">
        <v>422</v>
      </c>
      <c r="AA36" s="818"/>
      <c r="AB36" s="743"/>
      <c r="AC36" s="744" t="s">
        <v>439</v>
      </c>
      <c r="AD36" s="745"/>
    </row>
    <row r="37" spans="1:30" x14ac:dyDescent="0.2">
      <c r="A37" s="746" t="s">
        <v>273</v>
      </c>
      <c r="B37" s="747" t="s">
        <v>274</v>
      </c>
      <c r="C37" s="747" t="s">
        <v>275</v>
      </c>
      <c r="D37" s="747" t="s">
        <v>197</v>
      </c>
      <c r="E37" s="747" t="s">
        <v>274</v>
      </c>
      <c r="F37" s="747" t="s">
        <v>275</v>
      </c>
      <c r="G37" s="747" t="s">
        <v>197</v>
      </c>
      <c r="H37" s="819" t="s">
        <v>274</v>
      </c>
      <c r="I37" s="819" t="s">
        <v>275</v>
      </c>
      <c r="J37" s="819" t="s">
        <v>197</v>
      </c>
      <c r="K37" s="748" t="s">
        <v>274</v>
      </c>
      <c r="L37" s="748" t="s">
        <v>275</v>
      </c>
      <c r="M37" s="748" t="s">
        <v>197</v>
      </c>
      <c r="N37" s="733"/>
      <c r="O37" s="733"/>
      <c r="P37" s="733"/>
      <c r="Q37" s="733"/>
      <c r="R37" s="746" t="s">
        <v>276</v>
      </c>
      <c r="S37" s="747" t="s">
        <v>277</v>
      </c>
      <c r="T37" s="747" t="s">
        <v>275</v>
      </c>
      <c r="U37" s="747" t="s">
        <v>197</v>
      </c>
      <c r="V37" s="747" t="s">
        <v>277</v>
      </c>
      <c r="W37" s="747" t="s">
        <v>275</v>
      </c>
      <c r="X37" s="747" t="s">
        <v>197</v>
      </c>
      <c r="Y37" s="819" t="s">
        <v>277</v>
      </c>
      <c r="Z37" s="819" t="s">
        <v>275</v>
      </c>
      <c r="AA37" s="819" t="s">
        <v>197</v>
      </c>
      <c r="AB37" s="748" t="s">
        <v>277</v>
      </c>
      <c r="AC37" s="748" t="s">
        <v>275</v>
      </c>
      <c r="AD37" s="748" t="s">
        <v>197</v>
      </c>
    </row>
    <row r="38" spans="1:30" x14ac:dyDescent="0.2">
      <c r="A38" s="749" t="s">
        <v>278</v>
      </c>
      <c r="B38" s="750">
        <v>1645</v>
      </c>
      <c r="C38" s="751">
        <v>146</v>
      </c>
      <c r="D38" s="750">
        <f>+B38*C38</f>
        <v>240170</v>
      </c>
      <c r="E38" s="750">
        <v>1810</v>
      </c>
      <c r="F38" s="805">
        <v>148</v>
      </c>
      <c r="G38" s="752">
        <f>+E38*F38</f>
        <v>267880</v>
      </c>
      <c r="H38" s="820">
        <v>977</v>
      </c>
      <c r="I38" s="821">
        <f t="shared" ref="I38:I44" si="0">+J38/H38</f>
        <v>165.59877175025588</v>
      </c>
      <c r="J38" s="822">
        <v>161790</v>
      </c>
      <c r="K38" s="753">
        <f>+(B38+E38+H38)/3</f>
        <v>1477.3333333333333</v>
      </c>
      <c r="L38" s="806">
        <f>130*1.03</f>
        <v>133.9</v>
      </c>
      <c r="M38" s="755">
        <f>+K38*L38</f>
        <v>197814.93333333332</v>
      </c>
      <c r="N38" s="733"/>
      <c r="O38" s="733"/>
      <c r="P38" s="733"/>
      <c r="Q38" s="733"/>
      <c r="R38" s="749" t="s">
        <v>278</v>
      </c>
      <c r="S38" s="756">
        <v>120</v>
      </c>
      <c r="T38" s="751">
        <v>481</v>
      </c>
      <c r="U38" s="749">
        <f>+S38*T38</f>
        <v>57720</v>
      </c>
      <c r="V38" s="756">
        <v>185</v>
      </c>
      <c r="W38" s="751">
        <v>497</v>
      </c>
      <c r="X38" s="752">
        <f>+V38*W38</f>
        <v>91945</v>
      </c>
      <c r="Y38" s="820">
        <v>210</v>
      </c>
      <c r="Z38" s="831">
        <v>515</v>
      </c>
      <c r="AA38" s="822">
        <f>+Y38*Z38</f>
        <v>108150</v>
      </c>
      <c r="AB38" s="753">
        <f>+(S38+V38+Y38)/3</f>
        <v>171.66666666666666</v>
      </c>
      <c r="AC38" s="754">
        <v>530</v>
      </c>
      <c r="AD38" s="755">
        <f>+AB38*AC38</f>
        <v>90983.333333333328</v>
      </c>
    </row>
    <row r="39" spans="1:30" x14ac:dyDescent="0.2">
      <c r="A39" s="749" t="s">
        <v>279</v>
      </c>
      <c r="B39" s="750">
        <v>1629</v>
      </c>
      <c r="C39" s="751">
        <v>146</v>
      </c>
      <c r="D39" s="750">
        <f t="shared" ref="D39:D49" si="1">+B39*C39</f>
        <v>237834</v>
      </c>
      <c r="E39" s="750">
        <v>1568</v>
      </c>
      <c r="F39" s="805">
        <v>148</v>
      </c>
      <c r="G39" s="752">
        <f t="shared" ref="G39:G42" si="2">+E39*F39</f>
        <v>232064</v>
      </c>
      <c r="H39" s="820">
        <v>1053</v>
      </c>
      <c r="I39" s="821">
        <f t="shared" si="0"/>
        <v>174.71320037986703</v>
      </c>
      <c r="J39" s="822">
        <v>183973</v>
      </c>
      <c r="K39" s="753">
        <f t="shared" ref="K39:K49" si="3">+(B39+E39+H39)/3</f>
        <v>1416.6666666666667</v>
      </c>
      <c r="L39" s="806">
        <f t="shared" ref="L39:L49" si="4">130*1.03</f>
        <v>133.9</v>
      </c>
      <c r="M39" s="755">
        <f t="shared" ref="M39:M49" si="5">+K39*L39</f>
        <v>189691.66666666669</v>
      </c>
      <c r="N39" s="733"/>
      <c r="O39" s="733"/>
      <c r="P39" s="733"/>
      <c r="Q39" s="733"/>
      <c r="R39" s="749" t="s">
        <v>279</v>
      </c>
      <c r="S39" s="756">
        <v>168</v>
      </c>
      <c r="T39" s="751">
        <v>481</v>
      </c>
      <c r="U39" s="749">
        <f t="shared" ref="U39:U49" si="6">+S39*T39</f>
        <v>80808</v>
      </c>
      <c r="V39" s="756">
        <v>172</v>
      </c>
      <c r="W39" s="751">
        <v>497</v>
      </c>
      <c r="X39" s="752">
        <f t="shared" ref="X39:X49" si="7">+V39*W39</f>
        <v>85484</v>
      </c>
      <c r="Y39" s="820">
        <v>170</v>
      </c>
      <c r="Z39" s="831">
        <v>515</v>
      </c>
      <c r="AA39" s="822">
        <f t="shared" ref="AA39:AA49" si="8">+Y39*Z39</f>
        <v>87550</v>
      </c>
      <c r="AB39" s="753">
        <f t="shared" ref="AB39:AB49" si="9">+(S39+V39+Y39)/3</f>
        <v>170</v>
      </c>
      <c r="AC39" s="754">
        <v>530</v>
      </c>
      <c r="AD39" s="755">
        <f t="shared" ref="AD39:AD49" si="10">+AB39*AC39</f>
        <v>90100</v>
      </c>
    </row>
    <row r="40" spans="1:30" x14ac:dyDescent="0.2">
      <c r="A40" s="749" t="s">
        <v>280</v>
      </c>
      <c r="B40" s="750">
        <v>1102</v>
      </c>
      <c r="C40" s="751">
        <v>146</v>
      </c>
      <c r="D40" s="750">
        <f t="shared" si="1"/>
        <v>160892</v>
      </c>
      <c r="E40" s="750">
        <v>1791</v>
      </c>
      <c r="F40" s="805">
        <v>148</v>
      </c>
      <c r="G40" s="752">
        <f t="shared" si="2"/>
        <v>265068</v>
      </c>
      <c r="H40" s="820">
        <v>1231</v>
      </c>
      <c r="I40" s="821">
        <f t="shared" si="0"/>
        <v>148.10722989439481</v>
      </c>
      <c r="J40" s="822">
        <v>182320</v>
      </c>
      <c r="K40" s="753">
        <f t="shared" si="3"/>
        <v>1374.6666666666667</v>
      </c>
      <c r="L40" s="806">
        <f t="shared" si="4"/>
        <v>133.9</v>
      </c>
      <c r="M40" s="755">
        <f t="shared" si="5"/>
        <v>184067.8666666667</v>
      </c>
      <c r="N40" s="733"/>
      <c r="O40" s="733"/>
      <c r="P40" s="733"/>
      <c r="Q40" s="733"/>
      <c r="R40" s="749" t="s">
        <v>280</v>
      </c>
      <c r="S40" s="756">
        <v>185</v>
      </c>
      <c r="T40" s="751">
        <v>481</v>
      </c>
      <c r="U40" s="749">
        <f t="shared" si="6"/>
        <v>88985</v>
      </c>
      <c r="V40" s="756">
        <v>190</v>
      </c>
      <c r="W40" s="751">
        <v>497</v>
      </c>
      <c r="X40" s="752">
        <f t="shared" si="7"/>
        <v>94430</v>
      </c>
      <c r="Y40" s="820">
        <v>182</v>
      </c>
      <c r="Z40" s="831">
        <v>515</v>
      </c>
      <c r="AA40" s="822">
        <f t="shared" si="8"/>
        <v>93730</v>
      </c>
      <c r="AB40" s="753">
        <f t="shared" si="9"/>
        <v>185.66666666666666</v>
      </c>
      <c r="AC40" s="754">
        <v>530</v>
      </c>
      <c r="AD40" s="755">
        <f t="shared" si="10"/>
        <v>98403.333333333328</v>
      </c>
    </row>
    <row r="41" spans="1:30" x14ac:dyDescent="0.2">
      <c r="A41" s="749" t="s">
        <v>281</v>
      </c>
      <c r="B41" s="750">
        <v>2422</v>
      </c>
      <c r="C41" s="751">
        <v>146</v>
      </c>
      <c r="D41" s="750">
        <f t="shared" si="1"/>
        <v>353612</v>
      </c>
      <c r="E41" s="750">
        <v>1444</v>
      </c>
      <c r="F41" s="805">
        <v>148</v>
      </c>
      <c r="G41" s="752">
        <f t="shared" si="2"/>
        <v>213712</v>
      </c>
      <c r="H41" s="820">
        <v>1076</v>
      </c>
      <c r="I41" s="821">
        <f t="shared" si="0"/>
        <v>143.7267657992565</v>
      </c>
      <c r="J41" s="822">
        <v>154650</v>
      </c>
      <c r="K41" s="753">
        <f t="shared" si="3"/>
        <v>1647.3333333333333</v>
      </c>
      <c r="L41" s="806">
        <f t="shared" si="4"/>
        <v>133.9</v>
      </c>
      <c r="M41" s="755">
        <f t="shared" si="5"/>
        <v>220577.93333333332</v>
      </c>
      <c r="N41" s="733"/>
      <c r="O41" s="733"/>
      <c r="P41" s="733"/>
      <c r="Q41" s="733"/>
      <c r="R41" s="749" t="s">
        <v>281</v>
      </c>
      <c r="S41" s="756">
        <v>290</v>
      </c>
      <c r="T41" s="751">
        <v>481</v>
      </c>
      <c r="U41" s="749">
        <f t="shared" si="6"/>
        <v>139490</v>
      </c>
      <c r="V41" s="756">
        <v>290</v>
      </c>
      <c r="W41" s="751">
        <v>497</v>
      </c>
      <c r="X41" s="752">
        <f t="shared" si="7"/>
        <v>144130</v>
      </c>
      <c r="Y41" s="820">
        <v>190</v>
      </c>
      <c r="Z41" s="831">
        <v>515</v>
      </c>
      <c r="AA41" s="822">
        <f t="shared" si="8"/>
        <v>97850</v>
      </c>
      <c r="AB41" s="753">
        <f t="shared" si="9"/>
        <v>256.66666666666669</v>
      </c>
      <c r="AC41" s="754">
        <v>530</v>
      </c>
      <c r="AD41" s="755">
        <f t="shared" si="10"/>
        <v>136033.33333333334</v>
      </c>
    </row>
    <row r="42" spans="1:30" x14ac:dyDescent="0.2">
      <c r="A42" s="749" t="s">
        <v>282</v>
      </c>
      <c r="B42" s="750">
        <v>1645</v>
      </c>
      <c r="C42" s="751">
        <v>146</v>
      </c>
      <c r="D42" s="750">
        <f t="shared" si="1"/>
        <v>240170</v>
      </c>
      <c r="E42" s="750">
        <v>1638</v>
      </c>
      <c r="F42" s="805">
        <v>148</v>
      </c>
      <c r="G42" s="752">
        <f t="shared" si="2"/>
        <v>242424</v>
      </c>
      <c r="H42" s="820">
        <v>1263</v>
      </c>
      <c r="I42" s="821">
        <f t="shared" si="0"/>
        <v>165.72209026128266</v>
      </c>
      <c r="J42" s="822">
        <v>209307</v>
      </c>
      <c r="K42" s="753">
        <f t="shared" si="3"/>
        <v>1515.3333333333333</v>
      </c>
      <c r="L42" s="806">
        <f t="shared" si="4"/>
        <v>133.9</v>
      </c>
      <c r="M42" s="755">
        <f t="shared" si="5"/>
        <v>202903.13333333333</v>
      </c>
      <c r="N42" s="733"/>
      <c r="O42" s="733"/>
      <c r="P42" s="733"/>
      <c r="Q42" s="733"/>
      <c r="R42" s="749" t="s">
        <v>282</v>
      </c>
      <c r="S42" s="756">
        <v>585</v>
      </c>
      <c r="T42" s="751">
        <v>481</v>
      </c>
      <c r="U42" s="749">
        <f t="shared" si="6"/>
        <v>281385</v>
      </c>
      <c r="V42" s="756">
        <v>590</v>
      </c>
      <c r="W42" s="751">
        <v>497</v>
      </c>
      <c r="X42" s="752">
        <f t="shared" si="7"/>
        <v>293230</v>
      </c>
      <c r="Y42" s="820">
        <v>280</v>
      </c>
      <c r="Z42" s="831">
        <v>515</v>
      </c>
      <c r="AA42" s="822">
        <f t="shared" si="8"/>
        <v>144200</v>
      </c>
      <c r="AB42" s="753">
        <f t="shared" si="9"/>
        <v>485</v>
      </c>
      <c r="AC42" s="754">
        <v>530</v>
      </c>
      <c r="AD42" s="755">
        <f t="shared" si="10"/>
        <v>257050</v>
      </c>
    </row>
    <row r="43" spans="1:30" x14ac:dyDescent="0.2">
      <c r="A43" s="749" t="s">
        <v>283</v>
      </c>
      <c r="B43" s="750">
        <v>1894</v>
      </c>
      <c r="C43" s="751">
        <v>146</v>
      </c>
      <c r="D43" s="750">
        <f t="shared" si="1"/>
        <v>276524</v>
      </c>
      <c r="E43" s="750">
        <v>2176</v>
      </c>
      <c r="F43" s="803">
        <f>+G43/E43</f>
        <v>129.27573529411765</v>
      </c>
      <c r="G43" s="757">
        <v>281304</v>
      </c>
      <c r="H43" s="820">
        <v>1484</v>
      </c>
      <c r="I43" s="821">
        <f t="shared" si="0"/>
        <v>136.24056603773585</v>
      </c>
      <c r="J43" s="822">
        <v>202181</v>
      </c>
      <c r="K43" s="753">
        <f t="shared" si="3"/>
        <v>1851.3333333333333</v>
      </c>
      <c r="L43" s="806">
        <f t="shared" si="4"/>
        <v>133.9</v>
      </c>
      <c r="M43" s="755">
        <f t="shared" si="5"/>
        <v>247893.53333333333</v>
      </c>
      <c r="N43" s="733"/>
      <c r="O43" s="733"/>
      <c r="P43" s="733"/>
      <c r="Q43" s="733"/>
      <c r="R43" s="749" t="s">
        <v>283</v>
      </c>
      <c r="S43" s="756">
        <v>791</v>
      </c>
      <c r="T43" s="751">
        <v>481</v>
      </c>
      <c r="U43" s="749">
        <f t="shared" si="6"/>
        <v>380471</v>
      </c>
      <c r="V43" s="756">
        <v>830</v>
      </c>
      <c r="W43" s="751">
        <v>497</v>
      </c>
      <c r="X43" s="752">
        <f t="shared" si="7"/>
        <v>412510</v>
      </c>
      <c r="Y43" s="820">
        <v>450</v>
      </c>
      <c r="Z43" s="831">
        <v>515</v>
      </c>
      <c r="AA43" s="822">
        <f t="shared" si="8"/>
        <v>231750</v>
      </c>
      <c r="AB43" s="753">
        <f t="shared" si="9"/>
        <v>690.33333333333337</v>
      </c>
      <c r="AC43" s="754">
        <v>530</v>
      </c>
      <c r="AD43" s="755">
        <f t="shared" si="10"/>
        <v>365876.66666666669</v>
      </c>
    </row>
    <row r="44" spans="1:30" x14ac:dyDescent="0.2">
      <c r="A44" s="749" t="s">
        <v>284</v>
      </c>
      <c r="B44" s="750">
        <v>2035</v>
      </c>
      <c r="C44" s="751">
        <v>146</v>
      </c>
      <c r="D44" s="750">
        <f t="shared" si="1"/>
        <v>297110</v>
      </c>
      <c r="E44" s="750">
        <v>1916</v>
      </c>
      <c r="F44" s="803">
        <f t="shared" ref="F44:F49" si="11">+G44/E44</f>
        <v>132.50574112734864</v>
      </c>
      <c r="G44" s="757">
        <v>253881</v>
      </c>
      <c r="H44" s="820">
        <v>1375</v>
      </c>
      <c r="I44" s="821">
        <f t="shared" si="0"/>
        <v>130.47345454545456</v>
      </c>
      <c r="J44" s="822">
        <v>179401</v>
      </c>
      <c r="K44" s="753">
        <f t="shared" si="3"/>
        <v>1775.3333333333333</v>
      </c>
      <c r="L44" s="806">
        <f t="shared" si="4"/>
        <v>133.9</v>
      </c>
      <c r="M44" s="755">
        <f t="shared" si="5"/>
        <v>237717.13333333333</v>
      </c>
      <c r="N44" s="733"/>
      <c r="O44" s="733"/>
      <c r="P44" s="733"/>
      <c r="Q44" s="733"/>
      <c r="R44" s="749" t="s">
        <v>284</v>
      </c>
      <c r="S44" s="756">
        <v>932</v>
      </c>
      <c r="T44" s="751">
        <v>481</v>
      </c>
      <c r="U44" s="749">
        <f t="shared" si="6"/>
        <v>448292</v>
      </c>
      <c r="V44" s="756">
        <v>898</v>
      </c>
      <c r="W44" s="751">
        <v>497</v>
      </c>
      <c r="X44" s="752">
        <f t="shared" si="7"/>
        <v>446306</v>
      </c>
      <c r="Y44" s="820">
        <v>490</v>
      </c>
      <c r="Z44" s="831">
        <v>515</v>
      </c>
      <c r="AA44" s="822">
        <f t="shared" si="8"/>
        <v>252350</v>
      </c>
      <c r="AB44" s="753">
        <f t="shared" si="9"/>
        <v>773.33333333333337</v>
      </c>
      <c r="AC44" s="754">
        <v>530</v>
      </c>
      <c r="AD44" s="755">
        <f t="shared" si="10"/>
        <v>409866.66666666669</v>
      </c>
    </row>
    <row r="45" spans="1:30" x14ac:dyDescent="0.2">
      <c r="A45" s="749" t="s">
        <v>285</v>
      </c>
      <c r="B45" s="750">
        <v>2065</v>
      </c>
      <c r="C45" s="751">
        <v>146</v>
      </c>
      <c r="D45" s="750">
        <f t="shared" si="1"/>
        <v>301490</v>
      </c>
      <c r="E45" s="750">
        <v>1897</v>
      </c>
      <c r="F45" s="803">
        <f t="shared" si="11"/>
        <v>135.69109119662625</v>
      </c>
      <c r="G45" s="757">
        <v>257406</v>
      </c>
      <c r="H45" s="823">
        <v>1897</v>
      </c>
      <c r="I45" s="806">
        <v>130</v>
      </c>
      <c r="J45" s="755">
        <f>+H45*I45</f>
        <v>246610</v>
      </c>
      <c r="K45" s="753">
        <f t="shared" si="3"/>
        <v>1953</v>
      </c>
      <c r="L45" s="806">
        <f t="shared" si="4"/>
        <v>133.9</v>
      </c>
      <c r="M45" s="755">
        <f t="shared" si="5"/>
        <v>261506.7</v>
      </c>
      <c r="N45" s="733"/>
      <c r="O45" s="733"/>
      <c r="P45" s="733"/>
      <c r="Q45" s="733"/>
      <c r="R45" s="749" t="s">
        <v>285</v>
      </c>
      <c r="S45" s="758">
        <v>787</v>
      </c>
      <c r="T45" s="751">
        <v>481</v>
      </c>
      <c r="U45" s="749">
        <f t="shared" si="6"/>
        <v>378547</v>
      </c>
      <c r="V45" s="758">
        <v>815</v>
      </c>
      <c r="W45" s="751">
        <v>497</v>
      </c>
      <c r="X45" s="757">
        <f t="shared" si="7"/>
        <v>405055</v>
      </c>
      <c r="Y45" s="753">
        <f>+((S45+V45)/2)*0.75</f>
        <v>600.75</v>
      </c>
      <c r="Z45" s="754">
        <v>515</v>
      </c>
      <c r="AA45" s="755">
        <f t="shared" si="8"/>
        <v>309386.25</v>
      </c>
      <c r="AB45" s="753">
        <f t="shared" si="9"/>
        <v>734.25</v>
      </c>
      <c r="AC45" s="754">
        <v>530</v>
      </c>
      <c r="AD45" s="755">
        <f t="shared" si="10"/>
        <v>389152.5</v>
      </c>
    </row>
    <row r="46" spans="1:30" x14ac:dyDescent="0.2">
      <c r="A46" s="749" t="s">
        <v>286</v>
      </c>
      <c r="B46" s="750">
        <v>1918</v>
      </c>
      <c r="C46" s="751">
        <v>146</v>
      </c>
      <c r="D46" s="750">
        <f t="shared" si="1"/>
        <v>280028</v>
      </c>
      <c r="E46" s="750">
        <v>1694</v>
      </c>
      <c r="F46" s="803">
        <f t="shared" si="11"/>
        <v>134.01475796930342</v>
      </c>
      <c r="G46" s="757">
        <v>227021</v>
      </c>
      <c r="H46" s="823">
        <v>1694</v>
      </c>
      <c r="I46" s="806">
        <v>130</v>
      </c>
      <c r="J46" s="755">
        <f t="shared" ref="J46:J49" si="12">+H46*I46</f>
        <v>220220</v>
      </c>
      <c r="K46" s="753">
        <f t="shared" si="3"/>
        <v>1768.6666666666667</v>
      </c>
      <c r="L46" s="806">
        <f t="shared" si="4"/>
        <v>133.9</v>
      </c>
      <c r="M46" s="755">
        <f t="shared" si="5"/>
        <v>236824.46666666667</v>
      </c>
      <c r="N46" s="733"/>
      <c r="O46" s="733"/>
      <c r="P46" s="733"/>
      <c r="Q46" s="733"/>
      <c r="R46" s="749" t="s">
        <v>286</v>
      </c>
      <c r="S46" s="758">
        <v>629</v>
      </c>
      <c r="T46" s="751">
        <v>481</v>
      </c>
      <c r="U46" s="749">
        <f t="shared" si="6"/>
        <v>302549</v>
      </c>
      <c r="V46" s="758">
        <v>710</v>
      </c>
      <c r="W46" s="751">
        <v>497</v>
      </c>
      <c r="X46" s="757">
        <f t="shared" si="7"/>
        <v>352870</v>
      </c>
      <c r="Y46" s="753">
        <f>+((S46+V46)/2)*0.75</f>
        <v>502.125</v>
      </c>
      <c r="Z46" s="754">
        <v>515</v>
      </c>
      <c r="AA46" s="755">
        <f t="shared" si="8"/>
        <v>258594.375</v>
      </c>
      <c r="AB46" s="753">
        <f t="shared" si="9"/>
        <v>613.70833333333337</v>
      </c>
      <c r="AC46" s="754">
        <v>530</v>
      </c>
      <c r="AD46" s="755">
        <f t="shared" si="10"/>
        <v>325265.41666666669</v>
      </c>
    </row>
    <row r="47" spans="1:30" x14ac:dyDescent="0.2">
      <c r="A47" s="749" t="s">
        <v>287</v>
      </c>
      <c r="B47" s="750">
        <v>1839</v>
      </c>
      <c r="C47" s="751">
        <v>146</v>
      </c>
      <c r="D47" s="750">
        <f t="shared" si="1"/>
        <v>268494</v>
      </c>
      <c r="E47" s="750">
        <v>1666</v>
      </c>
      <c r="F47" s="803">
        <f t="shared" si="11"/>
        <v>153.54321728691477</v>
      </c>
      <c r="G47" s="757">
        <v>255803</v>
      </c>
      <c r="H47" s="823">
        <v>1666</v>
      </c>
      <c r="I47" s="806">
        <v>130</v>
      </c>
      <c r="J47" s="755">
        <f t="shared" si="12"/>
        <v>216580</v>
      </c>
      <c r="K47" s="753">
        <f t="shared" si="3"/>
        <v>1723.6666666666667</v>
      </c>
      <c r="L47" s="806">
        <f t="shared" si="4"/>
        <v>133.9</v>
      </c>
      <c r="M47" s="755">
        <f t="shared" si="5"/>
        <v>230798.96666666667</v>
      </c>
      <c r="N47" s="733"/>
      <c r="O47" s="733"/>
      <c r="P47" s="733"/>
      <c r="Q47" s="733"/>
      <c r="R47" s="749" t="s">
        <v>287</v>
      </c>
      <c r="S47" s="758">
        <v>465</v>
      </c>
      <c r="T47" s="751">
        <v>481</v>
      </c>
      <c r="U47" s="749">
        <f t="shared" si="6"/>
        <v>223665</v>
      </c>
      <c r="V47" s="758">
        <v>590</v>
      </c>
      <c r="W47" s="751">
        <v>497</v>
      </c>
      <c r="X47" s="757">
        <f t="shared" si="7"/>
        <v>293230</v>
      </c>
      <c r="Y47" s="753">
        <f>+((S47+V47)/2)*0.75</f>
        <v>395.625</v>
      </c>
      <c r="Z47" s="754">
        <v>515</v>
      </c>
      <c r="AA47" s="755">
        <f t="shared" si="8"/>
        <v>203746.875</v>
      </c>
      <c r="AB47" s="753">
        <f t="shared" si="9"/>
        <v>483.54166666666669</v>
      </c>
      <c r="AC47" s="754">
        <v>530</v>
      </c>
      <c r="AD47" s="755">
        <f t="shared" si="10"/>
        <v>256277.08333333334</v>
      </c>
    </row>
    <row r="48" spans="1:30" x14ac:dyDescent="0.2">
      <c r="A48" s="749" t="s">
        <v>288</v>
      </c>
      <c r="B48" s="750">
        <v>2061</v>
      </c>
      <c r="C48" s="751">
        <v>146</v>
      </c>
      <c r="D48" s="750">
        <f t="shared" si="1"/>
        <v>300906</v>
      </c>
      <c r="E48" s="750">
        <v>1535</v>
      </c>
      <c r="F48" s="803">
        <f t="shared" si="11"/>
        <v>138.2983713355049</v>
      </c>
      <c r="G48" s="757">
        <v>212288</v>
      </c>
      <c r="H48" s="823">
        <v>1535</v>
      </c>
      <c r="I48" s="806">
        <v>130</v>
      </c>
      <c r="J48" s="755">
        <f t="shared" si="12"/>
        <v>199550</v>
      </c>
      <c r="K48" s="753">
        <f t="shared" si="3"/>
        <v>1710.3333333333333</v>
      </c>
      <c r="L48" s="806">
        <f t="shared" si="4"/>
        <v>133.9</v>
      </c>
      <c r="M48" s="755">
        <f t="shared" si="5"/>
        <v>229013.63333333333</v>
      </c>
      <c r="N48" s="733"/>
      <c r="O48" s="733"/>
      <c r="P48" s="733"/>
      <c r="Q48" s="733"/>
      <c r="R48" s="749" t="s">
        <v>288</v>
      </c>
      <c r="S48" s="758">
        <v>361</v>
      </c>
      <c r="T48" s="751">
        <v>481</v>
      </c>
      <c r="U48" s="749">
        <f t="shared" si="6"/>
        <v>173641</v>
      </c>
      <c r="V48" s="758">
        <v>410</v>
      </c>
      <c r="W48" s="751">
        <v>497</v>
      </c>
      <c r="X48" s="757">
        <f t="shared" si="7"/>
        <v>203770</v>
      </c>
      <c r="Y48" s="753">
        <f>+((S48+V48)/2)*0.75</f>
        <v>289.125</v>
      </c>
      <c r="Z48" s="754">
        <v>515</v>
      </c>
      <c r="AA48" s="755">
        <f t="shared" si="8"/>
        <v>148899.375</v>
      </c>
      <c r="AB48" s="753">
        <f t="shared" si="9"/>
        <v>353.375</v>
      </c>
      <c r="AC48" s="754">
        <v>530</v>
      </c>
      <c r="AD48" s="755">
        <f t="shared" si="10"/>
        <v>187288.75</v>
      </c>
    </row>
    <row r="49" spans="1:30" x14ac:dyDescent="0.2">
      <c r="A49" s="749" t="s">
        <v>289</v>
      </c>
      <c r="B49" s="750">
        <v>1457</v>
      </c>
      <c r="C49" s="751">
        <v>146</v>
      </c>
      <c r="D49" s="750">
        <f t="shared" si="1"/>
        <v>212722</v>
      </c>
      <c r="E49" s="750">
        <v>1172</v>
      </c>
      <c r="F49" s="803">
        <f t="shared" si="11"/>
        <v>154.52986348122866</v>
      </c>
      <c r="G49" s="757">
        <v>181109</v>
      </c>
      <c r="H49" s="823">
        <v>1172</v>
      </c>
      <c r="I49" s="806">
        <v>130</v>
      </c>
      <c r="J49" s="755">
        <f t="shared" si="12"/>
        <v>152360</v>
      </c>
      <c r="K49" s="753">
        <f t="shared" si="3"/>
        <v>1267</v>
      </c>
      <c r="L49" s="806">
        <f t="shared" si="4"/>
        <v>133.9</v>
      </c>
      <c r="M49" s="755">
        <f t="shared" si="5"/>
        <v>169651.30000000002</v>
      </c>
      <c r="N49" s="733"/>
      <c r="O49" s="733"/>
      <c r="P49" s="733"/>
      <c r="Q49" s="733"/>
      <c r="R49" s="749" t="s">
        <v>289</v>
      </c>
      <c r="S49" s="758">
        <v>206</v>
      </c>
      <c r="T49" s="751">
        <v>481</v>
      </c>
      <c r="U49" s="749">
        <f t="shared" si="6"/>
        <v>99086</v>
      </c>
      <c r="V49" s="758">
        <v>350</v>
      </c>
      <c r="W49" s="751">
        <v>497</v>
      </c>
      <c r="X49" s="757">
        <f t="shared" si="7"/>
        <v>173950</v>
      </c>
      <c r="Y49" s="753">
        <f>+((S49+V49)/2)*0.75</f>
        <v>208.5</v>
      </c>
      <c r="Z49" s="754">
        <v>515</v>
      </c>
      <c r="AA49" s="755">
        <f t="shared" si="8"/>
        <v>107377.5</v>
      </c>
      <c r="AB49" s="753">
        <f t="shared" si="9"/>
        <v>254.83333333333334</v>
      </c>
      <c r="AC49" s="754">
        <v>530</v>
      </c>
      <c r="AD49" s="755">
        <f t="shared" si="10"/>
        <v>135061.66666666669</v>
      </c>
    </row>
    <row r="50" spans="1:30" x14ac:dyDescent="0.2">
      <c r="A50" s="759" t="s">
        <v>290</v>
      </c>
      <c r="B50" s="760">
        <f t="shared" ref="B50:H50" si="13">SUM(B38:B49)</f>
        <v>21712</v>
      </c>
      <c r="C50" s="760">
        <f t="shared" si="13"/>
        <v>1752</v>
      </c>
      <c r="D50" s="760">
        <f t="shared" si="13"/>
        <v>3169952</v>
      </c>
      <c r="E50" s="760">
        <f t="shared" si="13"/>
        <v>20307</v>
      </c>
      <c r="F50" s="761"/>
      <c r="G50" s="760">
        <f t="shared" si="13"/>
        <v>2889960</v>
      </c>
      <c r="H50" s="762">
        <f t="shared" si="13"/>
        <v>16423</v>
      </c>
      <c r="I50" s="763"/>
      <c r="J50" s="762">
        <f>SUM(J38:J49)</f>
        <v>2308942</v>
      </c>
      <c r="K50" s="762">
        <f>SUM(K38:K49)</f>
        <v>19480.666666666664</v>
      </c>
      <c r="L50" s="763"/>
      <c r="M50" s="762">
        <f>SUM(M38:M49)</f>
        <v>2608461.2666666666</v>
      </c>
      <c r="N50" s="733"/>
      <c r="O50" s="733"/>
      <c r="P50" s="733"/>
      <c r="Q50" s="733"/>
      <c r="R50" s="759" t="s">
        <v>290</v>
      </c>
      <c r="S50" s="764">
        <f>SUM(S38:S49)</f>
        <v>5519</v>
      </c>
      <c r="T50" s="761"/>
      <c r="U50" s="760">
        <f>SUM(U38:U49)</f>
        <v>2654639</v>
      </c>
      <c r="V50" s="764">
        <f>SUM(V38:V49)</f>
        <v>6030</v>
      </c>
      <c r="W50" s="747"/>
      <c r="X50" s="760">
        <f>SUM(X38:X49)</f>
        <v>2996910</v>
      </c>
      <c r="Y50" s="762">
        <f>SUM(Y38:Y49)</f>
        <v>3968.125</v>
      </c>
      <c r="Z50" s="763"/>
      <c r="AA50" s="762">
        <f>SUM(AA38:AA49)</f>
        <v>2043584.375</v>
      </c>
      <c r="AB50" s="762">
        <f>SUM(AB38:AB49)</f>
        <v>5172.375</v>
      </c>
      <c r="AC50" s="763"/>
      <c r="AD50" s="762">
        <f>SUM(AD38:AD49)</f>
        <v>2741358.75</v>
      </c>
    </row>
    <row r="51" spans="1:30" x14ac:dyDescent="0.2">
      <c r="A51" s="733"/>
      <c r="B51" s="733"/>
      <c r="C51" s="733"/>
      <c r="D51" s="759" t="s">
        <v>291</v>
      </c>
      <c r="E51" s="752">
        <f>+E38+E39+E40+E49</f>
        <v>6341</v>
      </c>
      <c r="F51" s="765">
        <v>146</v>
      </c>
      <c r="G51" s="752">
        <f>+G38+G39+G40+G49</f>
        <v>946121</v>
      </c>
      <c r="H51" s="755">
        <f>+H38+H39+H40+H49</f>
        <v>4433</v>
      </c>
      <c r="I51" s="766"/>
      <c r="J51" s="767" t="s">
        <v>291</v>
      </c>
      <c r="K51" s="755">
        <f>+K38+K39+K40+K49</f>
        <v>5535.666666666667</v>
      </c>
      <c r="L51" s="766"/>
      <c r="M51" s="755">
        <f>+M38+M39+M40+M49</f>
        <v>741225.76666666672</v>
      </c>
      <c r="N51" s="733"/>
      <c r="O51" s="733"/>
      <c r="P51" s="733"/>
      <c r="Q51" s="733"/>
      <c r="R51" s="733"/>
      <c r="S51" s="733"/>
      <c r="T51" s="733"/>
      <c r="U51" s="759" t="s">
        <v>291</v>
      </c>
      <c r="V51" s="752">
        <f>+V38+V39+V40+V49</f>
        <v>897</v>
      </c>
      <c r="W51" s="751">
        <f>+W50/12</f>
        <v>0</v>
      </c>
      <c r="X51" s="759" t="s">
        <v>291</v>
      </c>
      <c r="Y51" s="755">
        <f>+Y38+Y39+Y40+Y49</f>
        <v>770.5</v>
      </c>
      <c r="Z51" s="766"/>
      <c r="AA51" s="767" t="s">
        <v>291</v>
      </c>
      <c r="AB51" s="755">
        <f>+AB38+AB39+AB40+AB49</f>
        <v>782.16666666666663</v>
      </c>
      <c r="AC51" s="766"/>
      <c r="AD51" s="755">
        <f>+AD38+AD39+AD40+AD49</f>
        <v>414548.33333333331</v>
      </c>
    </row>
    <row r="52" spans="1:30" x14ac:dyDescent="0.2">
      <c r="A52" s="733"/>
      <c r="B52" s="733"/>
      <c r="C52" s="733"/>
      <c r="D52" s="759" t="s">
        <v>292</v>
      </c>
      <c r="E52" s="752">
        <f>SUM(E41:E48)</f>
        <v>13966</v>
      </c>
      <c r="F52" s="768">
        <v>3.4000000000000002E-2</v>
      </c>
      <c r="G52" s="752">
        <f>SUM(G41:G48)</f>
        <v>1943839</v>
      </c>
      <c r="H52" s="755">
        <f>SUM(H41:H48)</f>
        <v>11990</v>
      </c>
      <c r="I52" s="766"/>
      <c r="J52" s="767" t="s">
        <v>292</v>
      </c>
      <c r="K52" s="755">
        <f>SUM(K41:K48)</f>
        <v>13944.999999999998</v>
      </c>
      <c r="L52" s="766"/>
      <c r="M52" s="755">
        <f>SUM(M41:M48)</f>
        <v>1867235.5</v>
      </c>
      <c r="N52" s="733"/>
      <c r="O52" s="733"/>
      <c r="P52" s="733"/>
      <c r="Q52" s="733"/>
      <c r="R52" s="733"/>
      <c r="S52" s="733"/>
      <c r="T52" s="733"/>
      <c r="U52" s="759" t="s">
        <v>292</v>
      </c>
      <c r="V52" s="752">
        <f>SUM(V41:V48)</f>
        <v>5133</v>
      </c>
      <c r="W52" s="768">
        <v>3.4000000000000002E-2</v>
      </c>
      <c r="X52" s="759" t="s">
        <v>292</v>
      </c>
      <c r="Y52" s="755">
        <f>SUM(Y41:Y48)</f>
        <v>3197.625</v>
      </c>
      <c r="Z52" s="766"/>
      <c r="AA52" s="767" t="s">
        <v>292</v>
      </c>
      <c r="AB52" s="755">
        <f>SUM(AB41:AB48)</f>
        <v>4390.2083333333339</v>
      </c>
      <c r="AC52" s="766"/>
      <c r="AD52" s="755">
        <f>SUM(AD41:AD48)</f>
        <v>2326810.416666667</v>
      </c>
    </row>
    <row r="53" spans="1:30" x14ac:dyDescent="0.2">
      <c r="A53" s="733"/>
      <c r="B53" s="733"/>
      <c r="C53" s="733"/>
      <c r="D53" s="761" t="s">
        <v>293</v>
      </c>
      <c r="E53" s="760">
        <f>+E51+E52</f>
        <v>20307</v>
      </c>
      <c r="F53" s="769">
        <f>+F51*1.037</f>
        <v>151.40199999999999</v>
      </c>
      <c r="G53" s="760">
        <f>+G51+G52</f>
        <v>2889960</v>
      </c>
      <c r="H53" s="762">
        <f>+H51+H52</f>
        <v>16423</v>
      </c>
      <c r="I53" s="766"/>
      <c r="J53" s="763" t="s">
        <v>293</v>
      </c>
      <c r="K53" s="762">
        <f>+K51+K52</f>
        <v>19480.666666666664</v>
      </c>
      <c r="L53" s="766"/>
      <c r="M53" s="762">
        <f>+M51+M52</f>
        <v>2608461.2666666666</v>
      </c>
      <c r="N53" s="733"/>
      <c r="O53" s="733"/>
      <c r="P53" s="733"/>
      <c r="Q53" s="733"/>
      <c r="R53" s="733"/>
      <c r="S53" s="733"/>
      <c r="T53" s="733"/>
      <c r="U53" s="761" t="s">
        <v>293</v>
      </c>
      <c r="V53" s="760">
        <f>+V51+V52</f>
        <v>6030</v>
      </c>
      <c r="W53" s="761">
        <f>+W51*1.037</f>
        <v>0</v>
      </c>
      <c r="X53" s="761" t="s">
        <v>293</v>
      </c>
      <c r="Y53" s="762">
        <f>+Y51+Y52</f>
        <v>3968.125</v>
      </c>
      <c r="Z53" s="766"/>
      <c r="AA53" s="763" t="s">
        <v>293</v>
      </c>
      <c r="AB53" s="762">
        <f>+AB51+AB52</f>
        <v>5172.3750000000009</v>
      </c>
      <c r="AC53" s="766"/>
      <c r="AD53" s="762">
        <f>+AD51+AD52</f>
        <v>2741358.7500000005</v>
      </c>
    </row>
    <row r="54" spans="1:30" x14ac:dyDescent="0.2">
      <c r="A54" s="733"/>
      <c r="B54" s="733"/>
      <c r="C54" s="733"/>
      <c r="D54" s="733"/>
      <c r="E54" s="733"/>
      <c r="F54" s="733"/>
      <c r="G54" s="733"/>
      <c r="H54" s="733"/>
      <c r="I54" s="733"/>
      <c r="J54" s="733"/>
      <c r="K54" s="733"/>
      <c r="L54" s="733"/>
      <c r="M54" s="770">
        <f>+M53</f>
        <v>2608461.2666666666</v>
      </c>
      <c r="N54" s="733"/>
      <c r="O54" s="733"/>
      <c r="P54" s="733"/>
      <c r="Q54" s="733"/>
      <c r="R54" s="733"/>
      <c r="S54" s="733"/>
      <c r="T54" s="733"/>
      <c r="U54" s="733"/>
      <c r="V54" s="733"/>
      <c r="W54" s="733"/>
      <c r="X54" s="733"/>
      <c r="Y54" s="733"/>
      <c r="Z54" s="733"/>
      <c r="AA54" s="733"/>
      <c r="AB54" s="733"/>
      <c r="AC54" s="733"/>
      <c r="AD54" s="771"/>
    </row>
    <row r="55" spans="1:30" x14ac:dyDescent="0.2">
      <c r="A55" s="733"/>
      <c r="B55" s="733"/>
      <c r="C55" s="733"/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  <c r="O55" s="733"/>
      <c r="P55" s="733"/>
      <c r="Q55" s="733"/>
      <c r="R55" s="733"/>
      <c r="S55" s="733"/>
      <c r="T55" s="733"/>
      <c r="U55" s="733"/>
      <c r="V55" s="733"/>
      <c r="W55" s="733"/>
      <c r="X55" s="733"/>
      <c r="Y55" s="733"/>
      <c r="Z55" s="733"/>
      <c r="AA55" s="733"/>
      <c r="AB55" s="733"/>
      <c r="AC55" s="733"/>
      <c r="AD55" s="733"/>
    </row>
    <row r="56" spans="1:30" x14ac:dyDescent="0.2">
      <c r="A56" s="733"/>
      <c r="B56" s="733"/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  <c r="O56" s="733"/>
      <c r="P56" s="733"/>
      <c r="Q56" s="733"/>
      <c r="R56" s="733"/>
      <c r="S56" s="733"/>
      <c r="T56" s="733"/>
      <c r="U56" s="733"/>
      <c r="V56" s="733"/>
      <c r="W56" s="733">
        <f>+V50/12</f>
        <v>502.5</v>
      </c>
      <c r="X56" s="733"/>
      <c r="Y56" s="733"/>
      <c r="Z56" s="733"/>
      <c r="AA56" s="733"/>
      <c r="AB56" s="733"/>
      <c r="AC56" s="733"/>
      <c r="AD56" s="733"/>
    </row>
    <row r="57" spans="1:30" ht="15.75" x14ac:dyDescent="0.25">
      <c r="A57" s="733"/>
      <c r="B57" s="734" t="s">
        <v>25</v>
      </c>
      <c r="C57" s="733"/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  <c r="O57" s="733"/>
      <c r="P57" s="733"/>
      <c r="Q57" s="733"/>
      <c r="R57" s="733"/>
      <c r="S57" s="733"/>
      <c r="T57" s="733"/>
      <c r="U57" s="733"/>
      <c r="V57" s="733"/>
      <c r="W57" s="733"/>
      <c r="X57" s="733"/>
      <c r="Y57" s="733"/>
      <c r="Z57" s="733"/>
      <c r="AA57" s="733"/>
      <c r="AB57" s="733"/>
      <c r="AC57" s="733"/>
      <c r="AD57" s="733"/>
    </row>
    <row r="58" spans="1:30" x14ac:dyDescent="0.2">
      <c r="A58" s="733"/>
      <c r="B58" s="735"/>
      <c r="C58" s="735"/>
      <c r="D58" s="735"/>
      <c r="E58" s="735"/>
      <c r="F58" s="733"/>
      <c r="G58" s="733"/>
      <c r="H58" s="733"/>
      <c r="I58" s="733"/>
      <c r="J58" s="733"/>
      <c r="K58" s="733"/>
      <c r="L58" s="733"/>
      <c r="M58" s="733"/>
      <c r="N58" s="733"/>
      <c r="O58" s="733"/>
      <c r="P58" s="733"/>
      <c r="Q58" s="733"/>
      <c r="R58" s="733"/>
      <c r="S58" s="733"/>
      <c r="T58" s="733"/>
      <c r="U58" s="733"/>
      <c r="V58" s="733"/>
      <c r="W58" s="733"/>
      <c r="X58" s="733"/>
      <c r="Y58" s="733"/>
      <c r="Z58" s="733"/>
      <c r="AA58" s="733"/>
      <c r="AB58" s="733"/>
      <c r="AC58" s="733"/>
      <c r="AD58" s="733"/>
    </row>
    <row r="59" spans="1:30" x14ac:dyDescent="0.2">
      <c r="A59" s="736" t="s">
        <v>272</v>
      </c>
      <c r="B59" s="737"/>
      <c r="C59" s="738" t="s">
        <v>418</v>
      </c>
      <c r="D59" s="739"/>
      <c r="E59" s="740"/>
      <c r="F59" s="741" t="s">
        <v>419</v>
      </c>
      <c r="G59" s="742"/>
      <c r="H59" s="816"/>
      <c r="I59" s="817" t="s">
        <v>421</v>
      </c>
      <c r="J59" s="818"/>
      <c r="K59" s="743"/>
      <c r="L59" s="744" t="s">
        <v>420</v>
      </c>
      <c r="M59" s="745"/>
      <c r="N59" s="733"/>
      <c r="O59" s="733"/>
      <c r="P59" s="733"/>
      <c r="Q59" s="733"/>
      <c r="R59" s="733"/>
      <c r="S59" s="733"/>
      <c r="T59" s="733"/>
      <c r="U59" s="733"/>
      <c r="V59" s="733"/>
      <c r="W59" s="733"/>
      <c r="X59" s="733"/>
      <c r="Y59" s="733"/>
      <c r="Z59" s="733"/>
      <c r="AA59" s="733"/>
      <c r="AB59" s="733"/>
      <c r="AC59" s="733"/>
      <c r="AD59" s="733"/>
    </row>
    <row r="60" spans="1:30" x14ac:dyDescent="0.2">
      <c r="A60" s="746" t="s">
        <v>273</v>
      </c>
      <c r="B60" s="747" t="s">
        <v>277</v>
      </c>
      <c r="C60" s="747" t="s">
        <v>275</v>
      </c>
      <c r="D60" s="747" t="s">
        <v>197</v>
      </c>
      <c r="E60" s="747" t="s">
        <v>277</v>
      </c>
      <c r="F60" s="747" t="s">
        <v>275</v>
      </c>
      <c r="G60" s="747" t="s">
        <v>197</v>
      </c>
      <c r="H60" s="819" t="s">
        <v>277</v>
      </c>
      <c r="I60" s="819" t="s">
        <v>275</v>
      </c>
      <c r="J60" s="819" t="s">
        <v>197</v>
      </c>
      <c r="K60" s="748" t="s">
        <v>277</v>
      </c>
      <c r="L60" s="748" t="s">
        <v>275</v>
      </c>
      <c r="M60" s="748" t="s">
        <v>197</v>
      </c>
      <c r="N60" s="733"/>
      <c r="O60" s="733"/>
      <c r="P60" s="733"/>
      <c r="Q60" s="733"/>
      <c r="R60" s="733"/>
      <c r="S60" s="733"/>
      <c r="T60" s="733"/>
      <c r="U60" s="733"/>
      <c r="V60" s="733"/>
      <c r="W60" s="733"/>
      <c r="X60" s="733"/>
      <c r="Y60" s="733"/>
      <c r="Z60" s="733"/>
      <c r="AA60" s="733"/>
      <c r="AB60" s="733"/>
      <c r="AC60" s="733"/>
      <c r="AD60" s="733"/>
    </row>
    <row r="61" spans="1:30" x14ac:dyDescent="0.2">
      <c r="A61" s="749" t="s">
        <v>278</v>
      </c>
      <c r="B61" s="756">
        <v>172</v>
      </c>
      <c r="C61" s="751">
        <v>430</v>
      </c>
      <c r="D61" s="749">
        <f>+B61*C61</f>
        <v>73960</v>
      </c>
      <c r="E61" s="756">
        <v>128</v>
      </c>
      <c r="F61" s="751">
        <v>456</v>
      </c>
      <c r="G61" s="752">
        <f>+E61*F61</f>
        <v>58368</v>
      </c>
      <c r="H61" s="820">
        <v>46</v>
      </c>
      <c r="I61" s="821">
        <f t="shared" ref="I61:I67" si="14">+J61/H61</f>
        <v>512.04347826086962</v>
      </c>
      <c r="J61" s="822">
        <v>23554</v>
      </c>
      <c r="K61" s="753">
        <f>+(B61+E61+H61)/3</f>
        <v>115.33333333333333</v>
      </c>
      <c r="L61" s="806">
        <f>479*1.03</f>
        <v>493.37</v>
      </c>
      <c r="M61" s="755">
        <f>+K61*L61</f>
        <v>56902.006666666668</v>
      </c>
      <c r="N61" s="733"/>
      <c r="O61" s="733"/>
      <c r="P61" s="733"/>
      <c r="Q61" s="733"/>
      <c r="R61" s="733"/>
      <c r="S61" s="733"/>
      <c r="T61" s="733"/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</row>
    <row r="62" spans="1:30" x14ac:dyDescent="0.2">
      <c r="A62" s="749" t="s">
        <v>279</v>
      </c>
      <c r="B62" s="756">
        <v>81</v>
      </c>
      <c r="C62" s="751">
        <v>430</v>
      </c>
      <c r="D62" s="749">
        <f t="shared" ref="D62:D72" si="15">+B62*C62</f>
        <v>34830</v>
      </c>
      <c r="E62" s="756">
        <v>169</v>
      </c>
      <c r="F62" s="751">
        <v>456</v>
      </c>
      <c r="G62" s="752">
        <f t="shared" ref="G62:G65" si="16">+E62*F62</f>
        <v>77064</v>
      </c>
      <c r="H62" s="820">
        <v>74</v>
      </c>
      <c r="I62" s="821">
        <f t="shared" si="14"/>
        <v>463.08108108108109</v>
      </c>
      <c r="J62" s="822">
        <v>34268</v>
      </c>
      <c r="K62" s="753">
        <f t="shared" ref="K62:K72" si="17">+(B62+E62+H62)/3</f>
        <v>108</v>
      </c>
      <c r="L62" s="806">
        <f t="shared" ref="L62:L72" si="18">479*1.03</f>
        <v>493.37</v>
      </c>
      <c r="M62" s="755">
        <f t="shared" ref="M62:M72" si="19">+K62*L62</f>
        <v>53283.96</v>
      </c>
      <c r="N62" s="733"/>
      <c r="O62" s="733"/>
      <c r="P62" s="733"/>
      <c r="Q62" s="733"/>
      <c r="R62" s="733"/>
      <c r="S62" s="733"/>
      <c r="T62" s="733"/>
      <c r="U62" s="733"/>
      <c r="V62" s="733"/>
      <c r="W62" s="733"/>
      <c r="X62" s="733"/>
      <c r="Y62" s="733"/>
      <c r="Z62" s="733"/>
      <c r="AA62" s="733"/>
      <c r="AB62" s="733"/>
      <c r="AC62" s="733"/>
      <c r="AD62" s="733"/>
    </row>
    <row r="63" spans="1:30" x14ac:dyDescent="0.2">
      <c r="A63" s="749" t="s">
        <v>280</v>
      </c>
      <c r="B63" s="756">
        <v>86</v>
      </c>
      <c r="C63" s="751">
        <v>430</v>
      </c>
      <c r="D63" s="749">
        <f t="shared" si="15"/>
        <v>36980</v>
      </c>
      <c r="E63" s="756">
        <v>157</v>
      </c>
      <c r="F63" s="751">
        <v>457</v>
      </c>
      <c r="G63" s="752">
        <f t="shared" si="16"/>
        <v>71749</v>
      </c>
      <c r="H63" s="820">
        <v>50</v>
      </c>
      <c r="I63" s="821">
        <f t="shared" si="14"/>
        <v>540.96</v>
      </c>
      <c r="J63" s="822">
        <v>27048</v>
      </c>
      <c r="K63" s="753">
        <f t="shared" si="17"/>
        <v>97.666666666666671</v>
      </c>
      <c r="L63" s="806">
        <f t="shared" si="18"/>
        <v>493.37</v>
      </c>
      <c r="M63" s="755">
        <f t="shared" si="19"/>
        <v>48185.803333333337</v>
      </c>
      <c r="N63" s="733"/>
      <c r="O63" s="733"/>
      <c r="P63" s="733"/>
      <c r="Q63" s="733"/>
      <c r="R63" s="733"/>
      <c r="S63" s="733"/>
      <c r="T63" s="733"/>
      <c r="U63" s="733"/>
      <c r="V63" s="733"/>
      <c r="W63" s="733"/>
      <c r="X63" s="733"/>
      <c r="Y63" s="733"/>
      <c r="Z63" s="733"/>
      <c r="AA63" s="733"/>
      <c r="AB63" s="733"/>
      <c r="AC63" s="733"/>
      <c r="AD63" s="733"/>
    </row>
    <row r="64" spans="1:30" x14ac:dyDescent="0.2">
      <c r="A64" s="749" t="s">
        <v>281</v>
      </c>
      <c r="B64" s="756">
        <v>56</v>
      </c>
      <c r="C64" s="751">
        <v>430</v>
      </c>
      <c r="D64" s="749">
        <f t="shared" si="15"/>
        <v>24080</v>
      </c>
      <c r="E64" s="756">
        <v>56</v>
      </c>
      <c r="F64" s="751">
        <v>456</v>
      </c>
      <c r="G64" s="752">
        <f t="shared" si="16"/>
        <v>25536</v>
      </c>
      <c r="H64" s="820">
        <v>36</v>
      </c>
      <c r="I64" s="821">
        <f t="shared" si="14"/>
        <v>465.80555555555554</v>
      </c>
      <c r="J64" s="822">
        <v>16769</v>
      </c>
      <c r="K64" s="753">
        <f t="shared" si="17"/>
        <v>49.333333333333336</v>
      </c>
      <c r="L64" s="806">
        <f t="shared" si="18"/>
        <v>493.37</v>
      </c>
      <c r="M64" s="755">
        <f t="shared" si="19"/>
        <v>24339.58666666667</v>
      </c>
      <c r="N64" s="733"/>
      <c r="O64" s="733"/>
      <c r="P64" s="733"/>
      <c r="Q64" s="733"/>
      <c r="R64" s="733"/>
      <c r="S64" s="733"/>
      <c r="T64" s="733"/>
      <c r="U64" s="733"/>
      <c r="V64" s="733"/>
      <c r="W64" s="733"/>
      <c r="X64" s="733"/>
      <c r="Y64" s="733"/>
      <c r="Z64" s="733"/>
      <c r="AA64" s="733"/>
      <c r="AB64" s="733"/>
      <c r="AC64" s="733"/>
      <c r="AD64" s="733"/>
    </row>
    <row r="65" spans="1:30" x14ac:dyDescent="0.2">
      <c r="A65" s="749" t="s">
        <v>282</v>
      </c>
      <c r="B65" s="756">
        <v>46</v>
      </c>
      <c r="C65" s="751">
        <v>430</v>
      </c>
      <c r="D65" s="749">
        <f t="shared" si="15"/>
        <v>19780</v>
      </c>
      <c r="E65" s="756">
        <v>43</v>
      </c>
      <c r="F65" s="751">
        <v>457</v>
      </c>
      <c r="G65" s="752">
        <f t="shared" si="16"/>
        <v>19651</v>
      </c>
      <c r="H65" s="820">
        <v>25</v>
      </c>
      <c r="I65" s="821">
        <f t="shared" si="14"/>
        <v>478.24</v>
      </c>
      <c r="J65" s="822">
        <v>11956</v>
      </c>
      <c r="K65" s="753">
        <f t="shared" si="17"/>
        <v>38</v>
      </c>
      <c r="L65" s="806">
        <f t="shared" si="18"/>
        <v>493.37</v>
      </c>
      <c r="M65" s="755">
        <f t="shared" si="19"/>
        <v>18748.060000000001</v>
      </c>
      <c r="N65" s="733"/>
      <c r="O65" s="733"/>
      <c r="P65" s="733"/>
      <c r="Q65" s="733"/>
      <c r="R65" s="733"/>
      <c r="S65" s="733"/>
      <c r="T65" s="733"/>
      <c r="U65" s="733"/>
      <c r="V65" s="733"/>
      <c r="W65" s="733"/>
      <c r="X65" s="733"/>
      <c r="Y65" s="733"/>
      <c r="Z65" s="733"/>
      <c r="AA65" s="733"/>
      <c r="AB65" s="733"/>
      <c r="AC65" s="733"/>
      <c r="AD65" s="733"/>
    </row>
    <row r="66" spans="1:30" x14ac:dyDescent="0.2">
      <c r="A66" s="749" t="s">
        <v>283</v>
      </c>
      <c r="B66" s="756">
        <v>48</v>
      </c>
      <c r="C66" s="751">
        <v>430</v>
      </c>
      <c r="D66" s="749">
        <f t="shared" si="15"/>
        <v>20640</v>
      </c>
      <c r="E66" s="758">
        <v>55</v>
      </c>
      <c r="F66" s="804">
        <f>+G66/E66</f>
        <v>456.4727272727273</v>
      </c>
      <c r="G66" s="757">
        <v>25106</v>
      </c>
      <c r="H66" s="820">
        <v>29</v>
      </c>
      <c r="I66" s="821">
        <f t="shared" si="14"/>
        <v>478.27586206896552</v>
      </c>
      <c r="J66" s="822">
        <v>13870</v>
      </c>
      <c r="K66" s="753">
        <f t="shared" si="17"/>
        <v>44</v>
      </c>
      <c r="L66" s="806">
        <f t="shared" si="18"/>
        <v>493.37</v>
      </c>
      <c r="M66" s="755">
        <f t="shared" si="19"/>
        <v>21708.28</v>
      </c>
      <c r="N66" s="733"/>
      <c r="O66" s="733"/>
      <c r="P66" s="733"/>
      <c r="Q66" s="733"/>
      <c r="R66" s="733"/>
      <c r="S66" s="733"/>
      <c r="T66" s="733"/>
      <c r="U66" s="733"/>
      <c r="V66" s="733"/>
      <c r="W66" s="733"/>
      <c r="X66" s="733"/>
      <c r="Y66" s="733"/>
      <c r="Z66" s="733"/>
      <c r="AA66" s="733"/>
      <c r="AB66" s="733"/>
      <c r="AC66" s="733"/>
      <c r="AD66" s="733"/>
    </row>
    <row r="67" spans="1:30" x14ac:dyDescent="0.2">
      <c r="A67" s="749" t="s">
        <v>284</v>
      </c>
      <c r="B67" s="772">
        <v>44</v>
      </c>
      <c r="C67" s="751">
        <v>430</v>
      </c>
      <c r="D67" s="749">
        <f t="shared" si="15"/>
        <v>18920</v>
      </c>
      <c r="E67" s="773">
        <v>36</v>
      </c>
      <c r="F67" s="804">
        <f t="shared" ref="F67:F72" si="20">+G67/E67</f>
        <v>457.30555555555554</v>
      </c>
      <c r="G67" s="757">
        <v>16463</v>
      </c>
      <c r="H67" s="820">
        <v>30</v>
      </c>
      <c r="I67" s="821">
        <f t="shared" si="14"/>
        <v>478.83333333333331</v>
      </c>
      <c r="J67" s="822">
        <v>14365</v>
      </c>
      <c r="K67" s="753">
        <f t="shared" si="17"/>
        <v>36.666666666666664</v>
      </c>
      <c r="L67" s="806">
        <f t="shared" si="18"/>
        <v>493.37</v>
      </c>
      <c r="M67" s="755">
        <f t="shared" si="19"/>
        <v>18090.233333333334</v>
      </c>
      <c r="N67" s="733"/>
      <c r="O67" s="733"/>
      <c r="P67" s="733"/>
      <c r="Q67" s="733"/>
      <c r="R67" s="733"/>
      <c r="S67" s="733"/>
      <c r="T67" s="733"/>
      <c r="U67" s="733"/>
      <c r="V67" s="733"/>
      <c r="W67" s="733"/>
      <c r="X67" s="733"/>
      <c r="Y67" s="733"/>
      <c r="Z67" s="733"/>
      <c r="AA67" s="733"/>
      <c r="AB67" s="733"/>
      <c r="AC67" s="733"/>
      <c r="AD67" s="733"/>
    </row>
    <row r="68" spans="1:30" x14ac:dyDescent="0.2">
      <c r="A68" s="749" t="s">
        <v>285</v>
      </c>
      <c r="B68" s="751">
        <v>45</v>
      </c>
      <c r="C68" s="751">
        <v>430</v>
      </c>
      <c r="D68" s="749">
        <f t="shared" si="15"/>
        <v>19350</v>
      </c>
      <c r="E68" s="774">
        <v>40</v>
      </c>
      <c r="F68" s="804">
        <f t="shared" si="20"/>
        <v>457.8</v>
      </c>
      <c r="G68" s="757">
        <v>18312</v>
      </c>
      <c r="H68" s="754">
        <v>40</v>
      </c>
      <c r="I68" s="806">
        <f t="shared" ref="I68:I72" si="21">+J68/H68</f>
        <v>457.8</v>
      </c>
      <c r="J68" s="755">
        <v>18312</v>
      </c>
      <c r="K68" s="753">
        <f t="shared" si="17"/>
        <v>41.666666666666664</v>
      </c>
      <c r="L68" s="806">
        <f t="shared" si="18"/>
        <v>493.37</v>
      </c>
      <c r="M68" s="755">
        <f t="shared" si="19"/>
        <v>20557.083333333332</v>
      </c>
      <c r="N68" s="733"/>
      <c r="O68" s="733"/>
      <c r="P68" s="733"/>
      <c r="Q68" s="733"/>
      <c r="R68" s="733"/>
      <c r="S68" s="733"/>
      <c r="T68" s="733"/>
      <c r="U68" s="733"/>
      <c r="V68" s="733"/>
      <c r="W68" s="733"/>
      <c r="X68" s="733"/>
      <c r="Y68" s="733"/>
      <c r="Z68" s="733"/>
      <c r="AA68" s="733"/>
      <c r="AB68" s="733"/>
      <c r="AC68" s="733"/>
      <c r="AD68" s="733"/>
    </row>
    <row r="69" spans="1:30" x14ac:dyDescent="0.2">
      <c r="A69" s="749" t="s">
        <v>286</v>
      </c>
      <c r="B69" s="751">
        <v>47</v>
      </c>
      <c r="C69" s="751">
        <v>430</v>
      </c>
      <c r="D69" s="749">
        <f t="shared" si="15"/>
        <v>20210</v>
      </c>
      <c r="E69" s="774">
        <v>76</v>
      </c>
      <c r="F69" s="804">
        <f t="shared" si="20"/>
        <v>457.76315789473682</v>
      </c>
      <c r="G69" s="757">
        <v>34790</v>
      </c>
      <c r="H69" s="754">
        <v>76</v>
      </c>
      <c r="I69" s="806">
        <f t="shared" si="21"/>
        <v>457.76315789473682</v>
      </c>
      <c r="J69" s="755">
        <v>34790</v>
      </c>
      <c r="K69" s="753">
        <f t="shared" si="17"/>
        <v>66.333333333333329</v>
      </c>
      <c r="L69" s="806">
        <f t="shared" si="18"/>
        <v>493.37</v>
      </c>
      <c r="M69" s="755">
        <f t="shared" si="19"/>
        <v>32726.876666666663</v>
      </c>
      <c r="N69" s="733"/>
      <c r="O69" s="733"/>
      <c r="P69" s="733"/>
      <c r="Q69" s="733"/>
      <c r="R69" s="733"/>
      <c r="S69" s="733"/>
      <c r="T69" s="733"/>
      <c r="U69" s="733"/>
      <c r="V69" s="733"/>
      <c r="W69" s="733"/>
      <c r="X69" s="733"/>
      <c r="Y69" s="733"/>
      <c r="Z69" s="733"/>
      <c r="AA69" s="733"/>
      <c r="AB69" s="733"/>
      <c r="AC69" s="733"/>
      <c r="AD69" s="733"/>
    </row>
    <row r="70" spans="1:30" x14ac:dyDescent="0.2">
      <c r="A70" s="749" t="s">
        <v>287</v>
      </c>
      <c r="B70" s="751">
        <v>42</v>
      </c>
      <c r="C70" s="751">
        <v>430</v>
      </c>
      <c r="D70" s="749">
        <f t="shared" si="15"/>
        <v>18060</v>
      </c>
      <c r="E70" s="774">
        <v>45</v>
      </c>
      <c r="F70" s="804">
        <f t="shared" si="20"/>
        <v>456.46666666666664</v>
      </c>
      <c r="G70" s="757">
        <v>20541</v>
      </c>
      <c r="H70" s="754">
        <v>45</v>
      </c>
      <c r="I70" s="806">
        <f t="shared" si="21"/>
        <v>456.46666666666664</v>
      </c>
      <c r="J70" s="755">
        <v>20541</v>
      </c>
      <c r="K70" s="753">
        <f t="shared" si="17"/>
        <v>44</v>
      </c>
      <c r="L70" s="806">
        <f t="shared" si="18"/>
        <v>493.37</v>
      </c>
      <c r="M70" s="755">
        <f t="shared" si="19"/>
        <v>21708.28</v>
      </c>
      <c r="N70" s="733"/>
      <c r="O70" s="733"/>
      <c r="P70" s="733"/>
      <c r="Q70" s="733"/>
      <c r="R70" s="733"/>
      <c r="S70" s="733"/>
      <c r="T70" s="733"/>
      <c r="U70" s="733"/>
      <c r="V70" s="733"/>
      <c r="W70" s="733"/>
      <c r="X70" s="733"/>
      <c r="Y70" s="733"/>
      <c r="Z70" s="733"/>
      <c r="AA70" s="733"/>
      <c r="AB70" s="733"/>
      <c r="AC70" s="733"/>
      <c r="AD70" s="733"/>
    </row>
    <row r="71" spans="1:30" x14ac:dyDescent="0.2">
      <c r="A71" s="749" t="s">
        <v>288</v>
      </c>
      <c r="B71" s="751">
        <v>43</v>
      </c>
      <c r="C71" s="751">
        <v>430</v>
      </c>
      <c r="D71" s="749">
        <f t="shared" si="15"/>
        <v>18490</v>
      </c>
      <c r="E71" s="774">
        <v>71</v>
      </c>
      <c r="F71" s="804">
        <f t="shared" si="20"/>
        <v>456.77464788732397</v>
      </c>
      <c r="G71" s="757">
        <v>32431</v>
      </c>
      <c r="H71" s="754">
        <v>71</v>
      </c>
      <c r="I71" s="806">
        <f t="shared" si="21"/>
        <v>456.77464788732397</v>
      </c>
      <c r="J71" s="755">
        <v>32431</v>
      </c>
      <c r="K71" s="753">
        <f t="shared" si="17"/>
        <v>61.666666666666664</v>
      </c>
      <c r="L71" s="806">
        <f t="shared" si="18"/>
        <v>493.37</v>
      </c>
      <c r="M71" s="755">
        <f t="shared" si="19"/>
        <v>30424.483333333334</v>
      </c>
      <c r="N71" s="733"/>
      <c r="O71" s="733"/>
      <c r="P71" s="733"/>
      <c r="Q71" s="733"/>
      <c r="R71" s="733"/>
      <c r="S71" s="733"/>
      <c r="T71" s="733"/>
      <c r="U71" s="733"/>
      <c r="V71" s="733"/>
      <c r="W71" s="733"/>
      <c r="X71" s="733"/>
      <c r="Y71" s="733"/>
      <c r="Z71" s="733"/>
      <c r="AA71" s="733"/>
      <c r="AB71" s="733"/>
      <c r="AC71" s="733"/>
      <c r="AD71" s="733"/>
    </row>
    <row r="72" spans="1:30" x14ac:dyDescent="0.2">
      <c r="A72" s="749" t="s">
        <v>289</v>
      </c>
      <c r="B72" s="751">
        <v>100</v>
      </c>
      <c r="C72" s="751">
        <v>430</v>
      </c>
      <c r="D72" s="749">
        <f t="shared" si="15"/>
        <v>43000</v>
      </c>
      <c r="E72" s="774">
        <v>84</v>
      </c>
      <c r="F72" s="804">
        <f t="shared" si="20"/>
        <v>456.09523809523807</v>
      </c>
      <c r="G72" s="757">
        <v>38312</v>
      </c>
      <c r="H72" s="754">
        <v>84</v>
      </c>
      <c r="I72" s="806">
        <f t="shared" si="21"/>
        <v>456.09523809523807</v>
      </c>
      <c r="J72" s="755">
        <v>38312</v>
      </c>
      <c r="K72" s="753">
        <f t="shared" si="17"/>
        <v>89.333333333333329</v>
      </c>
      <c r="L72" s="806">
        <f t="shared" si="18"/>
        <v>493.37</v>
      </c>
      <c r="M72" s="755">
        <f t="shared" si="19"/>
        <v>44074.386666666665</v>
      </c>
      <c r="N72" s="733"/>
      <c r="O72" s="733"/>
      <c r="P72" s="733"/>
      <c r="Q72" s="733"/>
      <c r="R72" s="733"/>
      <c r="S72" s="733"/>
      <c r="T72" s="733"/>
      <c r="U72" s="733"/>
      <c r="V72" s="733"/>
      <c r="W72" s="733"/>
      <c r="X72" s="733"/>
      <c r="Y72" s="733"/>
      <c r="Z72" s="733"/>
      <c r="AA72" s="733"/>
      <c r="AB72" s="733"/>
      <c r="AC72" s="733"/>
      <c r="AD72" s="733"/>
    </row>
    <row r="73" spans="1:30" x14ac:dyDescent="0.2">
      <c r="A73" s="759" t="s">
        <v>290</v>
      </c>
      <c r="B73" s="764">
        <f t="shared" ref="B73:H73" si="22">SUM(B61:B72)</f>
        <v>810</v>
      </c>
      <c r="C73" s="760"/>
      <c r="D73" s="760">
        <f t="shared" si="22"/>
        <v>348300</v>
      </c>
      <c r="E73" s="760">
        <f>SUM(E61:E72)</f>
        <v>960</v>
      </c>
      <c r="F73" s="761">
        <f t="shared" si="22"/>
        <v>5480.6779933722482</v>
      </c>
      <c r="G73" s="760">
        <f t="shared" si="22"/>
        <v>438323</v>
      </c>
      <c r="H73" s="762">
        <f t="shared" si="22"/>
        <v>606</v>
      </c>
      <c r="I73" s="763"/>
      <c r="J73" s="762">
        <f>SUM(J61:J72)</f>
        <v>286216</v>
      </c>
      <c r="K73" s="762">
        <f>SUM(K61:K72)</f>
        <v>792</v>
      </c>
      <c r="L73" s="763"/>
      <c r="M73" s="762">
        <f>SUM(M61:M72)</f>
        <v>390749.04000000004</v>
      </c>
      <c r="N73" s="733"/>
      <c r="O73" s="733"/>
      <c r="P73" s="733"/>
      <c r="Q73" s="733"/>
      <c r="R73" s="733"/>
      <c r="S73" s="733"/>
      <c r="T73" s="733"/>
      <c r="U73" s="733"/>
      <c r="V73" s="733"/>
      <c r="W73" s="733"/>
      <c r="X73" s="733"/>
      <c r="Y73" s="733"/>
      <c r="Z73" s="733"/>
      <c r="AA73" s="733"/>
      <c r="AB73" s="733"/>
      <c r="AC73" s="733"/>
      <c r="AD73" s="733"/>
    </row>
    <row r="74" spans="1:30" x14ac:dyDescent="0.2">
      <c r="A74" s="733"/>
      <c r="B74" s="733"/>
      <c r="C74" s="733"/>
      <c r="D74" s="759" t="s">
        <v>291</v>
      </c>
      <c r="E74" s="752">
        <f>+E61+E62+E63+E72</f>
        <v>538</v>
      </c>
      <c r="F74" s="775">
        <v>443</v>
      </c>
      <c r="G74" s="752">
        <f>+G61+G62+G63+G72</f>
        <v>245493</v>
      </c>
      <c r="H74" s="755">
        <f>+H61+H62+H63+H72</f>
        <v>254</v>
      </c>
      <c r="I74" s="766"/>
      <c r="J74" s="767" t="s">
        <v>291</v>
      </c>
      <c r="K74" s="755">
        <f>+K61+K62+K63+K72</f>
        <v>410.33333333333331</v>
      </c>
      <c r="L74" s="766"/>
      <c r="M74" s="755">
        <f>+M61+M62+M63+M72</f>
        <v>202446.15666666668</v>
      </c>
      <c r="N74" s="733"/>
      <c r="O74" s="733"/>
      <c r="P74" s="733"/>
      <c r="Q74" s="733"/>
      <c r="R74" s="733"/>
      <c r="S74" s="733"/>
      <c r="T74" s="733"/>
      <c r="U74" s="733"/>
      <c r="V74" s="733"/>
      <c r="W74" s="733"/>
      <c r="X74" s="733"/>
      <c r="Y74" s="733"/>
      <c r="Z74" s="733"/>
      <c r="AA74" s="733"/>
      <c r="AB74" s="733"/>
      <c r="AC74" s="733"/>
      <c r="AD74" s="733"/>
    </row>
    <row r="75" spans="1:30" x14ac:dyDescent="0.2">
      <c r="A75" s="733"/>
      <c r="B75" s="733"/>
      <c r="C75" s="733"/>
      <c r="D75" s="759" t="s">
        <v>292</v>
      </c>
      <c r="E75" s="752">
        <f>SUM(E64:E71)</f>
        <v>422</v>
      </c>
      <c r="F75" s="768">
        <v>3.4000000000000002E-2</v>
      </c>
      <c r="G75" s="752">
        <f>SUM(G64:G71)</f>
        <v>192830</v>
      </c>
      <c r="H75" s="755">
        <f>SUM(H64:H71)</f>
        <v>352</v>
      </c>
      <c r="I75" s="766"/>
      <c r="J75" s="767" t="s">
        <v>292</v>
      </c>
      <c r="K75" s="755">
        <f>SUM(K64:K71)</f>
        <v>381.66666666666669</v>
      </c>
      <c r="L75" s="766"/>
      <c r="M75" s="755">
        <f>SUM(M64:M71)</f>
        <v>188302.88333333333</v>
      </c>
      <c r="N75" s="733"/>
      <c r="O75" s="733"/>
      <c r="P75" s="733"/>
      <c r="Q75" s="733"/>
      <c r="R75" s="733"/>
      <c r="S75" s="733"/>
      <c r="T75" s="733"/>
      <c r="U75" s="733"/>
      <c r="V75" s="733"/>
      <c r="W75" s="733"/>
      <c r="X75" s="733"/>
      <c r="Y75" s="733"/>
      <c r="Z75" s="733"/>
      <c r="AA75" s="733"/>
      <c r="AB75" s="733"/>
      <c r="AC75" s="733"/>
      <c r="AD75" s="733"/>
    </row>
    <row r="76" spans="1:30" x14ac:dyDescent="0.2">
      <c r="A76" s="733"/>
      <c r="B76" s="733"/>
      <c r="C76" s="733"/>
      <c r="D76" s="761" t="s">
        <v>293</v>
      </c>
      <c r="E76" s="760">
        <f>+E74+E75</f>
        <v>960</v>
      </c>
      <c r="F76" s="769">
        <f>+F74*1.037</f>
        <v>459.39099999999996</v>
      </c>
      <c r="G76" s="760">
        <f>+G74+G75</f>
        <v>438323</v>
      </c>
      <c r="H76" s="762">
        <f>+H74+H75</f>
        <v>606</v>
      </c>
      <c r="I76" s="766"/>
      <c r="J76" s="763" t="s">
        <v>293</v>
      </c>
      <c r="K76" s="762">
        <f>+K74+K75</f>
        <v>792</v>
      </c>
      <c r="L76" s="766"/>
      <c r="M76" s="762">
        <f>+M74+M75</f>
        <v>390749.04000000004</v>
      </c>
      <c r="N76" s="733"/>
      <c r="O76" s="733"/>
      <c r="P76" s="733"/>
      <c r="Q76" s="733"/>
      <c r="R76" s="733"/>
      <c r="S76" s="733"/>
      <c r="T76" s="733"/>
      <c r="U76" s="733"/>
      <c r="V76" s="733"/>
      <c r="W76" s="733"/>
      <c r="X76" s="733"/>
      <c r="Y76" s="733"/>
      <c r="Z76" s="733"/>
      <c r="AA76" s="733"/>
      <c r="AB76" s="733"/>
      <c r="AC76" s="733"/>
      <c r="AD76" s="733"/>
    </row>
    <row r="77" spans="1:30" x14ac:dyDescent="0.2">
      <c r="A77" s="733"/>
      <c r="B77" s="733"/>
      <c r="C77" s="733"/>
      <c r="D77" s="733"/>
      <c r="E77" s="733"/>
      <c r="F77" s="776"/>
      <c r="G77" s="733"/>
      <c r="H77" s="733"/>
      <c r="I77" s="733"/>
      <c r="J77" s="733"/>
      <c r="K77" s="733"/>
      <c r="L77" s="776"/>
      <c r="M77" s="770">
        <f>+M76</f>
        <v>390749.04000000004</v>
      </c>
      <c r="N77" s="733"/>
      <c r="O77" s="733"/>
      <c r="P77" s="733"/>
      <c r="Q77" s="733"/>
      <c r="R77" s="733"/>
      <c r="S77" s="733"/>
      <c r="T77" s="733"/>
      <c r="U77" s="733"/>
      <c r="V77" s="733"/>
      <c r="W77" s="733"/>
      <c r="X77" s="733"/>
      <c r="Y77" s="733"/>
      <c r="Z77" s="733"/>
      <c r="AA77" s="733"/>
      <c r="AB77" s="733"/>
      <c r="AC77" s="733"/>
      <c r="AD77" s="733"/>
    </row>
    <row r="78" spans="1:30" x14ac:dyDescent="0.2">
      <c r="A78" s="733"/>
      <c r="B78" s="733"/>
      <c r="C78" s="733"/>
      <c r="D78" s="733"/>
      <c r="E78" s="733"/>
      <c r="F78" s="733"/>
      <c r="G78" s="733"/>
      <c r="H78" s="733"/>
      <c r="I78" s="733"/>
      <c r="J78" s="733"/>
      <c r="K78" s="733"/>
      <c r="L78" s="733"/>
      <c r="M78" s="733"/>
      <c r="N78" s="733"/>
      <c r="O78" s="733"/>
      <c r="P78" s="733"/>
      <c r="Q78" s="733"/>
      <c r="R78" s="733"/>
      <c r="S78" s="733"/>
      <c r="T78" s="733"/>
      <c r="U78" s="733"/>
      <c r="V78" s="733"/>
      <c r="W78" s="733"/>
      <c r="X78" s="733"/>
      <c r="Y78" s="733"/>
      <c r="Z78" s="733"/>
      <c r="AA78" s="733"/>
      <c r="AB78" s="733"/>
      <c r="AC78" s="733"/>
      <c r="AD78" s="733"/>
    </row>
    <row r="79" spans="1:30" x14ac:dyDescent="0.2">
      <c r="A79" s="733"/>
      <c r="B79" s="733"/>
      <c r="C79" s="733"/>
      <c r="D79" s="733"/>
      <c r="E79" s="733"/>
      <c r="F79" s="733"/>
      <c r="G79" s="733"/>
      <c r="H79" s="733"/>
      <c r="I79" s="733"/>
      <c r="J79" s="733"/>
      <c r="K79" s="733"/>
      <c r="L79" s="733"/>
      <c r="M79" s="733"/>
      <c r="N79" s="733"/>
      <c r="O79" s="733"/>
      <c r="P79" s="733"/>
      <c r="Q79" s="733"/>
      <c r="R79" s="733"/>
      <c r="S79" s="733"/>
      <c r="T79" s="733"/>
      <c r="U79" s="733"/>
      <c r="V79" s="733"/>
      <c r="W79" s="733"/>
      <c r="X79" s="733"/>
      <c r="Y79" s="733"/>
      <c r="Z79" s="733"/>
      <c r="AA79" s="733"/>
      <c r="AB79" s="733"/>
      <c r="AC79" s="733"/>
      <c r="AD79" s="733"/>
    </row>
    <row r="80" spans="1:30" x14ac:dyDescent="0.2">
      <c r="A80" s="733"/>
      <c r="B80" s="733"/>
      <c r="C80" s="733"/>
      <c r="D80" s="733"/>
      <c r="E80" s="733"/>
      <c r="F80" s="733"/>
      <c r="G80" s="733"/>
      <c r="H80" s="733"/>
      <c r="I80" s="733"/>
      <c r="J80" s="733"/>
      <c r="K80" s="733"/>
      <c r="L80" s="733"/>
      <c r="M80" s="733"/>
      <c r="N80" s="733"/>
      <c r="O80" s="733"/>
      <c r="P80" s="733"/>
      <c r="Q80" s="733"/>
      <c r="R80" s="733"/>
      <c r="S80" s="733"/>
      <c r="T80" s="733"/>
      <c r="U80" s="733"/>
      <c r="V80" s="733"/>
      <c r="W80" s="733"/>
      <c r="X80" s="733"/>
      <c r="Y80" s="733"/>
      <c r="Z80" s="733"/>
      <c r="AA80" s="733"/>
      <c r="AB80" s="733"/>
      <c r="AC80" s="733"/>
      <c r="AD80" s="733"/>
    </row>
    <row r="81" spans="1:8" x14ac:dyDescent="0.2">
      <c r="A81" s="97" t="s">
        <v>294</v>
      </c>
    </row>
    <row r="83" spans="1:8" x14ac:dyDescent="0.2">
      <c r="A83" s="722" t="s">
        <v>295</v>
      </c>
      <c r="B83" s="777" t="s">
        <v>296</v>
      </c>
    </row>
    <row r="84" spans="1:8" x14ac:dyDescent="0.2">
      <c r="A84" s="708" t="s">
        <v>297</v>
      </c>
      <c r="B84" s="750">
        <v>416000</v>
      </c>
    </row>
    <row r="85" spans="1:8" x14ac:dyDescent="0.2">
      <c r="A85" s="708" t="s">
        <v>298</v>
      </c>
      <c r="B85" s="750">
        <v>124866</v>
      </c>
    </row>
    <row r="86" spans="1:8" x14ac:dyDescent="0.2">
      <c r="A86" s="708" t="s">
        <v>299</v>
      </c>
      <c r="B86" s="750">
        <v>50000</v>
      </c>
    </row>
    <row r="87" spans="1:8" x14ac:dyDescent="0.2">
      <c r="A87" s="708" t="s">
        <v>300</v>
      </c>
      <c r="B87" s="750">
        <v>100000</v>
      </c>
    </row>
    <row r="88" spans="1:8" x14ac:dyDescent="0.2">
      <c r="A88" s="722" t="s">
        <v>6</v>
      </c>
      <c r="B88" s="778">
        <f>SUM(B84:B87)</f>
        <v>690866</v>
      </c>
    </row>
    <row r="92" spans="1:8" x14ac:dyDescent="0.2">
      <c r="A92" s="97" t="s">
        <v>447</v>
      </c>
    </row>
    <row r="94" spans="1:8" x14ac:dyDescent="0.2">
      <c r="A94" s="832" t="s">
        <v>440</v>
      </c>
      <c r="B94"/>
      <c r="C94"/>
      <c r="D94"/>
      <c r="E94"/>
      <c r="F94"/>
      <c r="G94"/>
      <c r="H94"/>
    </row>
    <row r="95" spans="1:8" x14ac:dyDescent="0.2">
      <c r="A95"/>
      <c r="B95"/>
      <c r="C95"/>
      <c r="D95"/>
      <c r="E95"/>
      <c r="F95"/>
      <c r="G95"/>
      <c r="H95"/>
    </row>
    <row r="96" spans="1:8" ht="13.5" thickBot="1" x14ac:dyDescent="0.25">
      <c r="A96" s="839"/>
      <c r="B96" s="844"/>
      <c r="C96" s="845"/>
      <c r="D96" s="844"/>
      <c r="E96" s="844"/>
      <c r="F96" s="844"/>
      <c r="G96" s="844"/>
      <c r="H96" s="844"/>
    </row>
    <row r="97" spans="1:7" ht="13.5" thickBot="1" x14ac:dyDescent="0.25">
      <c r="A97" s="833" t="s">
        <v>441</v>
      </c>
      <c r="B97" s="833" t="s">
        <v>442</v>
      </c>
      <c r="C97" s="846" t="s">
        <v>443</v>
      </c>
      <c r="D97" s="834" t="s">
        <v>444</v>
      </c>
      <c r="E97" s="834" t="s">
        <v>445</v>
      </c>
      <c r="F97" s="834" t="s">
        <v>446</v>
      </c>
      <c r="G97" s="834" t="s">
        <v>197</v>
      </c>
    </row>
    <row r="98" spans="1:7" x14ac:dyDescent="0.2">
      <c r="A98" s="835">
        <v>5210</v>
      </c>
      <c r="B98" s="835">
        <v>321014</v>
      </c>
      <c r="C98" s="847">
        <v>939215</v>
      </c>
      <c r="D98" s="837">
        <f>+C98</f>
        <v>939215</v>
      </c>
      <c r="E98" s="837">
        <f>+D98</f>
        <v>939215</v>
      </c>
      <c r="F98" s="835">
        <v>1.03</v>
      </c>
      <c r="G98" s="836">
        <f>+E98*F98</f>
        <v>967391.45000000007</v>
      </c>
    </row>
    <row r="99" spans="1:7" ht="13.5" thickBot="1" x14ac:dyDescent="0.25">
      <c r="A99" s="848">
        <v>5210</v>
      </c>
      <c r="B99" s="848">
        <v>321013</v>
      </c>
      <c r="C99" s="849">
        <v>527092</v>
      </c>
      <c r="D99" s="850">
        <f>+C99</f>
        <v>527092</v>
      </c>
      <c r="E99" s="850">
        <f>+D99</f>
        <v>527092</v>
      </c>
      <c r="F99" s="848">
        <v>1.03</v>
      </c>
      <c r="G99" s="838">
        <f>+E99*F99</f>
        <v>542904.76</v>
      </c>
    </row>
    <row r="100" spans="1:7" ht="13.5" thickBot="1" x14ac:dyDescent="0.25">
      <c r="A100" s="842"/>
      <c r="B100" s="840" t="s">
        <v>445</v>
      </c>
      <c r="C100" s="841">
        <f>SUM(C98:C99)</f>
        <v>1466307</v>
      </c>
      <c r="D100" s="843">
        <f>SUM(D98:D99)</f>
        <v>1466307</v>
      </c>
      <c r="E100" s="843">
        <f>SUM(E98:E99)</f>
        <v>1466307</v>
      </c>
      <c r="F100" s="842"/>
      <c r="G100" s="843">
        <f>SUM(G98:G99)</f>
        <v>1510296.21</v>
      </c>
    </row>
    <row r="103" spans="1:7" x14ac:dyDescent="0.2">
      <c r="A103" s="97" t="s">
        <v>456</v>
      </c>
    </row>
    <row r="106" spans="1:7" x14ac:dyDescent="0.2">
      <c r="A106" s="97" t="s">
        <v>457</v>
      </c>
    </row>
    <row r="108" spans="1:7" x14ac:dyDescent="0.2">
      <c r="A108" s="97" t="s">
        <v>303</v>
      </c>
    </row>
    <row r="109" spans="1:7" x14ac:dyDescent="0.2">
      <c r="A109" s="97" t="s">
        <v>304</v>
      </c>
    </row>
    <row r="110" spans="1:7" x14ac:dyDescent="0.2">
      <c r="A110" s="97" t="s">
        <v>305</v>
      </c>
    </row>
  </sheetData>
  <mergeCells count="1"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N47" sqref="N4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84</v>
      </c>
    </row>
    <row r="5" spans="2:11" x14ac:dyDescent="0.2">
      <c r="B5" s="897" t="s">
        <v>165</v>
      </c>
      <c r="C5" s="897"/>
      <c r="D5" s="897"/>
      <c r="E5" s="897"/>
      <c r="F5" s="897"/>
    </row>
    <row r="7" spans="2:11" x14ac:dyDescent="0.2">
      <c r="C7" s="251" t="s">
        <v>150</v>
      </c>
      <c r="D7" s="251"/>
      <c r="E7" s="251"/>
      <c r="F7" s="251"/>
      <c r="G7" s="251"/>
      <c r="H7" s="251"/>
      <c r="I7" s="251"/>
      <c r="J7" s="251"/>
      <c r="K7" s="251"/>
    </row>
    <row r="9" spans="2:11" x14ac:dyDescent="0.2">
      <c r="C9" s="251" t="s">
        <v>151</v>
      </c>
      <c r="D9" s="251"/>
      <c r="E9" s="251"/>
      <c r="F9" s="251"/>
      <c r="G9" s="251"/>
      <c r="H9" s="251"/>
      <c r="I9" s="250"/>
      <c r="J9" s="250"/>
      <c r="K9" s="250"/>
    </row>
    <row r="11" spans="2:11" x14ac:dyDescent="0.2">
      <c r="B11" s="895" t="s">
        <v>166</v>
      </c>
      <c r="C11" s="895"/>
      <c r="D11" s="895"/>
      <c r="E11" s="895"/>
      <c r="F11" s="895"/>
    </row>
    <row r="13" spans="2:11" x14ac:dyDescent="0.2">
      <c r="C13" s="252" t="s">
        <v>152</v>
      </c>
      <c r="D13" s="252"/>
      <c r="E13" s="252"/>
      <c r="F13" s="252"/>
      <c r="G13" s="252"/>
      <c r="H13" s="252"/>
    </row>
    <row r="15" spans="2:11" x14ac:dyDescent="0.2">
      <c r="C15" s="252" t="s">
        <v>153</v>
      </c>
      <c r="D15" s="252"/>
      <c r="E15" s="252"/>
      <c r="F15" s="252"/>
      <c r="G15" s="252"/>
      <c r="H15" s="252"/>
      <c r="I15" s="250"/>
      <c r="J15" s="250"/>
      <c r="K15" s="250"/>
    </row>
    <row r="19" spans="2:16" x14ac:dyDescent="0.2">
      <c r="B19" s="895" t="s">
        <v>167</v>
      </c>
      <c r="C19" s="895"/>
      <c r="D19" s="895"/>
      <c r="E19" s="895"/>
      <c r="F19" s="895"/>
    </row>
    <row r="21" spans="2:16" x14ac:dyDescent="0.2">
      <c r="C21" s="252" t="s">
        <v>155</v>
      </c>
      <c r="D21" s="252"/>
      <c r="E21" s="252"/>
      <c r="F21" s="253"/>
      <c r="G21" s="253"/>
      <c r="H21" s="253"/>
    </row>
    <row r="22" spans="2:16" x14ac:dyDescent="0.2">
      <c r="C22" s="896"/>
      <c r="D22" s="896"/>
      <c r="E22" s="896"/>
      <c r="F22" s="896"/>
      <c r="G22" s="896"/>
      <c r="H22" s="896"/>
      <c r="I22" s="896"/>
      <c r="J22" s="896"/>
      <c r="K22" s="896"/>
    </row>
    <row r="24" spans="2:16" x14ac:dyDescent="0.2">
      <c r="B24" s="895" t="s">
        <v>168</v>
      </c>
      <c r="C24" s="895"/>
      <c r="D24" s="895"/>
      <c r="E24" s="895"/>
      <c r="F24" s="895"/>
    </row>
    <row r="26" spans="2:16" x14ac:dyDescent="0.2">
      <c r="C26" s="254" t="s">
        <v>156</v>
      </c>
      <c r="D26" s="254"/>
      <c r="E26" s="254"/>
      <c r="F26" s="254"/>
      <c r="G26" s="254"/>
      <c r="H26" s="254"/>
      <c r="I26" s="254"/>
      <c r="J26" s="254"/>
    </row>
    <row r="27" spans="2:16" ht="12.75" customHeight="1" x14ac:dyDescent="0.2">
      <c r="C27" s="898" t="s">
        <v>157</v>
      </c>
      <c r="D27" s="898"/>
      <c r="E27" s="898"/>
      <c r="F27" s="898"/>
      <c r="G27" s="898"/>
      <c r="H27" s="898"/>
      <c r="I27" s="898"/>
      <c r="J27" s="898"/>
      <c r="K27" s="898"/>
      <c r="L27" s="898"/>
      <c r="M27" s="898"/>
    </row>
    <row r="28" spans="2:16" ht="12.75" customHeight="1" x14ac:dyDescent="0.2">
      <c r="C28" s="898"/>
      <c r="D28" s="898"/>
      <c r="E28" s="898"/>
      <c r="F28" s="898"/>
      <c r="G28" s="898"/>
      <c r="H28" s="898"/>
      <c r="I28" s="898"/>
      <c r="J28" s="898"/>
      <c r="K28" s="898"/>
      <c r="L28" s="898"/>
      <c r="M28" s="898"/>
    </row>
    <row r="29" spans="2:16" ht="12.75" customHeight="1" x14ac:dyDescent="0.2">
      <c r="C29" s="254" t="s">
        <v>158</v>
      </c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3"/>
    </row>
    <row r="30" spans="2:16" ht="12.75" customHeight="1" x14ac:dyDescent="0.2"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3"/>
    </row>
    <row r="31" spans="2:16" ht="12.75" customHeight="1" x14ac:dyDescent="0.2">
      <c r="C31" s="258" t="s">
        <v>159</v>
      </c>
      <c r="D31" s="255"/>
      <c r="E31" s="255"/>
      <c r="F31" s="257"/>
      <c r="G31" s="255"/>
      <c r="H31" s="255"/>
      <c r="I31" s="255"/>
      <c r="J31" s="255"/>
      <c r="K31" s="255"/>
      <c r="L31" s="255"/>
      <c r="M31" s="255"/>
      <c r="N31" s="253"/>
      <c r="O31" s="253"/>
      <c r="P31" s="253"/>
    </row>
    <row r="32" spans="2:16" ht="12.75" customHeight="1" x14ac:dyDescent="0.2">
      <c r="C32" s="256"/>
      <c r="D32" s="256"/>
      <c r="E32" s="256"/>
      <c r="F32" s="256"/>
      <c r="G32" s="256"/>
      <c r="H32" s="256"/>
      <c r="I32" s="255"/>
      <c r="J32" s="255"/>
      <c r="K32" s="255"/>
      <c r="L32" s="255"/>
      <c r="M32" s="255"/>
      <c r="N32" s="253"/>
    </row>
    <row r="33" spans="2:19" ht="12.75" customHeight="1" x14ac:dyDescent="0.2">
      <c r="C33" s="899" t="s">
        <v>160</v>
      </c>
      <c r="D33" s="899"/>
      <c r="E33" s="899"/>
      <c r="F33" s="899"/>
      <c r="G33" s="899"/>
      <c r="H33" s="899"/>
      <c r="I33" s="899"/>
      <c r="J33" s="899"/>
      <c r="K33" s="899"/>
      <c r="L33" s="899"/>
      <c r="M33" s="899"/>
      <c r="N33" s="253"/>
    </row>
    <row r="34" spans="2:19" ht="12.75" customHeight="1" x14ac:dyDescent="0.2">
      <c r="C34" s="199"/>
      <c r="D34" s="199"/>
      <c r="E34" s="199"/>
      <c r="F34" s="199"/>
      <c r="G34" s="199"/>
      <c r="H34" s="199"/>
      <c r="I34" s="254"/>
      <c r="J34" s="254"/>
      <c r="K34" s="254"/>
      <c r="L34" s="254"/>
      <c r="M34" s="254"/>
      <c r="N34" s="253"/>
    </row>
    <row r="35" spans="2:19" ht="12.75" customHeight="1" x14ac:dyDescent="0.2">
      <c r="C35" s="255" t="s">
        <v>161</v>
      </c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3"/>
    </row>
    <row r="36" spans="2:19" ht="12.75" customHeight="1" x14ac:dyDescent="0.2">
      <c r="C36" s="256"/>
      <c r="D36" s="256"/>
      <c r="E36" s="256"/>
      <c r="F36" s="256"/>
      <c r="G36" s="256"/>
      <c r="H36" s="256"/>
      <c r="I36" s="255"/>
      <c r="J36" s="255"/>
      <c r="K36" s="255"/>
      <c r="L36" s="255"/>
      <c r="M36" s="255"/>
      <c r="N36" s="253"/>
    </row>
    <row r="37" spans="2:19" ht="12.75" customHeight="1" x14ac:dyDescent="0.2"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</row>
    <row r="38" spans="2:19" ht="12.75" customHeight="1" x14ac:dyDescent="0.2"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</row>
    <row r="39" spans="2:19" ht="12.75" customHeight="1" x14ac:dyDescent="0.2">
      <c r="B39" s="258" t="s">
        <v>169</v>
      </c>
      <c r="C39" s="254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  <row r="40" spans="2:19" x14ac:dyDescent="0.2">
      <c r="O40" s="896"/>
      <c r="P40" s="896"/>
      <c r="Q40" s="896"/>
      <c r="R40" s="896"/>
      <c r="S40" s="896"/>
    </row>
    <row r="41" spans="2:19" x14ac:dyDescent="0.2">
      <c r="C41" s="900" t="s">
        <v>162</v>
      </c>
      <c r="D41" s="900"/>
      <c r="E41" s="900"/>
      <c r="F41" s="900"/>
    </row>
    <row r="42" spans="2:19" x14ac:dyDescent="0.2">
      <c r="C42" s="896"/>
      <c r="D42" s="896"/>
      <c r="E42" s="896"/>
      <c r="F42" s="896"/>
      <c r="G42" s="896"/>
      <c r="H42" s="896"/>
      <c r="I42" s="896"/>
      <c r="J42" s="896"/>
    </row>
    <row r="44" spans="2:19" x14ac:dyDescent="0.2">
      <c r="B44" s="895" t="s">
        <v>170</v>
      </c>
      <c r="C44" s="895"/>
      <c r="D44" s="895"/>
      <c r="E44" s="895"/>
      <c r="F44" s="895"/>
    </row>
    <row r="46" spans="2:19" x14ac:dyDescent="0.2">
      <c r="C46" s="259" t="s">
        <v>163</v>
      </c>
      <c r="D46" s="259"/>
      <c r="E46" s="259"/>
      <c r="F46" s="259"/>
      <c r="G46" s="259"/>
      <c r="H46" s="259"/>
      <c r="I46" s="259"/>
      <c r="J46" s="259"/>
      <c r="K46" s="260"/>
      <c r="L46" s="260"/>
      <c r="M46" s="260"/>
    </row>
    <row r="50" spans="2:13" x14ac:dyDescent="0.2">
      <c r="B50" s="895" t="s">
        <v>171</v>
      </c>
      <c r="C50" s="895"/>
      <c r="D50" s="895"/>
      <c r="E50" s="895"/>
      <c r="F50" s="895"/>
    </row>
    <row r="52" spans="2:13" x14ac:dyDescent="0.2">
      <c r="C52" s="254" t="s">
        <v>164</v>
      </c>
      <c r="D52" s="254"/>
      <c r="E52" s="254"/>
      <c r="F52" s="254"/>
      <c r="G52" s="253"/>
      <c r="H52" s="253"/>
      <c r="I52" s="253"/>
      <c r="J52" s="253"/>
      <c r="K52" s="253"/>
      <c r="L52" s="253"/>
      <c r="M52" s="253"/>
    </row>
    <row r="54" spans="2:13" x14ac:dyDescent="0.2">
      <c r="B54" s="253" t="s">
        <v>172</v>
      </c>
      <c r="C54" s="253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8"/>
  <sheetViews>
    <sheetView showGridLines="0" topLeftCell="A4" zoomScale="80" zoomScaleNormal="80" workbookViewId="0">
      <selection activeCell="J15" sqref="J15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205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198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5"/>
      <c r="B4" s="26"/>
      <c r="C4" s="914" t="s">
        <v>0</v>
      </c>
      <c r="D4" s="914"/>
      <c r="E4" s="915" t="s">
        <v>146</v>
      </c>
      <c r="F4" s="916"/>
      <c r="G4" s="917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61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926" t="s">
        <v>150</v>
      </c>
      <c r="B6" s="926"/>
      <c r="C6" s="926"/>
      <c r="D6" s="926"/>
      <c r="E6" s="4"/>
      <c r="F6" s="4"/>
      <c r="G6" s="9"/>
      <c r="H6" s="261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55"/>
      <c r="C7" s="55"/>
      <c r="E7" s="54"/>
      <c r="F7" s="55"/>
      <c r="G7" s="55"/>
      <c r="H7" s="55"/>
      <c r="I7" s="55"/>
      <c r="M7" s="56"/>
    </row>
    <row r="8" spans="1:247" ht="39" customHeight="1" x14ac:dyDescent="0.2">
      <c r="A8" s="11" t="s">
        <v>114</v>
      </c>
      <c r="B8" s="64" t="str">
        <f>+N20</f>
        <v>Ingreso por Matrícula</v>
      </c>
      <c r="C8" s="65" t="str">
        <f>+O20</f>
        <v>Ingreso por Mensualidad</v>
      </c>
      <c r="D8" s="66" t="s">
        <v>127</v>
      </c>
      <c r="E8" s="67" t="s">
        <v>82</v>
      </c>
      <c r="F8" s="47" t="s">
        <v>79</v>
      </c>
      <c r="G8" s="48" t="s">
        <v>80</v>
      </c>
      <c r="H8" s="49" t="s">
        <v>107</v>
      </c>
      <c r="I8" s="12" t="s">
        <v>113</v>
      </c>
      <c r="L8" s="69" t="s">
        <v>112</v>
      </c>
      <c r="N8" s="116"/>
    </row>
    <row r="9" spans="1:247" x14ac:dyDescent="0.2">
      <c r="A9" s="62" t="str">
        <f>+'B) Reajuste Tarifas y Ocupación'!A12</f>
        <v>Jardín Infantil Tortuguita Marina</v>
      </c>
      <c r="B9" s="70">
        <f>N28</f>
        <v>1042200</v>
      </c>
      <c r="C9" s="78">
        <f>+O28</f>
        <v>10422000</v>
      </c>
      <c r="D9" s="80">
        <f>+P28</f>
        <v>0</v>
      </c>
      <c r="E9" s="72">
        <f>+B9+D9+C9</f>
        <v>11464200</v>
      </c>
      <c r="F9" s="50">
        <f>'C) Costos Directos'!H75</f>
        <v>41135903.859600008</v>
      </c>
      <c r="G9" s="51">
        <f>+'D) Costos Indirectos'!$AP$15*(F9/$F$13)</f>
        <v>5259970.4110130239</v>
      </c>
      <c r="H9" s="53">
        <f>+F9+G9</f>
        <v>46395874.27061303</v>
      </c>
      <c r="I9" s="79">
        <f>E9-H9</f>
        <v>-34931674.27061303</v>
      </c>
      <c r="L9" s="94">
        <f>+G9/$G$13</f>
        <v>0.17787278777959878</v>
      </c>
      <c r="N9" s="117"/>
    </row>
    <row r="10" spans="1:247" x14ac:dyDescent="0.2">
      <c r="A10" s="62" t="str">
        <f>'B) Reajuste Tarifas y Ocupación'!A14</f>
        <v>Jardín Infantil Burbujitas de Mar</v>
      </c>
      <c r="B10" s="70">
        <f>+N35</f>
        <v>3230000</v>
      </c>
      <c r="C10" s="78">
        <f>+O35</f>
        <v>32300000</v>
      </c>
      <c r="D10" s="80">
        <f>+P35</f>
        <v>0</v>
      </c>
      <c r="E10" s="72">
        <f>+B10+D10+C10</f>
        <v>35530000</v>
      </c>
      <c r="F10" s="50">
        <f>'C) Costos Directos'!H139</f>
        <v>30704068.911033336</v>
      </c>
      <c r="G10" s="51">
        <f>+'D) Costos Indirectos'!$AP$15*(F10/$F$13)</f>
        <v>3926071.3589996863</v>
      </c>
      <c r="H10" s="53">
        <f>+F10+G10</f>
        <v>34630140.270033024</v>
      </c>
      <c r="I10" s="79">
        <f>E10-H10</f>
        <v>899859.72996697575</v>
      </c>
      <c r="L10" s="94">
        <f>+G10/$G$13</f>
        <v>0.13276524449353658</v>
      </c>
      <c r="N10" s="117"/>
    </row>
    <row r="11" spans="1:247" x14ac:dyDescent="0.2">
      <c r="A11" s="62" t="s">
        <v>216</v>
      </c>
      <c r="B11" s="71">
        <f>+N38+N44</f>
        <v>0</v>
      </c>
      <c r="C11" s="71">
        <f>+O38+O44</f>
        <v>148800000</v>
      </c>
      <c r="D11" s="409"/>
      <c r="E11" s="72">
        <f>+B11+D11+C11</f>
        <v>148800000</v>
      </c>
      <c r="F11" s="52">
        <f>'C) Costos Directos'!H205</f>
        <v>101608435.64570002</v>
      </c>
      <c r="G11" s="51">
        <f>+'D) Costos Indirectos'!$AP$15*(F11/$F$13)</f>
        <v>12992478.95050142</v>
      </c>
      <c r="H11" s="53">
        <f>+F11+G11</f>
        <v>114600914.59620145</v>
      </c>
      <c r="I11" s="79">
        <f t="shared" ref="I11:I12" si="0">E11-H11</f>
        <v>34199085.40379855</v>
      </c>
      <c r="L11" s="94">
        <f>+G11/$G$13</f>
        <v>0.43935769035027011</v>
      </c>
      <c r="N11" s="95"/>
      <c r="O11" s="268"/>
    </row>
    <row r="12" spans="1:247" x14ac:dyDescent="0.2">
      <c r="A12" s="62" t="s">
        <v>217</v>
      </c>
      <c r="B12" s="114">
        <f>+N41</f>
        <v>0</v>
      </c>
      <c r="C12" s="114">
        <f t="shared" ref="C12" si="1">+O41</f>
        <v>75000000</v>
      </c>
      <c r="D12" s="410"/>
      <c r="E12" s="115">
        <f>+B12+D12+C12</f>
        <v>75000000</v>
      </c>
      <c r="F12" s="52">
        <f>'C) Costos Directos'!H271</f>
        <v>57817455.087033339</v>
      </c>
      <c r="G12" s="51">
        <f>+'D) Costos Indirectos'!$AP$15*(F12/$F$13)</f>
        <v>7393008.891596213</v>
      </c>
      <c r="H12" s="53">
        <f t="shared" ref="H12" si="2">+F12+G12</f>
        <v>65210463.978629552</v>
      </c>
      <c r="I12" s="79">
        <f t="shared" si="0"/>
        <v>9789536.0213704482</v>
      </c>
      <c r="L12" s="94">
        <f>+G12/$G$13</f>
        <v>0.25000427737659453</v>
      </c>
      <c r="N12" s="95"/>
      <c r="O12" s="268"/>
    </row>
    <row r="13" spans="1:247" s="6" customFormat="1" ht="15" x14ac:dyDescent="0.2">
      <c r="A13" s="13" t="s">
        <v>1</v>
      </c>
      <c r="B13" s="82">
        <f t="shared" ref="B13:H13" si="3">SUM(B9:B12)</f>
        <v>4272200</v>
      </c>
      <c r="C13" s="82">
        <f t="shared" si="3"/>
        <v>266522000</v>
      </c>
      <c r="D13" s="82">
        <f t="shared" si="3"/>
        <v>0</v>
      </c>
      <c r="E13" s="83">
        <f>SUM(E9:E12)</f>
        <v>270794200</v>
      </c>
      <c r="F13" s="82">
        <f t="shared" si="3"/>
        <v>231265863.50336671</v>
      </c>
      <c r="G13" s="82">
        <f t="shared" si="3"/>
        <v>29571529.612110343</v>
      </c>
      <c r="H13" s="82">
        <f t="shared" si="3"/>
        <v>260837393.11547706</v>
      </c>
      <c r="I13" s="82">
        <f>SUM(I9:I12)</f>
        <v>9956806.8845229447</v>
      </c>
      <c r="L13" s="96">
        <f>SUM(L9:L12)</f>
        <v>1</v>
      </c>
      <c r="N13" s="56"/>
      <c r="O13" s="268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4"/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69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14"/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926" t="s">
        <v>151</v>
      </c>
      <c r="B18" s="926"/>
      <c r="C18" s="926"/>
      <c r="D18" s="926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17" customFormat="1" ht="13.5" thickBot="1" x14ac:dyDescent="0.25">
      <c r="B19" s="55"/>
      <c r="C19" s="55"/>
      <c r="D19" s="55"/>
      <c r="E19" s="55"/>
      <c r="F19" s="55"/>
      <c r="G19" s="55"/>
      <c r="H19" s="55"/>
      <c r="I19" s="16"/>
      <c r="J19" s="16"/>
      <c r="K19" s="16"/>
      <c r="L19" s="3"/>
      <c r="M19" s="3"/>
      <c r="O19" s="18"/>
      <c r="P19" s="18"/>
      <c r="IL19" s="10"/>
      <c r="IM19" s="10"/>
    </row>
    <row r="20" spans="1:247" s="19" customFormat="1" ht="15.75" customHeight="1" thickBot="1" x14ac:dyDescent="0.25">
      <c r="A20" s="927" t="s">
        <v>114</v>
      </c>
      <c r="B20" s="929" t="s">
        <v>5</v>
      </c>
      <c r="C20" s="918" t="s">
        <v>2</v>
      </c>
      <c r="D20" s="920" t="s">
        <v>220</v>
      </c>
      <c r="E20" s="921"/>
      <c r="F20" s="921"/>
      <c r="G20" s="921"/>
      <c r="H20" s="922"/>
      <c r="I20" s="934" t="s">
        <v>221</v>
      </c>
      <c r="J20" s="935"/>
      <c r="K20" s="935"/>
      <c r="L20" s="935"/>
      <c r="M20" s="936"/>
      <c r="N20" s="905" t="s">
        <v>89</v>
      </c>
      <c r="O20" s="907" t="s">
        <v>90</v>
      </c>
      <c r="P20" s="901" t="s">
        <v>127</v>
      </c>
      <c r="Q20" s="909" t="s">
        <v>106</v>
      </c>
    </row>
    <row r="21" spans="1:247" s="19" customFormat="1" ht="58.5" customHeight="1" x14ac:dyDescent="0.2">
      <c r="A21" s="928"/>
      <c r="B21" s="930"/>
      <c r="C21" s="919"/>
      <c r="D21" s="662" t="s">
        <v>86</v>
      </c>
      <c r="E21" s="663" t="s">
        <v>137</v>
      </c>
      <c r="F21" s="663" t="s">
        <v>138</v>
      </c>
      <c r="G21" s="663" t="s">
        <v>87</v>
      </c>
      <c r="H21" s="680" t="s">
        <v>88</v>
      </c>
      <c r="I21" s="662" t="s">
        <v>86</v>
      </c>
      <c r="J21" s="663" t="s">
        <v>137</v>
      </c>
      <c r="K21" s="663" t="s">
        <v>138</v>
      </c>
      <c r="L21" s="663" t="s">
        <v>87</v>
      </c>
      <c r="M21" s="664" t="s">
        <v>88</v>
      </c>
      <c r="N21" s="906"/>
      <c r="O21" s="908"/>
      <c r="P21" s="902"/>
      <c r="Q21" s="910"/>
    </row>
    <row r="22" spans="1:247" ht="12.75" customHeight="1" x14ac:dyDescent="0.2">
      <c r="A22" s="939" t="str">
        <f>+'B) Reajuste Tarifas y Ocupación'!A12</f>
        <v>Jardín Infantil Tortuguita Marina</v>
      </c>
      <c r="B22" s="923" t="str">
        <f>+'B) Reajuste Tarifas y Ocupación'!B12</f>
        <v>Media jornada</v>
      </c>
      <c r="C22" s="302" t="s">
        <v>222</v>
      </c>
      <c r="D22" s="637">
        <f t="shared" ref="D22:F23" si="4">+I22</f>
        <v>57900</v>
      </c>
      <c r="E22" s="634">
        <f t="shared" si="4"/>
        <v>69500</v>
      </c>
      <c r="F22" s="634">
        <f t="shared" si="4"/>
        <v>69500</v>
      </c>
      <c r="G22" s="634">
        <f t="shared" ref="G22:H23" si="5">+L22</f>
        <v>79100</v>
      </c>
      <c r="H22" s="681">
        <f t="shared" si="5"/>
        <v>100700</v>
      </c>
      <c r="I22" s="637">
        <f>+'B) Reajuste Tarifas y Ocupación'!M12</f>
        <v>57900</v>
      </c>
      <c r="J22" s="634">
        <f>+'B) Reajuste Tarifas y Ocupación'!N12</f>
        <v>69500</v>
      </c>
      <c r="K22" s="634">
        <f>+'B) Reajuste Tarifas y Ocupación'!O12</f>
        <v>69500</v>
      </c>
      <c r="L22" s="634">
        <f>+'B) Reajuste Tarifas y Ocupación'!P12</f>
        <v>79100</v>
      </c>
      <c r="M22" s="638">
        <f>+'B) Reajuste Tarifas y Ocupación'!Q12</f>
        <v>100700</v>
      </c>
      <c r="N22" s="669"/>
      <c r="O22" s="670"/>
      <c r="P22" s="671">
        <f>+'B) Reajuste Tarifas y Ocupación'!M12</f>
        <v>57900</v>
      </c>
      <c r="Q22" s="911"/>
    </row>
    <row r="23" spans="1:247" x14ac:dyDescent="0.2">
      <c r="A23" s="940"/>
      <c r="B23" s="924"/>
      <c r="C23" s="302" t="s">
        <v>7</v>
      </c>
      <c r="D23" s="639">
        <f t="shared" si="4"/>
        <v>18</v>
      </c>
      <c r="E23" s="635">
        <f t="shared" si="4"/>
        <v>0</v>
      </c>
      <c r="F23" s="635">
        <f t="shared" si="4"/>
        <v>0</v>
      </c>
      <c r="G23" s="635">
        <f t="shared" si="5"/>
        <v>0</v>
      </c>
      <c r="H23" s="682">
        <f t="shared" si="5"/>
        <v>0</v>
      </c>
      <c r="I23" s="639">
        <f>+'B) Reajuste Tarifas y Ocupación'!C27</f>
        <v>18</v>
      </c>
      <c r="J23" s="635">
        <f>+'B) Reajuste Tarifas y Ocupación'!D27</f>
        <v>0</v>
      </c>
      <c r="K23" s="635">
        <f>+'B) Reajuste Tarifas y Ocupación'!E27</f>
        <v>0</v>
      </c>
      <c r="L23" s="635">
        <f>+'B) Reajuste Tarifas y Ocupación'!F27</f>
        <v>0</v>
      </c>
      <c r="M23" s="640">
        <f>+'B) Reajuste Tarifas y Ocupación'!G27</f>
        <v>0</v>
      </c>
      <c r="N23" s="672"/>
      <c r="O23" s="673"/>
      <c r="P23" s="674">
        <v>0</v>
      </c>
      <c r="Q23" s="912"/>
    </row>
    <row r="24" spans="1:247" x14ac:dyDescent="0.2">
      <c r="A24" s="940"/>
      <c r="B24" s="925"/>
      <c r="C24" s="303" t="s">
        <v>9</v>
      </c>
      <c r="D24" s="641">
        <f>D23*D22</f>
        <v>1042200</v>
      </c>
      <c r="E24" s="636">
        <f>E23*E22</f>
        <v>0</v>
      </c>
      <c r="F24" s="636">
        <f t="shared" ref="F24" si="6">F23*F22</f>
        <v>0</v>
      </c>
      <c r="G24" s="636">
        <f t="shared" ref="G24:H24" si="7">G23*G22</f>
        <v>0</v>
      </c>
      <c r="H24" s="683">
        <f t="shared" si="7"/>
        <v>0</v>
      </c>
      <c r="I24" s="641">
        <f>I23*I22*10</f>
        <v>10422000</v>
      </c>
      <c r="J24" s="636">
        <f t="shared" ref="J24:M24" si="8">J23*J22*10</f>
        <v>0</v>
      </c>
      <c r="K24" s="636">
        <f t="shared" ref="K24" si="9">K23*K22*10</f>
        <v>0</v>
      </c>
      <c r="L24" s="636">
        <f t="shared" si="8"/>
        <v>0</v>
      </c>
      <c r="M24" s="642">
        <f t="shared" si="8"/>
        <v>0</v>
      </c>
      <c r="N24" s="675">
        <f>SUM(D24:H24)</f>
        <v>1042200</v>
      </c>
      <c r="O24" s="676">
        <f>SUM(I24:M24)</f>
        <v>10422000</v>
      </c>
      <c r="P24" s="636">
        <f>P23*P22</f>
        <v>0</v>
      </c>
      <c r="Q24" s="677">
        <f>N24+O24+P24</f>
        <v>11464200</v>
      </c>
    </row>
    <row r="25" spans="1:247" x14ac:dyDescent="0.2">
      <c r="A25" s="940"/>
      <c r="B25" s="923" t="str">
        <f>+'B) Reajuste Tarifas y Ocupación'!B13</f>
        <v xml:space="preserve">Doble Jornada </v>
      </c>
      <c r="C25" s="302" t="s">
        <v>222</v>
      </c>
      <c r="D25" s="637">
        <f t="shared" ref="D25:F26" si="10">+I25</f>
        <v>73700</v>
      </c>
      <c r="E25" s="634">
        <f t="shared" si="10"/>
        <v>0</v>
      </c>
      <c r="F25" s="634">
        <f t="shared" si="10"/>
        <v>0</v>
      </c>
      <c r="G25" s="634">
        <f t="shared" ref="G25:H26" si="11">+L25</f>
        <v>0</v>
      </c>
      <c r="H25" s="681">
        <f t="shared" si="11"/>
        <v>0</v>
      </c>
      <c r="I25" s="691">
        <f>+'B) Reajuste Tarifas y Ocupación'!M13</f>
        <v>73700</v>
      </c>
      <c r="J25" s="655">
        <f>+'B) Reajuste Tarifas y Ocupación'!N13</f>
        <v>0</v>
      </c>
      <c r="K25" s="655">
        <f>+'B) Reajuste Tarifas y Ocupación'!O13</f>
        <v>0</v>
      </c>
      <c r="L25" s="655">
        <f>+'B) Reajuste Tarifas y Ocupación'!P13</f>
        <v>0</v>
      </c>
      <c r="M25" s="656">
        <f>+'B) Reajuste Tarifas y Ocupación'!Q13</f>
        <v>0</v>
      </c>
      <c r="N25" s="678"/>
      <c r="O25" s="307"/>
      <c r="P25" s="671">
        <f>+'B) Reajuste Tarifas y Ocupación'!M13</f>
        <v>73700</v>
      </c>
      <c r="Q25" s="913"/>
    </row>
    <row r="26" spans="1:247" x14ac:dyDescent="0.2">
      <c r="A26" s="940"/>
      <c r="B26" s="924"/>
      <c r="C26" s="302" t="s">
        <v>7</v>
      </c>
      <c r="D26" s="639">
        <f t="shared" si="10"/>
        <v>0</v>
      </c>
      <c r="E26" s="635">
        <f t="shared" si="10"/>
        <v>0</v>
      </c>
      <c r="F26" s="635">
        <f t="shared" si="10"/>
        <v>0</v>
      </c>
      <c r="G26" s="635">
        <f t="shared" si="11"/>
        <v>0</v>
      </c>
      <c r="H26" s="682">
        <f t="shared" si="11"/>
        <v>0</v>
      </c>
      <c r="I26" s="639">
        <f>+'B) Reajuste Tarifas y Ocupación'!C28</f>
        <v>0</v>
      </c>
      <c r="J26" s="635">
        <f>+'B) Reajuste Tarifas y Ocupación'!D28</f>
        <v>0</v>
      </c>
      <c r="K26" s="635">
        <f>+'B) Reajuste Tarifas y Ocupación'!E28</f>
        <v>0</v>
      </c>
      <c r="L26" s="635">
        <f>+'B) Reajuste Tarifas y Ocupación'!F28</f>
        <v>0</v>
      </c>
      <c r="M26" s="640">
        <f>+'B) Reajuste Tarifas y Ocupación'!G28</f>
        <v>0</v>
      </c>
      <c r="N26" s="669"/>
      <c r="O26" s="670"/>
      <c r="P26" s="674">
        <v>0</v>
      </c>
      <c r="Q26" s="911"/>
    </row>
    <row r="27" spans="1:247" x14ac:dyDescent="0.2">
      <c r="A27" s="940"/>
      <c r="B27" s="925"/>
      <c r="C27" s="303" t="s">
        <v>9</v>
      </c>
      <c r="D27" s="641">
        <f t="shared" ref="D27:H27" si="12">D26*D25</f>
        <v>0</v>
      </c>
      <c r="E27" s="636">
        <f t="shared" si="12"/>
        <v>0</v>
      </c>
      <c r="F27" s="636">
        <f t="shared" ref="F27" si="13">F26*F25</f>
        <v>0</v>
      </c>
      <c r="G27" s="636">
        <f t="shared" si="12"/>
        <v>0</v>
      </c>
      <c r="H27" s="683">
        <f t="shared" si="12"/>
        <v>0</v>
      </c>
      <c r="I27" s="641">
        <f t="shared" ref="I27:M27" si="14">I26*I25*10</f>
        <v>0</v>
      </c>
      <c r="J27" s="636">
        <f t="shared" si="14"/>
        <v>0</v>
      </c>
      <c r="K27" s="636">
        <f t="shared" ref="K27" si="15">K26*K25*10</f>
        <v>0</v>
      </c>
      <c r="L27" s="636">
        <f t="shared" si="14"/>
        <v>0</v>
      </c>
      <c r="M27" s="642">
        <f t="shared" si="14"/>
        <v>0</v>
      </c>
      <c r="N27" s="675">
        <f>SUM(D27:H27)</f>
        <v>0</v>
      </c>
      <c r="O27" s="676">
        <f>SUM(I27:M27)</f>
        <v>0</v>
      </c>
      <c r="P27" s="636">
        <f>P26*P25</f>
        <v>0</v>
      </c>
      <c r="Q27" s="677">
        <f>N27+O27+P27</f>
        <v>0</v>
      </c>
    </row>
    <row r="28" spans="1:247" s="10" customFormat="1" ht="15" x14ac:dyDescent="0.2">
      <c r="A28" s="941"/>
      <c r="B28" s="937" t="s">
        <v>10</v>
      </c>
      <c r="C28" s="938"/>
      <c r="D28" s="665">
        <f>+D24+D27</f>
        <v>1042200</v>
      </c>
      <c r="E28" s="657">
        <f t="shared" ref="E28:G28" si="16">+E24+E27</f>
        <v>0</v>
      </c>
      <c r="F28" s="657">
        <f t="shared" si="16"/>
        <v>0</v>
      </c>
      <c r="G28" s="657">
        <f t="shared" si="16"/>
        <v>0</v>
      </c>
      <c r="H28" s="684">
        <f>+H24+H27</f>
        <v>0</v>
      </c>
      <c r="I28" s="665">
        <f t="shared" ref="I28:L28" si="17">+I24+I27</f>
        <v>10422000</v>
      </c>
      <c r="J28" s="657">
        <f t="shared" si="17"/>
        <v>0</v>
      </c>
      <c r="K28" s="657">
        <f t="shared" si="17"/>
        <v>0</v>
      </c>
      <c r="L28" s="657">
        <f t="shared" si="17"/>
        <v>0</v>
      </c>
      <c r="M28" s="658">
        <f>+M24+M27</f>
        <v>0</v>
      </c>
      <c r="N28" s="112">
        <f t="shared" ref="N28:Q28" si="18">+N24+N27</f>
        <v>1042200</v>
      </c>
      <c r="O28" s="63">
        <f t="shared" si="18"/>
        <v>10422000</v>
      </c>
      <c r="P28" s="63">
        <f>+P24+P27</f>
        <v>0</v>
      </c>
      <c r="Q28" s="113">
        <f t="shared" si="18"/>
        <v>11464200</v>
      </c>
    </row>
    <row r="29" spans="1:247" s="10" customFormat="1" x14ac:dyDescent="0.2">
      <c r="A29" s="939" t="str">
        <f>'B) Reajuste Tarifas y Ocupación'!A29:A30</f>
        <v>Jardín Infantil Burbujitas de Mar</v>
      </c>
      <c r="B29" s="923" t="str">
        <f>+'B) Reajuste Tarifas y Ocupación'!B21</f>
        <v>Media Jornada</v>
      </c>
      <c r="C29" s="302" t="s">
        <v>222</v>
      </c>
      <c r="D29" s="637">
        <f>'B) Reajuste Tarifas y Ocupación'!M14</f>
        <v>81600</v>
      </c>
      <c r="E29" s="634">
        <f>'B) Reajuste Tarifas y Ocupación'!N14</f>
        <v>98000</v>
      </c>
      <c r="F29" s="634">
        <f>'B) Reajuste Tarifas y Ocupación'!O14</f>
        <v>98000</v>
      </c>
      <c r="G29" s="634">
        <f>'B) Reajuste Tarifas y Ocupación'!P14</f>
        <v>102000</v>
      </c>
      <c r="H29" s="681">
        <f>'B) Reajuste Tarifas y Ocupación'!Q14</f>
        <v>122400</v>
      </c>
      <c r="I29" s="637">
        <f>D29</f>
        <v>81600</v>
      </c>
      <c r="J29" s="634">
        <f t="shared" ref="J29:M29" si="19">E29</f>
        <v>98000</v>
      </c>
      <c r="K29" s="634">
        <f t="shared" si="19"/>
        <v>98000</v>
      </c>
      <c r="L29" s="634">
        <f t="shared" si="19"/>
        <v>102000</v>
      </c>
      <c r="M29" s="638">
        <f t="shared" si="19"/>
        <v>122400</v>
      </c>
      <c r="N29" s="669"/>
      <c r="O29" s="670"/>
      <c r="P29" s="679"/>
      <c r="Q29" s="911"/>
    </row>
    <row r="30" spans="1:247" s="10" customFormat="1" x14ac:dyDescent="0.2">
      <c r="A30" s="940"/>
      <c r="B30" s="924"/>
      <c r="C30" s="302" t="s">
        <v>7</v>
      </c>
      <c r="D30" s="639">
        <f>+I30</f>
        <v>0</v>
      </c>
      <c r="E30" s="635">
        <f>+J30</f>
        <v>0</v>
      </c>
      <c r="F30" s="635">
        <f t="shared" ref="F30" si="20">+K30</f>
        <v>0</v>
      </c>
      <c r="G30" s="635">
        <f t="shared" ref="G30" si="21">+L30</f>
        <v>0</v>
      </c>
      <c r="H30" s="682">
        <f t="shared" ref="H30" si="22">+M30</f>
        <v>0</v>
      </c>
      <c r="I30" s="639">
        <f>+'B) Reajuste Tarifas y Ocupación'!C29</f>
        <v>0</v>
      </c>
      <c r="J30" s="635">
        <f>+'B) Reajuste Tarifas y Ocupación'!D29</f>
        <v>0</v>
      </c>
      <c r="K30" s="635">
        <f>+'B) Reajuste Tarifas y Ocupación'!E29</f>
        <v>0</v>
      </c>
      <c r="L30" s="635">
        <f>+'B) Reajuste Tarifas y Ocupación'!F29</f>
        <v>0</v>
      </c>
      <c r="M30" s="640">
        <f>+'B) Reajuste Tarifas y Ocupación'!G29</f>
        <v>0</v>
      </c>
      <c r="N30" s="672"/>
      <c r="O30" s="673"/>
      <c r="P30" s="679"/>
      <c r="Q30" s="912"/>
    </row>
    <row r="31" spans="1:247" s="10" customFormat="1" x14ac:dyDescent="0.2">
      <c r="A31" s="940"/>
      <c r="B31" s="925"/>
      <c r="C31" s="303" t="s">
        <v>9</v>
      </c>
      <c r="D31" s="641">
        <f>D30*D29</f>
        <v>0</v>
      </c>
      <c r="E31" s="636">
        <f>E30*E29</f>
        <v>0</v>
      </c>
      <c r="F31" s="636">
        <f t="shared" ref="F31:H31" si="23">F30*F29</f>
        <v>0</v>
      </c>
      <c r="G31" s="636">
        <f t="shared" si="23"/>
        <v>0</v>
      </c>
      <c r="H31" s="683">
        <f t="shared" si="23"/>
        <v>0</v>
      </c>
      <c r="I31" s="641">
        <f>I30*I29*10</f>
        <v>0</v>
      </c>
      <c r="J31" s="636">
        <f t="shared" ref="J31:M31" si="24">J30*J29*10</f>
        <v>0</v>
      </c>
      <c r="K31" s="636">
        <f t="shared" si="24"/>
        <v>0</v>
      </c>
      <c r="L31" s="636">
        <f t="shared" si="24"/>
        <v>0</v>
      </c>
      <c r="M31" s="642">
        <f t="shared" si="24"/>
        <v>0</v>
      </c>
      <c r="N31" s="675">
        <f>SUM(D31:H31)</f>
        <v>0</v>
      </c>
      <c r="O31" s="676">
        <f>SUM(I31:M31)</f>
        <v>0</v>
      </c>
      <c r="P31" s="636">
        <f>P30*P29</f>
        <v>0</v>
      </c>
      <c r="Q31" s="677">
        <f>N31+O31+P31</f>
        <v>0</v>
      </c>
    </row>
    <row r="32" spans="1:247" s="10" customFormat="1" x14ac:dyDescent="0.2">
      <c r="A32" s="940"/>
      <c r="B32" s="923" t="str">
        <f>'B) Reajuste Tarifas y Ocupación'!B30</f>
        <v>Jornada  Completa</v>
      </c>
      <c r="C32" s="302" t="s">
        <v>222</v>
      </c>
      <c r="D32" s="637">
        <f>'B) Reajuste Tarifas y Ocupación'!M15</f>
        <v>129200</v>
      </c>
      <c r="E32" s="634">
        <f>'B) Reajuste Tarifas y Ocupación'!N15</f>
        <v>155100</v>
      </c>
      <c r="F32" s="634">
        <f>'B) Reajuste Tarifas y Ocupación'!O15</f>
        <v>155100</v>
      </c>
      <c r="G32" s="634">
        <f>'B) Reajuste Tarifas y Ocupación'!P15</f>
        <v>161500</v>
      </c>
      <c r="H32" s="681">
        <f>'B) Reajuste Tarifas y Ocupación'!Q15</f>
        <v>193800</v>
      </c>
      <c r="I32" s="691">
        <f>D32</f>
        <v>129200</v>
      </c>
      <c r="J32" s="655">
        <f t="shared" ref="J32:M32" si="25">E32</f>
        <v>155100</v>
      </c>
      <c r="K32" s="655">
        <f t="shared" si="25"/>
        <v>155100</v>
      </c>
      <c r="L32" s="655">
        <f t="shared" si="25"/>
        <v>161500</v>
      </c>
      <c r="M32" s="656">
        <f t="shared" si="25"/>
        <v>193800</v>
      </c>
      <c r="N32" s="678"/>
      <c r="O32" s="307"/>
      <c r="P32" s="679"/>
      <c r="Q32" s="913"/>
    </row>
    <row r="33" spans="1:17" s="10" customFormat="1" x14ac:dyDescent="0.2">
      <c r="A33" s="940"/>
      <c r="B33" s="924"/>
      <c r="C33" s="302" t="s">
        <v>7</v>
      </c>
      <c r="D33" s="639">
        <f>+I33</f>
        <v>25</v>
      </c>
      <c r="E33" s="635">
        <f>+J33</f>
        <v>0</v>
      </c>
      <c r="F33" s="635">
        <f t="shared" ref="F33" si="26">+K33</f>
        <v>0</v>
      </c>
      <c r="G33" s="635">
        <f t="shared" ref="G33" si="27">+L33</f>
        <v>0</v>
      </c>
      <c r="H33" s="682">
        <f t="shared" ref="H33" si="28">+M33</f>
        <v>0</v>
      </c>
      <c r="I33" s="639">
        <f>+'B) Reajuste Tarifas y Ocupación'!C30</f>
        <v>25</v>
      </c>
      <c r="J33" s="635">
        <f>+'B) Reajuste Tarifas y Ocupación'!D30</f>
        <v>0</v>
      </c>
      <c r="K33" s="635">
        <f>+'B) Reajuste Tarifas y Ocupación'!E30</f>
        <v>0</v>
      </c>
      <c r="L33" s="635">
        <f>+'B) Reajuste Tarifas y Ocupación'!F30</f>
        <v>0</v>
      </c>
      <c r="M33" s="640">
        <f>+'B) Reajuste Tarifas y Ocupación'!G30</f>
        <v>0</v>
      </c>
      <c r="N33" s="669"/>
      <c r="O33" s="670"/>
      <c r="P33" s="679"/>
      <c r="Q33" s="911"/>
    </row>
    <row r="34" spans="1:17" s="10" customFormat="1" x14ac:dyDescent="0.2">
      <c r="A34" s="940"/>
      <c r="B34" s="925"/>
      <c r="C34" s="303" t="s">
        <v>9</v>
      </c>
      <c r="D34" s="641">
        <f t="shared" ref="D34:H34" si="29">D33*D32</f>
        <v>3230000</v>
      </c>
      <c r="E34" s="636">
        <f t="shared" si="29"/>
        <v>0</v>
      </c>
      <c r="F34" s="636">
        <f t="shared" si="29"/>
        <v>0</v>
      </c>
      <c r="G34" s="636">
        <f t="shared" si="29"/>
        <v>0</v>
      </c>
      <c r="H34" s="683">
        <f t="shared" si="29"/>
        <v>0</v>
      </c>
      <c r="I34" s="641">
        <f t="shared" ref="I34:M34" si="30">I33*I32*10</f>
        <v>32300000</v>
      </c>
      <c r="J34" s="636">
        <f t="shared" si="30"/>
        <v>0</v>
      </c>
      <c r="K34" s="636">
        <f t="shared" si="30"/>
        <v>0</v>
      </c>
      <c r="L34" s="636">
        <f t="shared" si="30"/>
        <v>0</v>
      </c>
      <c r="M34" s="642">
        <f t="shared" si="30"/>
        <v>0</v>
      </c>
      <c r="N34" s="675">
        <f>SUM(D34:H34)</f>
        <v>3230000</v>
      </c>
      <c r="O34" s="676">
        <f>SUM(I34:M34)</f>
        <v>32300000</v>
      </c>
      <c r="P34" s="636">
        <f>P33*P32</f>
        <v>0</v>
      </c>
      <c r="Q34" s="677">
        <f>N34+O34+P34</f>
        <v>35530000</v>
      </c>
    </row>
    <row r="35" spans="1:17" s="10" customFormat="1" ht="15.75" thickBot="1" x14ac:dyDescent="0.25">
      <c r="A35" s="941"/>
      <c r="B35" s="937" t="s">
        <v>10</v>
      </c>
      <c r="C35" s="938"/>
      <c r="D35" s="395">
        <f>+D31+D34</f>
        <v>3230000</v>
      </c>
      <c r="E35" s="396">
        <f t="shared" ref="E35:G35" si="31">+E31+E34</f>
        <v>0</v>
      </c>
      <c r="F35" s="396">
        <f t="shared" si="31"/>
        <v>0</v>
      </c>
      <c r="G35" s="396">
        <f t="shared" si="31"/>
        <v>0</v>
      </c>
      <c r="H35" s="685">
        <f>+H31+H34</f>
        <v>0</v>
      </c>
      <c r="I35" s="395">
        <f t="shared" ref="I35:L35" si="32">+I31+I34</f>
        <v>32300000</v>
      </c>
      <c r="J35" s="396">
        <f t="shared" si="32"/>
        <v>0</v>
      </c>
      <c r="K35" s="396">
        <f t="shared" si="32"/>
        <v>0</v>
      </c>
      <c r="L35" s="396">
        <f t="shared" si="32"/>
        <v>0</v>
      </c>
      <c r="M35" s="397">
        <f>+M31+M34</f>
        <v>0</v>
      </c>
      <c r="N35" s="659">
        <f>+N31+N34</f>
        <v>3230000</v>
      </c>
      <c r="O35" s="660">
        <f t="shared" ref="O35:Q35" si="33">+O31+O34</f>
        <v>32300000</v>
      </c>
      <c r="P35" s="660">
        <f>+P31+P34</f>
        <v>0</v>
      </c>
      <c r="Q35" s="661">
        <f t="shared" si="33"/>
        <v>35530000</v>
      </c>
    </row>
    <row r="36" spans="1:17" x14ac:dyDescent="0.2">
      <c r="A36" s="942" t="str">
        <f>+'B) Reajuste Tarifas y Ocupación'!A19</f>
        <v>Sala Cuna Burbujitas de Mar</v>
      </c>
      <c r="B36" s="946" t="str">
        <f>+'B) Reajuste Tarifas y Ocupación'!B19</f>
        <v>Jornada Completa Diurna</v>
      </c>
      <c r="C36" s="304" t="s">
        <v>222</v>
      </c>
      <c r="D36" s="651"/>
      <c r="E36" s="652">
        <f t="shared" ref="E36" si="34">+J36</f>
        <v>372000</v>
      </c>
      <c r="F36" s="652">
        <f t="shared" ref="F36" si="35">+K36</f>
        <v>372000</v>
      </c>
      <c r="G36" s="652">
        <f t="shared" ref="G36:H36" si="36">+L36</f>
        <v>387500</v>
      </c>
      <c r="H36" s="686">
        <f t="shared" si="36"/>
        <v>465000</v>
      </c>
      <c r="I36" s="692">
        <f>+'B) Reajuste Tarifas y Ocupación'!M19</f>
        <v>310000</v>
      </c>
      <c r="J36" s="653">
        <f>+'B) Reajuste Tarifas y Ocupación'!N19</f>
        <v>372000</v>
      </c>
      <c r="K36" s="653">
        <f>+'B) Reajuste Tarifas y Ocupación'!O19</f>
        <v>372000</v>
      </c>
      <c r="L36" s="653">
        <f>+'B) Reajuste Tarifas y Ocupación'!P19</f>
        <v>387500</v>
      </c>
      <c r="M36" s="654">
        <f>+'B) Reajuste Tarifas y Ocupación'!Q19</f>
        <v>465000</v>
      </c>
      <c r="N36" s="666"/>
      <c r="O36" s="667"/>
      <c r="P36" s="668"/>
      <c r="Q36" s="904"/>
    </row>
    <row r="37" spans="1:17" x14ac:dyDescent="0.2">
      <c r="A37" s="942"/>
      <c r="B37" s="946"/>
      <c r="C37" s="304" t="s">
        <v>7</v>
      </c>
      <c r="D37" s="644">
        <v>0</v>
      </c>
      <c r="E37" s="634">
        <f t="shared" ref="E37" si="37">+J37</f>
        <v>0</v>
      </c>
      <c r="F37" s="634">
        <f t="shared" ref="F37" si="38">+K37</f>
        <v>0</v>
      </c>
      <c r="G37" s="634">
        <f t="shared" ref="G37" si="39">+L37</f>
        <v>0</v>
      </c>
      <c r="H37" s="681">
        <f t="shared" ref="H37" si="40">+M37</f>
        <v>0</v>
      </c>
      <c r="I37" s="639">
        <f>+'B) Reajuste Tarifas y Ocupación'!C34</f>
        <v>40</v>
      </c>
      <c r="J37" s="635">
        <f>+'B) Reajuste Tarifas y Ocupación'!D34</f>
        <v>0</v>
      </c>
      <c r="K37" s="635">
        <f>+'B) Reajuste Tarifas y Ocupación'!E34</f>
        <v>0</v>
      </c>
      <c r="L37" s="635">
        <f>+'B) Reajuste Tarifas y Ocupación'!F34</f>
        <v>0</v>
      </c>
      <c r="M37" s="640">
        <f>+'B) Reajuste Tarifas y Ocupación'!G34</f>
        <v>0</v>
      </c>
      <c r="N37" s="404"/>
      <c r="O37" s="308"/>
      <c r="P37" s="310">
        <v>0</v>
      </c>
      <c r="Q37" s="903"/>
    </row>
    <row r="38" spans="1:17" x14ac:dyDescent="0.2">
      <c r="A38" s="942"/>
      <c r="B38" s="946"/>
      <c r="C38" s="305" t="s">
        <v>9</v>
      </c>
      <c r="D38" s="645">
        <f>D37*D36</f>
        <v>0</v>
      </c>
      <c r="E38" s="646">
        <f>E37*E36</f>
        <v>0</v>
      </c>
      <c r="F38" s="646">
        <f t="shared" ref="F38" si="41">F37*F36</f>
        <v>0</v>
      </c>
      <c r="G38" s="636">
        <f>G37*G36</f>
        <v>0</v>
      </c>
      <c r="H38" s="683">
        <f>H37*H36</f>
        <v>0</v>
      </c>
      <c r="I38" s="641">
        <f>I37*I36*12</f>
        <v>148800000</v>
      </c>
      <c r="J38" s="636">
        <f t="shared" ref="J38:M38" si="42">J37*J36*12</f>
        <v>0</v>
      </c>
      <c r="K38" s="636">
        <f t="shared" si="42"/>
        <v>0</v>
      </c>
      <c r="L38" s="636">
        <f t="shared" si="42"/>
        <v>0</v>
      </c>
      <c r="M38" s="642">
        <f t="shared" si="42"/>
        <v>0</v>
      </c>
      <c r="N38" s="405">
        <f>SUM(D38:H38)</f>
        <v>0</v>
      </c>
      <c r="O38" s="311">
        <f>SUM(I38:M38)</f>
        <v>148800000</v>
      </c>
      <c r="P38" s="306">
        <f>P37*P36</f>
        <v>0</v>
      </c>
      <c r="Q38" s="312">
        <f>N38+O38+P38</f>
        <v>148800000</v>
      </c>
    </row>
    <row r="39" spans="1:17" x14ac:dyDescent="0.2">
      <c r="A39" s="942"/>
      <c r="B39" s="946" t="str">
        <f>+'B) Reajuste Tarifas y Ocupación'!B20</f>
        <v>Nocturna</v>
      </c>
      <c r="C39" s="304" t="s">
        <v>222</v>
      </c>
      <c r="D39" s="643"/>
      <c r="E39" s="647"/>
      <c r="F39" s="647"/>
      <c r="G39" s="647"/>
      <c r="H39" s="687"/>
      <c r="I39" s="691">
        <f>+'B) Reajuste Tarifas y Ocupación'!M20</f>
        <v>250000</v>
      </c>
      <c r="J39" s="647"/>
      <c r="K39" s="647"/>
      <c r="L39" s="647"/>
      <c r="M39" s="648"/>
      <c r="N39" s="404"/>
      <c r="O39" s="308"/>
      <c r="P39" s="309"/>
      <c r="Q39" s="903"/>
    </row>
    <row r="40" spans="1:17" x14ac:dyDescent="0.2">
      <c r="A40" s="942"/>
      <c r="B40" s="946"/>
      <c r="C40" s="304" t="s">
        <v>7</v>
      </c>
      <c r="D40" s="644"/>
      <c r="E40" s="649"/>
      <c r="F40" s="649"/>
      <c r="G40" s="649"/>
      <c r="H40" s="688"/>
      <c r="I40" s="639">
        <f>+'B) Reajuste Tarifas y Ocupación'!C35</f>
        <v>25</v>
      </c>
      <c r="J40" s="649"/>
      <c r="K40" s="649"/>
      <c r="L40" s="649"/>
      <c r="M40" s="650"/>
      <c r="N40" s="404"/>
      <c r="O40" s="308"/>
      <c r="P40" s="310">
        <v>0</v>
      </c>
      <c r="Q40" s="903"/>
    </row>
    <row r="41" spans="1:17" x14ac:dyDescent="0.2">
      <c r="A41" s="942"/>
      <c r="B41" s="946"/>
      <c r="C41" s="305" t="s">
        <v>9</v>
      </c>
      <c r="D41" s="645">
        <f>D40*D39</f>
        <v>0</v>
      </c>
      <c r="E41" s="646">
        <f>E40*E39</f>
        <v>0</v>
      </c>
      <c r="F41" s="646">
        <f t="shared" ref="F41" si="43">F40*F39</f>
        <v>0</v>
      </c>
      <c r="G41" s="646">
        <f>G40*G39</f>
        <v>0</v>
      </c>
      <c r="H41" s="689">
        <f>H40*H39</f>
        <v>0</v>
      </c>
      <c r="I41" s="641">
        <f>I40*I39*12</f>
        <v>75000000</v>
      </c>
      <c r="J41" s="636">
        <f t="shared" ref="J41:M41" si="44">J40*J39*12</f>
        <v>0</v>
      </c>
      <c r="K41" s="636">
        <f t="shared" si="44"/>
        <v>0</v>
      </c>
      <c r="L41" s="636">
        <f t="shared" si="44"/>
        <v>0</v>
      </c>
      <c r="M41" s="642">
        <f t="shared" si="44"/>
        <v>0</v>
      </c>
      <c r="N41" s="405">
        <f>SUM(D41:H41)</f>
        <v>0</v>
      </c>
      <c r="O41" s="311">
        <f>SUM(I41:M41)</f>
        <v>75000000</v>
      </c>
      <c r="P41" s="306">
        <f>P40*P39</f>
        <v>0</v>
      </c>
      <c r="Q41" s="312">
        <f>N41+O41+P41</f>
        <v>75000000</v>
      </c>
    </row>
    <row r="42" spans="1:17" x14ac:dyDescent="0.2">
      <c r="A42" s="942"/>
      <c r="B42" s="946" t="str">
        <f>+'B) Reajuste Tarifas y Ocupación'!B21</f>
        <v>Media Jornada</v>
      </c>
      <c r="C42" s="304" t="s">
        <v>222</v>
      </c>
      <c r="D42" s="643"/>
      <c r="E42" s="634">
        <f>J42</f>
        <v>0</v>
      </c>
      <c r="F42" s="634">
        <f t="shared" ref="F42:H42" si="45">K42</f>
        <v>0</v>
      </c>
      <c r="G42" s="634">
        <f t="shared" si="45"/>
        <v>0</v>
      </c>
      <c r="H42" s="681">
        <f t="shared" si="45"/>
        <v>0</v>
      </c>
      <c r="I42" s="691">
        <f>+'B) Reajuste Tarifas y Ocupación'!M21</f>
        <v>165400</v>
      </c>
      <c r="J42" s="655">
        <f>+'B) Reajuste Tarifas y Ocupación'!N21</f>
        <v>0</v>
      </c>
      <c r="K42" s="655">
        <f>+'B) Reajuste Tarifas y Ocupación'!O21</f>
        <v>0</v>
      </c>
      <c r="L42" s="655">
        <f>+'B) Reajuste Tarifas y Ocupación'!P21</f>
        <v>0</v>
      </c>
      <c r="M42" s="656">
        <f>+'B) Reajuste Tarifas y Ocupación'!Q21</f>
        <v>0</v>
      </c>
      <c r="N42" s="404"/>
      <c r="O42" s="308"/>
      <c r="P42" s="309"/>
      <c r="Q42" s="903"/>
    </row>
    <row r="43" spans="1:17" x14ac:dyDescent="0.2">
      <c r="A43" s="942"/>
      <c r="B43" s="946"/>
      <c r="C43" s="304" t="s">
        <v>7</v>
      </c>
      <c r="D43" s="644"/>
      <c r="E43" s="634">
        <f t="shared" ref="E43" si="46">+J43</f>
        <v>0</v>
      </c>
      <c r="F43" s="634">
        <f t="shared" ref="F43" si="47">+K43</f>
        <v>0</v>
      </c>
      <c r="G43" s="634">
        <f t="shared" ref="G43" si="48">+L43</f>
        <v>0</v>
      </c>
      <c r="H43" s="681">
        <f t="shared" ref="H43" si="49">+M43</f>
        <v>0</v>
      </c>
      <c r="I43" s="639">
        <f>+'B) Reajuste Tarifas y Ocupación'!C36</f>
        <v>0</v>
      </c>
      <c r="J43" s="635">
        <f>+'B) Reajuste Tarifas y Ocupación'!D36</f>
        <v>0</v>
      </c>
      <c r="K43" s="635">
        <f>+'B) Reajuste Tarifas y Ocupación'!E36</f>
        <v>0</v>
      </c>
      <c r="L43" s="635">
        <f>+'B) Reajuste Tarifas y Ocupación'!F36</f>
        <v>0</v>
      </c>
      <c r="M43" s="640">
        <f>+'B) Reajuste Tarifas y Ocupación'!G36</f>
        <v>0</v>
      </c>
      <c r="N43" s="404"/>
      <c r="O43" s="308"/>
      <c r="P43" s="310">
        <v>0</v>
      </c>
      <c r="Q43" s="903"/>
    </row>
    <row r="44" spans="1:17" x14ac:dyDescent="0.2">
      <c r="A44" s="942"/>
      <c r="B44" s="946"/>
      <c r="C44" s="305" t="s">
        <v>9</v>
      </c>
      <c r="D44" s="645">
        <f t="shared" ref="D44:H44" si="50">D43*D42</f>
        <v>0</v>
      </c>
      <c r="E44" s="646">
        <f>E43*E42</f>
        <v>0</v>
      </c>
      <c r="F44" s="646"/>
      <c r="G44" s="646">
        <f t="shared" si="50"/>
        <v>0</v>
      </c>
      <c r="H44" s="689">
        <f t="shared" si="50"/>
        <v>0</v>
      </c>
      <c r="I44" s="641">
        <f>I43*I42*12</f>
        <v>0</v>
      </c>
      <c r="J44" s="636">
        <f>J43*J42*12</f>
        <v>0</v>
      </c>
      <c r="K44" s="636">
        <f t="shared" ref="K44:M44" si="51">K43*K42*12</f>
        <v>0</v>
      </c>
      <c r="L44" s="636">
        <f t="shared" si="51"/>
        <v>0</v>
      </c>
      <c r="M44" s="642">
        <f t="shared" si="51"/>
        <v>0</v>
      </c>
      <c r="N44" s="405">
        <f>SUM(D44:H44)</f>
        <v>0</v>
      </c>
      <c r="O44" s="311">
        <f>SUM(I44:M44)</f>
        <v>0</v>
      </c>
      <c r="P44" s="306">
        <f t="shared" ref="P44" si="52">P43*P42</f>
        <v>0</v>
      </c>
      <c r="Q44" s="312">
        <f>N44+O44+P44</f>
        <v>0</v>
      </c>
    </row>
    <row r="45" spans="1:17" ht="15.75" thickBot="1" x14ac:dyDescent="0.25">
      <c r="A45" s="943"/>
      <c r="B45" s="944" t="s">
        <v>10</v>
      </c>
      <c r="C45" s="945"/>
      <c r="D45" s="395">
        <f>SUM(D38,D41,D44)</f>
        <v>0</v>
      </c>
      <c r="E45" s="396">
        <f>SUM(E38,E41,E44)</f>
        <v>0</v>
      </c>
      <c r="F45" s="396">
        <f t="shared" ref="F45:Q45" si="53">SUM(F38,F41,F44)</f>
        <v>0</v>
      </c>
      <c r="G45" s="396">
        <f t="shared" si="53"/>
        <v>0</v>
      </c>
      <c r="H45" s="685">
        <f t="shared" si="53"/>
        <v>0</v>
      </c>
      <c r="I45" s="395">
        <f t="shared" si="53"/>
        <v>223800000</v>
      </c>
      <c r="J45" s="396">
        <f t="shared" si="53"/>
        <v>0</v>
      </c>
      <c r="K45" s="396">
        <f t="shared" si="53"/>
        <v>0</v>
      </c>
      <c r="L45" s="396">
        <f t="shared" si="53"/>
        <v>0</v>
      </c>
      <c r="M45" s="397">
        <f t="shared" si="53"/>
        <v>0</v>
      </c>
      <c r="N45" s="406">
        <f>SUM(N38,N41,N44)</f>
        <v>0</v>
      </c>
      <c r="O45" s="313">
        <f>SUM(O38,O41,O44)</f>
        <v>223800000</v>
      </c>
      <c r="P45" s="313">
        <f>SUM(P38,P41,P44)</f>
        <v>0</v>
      </c>
      <c r="Q45" s="314">
        <f t="shared" si="53"/>
        <v>223800000</v>
      </c>
    </row>
    <row r="46" spans="1:17" ht="15" customHeight="1" thickBot="1" x14ac:dyDescent="0.25">
      <c r="A46" s="931" t="s">
        <v>8</v>
      </c>
      <c r="B46" s="932"/>
      <c r="C46" s="933"/>
      <c r="D46" s="315">
        <f>+D28+D45+D35</f>
        <v>4272200</v>
      </c>
      <c r="E46" s="315">
        <f t="shared" ref="E46:I46" si="54">+E28+E45+E35</f>
        <v>0</v>
      </c>
      <c r="F46" s="315">
        <f t="shared" si="54"/>
        <v>0</v>
      </c>
      <c r="G46" s="315">
        <f t="shared" si="54"/>
        <v>0</v>
      </c>
      <c r="H46" s="690">
        <f t="shared" si="54"/>
        <v>0</v>
      </c>
      <c r="I46" s="407">
        <f t="shared" si="54"/>
        <v>266522000</v>
      </c>
      <c r="J46" s="407">
        <f t="shared" ref="J46" si="55">+J28+J45+J35</f>
        <v>0</v>
      </c>
      <c r="K46" s="407">
        <f t="shared" ref="K46" si="56">+K28+K45+K35</f>
        <v>0</v>
      </c>
      <c r="L46" s="407">
        <f t="shared" ref="L46" si="57">+L28+L45+L35</f>
        <v>0</v>
      </c>
      <c r="M46" s="693">
        <f t="shared" ref="M46:N46" si="58">+M28+M45+M35</f>
        <v>0</v>
      </c>
      <c r="N46" s="315">
        <f t="shared" si="58"/>
        <v>4272200</v>
      </c>
      <c r="O46" s="315">
        <f t="shared" ref="O46" si="59">+O28+O45+O35</f>
        <v>266522000</v>
      </c>
      <c r="P46" s="315">
        <f>+P28+P45+P35</f>
        <v>0</v>
      </c>
      <c r="Q46" s="315">
        <f t="shared" ref="Q46" si="60">+Q28+Q45+Q35</f>
        <v>270794200</v>
      </c>
    </row>
    <row r="48" spans="1:17" x14ac:dyDescent="0.2">
      <c r="N48" s="4" t="s">
        <v>240</v>
      </c>
    </row>
  </sheetData>
  <mergeCells count="34">
    <mergeCell ref="A46:C46"/>
    <mergeCell ref="I20:M20"/>
    <mergeCell ref="B28:C28"/>
    <mergeCell ref="A22:A28"/>
    <mergeCell ref="B22:B24"/>
    <mergeCell ref="A36:A45"/>
    <mergeCell ref="B45:C45"/>
    <mergeCell ref="B39:B41"/>
    <mergeCell ref="B42:B44"/>
    <mergeCell ref="B36:B38"/>
    <mergeCell ref="A29:A35"/>
    <mergeCell ref="B29:B31"/>
    <mergeCell ref="B32:B34"/>
    <mergeCell ref="B35:C35"/>
    <mergeCell ref="C4:D4"/>
    <mergeCell ref="E4:G4"/>
    <mergeCell ref="C20:C21"/>
    <mergeCell ref="D20:H20"/>
    <mergeCell ref="B25:B27"/>
    <mergeCell ref="A6:D6"/>
    <mergeCell ref="A18:D18"/>
    <mergeCell ref="A20:A21"/>
    <mergeCell ref="B20:B21"/>
    <mergeCell ref="P20:P21"/>
    <mergeCell ref="Q42:Q43"/>
    <mergeCell ref="Q36:Q37"/>
    <mergeCell ref="Q39:Q40"/>
    <mergeCell ref="N20:N21"/>
    <mergeCell ref="O20:O21"/>
    <mergeCell ref="Q20:Q21"/>
    <mergeCell ref="Q22:Q23"/>
    <mergeCell ref="Q25:Q26"/>
    <mergeCell ref="Q29:Q30"/>
    <mergeCell ref="Q32:Q33"/>
  </mergeCells>
  <phoneticPr fontId="34" type="noConversion"/>
  <conditionalFormatting sqref="D15:N17 C14:N14 E18:N18 B9:I13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3:H23 D22:H22 J22 D25:O25 I24:Q24 J23:O23 Q38 I42:J42 I40 D45 N43:Q43 G36:J36 L22:O22 N39:Q39 N37:Q37 L42:Q42 N41:O41 N40:Q40 L45:M45 L36:Q36 D44 N44:Q44 I39 Q23 D27:Q27 D26:O26 Q26 I43 F44:H44 F45:J45 Q45 D28:O28 Q28 Q41 Q22 Q25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42"/>
  <sheetViews>
    <sheetView showGridLines="0" tabSelected="1" topLeftCell="A15" zoomScale="80" zoomScaleNormal="80" workbookViewId="0">
      <selection activeCell="I24" sqref="I24"/>
    </sheetView>
  </sheetViews>
  <sheetFormatPr baseColWidth="10" defaultColWidth="11.42578125" defaultRowHeight="12.75" x14ac:dyDescent="0.2"/>
  <cols>
    <col min="1" max="1" width="56.5703125" style="45" customWidth="1"/>
    <col min="2" max="2" width="33.85546875" style="32" customWidth="1"/>
    <col min="3" max="3" width="12.28515625" style="45" customWidth="1"/>
    <col min="4" max="4" width="13.7109375" style="45" bestFit="1" customWidth="1"/>
    <col min="5" max="5" width="15.5703125" style="45" bestFit="1" customWidth="1"/>
    <col min="6" max="6" width="14.5703125" style="45" customWidth="1"/>
    <col min="7" max="7" width="14.85546875" style="45" customWidth="1"/>
    <col min="8" max="8" width="11.85546875" style="45" bestFit="1" customWidth="1"/>
    <col min="9" max="9" width="14.5703125" style="45" bestFit="1" customWidth="1"/>
    <col min="10" max="10" width="14.5703125" style="45" customWidth="1"/>
    <col min="11" max="12" width="11.85546875" style="45" customWidth="1"/>
    <col min="13" max="13" width="14" style="45" customWidth="1"/>
    <col min="14" max="15" width="14.5703125" style="45" customWidth="1"/>
    <col min="16" max="17" width="11.85546875" style="45" customWidth="1"/>
    <col min="18" max="18" width="11.85546875" style="32" customWidth="1"/>
    <col min="19" max="19" width="32.7109375" style="45" customWidth="1"/>
    <col min="20" max="20" width="33" style="32" bestFit="1" customWidth="1"/>
    <col min="21" max="21" width="13.85546875" style="45" customWidth="1"/>
    <col min="22" max="22" width="14.5703125" style="45" bestFit="1" customWidth="1"/>
    <col min="23" max="23" width="14.5703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206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199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5"/>
      <c r="B4" s="2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5"/>
      <c r="S4" s="25"/>
      <c r="T4" s="26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5"/>
      <c r="B5" s="26"/>
      <c r="C5" s="914" t="s">
        <v>0</v>
      </c>
      <c r="D5" s="979"/>
      <c r="E5" s="119"/>
      <c r="F5" s="992" t="s">
        <v>124</v>
      </c>
      <c r="G5" s="993"/>
      <c r="R5" s="17"/>
      <c r="S5" s="25"/>
      <c r="T5" s="26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5"/>
      <c r="B6" s="26"/>
      <c r="C6" s="119"/>
      <c r="D6" s="119"/>
      <c r="E6" s="119"/>
      <c r="F6" s="122"/>
      <c r="G6" s="122"/>
      <c r="R6" s="17"/>
      <c r="S6" s="25"/>
      <c r="T6" s="26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5"/>
      <c r="B7" s="26"/>
      <c r="C7" s="119"/>
      <c r="D7" s="119"/>
      <c r="E7" s="119"/>
      <c r="F7" s="122"/>
      <c r="G7" s="122"/>
      <c r="R7" s="17"/>
      <c r="S7" s="25"/>
      <c r="T7" s="26"/>
      <c r="V7" s="59"/>
      <c r="W7" s="59"/>
      <c r="IL7" s="4"/>
      <c r="IM7" s="4"/>
      <c r="IN7" s="4"/>
      <c r="IO7" s="4"/>
      <c r="IP7" s="4"/>
      <c r="IQ7" s="4"/>
    </row>
    <row r="8" spans="1:256" s="17" customFormat="1" ht="15.75" x14ac:dyDescent="0.2">
      <c r="A8" s="950" t="s">
        <v>152</v>
      </c>
      <c r="B8" s="950"/>
      <c r="C8" s="950"/>
      <c r="D8" s="950"/>
      <c r="E8" s="120"/>
      <c r="F8" s="122"/>
      <c r="G8" s="122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985" t="s">
        <v>135</v>
      </c>
      <c r="B10" s="980" t="s">
        <v>5</v>
      </c>
      <c r="C10" s="982" t="s">
        <v>140</v>
      </c>
      <c r="D10" s="983"/>
      <c r="E10" s="983"/>
      <c r="F10" s="983"/>
      <c r="G10" s="984"/>
      <c r="H10" s="951" t="s">
        <v>108</v>
      </c>
      <c r="I10" s="952"/>
      <c r="J10" s="952"/>
      <c r="K10" s="952"/>
      <c r="L10" s="953"/>
      <c r="M10" s="947" t="s">
        <v>219</v>
      </c>
      <c r="N10" s="948"/>
      <c r="O10" s="948"/>
      <c r="P10" s="948"/>
      <c r="Q10" s="949"/>
      <c r="R10" s="20"/>
    </row>
    <row r="11" spans="1:256" ht="64.5" thickBot="1" x14ac:dyDescent="0.25">
      <c r="A11" s="960"/>
      <c r="B11" s="981"/>
      <c r="C11" s="416" t="s">
        <v>86</v>
      </c>
      <c r="D11" s="417" t="s">
        <v>137</v>
      </c>
      <c r="E11" s="417" t="s">
        <v>138</v>
      </c>
      <c r="F11" s="417" t="s">
        <v>87</v>
      </c>
      <c r="G11" s="418" t="s">
        <v>88</v>
      </c>
      <c r="H11" s="426" t="s">
        <v>86</v>
      </c>
      <c r="I11" s="427" t="s">
        <v>137</v>
      </c>
      <c r="J11" s="427" t="s">
        <v>138</v>
      </c>
      <c r="K11" s="428" t="s">
        <v>87</v>
      </c>
      <c r="L11" s="429" t="s">
        <v>88</v>
      </c>
      <c r="M11" s="416" t="s">
        <v>86</v>
      </c>
      <c r="N11" s="417" t="s">
        <v>137</v>
      </c>
      <c r="O11" s="417" t="s">
        <v>138</v>
      </c>
      <c r="P11" s="417" t="s">
        <v>87</v>
      </c>
      <c r="Q11" s="418" t="s">
        <v>88</v>
      </c>
      <c r="R11" s="20"/>
    </row>
    <row r="12" spans="1:256" ht="19.5" customHeight="1" x14ac:dyDescent="0.2">
      <c r="A12" s="969" t="s">
        <v>212</v>
      </c>
      <c r="B12" s="413" t="s">
        <v>128</v>
      </c>
      <c r="C12" s="316">
        <v>57900</v>
      </c>
      <c r="D12" s="301">
        <v>69500</v>
      </c>
      <c r="E12" s="301">
        <v>69500</v>
      </c>
      <c r="F12" s="301">
        <v>79100</v>
      </c>
      <c r="G12" s="317">
        <v>100700</v>
      </c>
      <c r="H12" s="430">
        <v>0</v>
      </c>
      <c r="I12" s="431">
        <f>+H12</f>
        <v>0</v>
      </c>
      <c r="J12" s="431">
        <f>+H12</f>
        <v>0</v>
      </c>
      <c r="K12" s="431">
        <f>+H12</f>
        <v>0</v>
      </c>
      <c r="L12" s="432">
        <f>+H12</f>
        <v>0</v>
      </c>
      <c r="M12" s="437">
        <f>CEILING(C12*(1+H12),100)</f>
        <v>57900</v>
      </c>
      <c r="N12" s="438">
        <f>+CEILING(C12*(1.2)*(1+I12),100)</f>
        <v>69500</v>
      </c>
      <c r="O12" s="438">
        <f>+CEILING(C12*(1.2)*(1+J12),100)</f>
        <v>69500</v>
      </c>
      <c r="P12" s="438">
        <f>+CEILING(F12*(1+K12),100)</f>
        <v>79100</v>
      </c>
      <c r="Q12" s="439">
        <f>+CEILING(G12*(1+L12),100)</f>
        <v>100700</v>
      </c>
      <c r="R12" s="87"/>
    </row>
    <row r="13" spans="1:256" ht="19.5" customHeight="1" thickBot="1" x14ac:dyDescent="0.25">
      <c r="A13" s="970"/>
      <c r="B13" s="414" t="s">
        <v>213</v>
      </c>
      <c r="C13" s="419">
        <v>73700</v>
      </c>
      <c r="D13" s="420"/>
      <c r="E13" s="420"/>
      <c r="F13" s="420"/>
      <c r="G13" s="421"/>
      <c r="H13" s="433">
        <v>0</v>
      </c>
      <c r="I13" s="434"/>
      <c r="J13" s="434"/>
      <c r="K13" s="434"/>
      <c r="L13" s="435"/>
      <c r="M13" s="440">
        <f>CEILING(C13*(1+H13),100)</f>
        <v>73700</v>
      </c>
      <c r="N13" s="434"/>
      <c r="O13" s="434"/>
      <c r="P13" s="434"/>
      <c r="Q13" s="435"/>
    </row>
    <row r="14" spans="1:256" ht="19.5" customHeight="1" x14ac:dyDescent="0.2">
      <c r="A14" s="969" t="s">
        <v>223</v>
      </c>
      <c r="B14" s="413" t="s">
        <v>128</v>
      </c>
      <c r="C14" s="422"/>
      <c r="D14" s="412"/>
      <c r="E14" s="412"/>
      <c r="F14" s="412"/>
      <c r="G14" s="423"/>
      <c r="H14" s="436"/>
      <c r="I14" s="412"/>
      <c r="J14" s="412"/>
      <c r="K14" s="412"/>
      <c r="L14" s="626"/>
      <c r="M14" s="694">
        <v>81600</v>
      </c>
      <c r="N14" s="695">
        <f>+CEILING(M14*(1.2),100)</f>
        <v>98000</v>
      </c>
      <c r="O14" s="695">
        <f>+CEILING(M14*(1.2),100)</f>
        <v>98000</v>
      </c>
      <c r="P14" s="695">
        <f>+CEILING(M14*(1.25),100)</f>
        <v>102000</v>
      </c>
      <c r="Q14" s="696">
        <f>+CEILING(M14*(1.5),100)</f>
        <v>122400</v>
      </c>
    </row>
    <row r="15" spans="1:256" ht="19.5" customHeight="1" thickBot="1" x14ac:dyDescent="0.25">
      <c r="A15" s="973"/>
      <c r="B15" s="415" t="s">
        <v>224</v>
      </c>
      <c r="C15" s="424"/>
      <c r="D15" s="411"/>
      <c r="E15" s="411"/>
      <c r="F15" s="411"/>
      <c r="G15" s="425"/>
      <c r="H15" s="424"/>
      <c r="I15" s="411"/>
      <c r="J15" s="411"/>
      <c r="K15" s="411"/>
      <c r="L15" s="627"/>
      <c r="M15" s="697">
        <v>129200</v>
      </c>
      <c r="N15" s="698">
        <f>+CEILING(M15*(1.2),100)</f>
        <v>155100</v>
      </c>
      <c r="O15" s="698">
        <f>+CEILING(M15*(1.2),100)</f>
        <v>155100</v>
      </c>
      <c r="P15" s="698">
        <f>+CEILING(M15*(1.25),100)</f>
        <v>161500</v>
      </c>
      <c r="Q15" s="699">
        <f>+CEILING(M15*(1.5),100)</f>
        <v>193800</v>
      </c>
    </row>
    <row r="16" spans="1:256" ht="12.75" customHeight="1" thickBot="1" x14ac:dyDescent="0.25">
      <c r="B16" s="45"/>
      <c r="R16" s="45"/>
    </row>
    <row r="17" spans="1:18" ht="15.75" customHeight="1" x14ac:dyDescent="0.2">
      <c r="A17" s="959" t="s">
        <v>136</v>
      </c>
      <c r="B17" s="961" t="s">
        <v>5</v>
      </c>
      <c r="C17" s="962" t="s">
        <v>140</v>
      </c>
      <c r="D17" s="963"/>
      <c r="E17" s="963"/>
      <c r="F17" s="963"/>
      <c r="G17" s="964"/>
      <c r="H17" s="965" t="s">
        <v>108</v>
      </c>
      <c r="I17" s="952"/>
      <c r="J17" s="952"/>
      <c r="K17" s="952"/>
      <c r="L17" s="952"/>
      <c r="M17" s="966" t="s">
        <v>219</v>
      </c>
      <c r="N17" s="967"/>
      <c r="O17" s="967"/>
      <c r="P17" s="967"/>
      <c r="Q17" s="968"/>
      <c r="R17" s="20"/>
    </row>
    <row r="18" spans="1:18" ht="64.5" thickBot="1" x14ac:dyDescent="0.25">
      <c r="A18" s="960"/>
      <c r="B18" s="955"/>
      <c r="C18" s="99" t="s">
        <v>86</v>
      </c>
      <c r="D18" s="100" t="s">
        <v>137</v>
      </c>
      <c r="E18" s="100" t="s">
        <v>138</v>
      </c>
      <c r="F18" s="100" t="s">
        <v>87</v>
      </c>
      <c r="G18" s="103" t="s">
        <v>88</v>
      </c>
      <c r="H18" s="104" t="s">
        <v>86</v>
      </c>
      <c r="I18" s="106" t="s">
        <v>137</v>
      </c>
      <c r="J18" s="106" t="s">
        <v>138</v>
      </c>
      <c r="K18" s="105" t="s">
        <v>87</v>
      </c>
      <c r="L18" s="107" t="s">
        <v>88</v>
      </c>
      <c r="M18" s="602" t="s">
        <v>86</v>
      </c>
      <c r="N18" s="625" t="s">
        <v>137</v>
      </c>
      <c r="O18" s="625" t="s">
        <v>138</v>
      </c>
      <c r="P18" s="595" t="s">
        <v>87</v>
      </c>
      <c r="Q18" s="603" t="s">
        <v>88</v>
      </c>
      <c r="R18" s="20"/>
    </row>
    <row r="19" spans="1:18" ht="19.5" customHeight="1" x14ac:dyDescent="0.2">
      <c r="A19" s="994" t="s">
        <v>214</v>
      </c>
      <c r="B19" s="175" t="s">
        <v>215</v>
      </c>
      <c r="C19" s="394">
        <v>267600</v>
      </c>
      <c r="D19" s="393">
        <v>321100</v>
      </c>
      <c r="E19" s="393">
        <v>321100</v>
      </c>
      <c r="F19" s="393">
        <v>292600</v>
      </c>
      <c r="G19" s="386">
        <v>341600</v>
      </c>
      <c r="H19" s="108">
        <v>0.03</v>
      </c>
      <c r="I19" s="102">
        <f>+H19</f>
        <v>0.03</v>
      </c>
      <c r="J19" s="102">
        <f>+H19</f>
        <v>0.03</v>
      </c>
      <c r="K19" s="102">
        <f>+H19</f>
        <v>0.03</v>
      </c>
      <c r="L19" s="173">
        <f>+H19</f>
        <v>0.03</v>
      </c>
      <c r="M19" s="886">
        <v>310000</v>
      </c>
      <c r="N19" s="887">
        <f>+M19*1.2</f>
        <v>372000</v>
      </c>
      <c r="O19" s="887">
        <f>+M19*1.2</f>
        <v>372000</v>
      </c>
      <c r="P19" s="887">
        <f>+M19*1.25</f>
        <v>387500</v>
      </c>
      <c r="Q19" s="888">
        <f>+M19*1.5</f>
        <v>465000</v>
      </c>
      <c r="R19" s="88"/>
    </row>
    <row r="20" spans="1:18" ht="19.5" customHeight="1" x14ac:dyDescent="0.2">
      <c r="A20" s="995"/>
      <c r="B20" s="176" t="s">
        <v>142</v>
      </c>
      <c r="C20" s="387">
        <v>219000</v>
      </c>
      <c r="D20" s="388">
        <v>0</v>
      </c>
      <c r="E20" s="388">
        <v>0</v>
      </c>
      <c r="F20" s="388">
        <v>0</v>
      </c>
      <c r="G20" s="389">
        <v>0</v>
      </c>
      <c r="H20" s="221">
        <v>0.03</v>
      </c>
      <c r="I20" s="592"/>
      <c r="J20" s="592"/>
      <c r="K20" s="592"/>
      <c r="L20" s="593"/>
      <c r="M20" s="889">
        <v>250000</v>
      </c>
      <c r="N20" s="890"/>
      <c r="O20" s="890"/>
      <c r="P20" s="890"/>
      <c r="Q20" s="891"/>
      <c r="R20" s="88"/>
    </row>
    <row r="21" spans="1:18" ht="19.5" customHeight="1" thickBot="1" x14ac:dyDescent="0.25">
      <c r="A21" s="996"/>
      <c r="B21" s="177" t="s">
        <v>134</v>
      </c>
      <c r="C21" s="390">
        <v>160500</v>
      </c>
      <c r="D21" s="391">
        <v>0</v>
      </c>
      <c r="E21" s="391">
        <v>0</v>
      </c>
      <c r="F21" s="391">
        <v>0</v>
      </c>
      <c r="G21" s="392">
        <v>0</v>
      </c>
      <c r="H21" s="109">
        <v>0.03</v>
      </c>
      <c r="I21" s="222">
        <f t="shared" ref="I21" si="0">+H21</f>
        <v>0.03</v>
      </c>
      <c r="J21" s="222">
        <f t="shared" ref="J21" si="1">+H21</f>
        <v>0.03</v>
      </c>
      <c r="K21" s="222">
        <f t="shared" ref="K21" si="2">+H21</f>
        <v>0.03</v>
      </c>
      <c r="L21" s="174">
        <f t="shared" ref="L21" si="3">+H21</f>
        <v>0.03</v>
      </c>
      <c r="M21" s="892">
        <f t="shared" ref="M21" si="4">CEILING(C21*(1+H21),100)</f>
        <v>165400</v>
      </c>
      <c r="N21" s="893"/>
      <c r="O21" s="893"/>
      <c r="P21" s="893"/>
      <c r="Q21" s="894"/>
      <c r="R21" s="88"/>
    </row>
    <row r="22" spans="1:18" x14ac:dyDescent="0.2">
      <c r="D22" s="178"/>
    </row>
    <row r="23" spans="1:18" ht="15.75" x14ac:dyDescent="0.2">
      <c r="A23" s="950" t="s">
        <v>153</v>
      </c>
      <c r="B23" s="950"/>
      <c r="C23" s="950"/>
      <c r="D23" s="950"/>
      <c r="E23" s="950"/>
      <c r="F23" s="950"/>
      <c r="G23" s="17"/>
      <c r="H23" s="17"/>
    </row>
    <row r="24" spans="1:18" ht="13.5" thickBot="1" x14ac:dyDescent="0.25"/>
    <row r="25" spans="1:18" ht="16.5" thickBot="1" x14ac:dyDescent="0.25">
      <c r="A25" s="988" t="s">
        <v>135</v>
      </c>
      <c r="B25" s="986" t="s">
        <v>5</v>
      </c>
      <c r="C25" s="956" t="s">
        <v>225</v>
      </c>
      <c r="D25" s="957"/>
      <c r="E25" s="957"/>
      <c r="F25" s="957"/>
      <c r="G25" s="957"/>
      <c r="H25" s="958"/>
    </row>
    <row r="26" spans="1:18" ht="64.5" thickBot="1" x14ac:dyDescent="0.25">
      <c r="A26" s="989"/>
      <c r="B26" s="987"/>
      <c r="C26" s="319" t="s">
        <v>86</v>
      </c>
      <c r="D26" s="110" t="s">
        <v>137</v>
      </c>
      <c r="E26" s="110" t="s">
        <v>138</v>
      </c>
      <c r="F26" s="110" t="s">
        <v>87</v>
      </c>
      <c r="G26" s="111" t="s">
        <v>88</v>
      </c>
      <c r="H26" s="320" t="s">
        <v>133</v>
      </c>
    </row>
    <row r="27" spans="1:18" ht="19.5" customHeight="1" x14ac:dyDescent="0.2">
      <c r="A27" s="990" t="str">
        <f>+A12</f>
        <v>Jardín Infantil Tortuguita Marina</v>
      </c>
      <c r="B27" s="318" t="str">
        <f>+B12</f>
        <v>Media jornada</v>
      </c>
      <c r="C27" s="321">
        <v>18</v>
      </c>
      <c r="D27" s="322">
        <v>0</v>
      </c>
      <c r="E27" s="322">
        <v>0</v>
      </c>
      <c r="F27" s="322">
        <v>0</v>
      </c>
      <c r="G27" s="322">
        <v>0</v>
      </c>
      <c r="H27" s="441">
        <f>SUM(C27:G27)</f>
        <v>18</v>
      </c>
    </row>
    <row r="28" spans="1:18" ht="26.25" customHeight="1" thickBot="1" x14ac:dyDescent="0.25">
      <c r="A28" s="991"/>
      <c r="B28" s="398" t="str">
        <f>+B13</f>
        <v xml:space="preserve">Doble Jornada </v>
      </c>
      <c r="C28" s="399">
        <v>0</v>
      </c>
      <c r="D28" s="400">
        <v>0</v>
      </c>
      <c r="E28" s="400">
        <v>0</v>
      </c>
      <c r="F28" s="400">
        <v>0</v>
      </c>
      <c r="G28" s="400">
        <v>0</v>
      </c>
      <c r="H28" s="442">
        <f t="shared" ref="H28:H35" si="5">SUM(C28:G28)</f>
        <v>0</v>
      </c>
    </row>
    <row r="29" spans="1:18" ht="19.5" customHeight="1" x14ac:dyDescent="0.2">
      <c r="A29" s="974" t="str">
        <f>+A14</f>
        <v>Jardín Infantil Burbujitas de Mar</v>
      </c>
      <c r="B29" s="401" t="str">
        <f>+B14</f>
        <v>Media jornada</v>
      </c>
      <c r="C29" s="322">
        <v>0</v>
      </c>
      <c r="D29" s="322">
        <v>0</v>
      </c>
      <c r="E29" s="322">
        <v>0</v>
      </c>
      <c r="F29" s="322">
        <v>0</v>
      </c>
      <c r="G29" s="322">
        <v>0</v>
      </c>
      <c r="H29" s="441">
        <f>SUM(C29:G29)</f>
        <v>0</v>
      </c>
    </row>
    <row r="30" spans="1:18" ht="19.5" customHeight="1" thickBot="1" x14ac:dyDescent="0.25">
      <c r="A30" s="975"/>
      <c r="B30" s="402" t="str">
        <f>+B15</f>
        <v>Jornada  Completa</v>
      </c>
      <c r="C30" s="403">
        <v>25</v>
      </c>
      <c r="D30" s="403">
        <v>0</v>
      </c>
      <c r="E30" s="403">
        <v>0</v>
      </c>
      <c r="F30" s="403">
        <v>0</v>
      </c>
      <c r="G30" s="403">
        <v>0</v>
      </c>
      <c r="H30" s="443">
        <f>SUM(C30:G30)</f>
        <v>25</v>
      </c>
    </row>
    <row r="31" spans="1:18" ht="13.5" thickBot="1" x14ac:dyDescent="0.25">
      <c r="B31" s="45"/>
    </row>
    <row r="32" spans="1:18" ht="16.5" thickBot="1" x14ac:dyDescent="0.25">
      <c r="A32" s="971" t="s">
        <v>136</v>
      </c>
      <c r="B32" s="954" t="s">
        <v>5</v>
      </c>
      <c r="C32" s="956" t="s">
        <v>225</v>
      </c>
      <c r="D32" s="957"/>
      <c r="E32" s="957"/>
      <c r="F32" s="957"/>
      <c r="G32" s="957"/>
      <c r="H32" s="958"/>
    </row>
    <row r="33" spans="1:8" ht="64.5" thickBot="1" x14ac:dyDescent="0.25">
      <c r="A33" s="972"/>
      <c r="B33" s="955"/>
      <c r="C33" s="319" t="s">
        <v>86</v>
      </c>
      <c r="D33" s="110" t="s">
        <v>137</v>
      </c>
      <c r="E33" s="110" t="s">
        <v>138</v>
      </c>
      <c r="F33" s="110" t="s">
        <v>87</v>
      </c>
      <c r="G33" s="111" t="s">
        <v>88</v>
      </c>
      <c r="H33" s="320" t="s">
        <v>133</v>
      </c>
    </row>
    <row r="34" spans="1:8" ht="19.5" customHeight="1" x14ac:dyDescent="0.2">
      <c r="A34" s="976" t="str">
        <f>+A19</f>
        <v>Sala Cuna Burbujitas de Mar</v>
      </c>
      <c r="B34" s="324" t="str">
        <f>+B19</f>
        <v>Jornada Completa Diurna</v>
      </c>
      <c r="C34" s="321">
        <v>40</v>
      </c>
      <c r="D34" s="322">
        <v>0</v>
      </c>
      <c r="E34" s="322">
        <v>0</v>
      </c>
      <c r="F34" s="322">
        <v>0</v>
      </c>
      <c r="G34" s="322">
        <v>0</v>
      </c>
      <c r="H34" s="441">
        <f t="shared" si="5"/>
        <v>40</v>
      </c>
    </row>
    <row r="35" spans="1:8" ht="19.5" customHeight="1" x14ac:dyDescent="0.2">
      <c r="A35" s="977"/>
      <c r="B35" s="325" t="str">
        <f>+B20</f>
        <v>Nocturna</v>
      </c>
      <c r="C35" s="327">
        <v>25</v>
      </c>
      <c r="D35" s="408"/>
      <c r="E35" s="408"/>
      <c r="F35" s="408"/>
      <c r="G35" s="408"/>
      <c r="H35" s="444">
        <f t="shared" si="5"/>
        <v>25</v>
      </c>
    </row>
    <row r="36" spans="1:8" ht="19.5" customHeight="1" thickBot="1" x14ac:dyDescent="0.25">
      <c r="A36" s="978"/>
      <c r="B36" s="326" t="str">
        <f>+B21</f>
        <v>Media Jornada</v>
      </c>
      <c r="C36" s="323">
        <v>0</v>
      </c>
      <c r="D36" s="172">
        <v>0</v>
      </c>
      <c r="E36" s="172">
        <v>0</v>
      </c>
      <c r="F36" s="172">
        <v>0</v>
      </c>
      <c r="G36" s="172">
        <v>0</v>
      </c>
      <c r="H36" s="445">
        <f t="shared" ref="H36" si="6">SUM(C36:G36)</f>
        <v>0</v>
      </c>
    </row>
    <row r="42" spans="1:8" x14ac:dyDescent="0.2">
      <c r="C42" s="45">
        <v>0</v>
      </c>
    </row>
  </sheetData>
  <mergeCells count="26">
    <mergeCell ref="A34:A36"/>
    <mergeCell ref="C5:D5"/>
    <mergeCell ref="C25:H25"/>
    <mergeCell ref="B10:B11"/>
    <mergeCell ref="C10:G10"/>
    <mergeCell ref="A8:D8"/>
    <mergeCell ref="A10:A11"/>
    <mergeCell ref="B25:B26"/>
    <mergeCell ref="A25:A26"/>
    <mergeCell ref="A27:A28"/>
    <mergeCell ref="F5:G5"/>
    <mergeCell ref="A19:A21"/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  <mergeCell ref="A12:A13"/>
    <mergeCell ref="A32:A33"/>
    <mergeCell ref="A14:A15"/>
    <mergeCell ref="A29:A30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Q272"/>
  <sheetViews>
    <sheetView showGridLines="0" topLeftCell="C217" zoomScale="80" zoomScaleNormal="80" workbookViewId="0">
      <selection activeCell="I215" sqref="I215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8.140625" style="4" customWidth="1"/>
    <col min="4" max="4" width="17" style="4" customWidth="1"/>
    <col min="5" max="5" width="14.28515625" style="4" customWidth="1"/>
    <col min="6" max="6" width="14.42578125" style="27" customWidth="1"/>
    <col min="7" max="7" width="18.140625" style="6" customWidth="1"/>
    <col min="8" max="8" width="23" style="6" customWidth="1"/>
    <col min="9" max="9" width="15.28515625" style="4" customWidth="1"/>
    <col min="10" max="10" width="15" style="4" customWidth="1"/>
    <col min="11" max="11" width="11.42578125" style="4"/>
    <col min="12" max="12" width="46.7109375" style="4" customWidth="1"/>
    <col min="13" max="13" width="12.7109375" style="4" customWidth="1"/>
    <col min="14" max="14" width="12.28515625" style="4" customWidth="1"/>
    <col min="15" max="16384" width="11.42578125" style="4"/>
  </cols>
  <sheetData>
    <row r="1" spans="1:10" x14ac:dyDescent="0.2">
      <c r="C1" s="44"/>
      <c r="D1" s="44" t="s">
        <v>207</v>
      </c>
      <c r="E1" s="44"/>
      <c r="F1" s="44"/>
      <c r="G1" s="44"/>
      <c r="H1" s="44"/>
    </row>
    <row r="2" spans="1:10" x14ac:dyDescent="0.2">
      <c r="C2" s="44"/>
      <c r="D2" s="44" t="s">
        <v>218</v>
      </c>
      <c r="E2" s="44"/>
      <c r="F2" s="44"/>
      <c r="G2" s="44"/>
      <c r="H2" s="44"/>
      <c r="I2" s="44"/>
    </row>
    <row r="3" spans="1:10" x14ac:dyDescent="0.2">
      <c r="C3" s="44"/>
      <c r="E3" s="44"/>
      <c r="F3" s="44"/>
      <c r="G3" s="44"/>
      <c r="H3" s="44"/>
      <c r="I3" s="44"/>
    </row>
    <row r="4" spans="1:10" ht="19.5" customHeight="1" x14ac:dyDescent="0.2">
      <c r="C4" s="261" t="s">
        <v>0</v>
      </c>
      <c r="D4" s="1006" t="s">
        <v>154</v>
      </c>
      <c r="E4" s="1007"/>
      <c r="F4" s="44"/>
      <c r="G4" s="44"/>
      <c r="H4" s="44"/>
      <c r="I4" s="44"/>
    </row>
    <row r="5" spans="1:10" x14ac:dyDescent="0.2">
      <c r="B5" s="44"/>
      <c r="C5" s="262"/>
      <c r="D5" s="44"/>
      <c r="E5" s="44"/>
      <c r="F5" s="44"/>
      <c r="G5" s="44"/>
      <c r="H5" s="44"/>
      <c r="I5" s="44"/>
    </row>
    <row r="6" spans="1:10" x14ac:dyDescent="0.2">
      <c r="B6" s="44"/>
      <c r="C6" s="262"/>
      <c r="D6" s="44"/>
      <c r="E6" s="44"/>
      <c r="F6" s="44"/>
      <c r="G6" s="44"/>
      <c r="H6" s="44"/>
      <c r="I6" s="44"/>
    </row>
    <row r="7" spans="1:10" x14ac:dyDescent="0.2">
      <c r="C7" s="6"/>
      <c r="I7" s="44"/>
    </row>
    <row r="8" spans="1:10" ht="15.75" x14ac:dyDescent="0.2">
      <c r="A8" s="950" t="s">
        <v>155</v>
      </c>
      <c r="B8" s="950"/>
      <c r="C8" s="950"/>
      <c r="D8" s="262"/>
      <c r="G8" s="4"/>
      <c r="I8" s="1"/>
    </row>
    <row r="9" spans="1:10" ht="13.5" thickBot="1" x14ac:dyDescent="0.25">
      <c r="I9" s="44"/>
    </row>
    <row r="10" spans="1:10" ht="12.75" customHeight="1" x14ac:dyDescent="0.2">
      <c r="A10" s="1017" t="s">
        <v>114</v>
      </c>
      <c r="B10" s="1015" t="s">
        <v>75</v>
      </c>
      <c r="C10" s="1003" t="s">
        <v>76</v>
      </c>
      <c r="D10" s="1020" t="s">
        <v>77</v>
      </c>
      <c r="E10" s="1019" t="s">
        <v>78</v>
      </c>
      <c r="F10" s="1019"/>
      <c r="G10" s="1019"/>
      <c r="H10" s="1001" t="s">
        <v>235</v>
      </c>
      <c r="I10" s="1005"/>
      <c r="J10" s="1005"/>
    </row>
    <row r="11" spans="1:10" ht="48" customHeight="1" thickBot="1" x14ac:dyDescent="0.25">
      <c r="A11" s="1018"/>
      <c r="B11" s="1016"/>
      <c r="C11" s="1004"/>
      <c r="D11" s="1021"/>
      <c r="E11" s="531" t="s">
        <v>67</v>
      </c>
      <c r="F11" s="532" t="s">
        <v>68</v>
      </c>
      <c r="G11" s="533" t="s">
        <v>6</v>
      </c>
      <c r="H11" s="1002"/>
      <c r="I11" s="1005"/>
      <c r="J11" s="1005"/>
    </row>
    <row r="12" spans="1:10" ht="12.75" customHeight="1" x14ac:dyDescent="0.2">
      <c r="A12" s="1012" t="str">
        <f>'B) Reajuste Tarifas y Ocupación'!A12:A13</f>
        <v>Jardín Infantil Tortuguita Marina</v>
      </c>
      <c r="B12" s="465"/>
      <c r="C12" s="466" t="s">
        <v>11</v>
      </c>
      <c r="D12" s="467">
        <f>SUM(D13,D18)</f>
        <v>29891901.297600005</v>
      </c>
      <c r="E12" s="492"/>
      <c r="F12" s="492"/>
      <c r="G12" s="469">
        <f>SUM(G13,G18)</f>
        <v>3628834.8</v>
      </c>
      <c r="H12" s="470">
        <f>SUM(H13,H18)</f>
        <v>33520736.097600006</v>
      </c>
      <c r="I12" s="449"/>
      <c r="J12" s="449"/>
    </row>
    <row r="13" spans="1:10" ht="12.75" customHeight="1" x14ac:dyDescent="0.2">
      <c r="A13" s="1013"/>
      <c r="B13" s="353"/>
      <c r="C13" s="493" t="s">
        <v>12</v>
      </c>
      <c r="D13" s="494">
        <f>SUM(D14:D17)</f>
        <v>29467225.710000005</v>
      </c>
      <c r="E13" s="495"/>
      <c r="F13" s="495"/>
      <c r="G13" s="496">
        <f>SUM(G14:G17)</f>
        <v>0</v>
      </c>
      <c r="H13" s="472">
        <f>SUM(H14:H17)</f>
        <v>29467225.710000005</v>
      </c>
      <c r="I13" s="449"/>
      <c r="J13" s="449"/>
    </row>
    <row r="14" spans="1:10" ht="12.75" customHeight="1" x14ac:dyDescent="0.2">
      <c r="A14" s="1013"/>
      <c r="B14" s="354">
        <v>53103040100000</v>
      </c>
      <c r="C14" s="497" t="s">
        <v>95</v>
      </c>
      <c r="D14" s="498">
        <f>+'F) Remuneraciones'!L11</f>
        <v>29175471.000000004</v>
      </c>
      <c r="E14" s="499">
        <v>0</v>
      </c>
      <c r="F14" s="500">
        <v>0</v>
      </c>
      <c r="G14" s="501">
        <f>E14*F14</f>
        <v>0</v>
      </c>
      <c r="H14" s="502">
        <f>D14+G14</f>
        <v>29175471.000000004</v>
      </c>
      <c r="I14" s="449"/>
      <c r="J14" s="449"/>
    </row>
    <row r="15" spans="1:10" ht="12.75" customHeight="1" x14ac:dyDescent="0.2">
      <c r="A15" s="1013"/>
      <c r="B15" s="354">
        <v>53103050000000</v>
      </c>
      <c r="C15" s="497" t="s">
        <v>174</v>
      </c>
      <c r="D15" s="503">
        <v>0</v>
      </c>
      <c r="E15" s="504">
        <v>0</v>
      </c>
      <c r="F15" s="505">
        <v>0</v>
      </c>
      <c r="G15" s="501">
        <f>E15*F15</f>
        <v>0</v>
      </c>
      <c r="H15" s="502">
        <f>D15+G15</f>
        <v>0</v>
      </c>
      <c r="I15" s="449"/>
      <c r="J15" s="449"/>
    </row>
    <row r="16" spans="1:10" ht="12.75" customHeight="1" x14ac:dyDescent="0.2">
      <c r="A16" s="1013"/>
      <c r="B16" s="355">
        <v>53103040400000</v>
      </c>
      <c r="C16" s="356" t="s">
        <v>175</v>
      </c>
      <c r="D16" s="503">
        <f>+D14*0.01</f>
        <v>291754.71000000002</v>
      </c>
      <c r="E16" s="504">
        <v>0</v>
      </c>
      <c r="F16" s="505">
        <v>0</v>
      </c>
      <c r="G16" s="501">
        <f>E16*F16</f>
        <v>0</v>
      </c>
      <c r="H16" s="502">
        <f>D16+G16</f>
        <v>291754.71000000002</v>
      </c>
      <c r="I16" s="449"/>
      <c r="J16" s="449"/>
    </row>
    <row r="17" spans="1:10" ht="12.75" customHeight="1" x14ac:dyDescent="0.2">
      <c r="A17" s="1013"/>
      <c r="B17" s="354">
        <v>53103080010000</v>
      </c>
      <c r="C17" s="497" t="s">
        <v>176</v>
      </c>
      <c r="D17" s="503">
        <v>0</v>
      </c>
      <c r="E17" s="504">
        <v>0</v>
      </c>
      <c r="F17" s="505">
        <v>0</v>
      </c>
      <c r="G17" s="501">
        <f>E17*F17</f>
        <v>0</v>
      </c>
      <c r="H17" s="502">
        <f>D17+G17</f>
        <v>0</v>
      </c>
      <c r="I17" s="449"/>
      <c r="J17" s="449"/>
    </row>
    <row r="18" spans="1:10" ht="12.75" customHeight="1" x14ac:dyDescent="0.2">
      <c r="A18" s="1013"/>
      <c r="B18" s="353"/>
      <c r="C18" s="493" t="s">
        <v>16</v>
      </c>
      <c r="D18" s="506">
        <f>SUM(D19:D38)</f>
        <v>424675.58760000003</v>
      </c>
      <c r="E18" s="507"/>
      <c r="F18" s="507">
        <v>0</v>
      </c>
      <c r="G18" s="494">
        <f>SUM(G19:G38)</f>
        <v>3628834.8</v>
      </c>
      <c r="H18" s="472">
        <f>SUM(H19:H38)</f>
        <v>4053510.3876</v>
      </c>
      <c r="I18" s="885">
        <f>+H18+H45+H47+H56</f>
        <v>6956252.1495999992</v>
      </c>
      <c r="J18" s="449"/>
    </row>
    <row r="19" spans="1:10" ht="12.75" customHeight="1" x14ac:dyDescent="0.2">
      <c r="A19" s="1013"/>
      <c r="B19" s="354">
        <v>53201010100000</v>
      </c>
      <c r="C19" s="508" t="s">
        <v>177</v>
      </c>
      <c r="D19" s="509">
        <v>0</v>
      </c>
      <c r="E19" s="504">
        <v>0</v>
      </c>
      <c r="F19" s="505">
        <v>0</v>
      </c>
      <c r="G19" s="501">
        <f t="shared" ref="G19:G38" si="0">E19*F19</f>
        <v>0</v>
      </c>
      <c r="H19" s="502">
        <f t="shared" ref="H19:H38" si="1">D19+G19</f>
        <v>0</v>
      </c>
      <c r="I19" s="449"/>
      <c r="J19" s="449"/>
    </row>
    <row r="20" spans="1:10" ht="12.75" customHeight="1" x14ac:dyDescent="0.2">
      <c r="A20" s="1013"/>
      <c r="B20" s="354">
        <v>53201010100000</v>
      </c>
      <c r="C20" s="508" t="s">
        <v>178</v>
      </c>
      <c r="D20" s="509">
        <v>0</v>
      </c>
      <c r="E20" s="504">
        <v>0</v>
      </c>
      <c r="F20" s="505">
        <v>0</v>
      </c>
      <c r="G20" s="501">
        <f t="shared" si="0"/>
        <v>0</v>
      </c>
      <c r="H20" s="502">
        <f t="shared" si="1"/>
        <v>0</v>
      </c>
      <c r="I20" s="449"/>
      <c r="J20" s="449"/>
    </row>
    <row r="21" spans="1:10" ht="12.75" customHeight="1" x14ac:dyDescent="0.2">
      <c r="A21" s="1013"/>
      <c r="B21" s="354">
        <v>53201010100000</v>
      </c>
      <c r="C21" s="508" t="s">
        <v>179</v>
      </c>
      <c r="D21" s="509">
        <v>0</v>
      </c>
      <c r="E21" s="504">
        <v>0</v>
      </c>
      <c r="F21" s="510">
        <v>0</v>
      </c>
      <c r="G21" s="501">
        <f t="shared" si="0"/>
        <v>0</v>
      </c>
      <c r="H21" s="502">
        <f t="shared" si="1"/>
        <v>0</v>
      </c>
      <c r="I21" s="449"/>
      <c r="J21" s="449"/>
    </row>
    <row r="22" spans="1:10" ht="12.75" customHeight="1" x14ac:dyDescent="0.2">
      <c r="A22" s="1013"/>
      <c r="B22" s="354">
        <v>53202010100000</v>
      </c>
      <c r="C22" s="497" t="s">
        <v>180</v>
      </c>
      <c r="D22" s="511">
        <v>0</v>
      </c>
      <c r="E22" s="511">
        <v>0</v>
      </c>
      <c r="F22" s="512">
        <v>0</v>
      </c>
      <c r="G22" s="501">
        <f t="shared" si="0"/>
        <v>0</v>
      </c>
      <c r="H22" s="502">
        <f t="shared" si="1"/>
        <v>0</v>
      </c>
      <c r="I22" s="449"/>
      <c r="J22" s="449"/>
    </row>
    <row r="23" spans="1:10" ht="12.75" customHeight="1" x14ac:dyDescent="0.2">
      <c r="A23" s="1013"/>
      <c r="B23" s="354">
        <v>53203010100000</v>
      </c>
      <c r="C23" s="497" t="s">
        <v>19</v>
      </c>
      <c r="D23" s="513">
        <v>0</v>
      </c>
      <c r="E23" s="513">
        <v>0</v>
      </c>
      <c r="F23" s="514">
        <v>0</v>
      </c>
      <c r="G23" s="501">
        <f t="shared" si="0"/>
        <v>0</v>
      </c>
      <c r="H23" s="502">
        <f t="shared" si="1"/>
        <v>0</v>
      </c>
      <c r="I23" s="449"/>
      <c r="J23" s="449"/>
    </row>
    <row r="24" spans="1:10" ht="12.75" customHeight="1" x14ac:dyDescent="0.2">
      <c r="A24" s="1013"/>
      <c r="B24" s="354">
        <v>53203030000000</v>
      </c>
      <c r="C24" s="497" t="s">
        <v>181</v>
      </c>
      <c r="D24" s="513">
        <v>0</v>
      </c>
      <c r="E24" s="513">
        <v>0</v>
      </c>
      <c r="F24" s="514">
        <v>0</v>
      </c>
      <c r="G24" s="501">
        <f t="shared" si="0"/>
        <v>0</v>
      </c>
      <c r="H24" s="502">
        <f t="shared" si="1"/>
        <v>0</v>
      </c>
      <c r="I24" s="449"/>
      <c r="J24" s="449"/>
    </row>
    <row r="25" spans="1:10" ht="12.75" customHeight="1" x14ac:dyDescent="0.2">
      <c r="A25" s="1013"/>
      <c r="B25" s="354">
        <v>53204030000000</v>
      </c>
      <c r="C25" s="497" t="s">
        <v>231</v>
      </c>
      <c r="D25" s="513">
        <v>0</v>
      </c>
      <c r="E25" s="513">
        <v>10000</v>
      </c>
      <c r="F25" s="514">
        <v>10</v>
      </c>
      <c r="G25" s="501">
        <f t="shared" si="0"/>
        <v>100000</v>
      </c>
      <c r="H25" s="502">
        <f>D25+G25</f>
        <v>100000</v>
      </c>
      <c r="I25" s="449"/>
      <c r="J25" s="449"/>
    </row>
    <row r="26" spans="1:10" ht="12.75" customHeight="1" x14ac:dyDescent="0.2">
      <c r="A26" s="1013"/>
      <c r="B26" s="354">
        <v>53204100100001</v>
      </c>
      <c r="C26" s="497" t="s">
        <v>22</v>
      </c>
      <c r="D26" s="513">
        <v>0</v>
      </c>
      <c r="E26" s="513">
        <v>0</v>
      </c>
      <c r="F26" s="514">
        <v>0</v>
      </c>
      <c r="G26" s="501">
        <f t="shared" si="0"/>
        <v>0</v>
      </c>
      <c r="H26" s="502">
        <f t="shared" si="1"/>
        <v>0</v>
      </c>
      <c r="I26" s="449"/>
      <c r="J26" s="449"/>
    </row>
    <row r="27" spans="1:10" ht="12.75" customHeight="1" x14ac:dyDescent="0.2">
      <c r="A27" s="1013"/>
      <c r="B27" s="354">
        <v>53204130100000</v>
      </c>
      <c r="C27" s="497" t="s">
        <v>183</v>
      </c>
      <c r="D27" s="513">
        <v>0</v>
      </c>
      <c r="E27" s="513">
        <v>0</v>
      </c>
      <c r="F27" s="514">
        <v>0</v>
      </c>
      <c r="G27" s="501">
        <f t="shared" si="0"/>
        <v>0</v>
      </c>
      <c r="H27" s="502">
        <f t="shared" si="1"/>
        <v>0</v>
      </c>
      <c r="I27" s="449"/>
      <c r="J27" s="449"/>
    </row>
    <row r="28" spans="1:10" ht="12.75" customHeight="1" x14ac:dyDescent="0.2">
      <c r="A28" s="1013"/>
      <c r="B28" s="354">
        <v>53205010100000</v>
      </c>
      <c r="C28" s="497" t="s">
        <v>24</v>
      </c>
      <c r="D28" s="513">
        <v>0</v>
      </c>
      <c r="E28" s="513">
        <v>0</v>
      </c>
      <c r="F28" s="514">
        <v>0</v>
      </c>
      <c r="G28" s="501">
        <f t="shared" si="0"/>
        <v>0</v>
      </c>
      <c r="H28" s="502">
        <f t="shared" si="1"/>
        <v>0</v>
      </c>
      <c r="I28" s="449"/>
      <c r="J28" s="449"/>
    </row>
    <row r="29" spans="1:10" ht="12.75" customHeight="1" x14ac:dyDescent="0.2">
      <c r="A29" s="1013"/>
      <c r="B29" s="354">
        <v>53205020100000</v>
      </c>
      <c r="C29" s="497" t="s">
        <v>25</v>
      </c>
      <c r="D29" s="513">
        <v>0</v>
      </c>
      <c r="E29" s="513">
        <f>3405*1.03</f>
        <v>3507.15</v>
      </c>
      <c r="F29" s="514">
        <v>72</v>
      </c>
      <c r="G29" s="501">
        <f t="shared" si="0"/>
        <v>252514.80000000002</v>
      </c>
      <c r="H29" s="502">
        <f t="shared" si="1"/>
        <v>252514.80000000002</v>
      </c>
      <c r="I29" s="449"/>
      <c r="J29" s="449"/>
    </row>
    <row r="30" spans="1:10" ht="12.75" customHeight="1" x14ac:dyDescent="0.2">
      <c r="A30" s="1013"/>
      <c r="B30" s="354">
        <v>53205030100000</v>
      </c>
      <c r="C30" s="497" t="s">
        <v>26</v>
      </c>
      <c r="D30" s="513">
        <v>0</v>
      </c>
      <c r="E30" s="513">
        <v>48000</v>
      </c>
      <c r="F30" s="514">
        <f>40+8</f>
        <v>48</v>
      </c>
      <c r="G30" s="501">
        <f t="shared" si="0"/>
        <v>2304000</v>
      </c>
      <c r="H30" s="502">
        <f t="shared" si="1"/>
        <v>2304000</v>
      </c>
      <c r="I30" s="449"/>
      <c r="J30" s="449"/>
    </row>
    <row r="31" spans="1:10" ht="12.75" customHeight="1" x14ac:dyDescent="0.2">
      <c r="A31" s="1013"/>
      <c r="B31" s="354">
        <v>53205050100000</v>
      </c>
      <c r="C31" s="497" t="s">
        <v>27</v>
      </c>
      <c r="D31" s="513">
        <v>0</v>
      </c>
      <c r="E31" s="513">
        <v>0</v>
      </c>
      <c r="F31" s="514">
        <v>0</v>
      </c>
      <c r="G31" s="501">
        <f t="shared" si="0"/>
        <v>0</v>
      </c>
      <c r="H31" s="502">
        <f t="shared" si="1"/>
        <v>0</v>
      </c>
      <c r="I31" s="449"/>
      <c r="J31" s="449"/>
    </row>
    <row r="32" spans="1:10" ht="12.75" customHeight="1" x14ac:dyDescent="0.2">
      <c r="A32" s="1013"/>
      <c r="B32" s="354">
        <v>53205070100000</v>
      </c>
      <c r="C32" s="497" t="s">
        <v>29</v>
      </c>
      <c r="D32" s="513">
        <v>0</v>
      </c>
      <c r="E32" s="513">
        <f>37000*1.03</f>
        <v>38110</v>
      </c>
      <c r="F32" s="514">
        <v>12</v>
      </c>
      <c r="G32" s="501">
        <f t="shared" si="0"/>
        <v>457320</v>
      </c>
      <c r="H32" s="502">
        <f t="shared" si="1"/>
        <v>457320</v>
      </c>
      <c r="I32" s="449"/>
      <c r="J32" s="449"/>
    </row>
    <row r="33" spans="1:10" ht="12.75" customHeight="1" x14ac:dyDescent="0.2">
      <c r="A33" s="1013"/>
      <c r="B33" s="354">
        <v>53208010100000</v>
      </c>
      <c r="C33" s="497" t="s">
        <v>30</v>
      </c>
      <c r="D33" s="513">
        <v>0</v>
      </c>
      <c r="E33" s="513">
        <f>50000*1.03</f>
        <v>51500</v>
      </c>
      <c r="F33" s="514">
        <v>10</v>
      </c>
      <c r="G33" s="501">
        <f t="shared" si="0"/>
        <v>515000</v>
      </c>
      <c r="H33" s="502">
        <f t="shared" si="1"/>
        <v>515000</v>
      </c>
      <c r="I33" s="449" t="s">
        <v>424</v>
      </c>
      <c r="J33" s="449"/>
    </row>
    <row r="34" spans="1:10" ht="12.75" customHeight="1" x14ac:dyDescent="0.2">
      <c r="A34" s="1013"/>
      <c r="B34" s="354">
        <v>53208070100001</v>
      </c>
      <c r="C34" s="497" t="s">
        <v>31</v>
      </c>
      <c r="D34" s="515">
        <v>0</v>
      </c>
      <c r="E34" s="515">
        <v>0</v>
      </c>
      <c r="F34" s="512">
        <v>0</v>
      </c>
      <c r="G34" s="501">
        <f t="shared" si="0"/>
        <v>0</v>
      </c>
      <c r="H34" s="502">
        <f t="shared" si="1"/>
        <v>0</v>
      </c>
      <c r="I34" s="449"/>
      <c r="J34" s="449"/>
    </row>
    <row r="35" spans="1:10" ht="12.75" customHeight="1" x14ac:dyDescent="0.2">
      <c r="A35" s="1013"/>
      <c r="B35" s="354">
        <v>53208100100001</v>
      </c>
      <c r="C35" s="497" t="s">
        <v>184</v>
      </c>
      <c r="D35" s="513">
        <v>0</v>
      </c>
      <c r="E35" s="513">
        <v>0</v>
      </c>
      <c r="F35" s="514">
        <v>0</v>
      </c>
      <c r="G35" s="501">
        <f t="shared" si="0"/>
        <v>0</v>
      </c>
      <c r="H35" s="502">
        <f t="shared" si="1"/>
        <v>0</v>
      </c>
      <c r="I35" s="449"/>
      <c r="J35" s="449"/>
    </row>
    <row r="36" spans="1:10" ht="12.75" customHeight="1" x14ac:dyDescent="0.2">
      <c r="A36" s="1013"/>
      <c r="B36" s="354">
        <v>53211030000000</v>
      </c>
      <c r="C36" s="497" t="s">
        <v>32</v>
      </c>
      <c r="D36" s="513">
        <v>0</v>
      </c>
      <c r="E36" s="513">
        <v>0</v>
      </c>
      <c r="F36" s="514">
        <v>0</v>
      </c>
      <c r="G36" s="501">
        <f t="shared" si="0"/>
        <v>0</v>
      </c>
      <c r="H36" s="502">
        <f t="shared" si="1"/>
        <v>0</v>
      </c>
      <c r="I36" s="449"/>
      <c r="J36" s="449"/>
    </row>
    <row r="37" spans="1:10" ht="12.75" customHeight="1" x14ac:dyDescent="0.2">
      <c r="A37" s="1013"/>
      <c r="B37" s="354">
        <v>53212020100000</v>
      </c>
      <c r="C37" s="497" t="s">
        <v>185</v>
      </c>
      <c r="D37" s="513">
        <v>424675.58760000003</v>
      </c>
      <c r="E37" s="513">
        <v>0</v>
      </c>
      <c r="F37" s="514">
        <v>0</v>
      </c>
      <c r="G37" s="501">
        <f t="shared" si="0"/>
        <v>0</v>
      </c>
      <c r="H37" s="502">
        <f t="shared" si="1"/>
        <v>424675.58760000003</v>
      </c>
      <c r="I37" s="449"/>
      <c r="J37" s="449"/>
    </row>
    <row r="38" spans="1:10" ht="12.75" customHeight="1" x14ac:dyDescent="0.2">
      <c r="A38" s="1013"/>
      <c r="B38" s="354">
        <v>53214020000000</v>
      </c>
      <c r="C38" s="497" t="s">
        <v>186</v>
      </c>
      <c r="D38" s="515">
        <v>0</v>
      </c>
      <c r="E38" s="515">
        <v>0</v>
      </c>
      <c r="F38" s="512">
        <v>0</v>
      </c>
      <c r="G38" s="501">
        <f t="shared" si="0"/>
        <v>0</v>
      </c>
      <c r="H38" s="502">
        <f t="shared" si="1"/>
        <v>0</v>
      </c>
      <c r="I38" s="449"/>
      <c r="J38" s="449"/>
    </row>
    <row r="39" spans="1:10" ht="12.75" customHeight="1" x14ac:dyDescent="0.2">
      <c r="A39" s="1013"/>
      <c r="B39" s="516"/>
      <c r="C39" s="517" t="s">
        <v>34</v>
      </c>
      <c r="D39" s="518">
        <f>+D40+D45+D47+D56+D65+D73</f>
        <v>4953487.7620000001</v>
      </c>
      <c r="E39" s="519"/>
      <c r="F39" s="519"/>
      <c r="G39" s="518">
        <f>+G40+G45+G47+G56+G65+G73</f>
        <v>2661680</v>
      </c>
      <c r="H39" s="520">
        <f>+H40+H45+H47+H56+H65+H73</f>
        <v>7615167.7620000001</v>
      </c>
      <c r="I39" s="449"/>
      <c r="J39" s="449"/>
    </row>
    <row r="40" spans="1:10" ht="12.75" customHeight="1" x14ac:dyDescent="0.2">
      <c r="A40" s="1013"/>
      <c r="B40" s="353"/>
      <c r="C40" s="493" t="s">
        <v>35</v>
      </c>
      <c r="D40" s="506">
        <f>SUM(D41:D44)</f>
        <v>500000</v>
      </c>
      <c r="E40" s="521"/>
      <c r="F40" s="521"/>
      <c r="G40" s="522">
        <f>SUM(G41:G44)</f>
        <v>1305000</v>
      </c>
      <c r="H40" s="523">
        <f>SUM(H41:H44)</f>
        <v>1805000</v>
      </c>
      <c r="I40" s="449"/>
      <c r="J40" s="449"/>
    </row>
    <row r="41" spans="1:10" ht="12.75" customHeight="1" x14ac:dyDescent="0.2">
      <c r="A41" s="1013"/>
      <c r="B41" s="354">
        <v>53202020100000</v>
      </c>
      <c r="C41" s="497" t="s">
        <v>187</v>
      </c>
      <c r="D41" s="503">
        <v>0</v>
      </c>
      <c r="E41" s="504">
        <v>254000</v>
      </c>
      <c r="F41" s="510">
        <v>5</v>
      </c>
      <c r="G41" s="501">
        <f>E41*F41</f>
        <v>1270000</v>
      </c>
      <c r="H41" s="502">
        <f t="shared" ref="H41:H74" si="2">D41+G41</f>
        <v>1270000</v>
      </c>
      <c r="I41" s="449" t="s">
        <v>438</v>
      </c>
      <c r="J41" s="449"/>
    </row>
    <row r="42" spans="1:10" ht="12.75" customHeight="1" x14ac:dyDescent="0.2">
      <c r="A42" s="1013"/>
      <c r="B42" s="354">
        <v>53202030000000</v>
      </c>
      <c r="C42" s="497" t="s">
        <v>188</v>
      </c>
      <c r="D42" s="503">
        <v>0</v>
      </c>
      <c r="E42" s="504">
        <v>35000</v>
      </c>
      <c r="F42" s="510">
        <v>1</v>
      </c>
      <c r="G42" s="501">
        <f t="shared" ref="G42:G74" si="3">E42*F42</f>
        <v>35000</v>
      </c>
      <c r="H42" s="502">
        <f t="shared" si="2"/>
        <v>35000</v>
      </c>
      <c r="I42" s="449"/>
      <c r="J42" s="449"/>
    </row>
    <row r="43" spans="1:10" ht="12.75" customHeight="1" x14ac:dyDescent="0.2">
      <c r="A43" s="1013"/>
      <c r="B43" s="354">
        <v>53211020000000</v>
      </c>
      <c r="C43" s="497" t="s">
        <v>41</v>
      </c>
      <c r="D43" s="513">
        <v>500000</v>
      </c>
      <c r="E43" s="513">
        <v>0</v>
      </c>
      <c r="F43" s="514">
        <v>0</v>
      </c>
      <c r="G43" s="501">
        <f t="shared" si="3"/>
        <v>0</v>
      </c>
      <c r="H43" s="502">
        <f t="shared" si="2"/>
        <v>500000</v>
      </c>
      <c r="I43" s="449"/>
      <c r="J43" s="449"/>
    </row>
    <row r="44" spans="1:10" ht="12.75" customHeight="1" x14ac:dyDescent="0.2">
      <c r="A44" s="1013"/>
      <c r="B44" s="354">
        <v>53101040600000</v>
      </c>
      <c r="C44" s="497" t="s">
        <v>189</v>
      </c>
      <c r="D44" s="513">
        <v>0</v>
      </c>
      <c r="E44" s="513">
        <v>0</v>
      </c>
      <c r="F44" s="514">
        <v>0</v>
      </c>
      <c r="G44" s="501">
        <f t="shared" si="3"/>
        <v>0</v>
      </c>
      <c r="H44" s="502">
        <f t="shared" si="2"/>
        <v>0</v>
      </c>
      <c r="I44" s="860" t="s">
        <v>449</v>
      </c>
      <c r="J44" s="449"/>
    </row>
    <row r="45" spans="1:10" ht="12.75" customHeight="1" x14ac:dyDescent="0.2">
      <c r="A45" s="1013"/>
      <c r="B45" s="353"/>
      <c r="C45" s="493" t="s">
        <v>42</v>
      </c>
      <c r="D45" s="506">
        <f>SUM(D46)</f>
        <v>0</v>
      </c>
      <c r="E45" s="521"/>
      <c r="F45" s="524"/>
      <c r="G45" s="522">
        <f>SUM(G46:G46)</f>
        <v>0</v>
      </c>
      <c r="H45" s="523">
        <f>SUM(H46:H46)</f>
        <v>0</v>
      </c>
      <c r="I45" s="449"/>
      <c r="J45" s="449"/>
    </row>
    <row r="46" spans="1:10" ht="12.75" customHeight="1" x14ac:dyDescent="0.2">
      <c r="A46" s="1013"/>
      <c r="B46" s="357">
        <v>53205990000000</v>
      </c>
      <c r="C46" s="497" t="s">
        <v>44</v>
      </c>
      <c r="D46" s="513">
        <v>0</v>
      </c>
      <c r="E46" s="513">
        <v>0</v>
      </c>
      <c r="F46" s="514">
        <v>0</v>
      </c>
      <c r="G46" s="501">
        <f t="shared" si="3"/>
        <v>0</v>
      </c>
      <c r="H46" s="502">
        <f t="shared" si="2"/>
        <v>0</v>
      </c>
      <c r="I46" s="449"/>
      <c r="J46" s="449"/>
    </row>
    <row r="47" spans="1:10" ht="12.75" customHeight="1" x14ac:dyDescent="0.2">
      <c r="A47" s="1013"/>
      <c r="B47" s="353"/>
      <c r="C47" s="493" t="s">
        <v>45</v>
      </c>
      <c r="D47" s="506">
        <f>SUM(D48:D55)</f>
        <v>1183157.0019999999</v>
      </c>
      <c r="E47" s="521"/>
      <c r="F47" s="524"/>
      <c r="G47" s="494">
        <f>SUM(G48:G55)</f>
        <v>436000</v>
      </c>
      <c r="H47" s="472">
        <f>SUM(H48:H55)</f>
        <v>1619157.0019999999</v>
      </c>
      <c r="I47" s="449"/>
      <c r="J47" s="449"/>
    </row>
    <row r="48" spans="1:10" ht="12.75" customHeight="1" x14ac:dyDescent="0.2">
      <c r="A48" s="1013"/>
      <c r="B48" s="354">
        <v>53204010000000</v>
      </c>
      <c r="C48" s="497" t="s">
        <v>47</v>
      </c>
      <c r="D48" s="513">
        <v>150000</v>
      </c>
      <c r="E48" s="513">
        <v>0</v>
      </c>
      <c r="F48" s="514">
        <v>0</v>
      </c>
      <c r="G48" s="501">
        <f t="shared" si="3"/>
        <v>0</v>
      </c>
      <c r="H48" s="502">
        <f t="shared" si="2"/>
        <v>150000</v>
      </c>
      <c r="I48" s="449"/>
      <c r="J48" s="449"/>
    </row>
    <row r="49" spans="1:10" ht="12.75" customHeight="1" x14ac:dyDescent="0.2">
      <c r="A49" s="1013"/>
      <c r="B49" s="357">
        <v>53204040200000</v>
      </c>
      <c r="C49" s="497" t="s">
        <v>232</v>
      </c>
      <c r="D49" s="513">
        <v>0</v>
      </c>
      <c r="E49" s="513">
        <v>25000</v>
      </c>
      <c r="F49" s="514">
        <v>4</v>
      </c>
      <c r="G49" s="501">
        <f t="shared" si="3"/>
        <v>100000</v>
      </c>
      <c r="H49" s="502">
        <f t="shared" si="2"/>
        <v>100000</v>
      </c>
      <c r="I49" s="449"/>
      <c r="J49" s="449"/>
    </row>
    <row r="50" spans="1:10" ht="12.75" customHeight="1" x14ac:dyDescent="0.2">
      <c r="A50" s="1013"/>
      <c r="B50" s="354">
        <v>53204060000000</v>
      </c>
      <c r="C50" s="497" t="s">
        <v>49</v>
      </c>
      <c r="D50" s="513">
        <v>0</v>
      </c>
      <c r="E50" s="513">
        <v>0</v>
      </c>
      <c r="F50" s="514">
        <v>0</v>
      </c>
      <c r="G50" s="501">
        <f t="shared" si="3"/>
        <v>0</v>
      </c>
      <c r="H50" s="502">
        <f t="shared" si="2"/>
        <v>0</v>
      </c>
      <c r="I50" s="449"/>
      <c r="J50" s="449"/>
    </row>
    <row r="51" spans="1:10" ht="12.75" customHeight="1" x14ac:dyDescent="0.2">
      <c r="A51" s="1013"/>
      <c r="B51" s="354">
        <v>53204070000000</v>
      </c>
      <c r="C51" s="497" t="s">
        <v>50</v>
      </c>
      <c r="D51" s="513">
        <f>333157.002+100000</f>
        <v>433157.00199999998</v>
      </c>
      <c r="E51" s="513">
        <v>48</v>
      </c>
      <c r="F51" s="514">
        <v>7000</v>
      </c>
      <c r="G51" s="501">
        <f t="shared" si="3"/>
        <v>336000</v>
      </c>
      <c r="H51" s="502">
        <f>D51+G51</f>
        <v>769157.00199999998</v>
      </c>
      <c r="I51" s="449" t="s">
        <v>423</v>
      </c>
      <c r="J51" s="449"/>
    </row>
    <row r="52" spans="1:10" ht="12.75" customHeight="1" x14ac:dyDescent="0.2">
      <c r="A52" s="1013"/>
      <c r="B52" s="354">
        <v>53204080000000</v>
      </c>
      <c r="C52" s="497" t="s">
        <v>51</v>
      </c>
      <c r="D52" s="513">
        <v>0</v>
      </c>
      <c r="E52" s="513">
        <v>0</v>
      </c>
      <c r="F52" s="514">
        <v>0</v>
      </c>
      <c r="G52" s="501">
        <f t="shared" si="3"/>
        <v>0</v>
      </c>
      <c r="H52" s="502">
        <f t="shared" si="2"/>
        <v>0</v>
      </c>
      <c r="I52" s="449"/>
      <c r="J52" s="449"/>
    </row>
    <row r="53" spans="1:10" ht="12.75" customHeight="1" x14ac:dyDescent="0.2">
      <c r="A53" s="1013"/>
      <c r="B53" s="354">
        <v>53214010000000</v>
      </c>
      <c r="C53" s="497" t="s">
        <v>52</v>
      </c>
      <c r="D53" s="515">
        <v>0</v>
      </c>
      <c r="E53" s="515">
        <v>0</v>
      </c>
      <c r="F53" s="512">
        <v>0</v>
      </c>
      <c r="G53" s="501">
        <f t="shared" si="3"/>
        <v>0</v>
      </c>
      <c r="H53" s="502">
        <f t="shared" si="2"/>
        <v>0</v>
      </c>
      <c r="I53" s="449"/>
      <c r="J53" s="449"/>
    </row>
    <row r="54" spans="1:10" ht="12.75" customHeight="1" x14ac:dyDescent="0.2">
      <c r="A54" s="1013"/>
      <c r="B54" s="354">
        <v>53214040000000</v>
      </c>
      <c r="C54" s="497" t="s">
        <v>190</v>
      </c>
      <c r="D54" s="511">
        <v>600000</v>
      </c>
      <c r="E54" s="515">
        <v>0</v>
      </c>
      <c r="F54" s="512">
        <v>0</v>
      </c>
      <c r="G54" s="501">
        <f t="shared" si="3"/>
        <v>0</v>
      </c>
      <c r="H54" s="502">
        <f t="shared" si="2"/>
        <v>600000</v>
      </c>
      <c r="I54" s="449" t="s">
        <v>428</v>
      </c>
      <c r="J54" s="449"/>
    </row>
    <row r="55" spans="1:10" ht="12.75" customHeight="1" x14ac:dyDescent="0.2">
      <c r="A55" s="1013"/>
      <c r="B55" s="355">
        <v>53204020100000</v>
      </c>
      <c r="C55" s="497" t="s">
        <v>182</v>
      </c>
      <c r="D55" s="513">
        <v>0</v>
      </c>
      <c r="E55" s="513">
        <v>0</v>
      </c>
      <c r="F55" s="514">
        <v>0</v>
      </c>
      <c r="G55" s="501">
        <f t="shared" si="3"/>
        <v>0</v>
      </c>
      <c r="H55" s="502">
        <f t="shared" si="2"/>
        <v>0</v>
      </c>
      <c r="I55" s="449"/>
      <c r="J55" s="449"/>
    </row>
    <row r="56" spans="1:10" ht="12.75" customHeight="1" x14ac:dyDescent="0.2">
      <c r="A56" s="1013"/>
      <c r="B56" s="353"/>
      <c r="C56" s="493" t="s">
        <v>55</v>
      </c>
      <c r="D56" s="506">
        <f>SUM(D57:D64)</f>
        <v>542904.76</v>
      </c>
      <c r="E56" s="521"/>
      <c r="F56" s="524"/>
      <c r="G56" s="494">
        <f>SUM(G57:G64)</f>
        <v>740680</v>
      </c>
      <c r="H56" s="472">
        <f>SUM(H57:H64)</f>
        <v>1283584.76</v>
      </c>
      <c r="I56" s="449"/>
      <c r="J56" s="449"/>
    </row>
    <row r="57" spans="1:10" ht="12.75" customHeight="1" x14ac:dyDescent="0.2">
      <c r="A57" s="1013"/>
      <c r="B57" s="354">
        <v>53207010000000</v>
      </c>
      <c r="C57" s="497" t="s">
        <v>56</v>
      </c>
      <c r="D57" s="513">
        <v>0</v>
      </c>
      <c r="E57" s="513">
        <v>0</v>
      </c>
      <c r="F57" s="514">
        <v>0</v>
      </c>
      <c r="G57" s="501">
        <f t="shared" si="3"/>
        <v>0</v>
      </c>
      <c r="H57" s="502">
        <f t="shared" si="2"/>
        <v>0</v>
      </c>
      <c r="I57" s="449"/>
      <c r="J57" s="449"/>
    </row>
    <row r="58" spans="1:10" ht="12.75" customHeight="1" x14ac:dyDescent="0.2">
      <c r="A58" s="1013"/>
      <c r="B58" s="354">
        <v>53207020000000</v>
      </c>
      <c r="C58" s="497" t="s">
        <v>57</v>
      </c>
      <c r="D58" s="513">
        <v>0</v>
      </c>
      <c r="E58" s="513">
        <v>0</v>
      </c>
      <c r="F58" s="514">
        <v>0</v>
      </c>
      <c r="G58" s="501">
        <f t="shared" si="3"/>
        <v>0</v>
      </c>
      <c r="H58" s="502">
        <f t="shared" si="2"/>
        <v>0</v>
      </c>
      <c r="I58" s="449"/>
      <c r="J58" s="449"/>
    </row>
    <row r="59" spans="1:10" ht="12.75" customHeight="1" x14ac:dyDescent="0.2">
      <c r="A59" s="1013"/>
      <c r="B59" s="354">
        <v>53208020000000</v>
      </c>
      <c r="C59" s="497" t="s">
        <v>173</v>
      </c>
      <c r="D59" s="513">
        <v>0</v>
      </c>
      <c r="E59" s="513">
        <v>0</v>
      </c>
      <c r="F59" s="514">
        <v>0</v>
      </c>
      <c r="G59" s="501">
        <f t="shared" si="3"/>
        <v>0</v>
      </c>
      <c r="H59" s="502">
        <f t="shared" si="2"/>
        <v>0</v>
      </c>
      <c r="I59" s="449"/>
      <c r="J59" s="449"/>
    </row>
    <row r="60" spans="1:10" ht="12.75" customHeight="1" x14ac:dyDescent="0.2">
      <c r="A60" s="1013"/>
      <c r="B60" s="354">
        <v>53208990000000</v>
      </c>
      <c r="C60" s="497" t="s">
        <v>191</v>
      </c>
      <c r="D60" s="513">
        <v>0</v>
      </c>
      <c r="E60" s="513">
        <v>150000</v>
      </c>
      <c r="F60" s="514">
        <v>4</v>
      </c>
      <c r="G60" s="501">
        <f t="shared" si="3"/>
        <v>600000</v>
      </c>
      <c r="H60" s="502">
        <f t="shared" si="2"/>
        <v>600000</v>
      </c>
      <c r="I60" s="449" t="s">
        <v>425</v>
      </c>
      <c r="J60" s="449"/>
    </row>
    <row r="61" spans="1:10" ht="12.75" customHeight="1" x14ac:dyDescent="0.2">
      <c r="A61" s="1013"/>
      <c r="B61" s="355">
        <v>53210020300000</v>
      </c>
      <c r="C61" s="497" t="s">
        <v>193</v>
      </c>
      <c r="D61" s="525">
        <v>0</v>
      </c>
      <c r="E61" s="525">
        <v>7034</v>
      </c>
      <c r="F61" s="514">
        <v>20</v>
      </c>
      <c r="G61" s="501">
        <f t="shared" si="3"/>
        <v>140680</v>
      </c>
      <c r="H61" s="502">
        <f t="shared" si="2"/>
        <v>140680</v>
      </c>
      <c r="I61" s="449" t="s">
        <v>450</v>
      </c>
      <c r="J61" s="449"/>
    </row>
    <row r="62" spans="1:10" ht="12.75" customHeight="1" x14ac:dyDescent="0.2">
      <c r="A62" s="1013"/>
      <c r="B62" s="354">
        <v>53208990000000</v>
      </c>
      <c r="C62" s="497" t="s">
        <v>194</v>
      </c>
      <c r="D62" s="513">
        <v>0</v>
      </c>
      <c r="E62" s="513">
        <v>0</v>
      </c>
      <c r="F62" s="514">
        <v>0</v>
      </c>
      <c r="G62" s="501">
        <f t="shared" si="3"/>
        <v>0</v>
      </c>
      <c r="H62" s="502">
        <f t="shared" si="2"/>
        <v>0</v>
      </c>
      <c r="I62" s="449"/>
      <c r="J62" s="449"/>
    </row>
    <row r="63" spans="1:10" ht="12.75" customHeight="1" x14ac:dyDescent="0.2">
      <c r="A63" s="1013"/>
      <c r="B63" s="354">
        <v>53209990000000</v>
      </c>
      <c r="C63" s="497" t="s">
        <v>192</v>
      </c>
      <c r="D63" s="513">
        <v>0</v>
      </c>
      <c r="E63" s="513">
        <v>0</v>
      </c>
      <c r="F63" s="514">
        <v>0</v>
      </c>
      <c r="G63" s="501">
        <f t="shared" si="3"/>
        <v>0</v>
      </c>
      <c r="H63" s="502">
        <f t="shared" si="2"/>
        <v>0</v>
      </c>
      <c r="I63" s="449"/>
      <c r="J63" s="449"/>
    </row>
    <row r="64" spans="1:10" ht="12.75" customHeight="1" x14ac:dyDescent="0.2">
      <c r="A64" s="1013"/>
      <c r="B64" s="354">
        <v>53210020100000</v>
      </c>
      <c r="C64" s="497" t="s">
        <v>64</v>
      </c>
      <c r="D64" s="513">
        <f>527092*1.03</f>
        <v>542904.76</v>
      </c>
      <c r="E64" s="513">
        <v>0</v>
      </c>
      <c r="F64" s="514">
        <v>0</v>
      </c>
      <c r="G64" s="501">
        <f t="shared" si="3"/>
        <v>0</v>
      </c>
      <c r="H64" s="502">
        <f t="shared" si="2"/>
        <v>542904.76</v>
      </c>
      <c r="I64" s="449" t="s">
        <v>429</v>
      </c>
      <c r="J64" s="449"/>
    </row>
    <row r="65" spans="1:16" ht="12.75" customHeight="1" x14ac:dyDescent="0.2">
      <c r="A65" s="1013"/>
      <c r="B65" s="353"/>
      <c r="C65" s="493" t="s">
        <v>65</v>
      </c>
      <c r="D65" s="506">
        <f>SUM(D66:D72)</f>
        <v>2727426</v>
      </c>
      <c r="E65" s="521"/>
      <c r="F65" s="524"/>
      <c r="G65" s="494">
        <f>SUM(G66:G72)</f>
        <v>0</v>
      </c>
      <c r="H65" s="472">
        <f>SUM(H66:H72)</f>
        <v>2727426</v>
      </c>
      <c r="I65" s="449"/>
      <c r="J65" s="449"/>
    </row>
    <row r="66" spans="1:16" ht="12.75" customHeight="1" x14ac:dyDescent="0.2">
      <c r="A66" s="1013"/>
      <c r="B66" s="354">
        <v>53206030000000</v>
      </c>
      <c r="C66" s="497" t="s">
        <v>99</v>
      </c>
      <c r="D66" s="513">
        <v>0</v>
      </c>
      <c r="E66" s="513">
        <v>0</v>
      </c>
      <c r="F66" s="514">
        <v>0</v>
      </c>
      <c r="G66" s="501">
        <f t="shared" si="3"/>
        <v>0</v>
      </c>
      <c r="H66" s="502">
        <f t="shared" si="2"/>
        <v>0</v>
      </c>
      <c r="I66" s="449"/>
      <c r="J66" s="449"/>
    </row>
    <row r="67" spans="1:16" ht="12.75" customHeight="1" x14ac:dyDescent="0.2">
      <c r="A67" s="1013"/>
      <c r="B67" s="354">
        <v>53206040000000</v>
      </c>
      <c r="C67" s="497" t="s">
        <v>100</v>
      </c>
      <c r="D67" s="513">
        <v>0</v>
      </c>
      <c r="E67" s="513">
        <v>0</v>
      </c>
      <c r="F67" s="514">
        <v>0</v>
      </c>
      <c r="G67" s="501">
        <f t="shared" si="3"/>
        <v>0</v>
      </c>
      <c r="H67" s="502">
        <f t="shared" si="2"/>
        <v>0</v>
      </c>
      <c r="I67" s="449"/>
      <c r="J67" s="449"/>
    </row>
    <row r="68" spans="1:16" ht="12.75" customHeight="1" x14ac:dyDescent="0.2">
      <c r="A68" s="1013"/>
      <c r="B68" s="354">
        <v>53206060000000</v>
      </c>
      <c r="C68" s="497" t="s">
        <v>195</v>
      </c>
      <c r="D68" s="513">
        <f>330000*1.03</f>
        <v>339900</v>
      </c>
      <c r="E68" s="513">
        <v>0</v>
      </c>
      <c r="F68" s="514">
        <v>0</v>
      </c>
      <c r="G68" s="501">
        <f t="shared" si="3"/>
        <v>0</v>
      </c>
      <c r="H68" s="502">
        <f t="shared" si="2"/>
        <v>339900</v>
      </c>
      <c r="I68" s="449" t="s">
        <v>426</v>
      </c>
      <c r="J68" s="449"/>
    </row>
    <row r="69" spans="1:16" ht="12.75" customHeight="1" x14ac:dyDescent="0.2">
      <c r="A69" s="1013"/>
      <c r="B69" s="354">
        <v>53206070000000</v>
      </c>
      <c r="C69" s="497" t="s">
        <v>102</v>
      </c>
      <c r="D69" s="513">
        <v>0</v>
      </c>
      <c r="E69" s="513">
        <v>0</v>
      </c>
      <c r="F69" s="514">
        <v>0</v>
      </c>
      <c r="G69" s="501">
        <f t="shared" si="3"/>
        <v>0</v>
      </c>
      <c r="H69" s="502">
        <f t="shared" si="2"/>
        <v>0</v>
      </c>
      <c r="I69" s="449"/>
      <c r="J69" s="449"/>
    </row>
    <row r="70" spans="1:16" ht="12.75" customHeight="1" x14ac:dyDescent="0.2">
      <c r="A70" s="1013"/>
      <c r="B70" s="354">
        <v>53206990000000</v>
      </c>
      <c r="C70" s="497" t="s">
        <v>196</v>
      </c>
      <c r="D70" s="513">
        <v>0</v>
      </c>
      <c r="E70" s="513">
        <v>0</v>
      </c>
      <c r="F70" s="514">
        <v>0</v>
      </c>
      <c r="G70" s="501">
        <f t="shared" si="3"/>
        <v>0</v>
      </c>
      <c r="H70" s="502">
        <f t="shared" si="2"/>
        <v>0</v>
      </c>
      <c r="I70" s="449"/>
      <c r="J70" s="449"/>
    </row>
    <row r="71" spans="1:16" ht="12.75" customHeight="1" x14ac:dyDescent="0.2">
      <c r="A71" s="1013"/>
      <c r="B71" s="354">
        <v>53208030000000</v>
      </c>
      <c r="C71" s="497" t="s">
        <v>104</v>
      </c>
      <c r="D71" s="513">
        <v>0</v>
      </c>
      <c r="E71" s="513">
        <v>0</v>
      </c>
      <c r="F71" s="514">
        <v>0</v>
      </c>
      <c r="G71" s="501">
        <f t="shared" si="3"/>
        <v>0</v>
      </c>
      <c r="H71" s="502">
        <f t="shared" si="2"/>
        <v>0</v>
      </c>
      <c r="I71" s="449"/>
      <c r="J71" s="449"/>
    </row>
    <row r="72" spans="1:16" ht="12.75" customHeight="1" x14ac:dyDescent="0.2">
      <c r="A72" s="1013"/>
      <c r="B72" s="354">
        <v>53206990000000</v>
      </c>
      <c r="C72" s="497" t="s">
        <v>233</v>
      </c>
      <c r="D72" s="513">
        <v>2387526</v>
      </c>
      <c r="E72" s="513">
        <v>0</v>
      </c>
      <c r="F72" s="514">
        <v>0</v>
      </c>
      <c r="G72" s="501">
        <f t="shared" si="3"/>
        <v>0</v>
      </c>
      <c r="H72" s="502">
        <f t="shared" si="2"/>
        <v>2387526</v>
      </c>
      <c r="I72" s="449" t="s">
        <v>427</v>
      </c>
      <c r="J72" s="449"/>
    </row>
    <row r="73" spans="1:16" ht="12.75" customHeight="1" x14ac:dyDescent="0.2">
      <c r="A73" s="1013"/>
      <c r="B73" s="353"/>
      <c r="C73" s="493" t="s">
        <v>66</v>
      </c>
      <c r="D73" s="506">
        <f>SUM(D74)</f>
        <v>0</v>
      </c>
      <c r="E73" s="521"/>
      <c r="F73" s="521"/>
      <c r="G73" s="494">
        <f>SUM(G74:G74)</f>
        <v>180000</v>
      </c>
      <c r="H73" s="472">
        <f>SUM(H74:H74)</f>
        <v>180000</v>
      </c>
      <c r="I73" s="449"/>
      <c r="J73" s="449"/>
    </row>
    <row r="74" spans="1:16" ht="12.75" customHeight="1" x14ac:dyDescent="0.2">
      <c r="A74" s="1013"/>
      <c r="B74" s="358"/>
      <c r="C74" s="526" t="s">
        <v>234</v>
      </c>
      <c r="D74" s="503">
        <v>0</v>
      </c>
      <c r="E74" s="503">
        <v>10000</v>
      </c>
      <c r="F74" s="505">
        <v>18</v>
      </c>
      <c r="G74" s="501">
        <f t="shared" si="3"/>
        <v>180000</v>
      </c>
      <c r="H74" s="527">
        <f t="shared" si="2"/>
        <v>180000</v>
      </c>
      <c r="I74" s="490" t="s">
        <v>238</v>
      </c>
      <c r="J74" s="463">
        <f>+H72+H71+H70+H69+H68+H67+H66+H64+H63+H62+H61+H60+H59+H58+H57+H55+H52+H51+H50+H49+H48+H46+H44+H43+H37+H36+H35+H33+H32+H31+H30+H29+H28+H27+H26+H25+H24+H23</f>
        <v>9583678.1496000011</v>
      </c>
    </row>
    <row r="75" spans="1:16" ht="12.75" customHeight="1" thickBot="1" x14ac:dyDescent="0.25">
      <c r="A75" s="1014"/>
      <c r="B75" s="528"/>
      <c r="C75" s="529" t="s">
        <v>105</v>
      </c>
      <c r="D75" s="487">
        <f>SUM(D12,D39)</f>
        <v>34845389.059600003</v>
      </c>
      <c r="E75" s="488"/>
      <c r="F75" s="488"/>
      <c r="G75" s="487">
        <f>SUM(G12,G39)</f>
        <v>6290514.7999999998</v>
      </c>
      <c r="H75" s="530">
        <f>SUM(H12,H39)</f>
        <v>41135903.859600008</v>
      </c>
      <c r="I75" s="491" t="s">
        <v>239</v>
      </c>
      <c r="J75" s="464">
        <f>+H75-J74</f>
        <v>31552225.710000008</v>
      </c>
    </row>
    <row r="76" spans="1:16" x14ac:dyDescent="0.2">
      <c r="A76" s="1012" t="str">
        <f>'B) Reajuste Tarifas y Ocupación'!A14</f>
        <v>Jardín Infantil Burbujitas de Mar</v>
      </c>
      <c r="B76" s="465"/>
      <c r="C76" s="466" t="s">
        <v>11</v>
      </c>
      <c r="D76" s="467">
        <f>+D77+D82</f>
        <v>20346736.446633335</v>
      </c>
      <c r="E76" s="468"/>
      <c r="F76" s="468"/>
      <c r="G76" s="469">
        <f>SUM(G77,G82)</f>
        <v>7003360</v>
      </c>
      <c r="H76" s="470">
        <f>SUM(H77,H82)</f>
        <v>27350096.446633335</v>
      </c>
      <c r="I76" s="10"/>
      <c r="J76" s="10"/>
      <c r="L76" s="999" t="s">
        <v>237</v>
      </c>
      <c r="M76" s="1008" t="s">
        <v>197</v>
      </c>
      <c r="N76" s="997" t="s">
        <v>242</v>
      </c>
      <c r="O76" s="997" t="s">
        <v>230</v>
      </c>
      <c r="P76" s="997" t="s">
        <v>241</v>
      </c>
    </row>
    <row r="77" spans="1:16" x14ac:dyDescent="0.2">
      <c r="A77" s="1013"/>
      <c r="B77" s="353"/>
      <c r="C77" s="450" t="s">
        <v>12</v>
      </c>
      <c r="D77" s="451">
        <f>SUM(D78:D81)</f>
        <v>18437894.369600002</v>
      </c>
      <c r="E77" s="471"/>
      <c r="F77" s="471"/>
      <c r="G77" s="452">
        <f>SUM(G78:G81)</f>
        <v>0</v>
      </c>
      <c r="H77" s="472">
        <f>SUM(H78:H81)</f>
        <v>18437894.369600002</v>
      </c>
      <c r="L77" s="1000"/>
      <c r="M77" s="1009"/>
      <c r="N77" s="998"/>
      <c r="O77" s="998"/>
      <c r="P77" s="998"/>
    </row>
    <row r="78" spans="1:16" x14ac:dyDescent="0.2">
      <c r="A78" s="1013"/>
      <c r="B78" s="354">
        <v>53103040100000</v>
      </c>
      <c r="C78" s="453" t="s">
        <v>95</v>
      </c>
      <c r="D78" s="454">
        <f>+'F) Remuneraciones'!L19</f>
        <v>18255340.960000001</v>
      </c>
      <c r="E78" s="455">
        <v>0</v>
      </c>
      <c r="F78" s="473">
        <v>0</v>
      </c>
      <c r="G78" s="455">
        <f>E78*F78</f>
        <v>0</v>
      </c>
      <c r="H78" s="474">
        <f>D78+G78</f>
        <v>18255340.960000001</v>
      </c>
      <c r="L78" s="359" t="s">
        <v>11</v>
      </c>
      <c r="M78" s="360"/>
      <c r="N78" s="360"/>
      <c r="O78" s="360"/>
      <c r="P78" s="361"/>
    </row>
    <row r="79" spans="1:16" x14ac:dyDescent="0.2">
      <c r="A79" s="1013"/>
      <c r="B79" s="354">
        <v>53103050000000</v>
      </c>
      <c r="C79" s="453" t="s">
        <v>174</v>
      </c>
      <c r="D79" s="456">
        <v>0</v>
      </c>
      <c r="E79" s="457">
        <v>0</v>
      </c>
      <c r="F79" s="458">
        <v>0</v>
      </c>
      <c r="G79" s="455">
        <f>E79*F79</f>
        <v>0</v>
      </c>
      <c r="H79" s="474">
        <f>D79+G79</f>
        <v>0</v>
      </c>
      <c r="L79" s="369" t="s">
        <v>16</v>
      </c>
      <c r="M79" s="362"/>
      <c r="N79" s="363"/>
      <c r="O79" s="363"/>
      <c r="P79" s="364"/>
    </row>
    <row r="80" spans="1:16" x14ac:dyDescent="0.2">
      <c r="A80" s="1013"/>
      <c r="B80" s="355">
        <v>53103040400000</v>
      </c>
      <c r="C80" s="356" t="s">
        <v>175</v>
      </c>
      <c r="D80" s="456">
        <f>+D78*0.01</f>
        <v>182553.40960000001</v>
      </c>
      <c r="E80" s="457">
        <v>0</v>
      </c>
      <c r="F80" s="458">
        <v>0</v>
      </c>
      <c r="G80" s="455">
        <f>E80*F80</f>
        <v>0</v>
      </c>
      <c r="H80" s="474">
        <f>D80+G80</f>
        <v>182553.40960000001</v>
      </c>
      <c r="L80" s="371" t="s">
        <v>180</v>
      </c>
      <c r="M80" s="365">
        <v>0</v>
      </c>
      <c r="N80" s="366">
        <f>+M80*0.6</f>
        <v>0</v>
      </c>
      <c r="O80" s="366">
        <f>+M80*0.2</f>
        <v>0</v>
      </c>
      <c r="P80" s="367">
        <f>+M80*0.2</f>
        <v>0</v>
      </c>
    </row>
    <row r="81" spans="1:16" x14ac:dyDescent="0.2">
      <c r="A81" s="1013"/>
      <c r="B81" s="354">
        <v>53103080010000</v>
      </c>
      <c r="C81" s="453" t="s">
        <v>176</v>
      </c>
      <c r="D81" s="456">
        <v>0</v>
      </c>
      <c r="E81" s="457">
        <v>0</v>
      </c>
      <c r="F81" s="458">
        <v>0</v>
      </c>
      <c r="G81" s="455">
        <f>E81*F81</f>
        <v>0</v>
      </c>
      <c r="H81" s="474">
        <f>D81+G81</f>
        <v>0</v>
      </c>
      <c r="L81" s="371" t="s">
        <v>19</v>
      </c>
      <c r="M81" s="368">
        <v>662234.12250000006</v>
      </c>
      <c r="N81" s="366">
        <f t="shared" ref="N81:N96" si="4">+M81*0.6</f>
        <v>397340.47350000002</v>
      </c>
      <c r="O81" s="366">
        <f t="shared" ref="O81:O96" si="5">+M81*0.2</f>
        <v>132446.82450000002</v>
      </c>
      <c r="P81" s="367">
        <f t="shared" ref="P81:P96" si="6">+M81*0.2</f>
        <v>132446.82450000002</v>
      </c>
    </row>
    <row r="82" spans="1:16" x14ac:dyDescent="0.2">
      <c r="A82" s="1013"/>
      <c r="B82" s="353"/>
      <c r="C82" s="450" t="s">
        <v>16</v>
      </c>
      <c r="D82" s="451">
        <f>SUM(D83:D102)</f>
        <v>1908842.0770333337</v>
      </c>
      <c r="E82" s="471"/>
      <c r="F82" s="471"/>
      <c r="G82" s="451">
        <f>SUM(G83:G102)</f>
        <v>7003360</v>
      </c>
      <c r="H82" s="472">
        <f>SUM(H83:H102)</f>
        <v>8912202.0770333335</v>
      </c>
      <c r="I82" s="268">
        <f>+H82+H109+H111+H120</f>
        <v>11489427.155433333</v>
      </c>
      <c r="L82" s="371" t="s">
        <v>181</v>
      </c>
      <c r="M82" s="368">
        <v>0</v>
      </c>
      <c r="N82" s="366">
        <f t="shared" si="4"/>
        <v>0</v>
      </c>
      <c r="O82" s="366">
        <f t="shared" si="5"/>
        <v>0</v>
      </c>
      <c r="P82" s="367">
        <f t="shared" si="6"/>
        <v>0</v>
      </c>
    </row>
    <row r="83" spans="1:16" x14ac:dyDescent="0.2">
      <c r="A83" s="1013"/>
      <c r="B83" s="354">
        <v>53201010100000</v>
      </c>
      <c r="C83" s="459" t="s">
        <v>177</v>
      </c>
      <c r="D83" s="456">
        <v>0</v>
      </c>
      <c r="E83" s="457">
        <v>2088</v>
      </c>
      <c r="F83" s="458">
        <f>+'H) Detalle Datos'!M13</f>
        <v>720</v>
      </c>
      <c r="G83" s="455">
        <f t="shared" ref="G83:G102" si="7">E83*F83</f>
        <v>1503360</v>
      </c>
      <c r="H83" s="474">
        <f t="shared" ref="H83:H88" si="8">D83+G83</f>
        <v>1503360</v>
      </c>
      <c r="L83" s="371" t="s">
        <v>231</v>
      </c>
      <c r="M83" s="368">
        <v>140000</v>
      </c>
      <c r="N83" s="366">
        <f t="shared" si="4"/>
        <v>84000</v>
      </c>
      <c r="O83" s="366">
        <f t="shared" si="5"/>
        <v>28000</v>
      </c>
      <c r="P83" s="367">
        <f t="shared" si="6"/>
        <v>28000</v>
      </c>
    </row>
    <row r="84" spans="1:16" x14ac:dyDescent="0.2">
      <c r="A84" s="1013"/>
      <c r="B84" s="354">
        <v>53201010100000</v>
      </c>
      <c r="C84" s="459" t="s">
        <v>178</v>
      </c>
      <c r="D84" s="456">
        <v>0</v>
      </c>
      <c r="E84" s="457">
        <v>1100</v>
      </c>
      <c r="F84" s="458">
        <v>5000</v>
      </c>
      <c r="G84" s="455">
        <f t="shared" si="7"/>
        <v>5500000</v>
      </c>
      <c r="H84" s="474">
        <f t="shared" si="8"/>
        <v>5500000</v>
      </c>
      <c r="L84" s="371" t="s">
        <v>22</v>
      </c>
      <c r="M84" s="368">
        <v>527922.174</v>
      </c>
      <c r="N84" s="366">
        <f t="shared" si="4"/>
        <v>316753.30439999996</v>
      </c>
      <c r="O84" s="366">
        <f t="shared" si="5"/>
        <v>105584.4348</v>
      </c>
      <c r="P84" s="367">
        <f t="shared" si="6"/>
        <v>105584.4348</v>
      </c>
    </row>
    <row r="85" spans="1:16" x14ac:dyDescent="0.2">
      <c r="A85" s="1013"/>
      <c r="B85" s="354">
        <v>53201010100000</v>
      </c>
      <c r="C85" s="459" t="s">
        <v>179</v>
      </c>
      <c r="D85" s="456">
        <v>0</v>
      </c>
      <c r="E85" s="457">
        <v>0</v>
      </c>
      <c r="F85" s="458">
        <v>0</v>
      </c>
      <c r="G85" s="455">
        <f t="shared" si="7"/>
        <v>0</v>
      </c>
      <c r="H85" s="474">
        <f t="shared" si="8"/>
        <v>0</v>
      </c>
      <c r="L85" s="371" t="s">
        <v>183</v>
      </c>
      <c r="M85" s="368">
        <v>0</v>
      </c>
      <c r="N85" s="366">
        <f t="shared" si="4"/>
        <v>0</v>
      </c>
      <c r="O85" s="366">
        <f t="shared" si="5"/>
        <v>0</v>
      </c>
      <c r="P85" s="367">
        <f t="shared" si="6"/>
        <v>0</v>
      </c>
    </row>
    <row r="86" spans="1:16" x14ac:dyDescent="0.2">
      <c r="A86" s="1013"/>
      <c r="B86" s="354">
        <v>53202010100000</v>
      </c>
      <c r="C86" s="453" t="s">
        <v>180</v>
      </c>
      <c r="D86" s="455">
        <f>+P80</f>
        <v>0</v>
      </c>
      <c r="E86" s="455">
        <v>0</v>
      </c>
      <c r="F86" s="534">
        <v>0</v>
      </c>
      <c r="G86" s="455">
        <f t="shared" si="7"/>
        <v>0</v>
      </c>
      <c r="H86" s="474">
        <f t="shared" si="8"/>
        <v>0</v>
      </c>
      <c r="L86" s="371" t="s">
        <v>24</v>
      </c>
      <c r="M86" s="368">
        <v>2608461.2666666666</v>
      </c>
      <c r="N86" s="366">
        <f t="shared" si="4"/>
        <v>1565076.76</v>
      </c>
      <c r="O86" s="366">
        <f t="shared" si="5"/>
        <v>521692.25333333336</v>
      </c>
      <c r="P86" s="367">
        <f t="shared" si="6"/>
        <v>521692.25333333336</v>
      </c>
    </row>
    <row r="87" spans="1:16" x14ac:dyDescent="0.2">
      <c r="A87" s="1013"/>
      <c r="B87" s="354">
        <v>53203010100000</v>
      </c>
      <c r="C87" s="453" t="s">
        <v>19</v>
      </c>
      <c r="D87" s="455">
        <f t="shared" ref="D87:D102" si="9">+P81</f>
        <v>132446.82450000002</v>
      </c>
      <c r="E87" s="455">
        <v>0</v>
      </c>
      <c r="F87" s="534">
        <v>0</v>
      </c>
      <c r="G87" s="455">
        <f t="shared" si="7"/>
        <v>0</v>
      </c>
      <c r="H87" s="474">
        <f t="shared" si="8"/>
        <v>132446.82450000002</v>
      </c>
      <c r="L87" s="371" t="s">
        <v>25</v>
      </c>
      <c r="M87" s="368">
        <v>390749.04000000004</v>
      </c>
      <c r="N87" s="366">
        <f t="shared" si="4"/>
        <v>234449.42400000003</v>
      </c>
      <c r="O87" s="366">
        <f t="shared" si="5"/>
        <v>78149.808000000005</v>
      </c>
      <c r="P87" s="367">
        <f t="shared" si="6"/>
        <v>78149.808000000005</v>
      </c>
    </row>
    <row r="88" spans="1:16" x14ac:dyDescent="0.2">
      <c r="A88" s="1013"/>
      <c r="B88" s="354">
        <v>53203030000000</v>
      </c>
      <c r="C88" s="453" t="s">
        <v>181</v>
      </c>
      <c r="D88" s="455">
        <f t="shared" si="9"/>
        <v>0</v>
      </c>
      <c r="E88" s="455">
        <v>0</v>
      </c>
      <c r="F88" s="534">
        <v>0</v>
      </c>
      <c r="G88" s="455">
        <f t="shared" si="7"/>
        <v>0</v>
      </c>
      <c r="H88" s="474">
        <f t="shared" si="8"/>
        <v>0</v>
      </c>
      <c r="L88" s="371" t="s">
        <v>26</v>
      </c>
      <c r="M88" s="368">
        <v>2741358.7500000005</v>
      </c>
      <c r="N88" s="366">
        <f t="shared" si="4"/>
        <v>1644815.2500000002</v>
      </c>
      <c r="O88" s="366">
        <f t="shared" si="5"/>
        <v>548271.75000000012</v>
      </c>
      <c r="P88" s="367">
        <f t="shared" si="6"/>
        <v>548271.75000000012</v>
      </c>
    </row>
    <row r="89" spans="1:16" x14ac:dyDescent="0.2">
      <c r="A89" s="1013"/>
      <c r="B89" s="354">
        <v>53204030000000</v>
      </c>
      <c r="C89" s="453" t="s">
        <v>231</v>
      </c>
      <c r="D89" s="455">
        <f t="shared" si="9"/>
        <v>28000</v>
      </c>
      <c r="E89" s="455">
        <v>0</v>
      </c>
      <c r="F89" s="534">
        <v>0</v>
      </c>
      <c r="G89" s="455">
        <f t="shared" si="7"/>
        <v>0</v>
      </c>
      <c r="H89" s="474">
        <f>D89+G89</f>
        <v>28000</v>
      </c>
      <c r="L89" s="371" t="s">
        <v>27</v>
      </c>
      <c r="M89" s="368">
        <v>0</v>
      </c>
      <c r="N89" s="366">
        <f t="shared" si="4"/>
        <v>0</v>
      </c>
      <c r="O89" s="366">
        <f t="shared" si="5"/>
        <v>0</v>
      </c>
      <c r="P89" s="367">
        <f t="shared" si="6"/>
        <v>0</v>
      </c>
    </row>
    <row r="90" spans="1:16" x14ac:dyDescent="0.2">
      <c r="A90" s="1013"/>
      <c r="B90" s="354">
        <v>53204100100001</v>
      </c>
      <c r="C90" s="453" t="s">
        <v>22</v>
      </c>
      <c r="D90" s="455">
        <f t="shared" si="9"/>
        <v>105584.4348</v>
      </c>
      <c r="E90" s="455">
        <v>0</v>
      </c>
      <c r="F90" s="534">
        <v>0</v>
      </c>
      <c r="G90" s="455">
        <f t="shared" si="7"/>
        <v>0</v>
      </c>
      <c r="H90" s="474">
        <f t="shared" ref="H90:H102" si="10">D90+G90</f>
        <v>105584.4348</v>
      </c>
      <c r="L90" s="371" t="s">
        <v>29</v>
      </c>
      <c r="M90" s="368">
        <v>457320</v>
      </c>
      <c r="N90" s="366">
        <f t="shared" si="4"/>
        <v>274392</v>
      </c>
      <c r="O90" s="366">
        <f t="shared" si="5"/>
        <v>91464</v>
      </c>
      <c r="P90" s="367">
        <f t="shared" si="6"/>
        <v>91464</v>
      </c>
    </row>
    <row r="91" spans="1:16" x14ac:dyDescent="0.2">
      <c r="A91" s="1013"/>
      <c r="B91" s="354">
        <v>53204130100000</v>
      </c>
      <c r="C91" s="453" t="s">
        <v>183</v>
      </c>
      <c r="D91" s="455">
        <f t="shared" si="9"/>
        <v>0</v>
      </c>
      <c r="E91" s="455">
        <v>0</v>
      </c>
      <c r="F91" s="534">
        <v>0</v>
      </c>
      <c r="G91" s="455">
        <f t="shared" si="7"/>
        <v>0</v>
      </c>
      <c r="H91" s="474">
        <f t="shared" si="10"/>
        <v>0</v>
      </c>
      <c r="L91" s="371" t="s">
        <v>30</v>
      </c>
      <c r="M91" s="368">
        <v>618000</v>
      </c>
      <c r="N91" s="366">
        <f t="shared" si="4"/>
        <v>370800</v>
      </c>
      <c r="O91" s="366">
        <f t="shared" si="5"/>
        <v>123600</v>
      </c>
      <c r="P91" s="367">
        <f t="shared" si="6"/>
        <v>123600</v>
      </c>
    </row>
    <row r="92" spans="1:16" x14ac:dyDescent="0.2">
      <c r="A92" s="1013"/>
      <c r="B92" s="354">
        <v>53205010100000</v>
      </c>
      <c r="C92" s="453" t="s">
        <v>24</v>
      </c>
      <c r="D92" s="455">
        <f t="shared" si="9"/>
        <v>521692.25333333336</v>
      </c>
      <c r="E92" s="455">
        <v>0</v>
      </c>
      <c r="F92" s="534">
        <v>0</v>
      </c>
      <c r="G92" s="455">
        <f t="shared" si="7"/>
        <v>0</v>
      </c>
      <c r="H92" s="474">
        <f t="shared" si="10"/>
        <v>521692.25333333336</v>
      </c>
      <c r="L92" s="371" t="s">
        <v>31</v>
      </c>
      <c r="M92" s="365">
        <v>100000</v>
      </c>
      <c r="N92" s="366">
        <f t="shared" si="4"/>
        <v>60000</v>
      </c>
      <c r="O92" s="366">
        <f t="shared" si="5"/>
        <v>20000</v>
      </c>
      <c r="P92" s="367">
        <f t="shared" si="6"/>
        <v>20000</v>
      </c>
    </row>
    <row r="93" spans="1:16" x14ac:dyDescent="0.2">
      <c r="A93" s="1013"/>
      <c r="B93" s="354">
        <v>53205020100000</v>
      </c>
      <c r="C93" s="453" t="s">
        <v>25</v>
      </c>
      <c r="D93" s="455">
        <f t="shared" si="9"/>
        <v>78149.808000000005</v>
      </c>
      <c r="E93" s="455">
        <v>0</v>
      </c>
      <c r="F93" s="534">
        <v>0</v>
      </c>
      <c r="G93" s="455">
        <f t="shared" si="7"/>
        <v>0</v>
      </c>
      <c r="H93" s="474">
        <f t="shared" si="10"/>
        <v>78149.808000000005</v>
      </c>
      <c r="L93" s="371" t="s">
        <v>184</v>
      </c>
      <c r="M93" s="368">
        <v>0</v>
      </c>
      <c r="N93" s="366">
        <f t="shared" si="4"/>
        <v>0</v>
      </c>
      <c r="O93" s="366">
        <f t="shared" si="5"/>
        <v>0</v>
      </c>
      <c r="P93" s="367">
        <f t="shared" si="6"/>
        <v>0</v>
      </c>
    </row>
    <row r="94" spans="1:16" x14ac:dyDescent="0.2">
      <c r="A94" s="1013"/>
      <c r="B94" s="354">
        <v>53205030100000</v>
      </c>
      <c r="C94" s="453" t="s">
        <v>26</v>
      </c>
      <c r="D94" s="455">
        <f t="shared" si="9"/>
        <v>548271.75000000012</v>
      </c>
      <c r="E94" s="455">
        <v>0</v>
      </c>
      <c r="F94" s="534">
        <v>0</v>
      </c>
      <c r="G94" s="455">
        <f t="shared" si="7"/>
        <v>0</v>
      </c>
      <c r="H94" s="474">
        <f t="shared" si="10"/>
        <v>548271.75000000012</v>
      </c>
      <c r="L94" s="371" t="s">
        <v>32</v>
      </c>
      <c r="M94" s="368">
        <v>0</v>
      </c>
      <c r="N94" s="366">
        <f t="shared" si="4"/>
        <v>0</v>
      </c>
      <c r="O94" s="366">
        <f t="shared" si="5"/>
        <v>0</v>
      </c>
      <c r="P94" s="367">
        <f t="shared" si="6"/>
        <v>0</v>
      </c>
    </row>
    <row r="95" spans="1:16" x14ac:dyDescent="0.2">
      <c r="A95" s="1013"/>
      <c r="B95" s="354">
        <v>53205050100000</v>
      </c>
      <c r="C95" s="453" t="s">
        <v>27</v>
      </c>
      <c r="D95" s="455">
        <f t="shared" si="9"/>
        <v>0</v>
      </c>
      <c r="E95" s="455">
        <v>0</v>
      </c>
      <c r="F95" s="534">
        <v>0</v>
      </c>
      <c r="G95" s="455">
        <f t="shared" si="7"/>
        <v>0</v>
      </c>
      <c r="H95" s="474">
        <f t="shared" si="10"/>
        <v>0</v>
      </c>
      <c r="L95" s="371" t="s">
        <v>185</v>
      </c>
      <c r="M95" s="368">
        <v>1298165.0319999999</v>
      </c>
      <c r="N95" s="366">
        <f t="shared" si="4"/>
        <v>778899.01919999986</v>
      </c>
      <c r="O95" s="366">
        <f t="shared" si="5"/>
        <v>259633.00639999998</v>
      </c>
      <c r="P95" s="367">
        <f t="shared" si="6"/>
        <v>259633.00639999998</v>
      </c>
    </row>
    <row r="96" spans="1:16" x14ac:dyDescent="0.2">
      <c r="A96" s="1013"/>
      <c r="B96" s="354">
        <v>53205070100000</v>
      </c>
      <c r="C96" s="453" t="s">
        <v>29</v>
      </c>
      <c r="D96" s="455">
        <f t="shared" si="9"/>
        <v>91464</v>
      </c>
      <c r="E96" s="455">
        <v>0</v>
      </c>
      <c r="F96" s="534">
        <v>0</v>
      </c>
      <c r="G96" s="455">
        <f t="shared" si="7"/>
        <v>0</v>
      </c>
      <c r="H96" s="474">
        <f t="shared" si="10"/>
        <v>91464</v>
      </c>
      <c r="L96" s="371" t="s">
        <v>186</v>
      </c>
      <c r="M96" s="365">
        <v>0</v>
      </c>
      <c r="N96" s="366">
        <f t="shared" si="4"/>
        <v>0</v>
      </c>
      <c r="O96" s="366">
        <f t="shared" si="5"/>
        <v>0</v>
      </c>
      <c r="P96" s="367">
        <f t="shared" si="6"/>
        <v>0</v>
      </c>
    </row>
    <row r="97" spans="1:16" x14ac:dyDescent="0.2">
      <c r="A97" s="1013"/>
      <c r="B97" s="354">
        <v>53208010100000</v>
      </c>
      <c r="C97" s="453" t="s">
        <v>30</v>
      </c>
      <c r="D97" s="455">
        <f t="shared" si="9"/>
        <v>123600</v>
      </c>
      <c r="E97" s="455">
        <v>0</v>
      </c>
      <c r="F97" s="534">
        <v>0</v>
      </c>
      <c r="G97" s="455">
        <f t="shared" si="7"/>
        <v>0</v>
      </c>
      <c r="H97" s="474">
        <f t="shared" si="10"/>
        <v>123600</v>
      </c>
      <c r="L97" s="359" t="s">
        <v>34</v>
      </c>
      <c r="M97" s="1034"/>
      <c r="N97" s="1034"/>
      <c r="O97" s="1034"/>
      <c r="P97" s="1035"/>
    </row>
    <row r="98" spans="1:16" x14ac:dyDescent="0.2">
      <c r="A98" s="1013"/>
      <c r="B98" s="354">
        <v>53208070100001</v>
      </c>
      <c r="C98" s="453" t="s">
        <v>31</v>
      </c>
      <c r="D98" s="455">
        <f t="shared" si="9"/>
        <v>20000</v>
      </c>
      <c r="E98" s="455">
        <v>0</v>
      </c>
      <c r="F98" s="534">
        <v>0</v>
      </c>
      <c r="G98" s="455">
        <f t="shared" si="7"/>
        <v>0</v>
      </c>
      <c r="H98" s="474">
        <f t="shared" si="10"/>
        <v>20000</v>
      </c>
      <c r="L98" s="369" t="s">
        <v>35</v>
      </c>
      <c r="M98" s="1036"/>
      <c r="N98" s="1037"/>
      <c r="O98" s="1037"/>
      <c r="P98" s="1038"/>
    </row>
    <row r="99" spans="1:16" x14ac:dyDescent="0.2">
      <c r="A99" s="1013"/>
      <c r="B99" s="354">
        <v>53208100100001</v>
      </c>
      <c r="C99" s="453" t="s">
        <v>184</v>
      </c>
      <c r="D99" s="455">
        <f t="shared" si="9"/>
        <v>0</v>
      </c>
      <c r="E99" s="455">
        <v>0</v>
      </c>
      <c r="F99" s="534">
        <v>0</v>
      </c>
      <c r="G99" s="455">
        <f t="shared" si="7"/>
        <v>0</v>
      </c>
      <c r="H99" s="474">
        <f t="shared" si="10"/>
        <v>0</v>
      </c>
      <c r="L99" s="371" t="s">
        <v>41</v>
      </c>
      <c r="M99" s="368">
        <v>1200000</v>
      </c>
      <c r="N99" s="366">
        <f>+M99*0.6</f>
        <v>720000</v>
      </c>
      <c r="O99" s="366">
        <f>+M99*0.2</f>
        <v>240000</v>
      </c>
      <c r="P99" s="367">
        <f>+M99*0.2</f>
        <v>240000</v>
      </c>
    </row>
    <row r="100" spans="1:16" x14ac:dyDescent="0.2">
      <c r="A100" s="1013"/>
      <c r="B100" s="354">
        <v>53211030000000</v>
      </c>
      <c r="C100" s="453" t="s">
        <v>32</v>
      </c>
      <c r="D100" s="455">
        <f t="shared" si="9"/>
        <v>0</v>
      </c>
      <c r="E100" s="455">
        <v>0</v>
      </c>
      <c r="F100" s="534">
        <v>0</v>
      </c>
      <c r="G100" s="455">
        <f t="shared" si="7"/>
        <v>0</v>
      </c>
      <c r="H100" s="474">
        <f t="shared" si="10"/>
        <v>0</v>
      </c>
      <c r="L100" s="371" t="s">
        <v>189</v>
      </c>
      <c r="M100" s="368">
        <v>0</v>
      </c>
      <c r="N100" s="366">
        <f>+M100*0.6</f>
        <v>0</v>
      </c>
      <c r="O100" s="366">
        <f>+M100*0.2</f>
        <v>0</v>
      </c>
      <c r="P100" s="367">
        <f>+M100*0.2</f>
        <v>0</v>
      </c>
    </row>
    <row r="101" spans="1:16" x14ac:dyDescent="0.2">
      <c r="A101" s="1013"/>
      <c r="B101" s="354">
        <v>53212020100000</v>
      </c>
      <c r="C101" s="453" t="s">
        <v>185</v>
      </c>
      <c r="D101" s="455">
        <f t="shared" si="9"/>
        <v>259633.00639999998</v>
      </c>
      <c r="E101" s="455">
        <v>0</v>
      </c>
      <c r="F101" s="534">
        <v>0</v>
      </c>
      <c r="G101" s="455">
        <f t="shared" si="7"/>
        <v>0</v>
      </c>
      <c r="H101" s="474">
        <f t="shared" si="10"/>
        <v>259633.00639999998</v>
      </c>
      <c r="L101" s="369" t="s">
        <v>42</v>
      </c>
      <c r="M101" s="1036"/>
      <c r="N101" s="1037"/>
      <c r="O101" s="1037"/>
      <c r="P101" s="1038"/>
    </row>
    <row r="102" spans="1:16" x14ac:dyDescent="0.2">
      <c r="A102" s="1013"/>
      <c r="B102" s="354">
        <v>53214020000000</v>
      </c>
      <c r="C102" s="453" t="s">
        <v>186</v>
      </c>
      <c r="D102" s="455">
        <f t="shared" si="9"/>
        <v>0</v>
      </c>
      <c r="E102" s="455">
        <v>0</v>
      </c>
      <c r="F102" s="534">
        <v>0</v>
      </c>
      <c r="G102" s="455">
        <f t="shared" si="7"/>
        <v>0</v>
      </c>
      <c r="H102" s="474">
        <f t="shared" si="10"/>
        <v>0</v>
      </c>
      <c r="L102" s="371" t="s">
        <v>44</v>
      </c>
      <c r="M102" s="368">
        <v>0</v>
      </c>
      <c r="N102" s="366">
        <f>+M102*0.6</f>
        <v>0</v>
      </c>
      <c r="O102" s="366">
        <f>+M102*0.2</f>
        <v>0</v>
      </c>
      <c r="P102" s="367">
        <f>+M102*0.2</f>
        <v>0</v>
      </c>
    </row>
    <row r="103" spans="1:16" x14ac:dyDescent="0.2">
      <c r="A103" s="1013"/>
      <c r="B103" s="446"/>
      <c r="C103" s="447" t="s">
        <v>34</v>
      </c>
      <c r="D103" s="448">
        <f>SUM(D104,D109,D111,D120,D129,D137)</f>
        <v>2883872.4644000004</v>
      </c>
      <c r="E103" s="476"/>
      <c r="F103" s="476"/>
      <c r="G103" s="448">
        <f>SUM(G104,G109,G111,G120,G129,G137)</f>
        <v>470100</v>
      </c>
      <c r="H103" s="477">
        <f>SUM(H104,H109,H111,H120,H129,H137)</f>
        <v>3353972.4644000004</v>
      </c>
      <c r="L103" s="369" t="s">
        <v>45</v>
      </c>
      <c r="M103" s="1036" t="s">
        <v>236</v>
      </c>
      <c r="N103" s="1037"/>
      <c r="O103" s="1037"/>
      <c r="P103" s="1038"/>
    </row>
    <row r="104" spans="1:16" x14ac:dyDescent="0.2">
      <c r="A104" s="1013"/>
      <c r="B104" s="353"/>
      <c r="C104" s="450" t="s">
        <v>35</v>
      </c>
      <c r="D104" s="451">
        <f>SUM(D105:D108)</f>
        <v>240000</v>
      </c>
      <c r="E104" s="471"/>
      <c r="F104" s="471"/>
      <c r="G104" s="451">
        <f>SUM(G105:G108)</f>
        <v>125000</v>
      </c>
      <c r="H104" s="478">
        <f>SUM(H105:H108)</f>
        <v>365000</v>
      </c>
      <c r="L104" s="371" t="s">
        <v>47</v>
      </c>
      <c r="M104" s="368">
        <v>592152.15</v>
      </c>
      <c r="N104" s="366">
        <f>+M104*0.6</f>
        <v>355291.29</v>
      </c>
      <c r="O104" s="366">
        <f>+M104*0.2</f>
        <v>118430.43000000001</v>
      </c>
      <c r="P104" s="367">
        <f>+M104*0.2</f>
        <v>118430.43000000001</v>
      </c>
    </row>
    <row r="105" spans="1:16" x14ac:dyDescent="0.2">
      <c r="A105" s="1013"/>
      <c r="B105" s="354">
        <v>53202020100000</v>
      </c>
      <c r="C105" s="453" t="s">
        <v>187</v>
      </c>
      <c r="D105" s="456">
        <v>0</v>
      </c>
      <c r="E105" s="457">
        <v>30000</v>
      </c>
      <c r="F105" s="479">
        <v>3</v>
      </c>
      <c r="G105" s="455">
        <f>E105*F105</f>
        <v>90000</v>
      </c>
      <c r="H105" s="474">
        <f t="shared" ref="H105:H108" si="11">D105+G105</f>
        <v>90000</v>
      </c>
      <c r="L105" s="371" t="s">
        <v>232</v>
      </c>
      <c r="M105" s="368">
        <v>0</v>
      </c>
      <c r="N105" s="366">
        <f t="shared" ref="N105:N111" si="12">+M105*0.6</f>
        <v>0</v>
      </c>
      <c r="O105" s="366">
        <f t="shared" ref="O105:O111" si="13">+M105*0.2</f>
        <v>0</v>
      </c>
      <c r="P105" s="367">
        <f t="shared" ref="P105:P111" si="14">+M105*0.2</f>
        <v>0</v>
      </c>
    </row>
    <row r="106" spans="1:16" x14ac:dyDescent="0.2">
      <c r="A106" s="1013"/>
      <c r="B106" s="354">
        <v>53202030000000</v>
      </c>
      <c r="C106" s="453" t="s">
        <v>188</v>
      </c>
      <c r="D106" s="456">
        <v>0</v>
      </c>
      <c r="E106" s="457">
        <v>35000</v>
      </c>
      <c r="F106" s="479">
        <v>1</v>
      </c>
      <c r="G106" s="455">
        <f t="shared" ref="G106:G108" si="15">E106*F106</f>
        <v>35000</v>
      </c>
      <c r="H106" s="474">
        <f t="shared" si="11"/>
        <v>35000</v>
      </c>
      <c r="L106" s="371" t="s">
        <v>49</v>
      </c>
      <c r="M106" s="368">
        <v>0</v>
      </c>
      <c r="N106" s="366">
        <f t="shared" si="12"/>
        <v>0</v>
      </c>
      <c r="O106" s="366">
        <f t="shared" si="13"/>
        <v>0</v>
      </c>
      <c r="P106" s="367">
        <f t="shared" si="14"/>
        <v>0</v>
      </c>
    </row>
    <row r="107" spans="1:16" x14ac:dyDescent="0.2">
      <c r="A107" s="1013"/>
      <c r="B107" s="354">
        <v>53211020000000</v>
      </c>
      <c r="C107" s="453" t="s">
        <v>41</v>
      </c>
      <c r="D107" s="480">
        <f>+P99</f>
        <v>240000</v>
      </c>
      <c r="E107" s="480">
        <v>0</v>
      </c>
      <c r="F107" s="481">
        <v>0</v>
      </c>
      <c r="G107" s="455">
        <f t="shared" si="15"/>
        <v>0</v>
      </c>
      <c r="H107" s="474">
        <f t="shared" si="11"/>
        <v>240000</v>
      </c>
      <c r="L107" s="371" t="s">
        <v>50</v>
      </c>
      <c r="M107" s="368">
        <f>2203343+8330600</f>
        <v>10533943</v>
      </c>
      <c r="N107" s="366">
        <f t="shared" si="12"/>
        <v>6320365.7999999998</v>
      </c>
      <c r="O107" s="366">
        <f t="shared" si="13"/>
        <v>2106788.6</v>
      </c>
      <c r="P107" s="367">
        <f t="shared" si="14"/>
        <v>2106788.6</v>
      </c>
    </row>
    <row r="108" spans="1:16" x14ac:dyDescent="0.2">
      <c r="A108" s="1013"/>
      <c r="B108" s="354">
        <v>53101040600000</v>
      </c>
      <c r="C108" s="453" t="s">
        <v>189</v>
      </c>
      <c r="D108" s="480">
        <f>+P100</f>
        <v>0</v>
      </c>
      <c r="E108" s="480">
        <v>0</v>
      </c>
      <c r="F108" s="481">
        <v>0</v>
      </c>
      <c r="G108" s="455">
        <f t="shared" si="15"/>
        <v>0</v>
      </c>
      <c r="H108" s="474">
        <f t="shared" si="11"/>
        <v>0</v>
      </c>
      <c r="L108" s="371" t="s">
        <v>51</v>
      </c>
      <c r="M108" s="368">
        <v>1000000</v>
      </c>
      <c r="N108" s="366">
        <f t="shared" si="12"/>
        <v>600000</v>
      </c>
      <c r="O108" s="366">
        <f t="shared" si="13"/>
        <v>200000</v>
      </c>
      <c r="P108" s="367">
        <f t="shared" si="14"/>
        <v>200000</v>
      </c>
    </row>
    <row r="109" spans="1:16" x14ac:dyDescent="0.2">
      <c r="A109" s="1013"/>
      <c r="B109" s="353"/>
      <c r="C109" s="450" t="s">
        <v>42</v>
      </c>
      <c r="D109" s="451">
        <f>SUM(D110)</f>
        <v>0</v>
      </c>
      <c r="E109" s="471"/>
      <c r="F109" s="471"/>
      <c r="G109" s="460">
        <f>SUM(G110:G110)</f>
        <v>0</v>
      </c>
      <c r="H109" s="478">
        <f>SUM(H110:H110)</f>
        <v>0</v>
      </c>
      <c r="L109" s="371" t="s">
        <v>52</v>
      </c>
      <c r="M109" s="365">
        <v>400000</v>
      </c>
      <c r="N109" s="366">
        <f t="shared" si="12"/>
        <v>240000</v>
      </c>
      <c r="O109" s="366">
        <f t="shared" si="13"/>
        <v>80000</v>
      </c>
      <c r="P109" s="367">
        <f t="shared" si="14"/>
        <v>80000</v>
      </c>
    </row>
    <row r="110" spans="1:16" ht="25.5" x14ac:dyDescent="0.2">
      <c r="A110" s="1013"/>
      <c r="B110" s="357">
        <v>53205990000000</v>
      </c>
      <c r="C110" s="453" t="s">
        <v>44</v>
      </c>
      <c r="D110" s="480">
        <f>+P102</f>
        <v>0</v>
      </c>
      <c r="E110" s="480">
        <v>0</v>
      </c>
      <c r="F110" s="481">
        <v>0</v>
      </c>
      <c r="G110" s="455">
        <f t="shared" ref="G110" si="16">E110*F110</f>
        <v>0</v>
      </c>
      <c r="H110" s="474">
        <f t="shared" ref="H110" si="17">D110+G110</f>
        <v>0</v>
      </c>
      <c r="L110" s="370" t="s">
        <v>190</v>
      </c>
      <c r="M110" s="365">
        <v>0</v>
      </c>
      <c r="N110" s="366">
        <f t="shared" si="12"/>
        <v>0</v>
      </c>
      <c r="O110" s="366">
        <f t="shared" si="13"/>
        <v>0</v>
      </c>
      <c r="P110" s="367">
        <f t="shared" si="14"/>
        <v>0</v>
      </c>
    </row>
    <row r="111" spans="1:16" x14ac:dyDescent="0.2">
      <c r="A111" s="1013"/>
      <c r="B111" s="353"/>
      <c r="C111" s="450" t="s">
        <v>45</v>
      </c>
      <c r="D111" s="451">
        <f>SUM(D112:D119)</f>
        <v>1905219.03</v>
      </c>
      <c r="E111" s="471"/>
      <c r="F111" s="471"/>
      <c r="G111" s="451">
        <f>SUM(G112:G119)</f>
        <v>0</v>
      </c>
      <c r="H111" s="478">
        <f>SUM(H112:H119)</f>
        <v>1905219.03</v>
      </c>
      <c r="L111" s="371" t="s">
        <v>182</v>
      </c>
      <c r="M111" s="368">
        <v>0</v>
      </c>
      <c r="N111" s="366">
        <f t="shared" si="12"/>
        <v>0</v>
      </c>
      <c r="O111" s="366">
        <f t="shared" si="13"/>
        <v>0</v>
      </c>
      <c r="P111" s="367">
        <f t="shared" si="14"/>
        <v>0</v>
      </c>
    </row>
    <row r="112" spans="1:16" x14ac:dyDescent="0.2">
      <c r="A112" s="1013"/>
      <c r="B112" s="354">
        <v>53204010000000</v>
      </c>
      <c r="C112" s="453" t="s">
        <v>47</v>
      </c>
      <c r="D112" s="480">
        <f>+P104</f>
        <v>118430.43000000001</v>
      </c>
      <c r="E112" s="480">
        <v>0</v>
      </c>
      <c r="F112" s="481">
        <v>0</v>
      </c>
      <c r="G112" s="480">
        <f t="shared" ref="G112:G119" si="18">E112*F112</f>
        <v>0</v>
      </c>
      <c r="H112" s="474">
        <f t="shared" ref="H112:H119" si="19">D112+G112</f>
        <v>118430.43000000001</v>
      </c>
      <c r="L112" s="369" t="s">
        <v>55</v>
      </c>
      <c r="M112" s="1036"/>
      <c r="N112" s="1037"/>
      <c r="O112" s="1037"/>
      <c r="P112" s="1038"/>
    </row>
    <row r="113" spans="1:17" x14ac:dyDescent="0.2">
      <c r="A113" s="1013"/>
      <c r="B113" s="357">
        <v>53204040200000</v>
      </c>
      <c r="C113" s="453" t="s">
        <v>232</v>
      </c>
      <c r="D113" s="480">
        <f t="shared" ref="D113:D116" si="20">+P105</f>
        <v>0</v>
      </c>
      <c r="E113" s="480">
        <v>0</v>
      </c>
      <c r="F113" s="481">
        <v>0</v>
      </c>
      <c r="G113" s="480">
        <f t="shared" si="18"/>
        <v>0</v>
      </c>
      <c r="H113" s="474">
        <f t="shared" si="19"/>
        <v>0</v>
      </c>
      <c r="L113" s="371" t="s">
        <v>56</v>
      </c>
      <c r="M113" s="368">
        <v>0</v>
      </c>
      <c r="N113" s="366">
        <f>+M113*0.6</f>
        <v>0</v>
      </c>
      <c r="O113" s="366">
        <f>+M113*0.2</f>
        <v>0</v>
      </c>
      <c r="P113" s="367">
        <f>+M113*0.2</f>
        <v>0</v>
      </c>
    </row>
    <row r="114" spans="1:17" x14ac:dyDescent="0.2">
      <c r="A114" s="1013"/>
      <c r="B114" s="354">
        <v>53204060000000</v>
      </c>
      <c r="C114" s="453" t="s">
        <v>49</v>
      </c>
      <c r="D114" s="480">
        <f t="shared" si="20"/>
        <v>0</v>
      </c>
      <c r="E114" s="480">
        <v>0</v>
      </c>
      <c r="F114" s="481">
        <v>0</v>
      </c>
      <c r="G114" s="480">
        <f t="shared" si="18"/>
        <v>0</v>
      </c>
      <c r="H114" s="474">
        <f t="shared" si="19"/>
        <v>0</v>
      </c>
      <c r="L114" s="371" t="s">
        <v>57</v>
      </c>
      <c r="M114" s="368">
        <v>597138.79200000013</v>
      </c>
      <c r="N114" s="366">
        <f t="shared" ref="N114:N119" si="21">+M114*0.6</f>
        <v>358283.27520000009</v>
      </c>
      <c r="O114" s="366">
        <f t="shared" ref="O114:O119" si="22">+M114*0.2</f>
        <v>119427.75840000004</v>
      </c>
      <c r="P114" s="367">
        <f t="shared" ref="P114:P119" si="23">+M114*0.2</f>
        <v>119427.75840000004</v>
      </c>
      <c r="Q114" s="4" t="s">
        <v>430</v>
      </c>
    </row>
    <row r="115" spans="1:17" ht="12.75" customHeight="1" x14ac:dyDescent="0.2">
      <c r="A115" s="1013"/>
      <c r="B115" s="354">
        <v>53204070000000</v>
      </c>
      <c r="C115" s="453" t="s">
        <v>50</v>
      </c>
      <c r="D115" s="480">
        <v>1506788.6</v>
      </c>
      <c r="E115" s="480">
        <v>0</v>
      </c>
      <c r="F115" s="481">
        <v>0</v>
      </c>
      <c r="G115" s="480">
        <f t="shared" si="18"/>
        <v>0</v>
      </c>
      <c r="H115" s="474">
        <f t="shared" si="19"/>
        <v>1506788.6</v>
      </c>
      <c r="L115" s="371" t="s">
        <v>173</v>
      </c>
      <c r="M115" s="368">
        <v>0</v>
      </c>
      <c r="N115" s="366">
        <f t="shared" si="21"/>
        <v>0</v>
      </c>
      <c r="O115" s="366">
        <f t="shared" si="22"/>
        <v>0</v>
      </c>
      <c r="P115" s="367">
        <f t="shared" si="23"/>
        <v>0</v>
      </c>
    </row>
    <row r="116" spans="1:17" x14ac:dyDescent="0.2">
      <c r="A116" s="1013"/>
      <c r="B116" s="354">
        <v>53204080000000</v>
      </c>
      <c r="C116" s="453" t="s">
        <v>51</v>
      </c>
      <c r="D116" s="480">
        <f t="shared" si="20"/>
        <v>200000</v>
      </c>
      <c r="E116" s="480">
        <v>0</v>
      </c>
      <c r="F116" s="481">
        <v>0</v>
      </c>
      <c r="G116" s="480">
        <f t="shared" si="18"/>
        <v>0</v>
      </c>
      <c r="H116" s="474">
        <f t="shared" si="19"/>
        <v>200000</v>
      </c>
      <c r="L116" s="371" t="s">
        <v>191</v>
      </c>
      <c r="M116" s="368">
        <f>600000+140000+180000</f>
        <v>920000</v>
      </c>
      <c r="N116" s="366">
        <f t="shared" si="21"/>
        <v>552000</v>
      </c>
      <c r="O116" s="366">
        <f t="shared" si="22"/>
        <v>184000</v>
      </c>
      <c r="P116" s="367">
        <f t="shared" si="23"/>
        <v>184000</v>
      </c>
      <c r="Q116" s="4" t="s">
        <v>448</v>
      </c>
    </row>
    <row r="117" spans="1:17" x14ac:dyDescent="0.2">
      <c r="A117" s="1013"/>
      <c r="B117" s="354">
        <v>53214010000000</v>
      </c>
      <c r="C117" s="453" t="s">
        <v>52</v>
      </c>
      <c r="D117" s="480">
        <f>+P109</f>
        <v>80000</v>
      </c>
      <c r="E117" s="482">
        <v>0</v>
      </c>
      <c r="F117" s="481">
        <v>0</v>
      </c>
      <c r="G117" s="480">
        <f t="shared" si="18"/>
        <v>0</v>
      </c>
      <c r="H117" s="474">
        <f t="shared" si="19"/>
        <v>80000</v>
      </c>
      <c r="L117" s="371" t="s">
        <v>194</v>
      </c>
      <c r="M117" s="368">
        <v>0</v>
      </c>
      <c r="N117" s="366">
        <f t="shared" si="21"/>
        <v>0</v>
      </c>
      <c r="O117" s="366">
        <f t="shared" si="22"/>
        <v>0</v>
      </c>
      <c r="P117" s="367">
        <f t="shared" si="23"/>
        <v>0</v>
      </c>
    </row>
    <row r="118" spans="1:17" x14ac:dyDescent="0.2">
      <c r="A118" s="1013"/>
      <c r="B118" s="354">
        <v>53214040000000</v>
      </c>
      <c r="C118" s="453" t="s">
        <v>190</v>
      </c>
      <c r="D118" s="480">
        <f>+P110</f>
        <v>0</v>
      </c>
      <c r="E118" s="482">
        <v>0</v>
      </c>
      <c r="F118" s="481">
        <v>0</v>
      </c>
      <c r="G118" s="480">
        <f t="shared" si="18"/>
        <v>0</v>
      </c>
      <c r="H118" s="474">
        <f t="shared" si="19"/>
        <v>0</v>
      </c>
      <c r="L118" s="371" t="s">
        <v>192</v>
      </c>
      <c r="M118" s="368">
        <v>0</v>
      </c>
      <c r="N118" s="366">
        <f t="shared" si="21"/>
        <v>0</v>
      </c>
      <c r="O118" s="366">
        <f t="shared" si="22"/>
        <v>0</v>
      </c>
      <c r="P118" s="367">
        <f t="shared" si="23"/>
        <v>0</v>
      </c>
    </row>
    <row r="119" spans="1:17" ht="14.25" customHeight="1" x14ac:dyDescent="0.2">
      <c r="A119" s="1013"/>
      <c r="B119" s="355">
        <v>53204020100000</v>
      </c>
      <c r="C119" s="453" t="s">
        <v>182</v>
      </c>
      <c r="D119" s="480">
        <f>+P111</f>
        <v>0</v>
      </c>
      <c r="E119" s="480">
        <v>0</v>
      </c>
      <c r="F119" s="481">
        <v>0</v>
      </c>
      <c r="G119" s="480">
        <f t="shared" si="18"/>
        <v>0</v>
      </c>
      <c r="H119" s="474">
        <f t="shared" si="19"/>
        <v>0</v>
      </c>
      <c r="L119" s="371" t="s">
        <v>64</v>
      </c>
      <c r="M119" s="368">
        <f>939215*1.03</f>
        <v>967391.45000000007</v>
      </c>
      <c r="N119" s="366">
        <f t="shared" si="21"/>
        <v>580434.87</v>
      </c>
      <c r="O119" s="366">
        <f t="shared" si="22"/>
        <v>193478.29000000004</v>
      </c>
      <c r="P119" s="367">
        <f t="shared" si="23"/>
        <v>193478.29000000004</v>
      </c>
    </row>
    <row r="120" spans="1:17" x14ac:dyDescent="0.2">
      <c r="A120" s="1013"/>
      <c r="B120" s="353"/>
      <c r="C120" s="450" t="s">
        <v>55</v>
      </c>
      <c r="D120" s="451">
        <f>SUM(D121:D128)</f>
        <v>496906.04840000009</v>
      </c>
      <c r="E120" s="471"/>
      <c r="F120" s="471"/>
      <c r="G120" s="451">
        <f>SUM(G121:G128)</f>
        <v>175100</v>
      </c>
      <c r="H120" s="472">
        <f>SUM(H121:H128)</f>
        <v>672006.04840000009</v>
      </c>
      <c r="L120" s="369" t="s">
        <v>65</v>
      </c>
      <c r="M120" s="1036">
        <v>0</v>
      </c>
      <c r="N120" s="1037"/>
      <c r="O120" s="1037"/>
      <c r="P120" s="1038"/>
    </row>
    <row r="121" spans="1:17" x14ac:dyDescent="0.2">
      <c r="A121" s="1013"/>
      <c r="B121" s="354">
        <v>53207010000000</v>
      </c>
      <c r="C121" s="453" t="s">
        <v>56</v>
      </c>
      <c r="D121" s="480">
        <f>P113</f>
        <v>0</v>
      </c>
      <c r="E121" s="480">
        <v>0</v>
      </c>
      <c r="F121" s="481">
        <v>0</v>
      </c>
      <c r="G121" s="480">
        <f t="shared" ref="G121:G128" si="24">E121*F121</f>
        <v>0</v>
      </c>
      <c r="H121" s="474">
        <f t="shared" ref="H121:H128" si="25">D121+G121</f>
        <v>0</v>
      </c>
      <c r="L121" s="371" t="s">
        <v>99</v>
      </c>
      <c r="M121" s="368">
        <v>0</v>
      </c>
      <c r="N121" s="366">
        <f>+M121*0.6</f>
        <v>0</v>
      </c>
      <c r="O121" s="366">
        <f>+M121*0.2</f>
        <v>0</v>
      </c>
      <c r="P121" s="367">
        <f>+M121*0.2</f>
        <v>0</v>
      </c>
    </row>
    <row r="122" spans="1:17" x14ac:dyDescent="0.2">
      <c r="A122" s="1013"/>
      <c r="B122" s="354">
        <v>53207020000000</v>
      </c>
      <c r="C122" s="453" t="s">
        <v>57</v>
      </c>
      <c r="D122" s="480">
        <f>P114</f>
        <v>119427.75840000004</v>
      </c>
      <c r="E122" s="480">
        <v>0</v>
      </c>
      <c r="F122" s="481">
        <v>0</v>
      </c>
      <c r="G122" s="480">
        <f t="shared" si="24"/>
        <v>0</v>
      </c>
      <c r="H122" s="474">
        <f t="shared" si="25"/>
        <v>119427.75840000004</v>
      </c>
      <c r="L122" s="371" t="s">
        <v>100</v>
      </c>
      <c r="M122" s="368">
        <v>0</v>
      </c>
      <c r="N122" s="366">
        <f t="shared" ref="N122:N127" si="26">+M122*0.6</f>
        <v>0</v>
      </c>
      <c r="O122" s="366">
        <f t="shared" ref="O122:O127" si="27">+M122*0.2</f>
        <v>0</v>
      </c>
      <c r="P122" s="367">
        <f t="shared" ref="P122:P127" si="28">+M122*0.2</f>
        <v>0</v>
      </c>
    </row>
    <row r="123" spans="1:17" x14ac:dyDescent="0.2">
      <c r="A123" s="1013"/>
      <c r="B123" s="354">
        <v>53208020000000</v>
      </c>
      <c r="C123" s="453" t="s">
        <v>173</v>
      </c>
      <c r="D123" s="480">
        <f>P115</f>
        <v>0</v>
      </c>
      <c r="E123" s="480">
        <v>0</v>
      </c>
      <c r="F123" s="481">
        <v>0</v>
      </c>
      <c r="G123" s="480">
        <f t="shared" si="24"/>
        <v>0</v>
      </c>
      <c r="H123" s="474">
        <f t="shared" si="25"/>
        <v>0</v>
      </c>
      <c r="L123" s="371" t="s">
        <v>195</v>
      </c>
      <c r="M123" s="368">
        <v>0</v>
      </c>
      <c r="N123" s="366">
        <f t="shared" si="26"/>
        <v>0</v>
      </c>
      <c r="O123" s="366">
        <f t="shared" si="27"/>
        <v>0</v>
      </c>
      <c r="P123" s="367">
        <f t="shared" si="28"/>
        <v>0</v>
      </c>
    </row>
    <row r="124" spans="1:17" x14ac:dyDescent="0.2">
      <c r="A124" s="1013"/>
      <c r="B124" s="354">
        <v>53208990000000</v>
      </c>
      <c r="C124" s="453" t="s">
        <v>191</v>
      </c>
      <c r="D124" s="480">
        <f>P116</f>
        <v>184000</v>
      </c>
      <c r="E124" s="480">
        <v>0</v>
      </c>
      <c r="F124" s="481">
        <v>0</v>
      </c>
      <c r="G124" s="480">
        <f t="shared" si="24"/>
        <v>0</v>
      </c>
      <c r="H124" s="474">
        <f t="shared" si="25"/>
        <v>184000</v>
      </c>
      <c r="L124" s="371" t="s">
        <v>102</v>
      </c>
      <c r="M124" s="368">
        <v>0</v>
      </c>
      <c r="N124" s="366">
        <f t="shared" si="26"/>
        <v>0</v>
      </c>
      <c r="O124" s="366">
        <f t="shared" si="27"/>
        <v>0</v>
      </c>
      <c r="P124" s="367">
        <f t="shared" si="28"/>
        <v>0</v>
      </c>
    </row>
    <row r="125" spans="1:17" x14ac:dyDescent="0.2">
      <c r="A125" s="1013"/>
      <c r="B125" s="355">
        <v>53210020300000</v>
      </c>
      <c r="C125" s="453" t="s">
        <v>193</v>
      </c>
      <c r="D125" s="461">
        <v>0</v>
      </c>
      <c r="E125" s="461">
        <v>7004</v>
      </c>
      <c r="F125" s="483">
        <v>25</v>
      </c>
      <c r="G125" s="455">
        <f t="shared" si="24"/>
        <v>175100</v>
      </c>
      <c r="H125" s="474">
        <f t="shared" si="25"/>
        <v>175100</v>
      </c>
      <c r="L125" s="371" t="s">
        <v>196</v>
      </c>
      <c r="M125" s="368">
        <v>0</v>
      </c>
      <c r="N125" s="366">
        <f t="shared" si="26"/>
        <v>0</v>
      </c>
      <c r="O125" s="366">
        <f t="shared" si="27"/>
        <v>0</v>
      </c>
      <c r="P125" s="367">
        <f t="shared" si="28"/>
        <v>0</v>
      </c>
    </row>
    <row r="126" spans="1:17" x14ac:dyDescent="0.2">
      <c r="A126" s="1013"/>
      <c r="B126" s="354">
        <v>53208990000000</v>
      </c>
      <c r="C126" s="453" t="s">
        <v>194</v>
      </c>
      <c r="D126" s="455">
        <f>P117</f>
        <v>0</v>
      </c>
      <c r="E126" s="455">
        <v>0</v>
      </c>
      <c r="F126" s="475">
        <v>0</v>
      </c>
      <c r="G126" s="455">
        <f t="shared" si="24"/>
        <v>0</v>
      </c>
      <c r="H126" s="474">
        <f t="shared" si="25"/>
        <v>0</v>
      </c>
      <c r="L126" s="371" t="s">
        <v>104</v>
      </c>
      <c r="M126" s="368">
        <v>0</v>
      </c>
      <c r="N126" s="366">
        <f t="shared" si="26"/>
        <v>0</v>
      </c>
      <c r="O126" s="366">
        <f t="shared" si="27"/>
        <v>0</v>
      </c>
      <c r="P126" s="367">
        <f t="shared" si="28"/>
        <v>0</v>
      </c>
    </row>
    <row r="127" spans="1:17" x14ac:dyDescent="0.2">
      <c r="A127" s="1013"/>
      <c r="B127" s="354">
        <v>53209990000000</v>
      </c>
      <c r="C127" s="453" t="s">
        <v>192</v>
      </c>
      <c r="D127" s="455">
        <f t="shared" ref="D127:D128" si="29">P118</f>
        <v>0</v>
      </c>
      <c r="E127" s="455">
        <v>0</v>
      </c>
      <c r="F127" s="475">
        <v>0</v>
      </c>
      <c r="G127" s="455">
        <f t="shared" si="24"/>
        <v>0</v>
      </c>
      <c r="H127" s="474">
        <f t="shared" si="25"/>
        <v>0</v>
      </c>
      <c r="L127" s="371" t="s">
        <v>233</v>
      </c>
      <c r="M127" s="368">
        <f>1173531*1.03</f>
        <v>1208736.93</v>
      </c>
      <c r="N127" s="366">
        <f t="shared" si="26"/>
        <v>725242.15799999994</v>
      </c>
      <c r="O127" s="366">
        <f t="shared" si="27"/>
        <v>241747.386</v>
      </c>
      <c r="P127" s="367">
        <f t="shared" si="28"/>
        <v>241747.386</v>
      </c>
      <c r="Q127" s="4" t="s">
        <v>431</v>
      </c>
    </row>
    <row r="128" spans="1:17" x14ac:dyDescent="0.2">
      <c r="A128" s="1013"/>
      <c r="B128" s="354">
        <v>53210020100000</v>
      </c>
      <c r="C128" s="453" t="s">
        <v>64</v>
      </c>
      <c r="D128" s="455">
        <f t="shared" si="29"/>
        <v>193478.29000000004</v>
      </c>
      <c r="E128" s="541">
        <v>0</v>
      </c>
      <c r="F128" s="475">
        <v>0</v>
      </c>
      <c r="G128" s="455">
        <f t="shared" si="24"/>
        <v>0</v>
      </c>
      <c r="H128" s="474">
        <f t="shared" si="25"/>
        <v>193478.29000000004</v>
      </c>
    </row>
    <row r="129" spans="1:10" x14ac:dyDescent="0.2">
      <c r="A129" s="1013"/>
      <c r="B129" s="353"/>
      <c r="C129" s="450" t="s">
        <v>65</v>
      </c>
      <c r="D129" s="451">
        <f>SUM(D130:D136)</f>
        <v>241747.386</v>
      </c>
      <c r="E129" s="471"/>
      <c r="F129" s="471"/>
      <c r="G129" s="451">
        <f>SUM(G130:G136)</f>
        <v>0</v>
      </c>
      <c r="H129" s="472">
        <f>SUM(H130:H136)</f>
        <v>241747.386</v>
      </c>
    </row>
    <row r="130" spans="1:10" x14ac:dyDescent="0.2">
      <c r="A130" s="1013"/>
      <c r="B130" s="354">
        <v>53206030000000</v>
      </c>
      <c r="C130" s="453" t="s">
        <v>99</v>
      </c>
      <c r="D130" s="480">
        <f>P121</f>
        <v>0</v>
      </c>
      <c r="E130" s="480">
        <v>0</v>
      </c>
      <c r="F130" s="481">
        <v>0</v>
      </c>
      <c r="G130" s="455">
        <f t="shared" ref="G130:G136" si="30">E130*F130</f>
        <v>0</v>
      </c>
      <c r="H130" s="474">
        <f t="shared" ref="H130:H136" si="31">D130+G130</f>
        <v>0</v>
      </c>
    </row>
    <row r="131" spans="1:10" x14ac:dyDescent="0.2">
      <c r="A131" s="1013"/>
      <c r="B131" s="354">
        <v>53206040000000</v>
      </c>
      <c r="C131" s="453" t="s">
        <v>100</v>
      </c>
      <c r="D131" s="480">
        <f t="shared" ref="D131:D136" si="32">P122</f>
        <v>0</v>
      </c>
      <c r="E131" s="480">
        <v>0</v>
      </c>
      <c r="F131" s="481">
        <v>0</v>
      </c>
      <c r="G131" s="455">
        <f t="shared" si="30"/>
        <v>0</v>
      </c>
      <c r="H131" s="474">
        <f t="shared" si="31"/>
        <v>0</v>
      </c>
    </row>
    <row r="132" spans="1:10" x14ac:dyDescent="0.2">
      <c r="A132" s="1013"/>
      <c r="B132" s="354">
        <v>53206060000000</v>
      </c>
      <c r="C132" s="453" t="s">
        <v>195</v>
      </c>
      <c r="D132" s="480">
        <f t="shared" si="32"/>
        <v>0</v>
      </c>
      <c r="E132" s="480">
        <v>0</v>
      </c>
      <c r="F132" s="481">
        <v>0</v>
      </c>
      <c r="G132" s="455">
        <f t="shared" si="30"/>
        <v>0</v>
      </c>
      <c r="H132" s="474">
        <f t="shared" si="31"/>
        <v>0</v>
      </c>
    </row>
    <row r="133" spans="1:10" x14ac:dyDescent="0.2">
      <c r="A133" s="1013"/>
      <c r="B133" s="354">
        <v>53206070000000</v>
      </c>
      <c r="C133" s="453" t="s">
        <v>102</v>
      </c>
      <c r="D133" s="480">
        <f t="shared" si="32"/>
        <v>0</v>
      </c>
      <c r="E133" s="480">
        <v>0</v>
      </c>
      <c r="F133" s="481">
        <v>0</v>
      </c>
      <c r="G133" s="455">
        <f t="shared" si="30"/>
        <v>0</v>
      </c>
      <c r="H133" s="474">
        <f t="shared" si="31"/>
        <v>0</v>
      </c>
    </row>
    <row r="134" spans="1:10" ht="15.75" customHeight="1" x14ac:dyDescent="0.2">
      <c r="A134" s="1013"/>
      <c r="B134" s="354">
        <v>53206990000000</v>
      </c>
      <c r="C134" s="453" t="s">
        <v>196</v>
      </c>
      <c r="D134" s="480">
        <f t="shared" si="32"/>
        <v>0</v>
      </c>
      <c r="E134" s="480">
        <v>0</v>
      </c>
      <c r="F134" s="481">
        <v>0</v>
      </c>
      <c r="G134" s="455">
        <f t="shared" si="30"/>
        <v>0</v>
      </c>
      <c r="H134" s="474">
        <f t="shared" si="31"/>
        <v>0</v>
      </c>
    </row>
    <row r="135" spans="1:10" x14ac:dyDescent="0.2">
      <c r="A135" s="1013"/>
      <c r="B135" s="354">
        <v>53208030000000</v>
      </c>
      <c r="C135" s="453" t="s">
        <v>104</v>
      </c>
      <c r="D135" s="480">
        <f t="shared" si="32"/>
        <v>0</v>
      </c>
      <c r="E135" s="480">
        <v>0</v>
      </c>
      <c r="F135" s="481">
        <v>0</v>
      </c>
      <c r="G135" s="455">
        <f t="shared" si="30"/>
        <v>0</v>
      </c>
      <c r="H135" s="474">
        <f t="shared" si="31"/>
        <v>0</v>
      </c>
    </row>
    <row r="136" spans="1:10" x14ac:dyDescent="0.2">
      <c r="A136" s="1013"/>
      <c r="B136" s="354">
        <v>53206990000000</v>
      </c>
      <c r="C136" s="453" t="s">
        <v>233</v>
      </c>
      <c r="D136" s="480">
        <f t="shared" si="32"/>
        <v>241747.386</v>
      </c>
      <c r="E136" s="480">
        <v>0</v>
      </c>
      <c r="F136" s="481">
        <v>0</v>
      </c>
      <c r="G136" s="455">
        <f t="shared" si="30"/>
        <v>0</v>
      </c>
      <c r="H136" s="474">
        <f t="shared" si="31"/>
        <v>241747.386</v>
      </c>
    </row>
    <row r="137" spans="1:10" x14ac:dyDescent="0.2">
      <c r="A137" s="1013"/>
      <c r="B137" s="353"/>
      <c r="C137" s="450" t="s">
        <v>66</v>
      </c>
      <c r="D137" s="451">
        <f>SUM(D138:D138)</f>
        <v>0</v>
      </c>
      <c r="E137" s="471"/>
      <c r="F137" s="471"/>
      <c r="G137" s="451">
        <f>SUM(G138:G138)</f>
        <v>170000</v>
      </c>
      <c r="H137" s="472">
        <f>SUM(H138:H138)</f>
        <v>170000</v>
      </c>
    </row>
    <row r="138" spans="1:10" x14ac:dyDescent="0.2">
      <c r="A138" s="1013"/>
      <c r="B138" s="358"/>
      <c r="C138" s="462" t="s">
        <v>234</v>
      </c>
      <c r="D138" s="456">
        <v>0</v>
      </c>
      <c r="E138" s="456">
        <v>10000</v>
      </c>
      <c r="F138" s="479">
        <v>17</v>
      </c>
      <c r="G138" s="455">
        <f t="shared" ref="G138" si="33">E138*F138</f>
        <v>170000</v>
      </c>
      <c r="H138" s="484">
        <f t="shared" ref="H138" si="34">D138+G138</f>
        <v>170000</v>
      </c>
      <c r="I138" s="490" t="s">
        <v>238</v>
      </c>
      <c r="J138" s="463">
        <f>+H136+H135+H134+H133+H132+H131+H130+H128+H127+H126+H125+H124+H123+H122+H121+H119+H116+H115+H114+H113+H112+H110+H108+H107+H101+H100+H99+H97+H96+H95+H94+H93+H92+H91+H90+H89+H88+H87</f>
        <v>4867814.5414333334</v>
      </c>
    </row>
    <row r="139" spans="1:10" ht="15" customHeight="1" thickBot="1" x14ac:dyDescent="0.25">
      <c r="A139" s="1014"/>
      <c r="B139" s="485"/>
      <c r="C139" s="486" t="s">
        <v>105</v>
      </c>
      <c r="D139" s="487">
        <f>SUM(D76,D103)</f>
        <v>23230608.911033336</v>
      </c>
      <c r="E139" s="488"/>
      <c r="F139" s="488"/>
      <c r="G139" s="487">
        <f>SUM(G76,G103)</f>
        <v>7473460</v>
      </c>
      <c r="H139" s="489">
        <f>SUM(H76,H103)</f>
        <v>30704068.911033336</v>
      </c>
      <c r="I139" s="491" t="s">
        <v>239</v>
      </c>
      <c r="J139" s="464">
        <f>+H139-J138</f>
        <v>25836254.369600002</v>
      </c>
    </row>
    <row r="140" spans="1:10" x14ac:dyDescent="0.2">
      <c r="A140" s="1025" t="s">
        <v>81</v>
      </c>
      <c r="B140" s="1027" t="s">
        <v>75</v>
      </c>
      <c r="C140" s="1029" t="s">
        <v>76</v>
      </c>
      <c r="D140" s="1031" t="s">
        <v>77</v>
      </c>
      <c r="E140" s="1033" t="s">
        <v>78</v>
      </c>
      <c r="F140" s="1033"/>
      <c r="G140" s="1033"/>
      <c r="H140" s="1022" t="s">
        <v>235</v>
      </c>
    </row>
    <row r="141" spans="1:10" ht="22.5" customHeight="1" thickBot="1" x14ac:dyDescent="0.25">
      <c r="A141" s="1026"/>
      <c r="B141" s="1028"/>
      <c r="C141" s="1030"/>
      <c r="D141" s="1032"/>
      <c r="E141" s="571" t="s">
        <v>67</v>
      </c>
      <c r="F141" s="572" t="s">
        <v>68</v>
      </c>
      <c r="G141" s="573" t="s">
        <v>6</v>
      </c>
      <c r="H141" s="1023"/>
    </row>
    <row r="142" spans="1:10" x14ac:dyDescent="0.2">
      <c r="A142" s="1012" t="s">
        <v>216</v>
      </c>
      <c r="B142" s="465"/>
      <c r="C142" s="466" t="s">
        <v>11</v>
      </c>
      <c r="D142" s="467">
        <f>+D143+D148</f>
        <v>81759690.252500027</v>
      </c>
      <c r="E142" s="468"/>
      <c r="F142" s="468"/>
      <c r="G142" s="469">
        <f>SUM(G143,G148)</f>
        <v>10272960</v>
      </c>
      <c r="H142" s="470">
        <f>SUM(H143,H148)</f>
        <v>92032650.252500027</v>
      </c>
      <c r="I142" s="449"/>
      <c r="J142" s="449"/>
    </row>
    <row r="143" spans="1:10" x14ac:dyDescent="0.2">
      <c r="A143" s="1013"/>
      <c r="B143" s="353"/>
      <c r="C143" s="535" t="s">
        <v>12</v>
      </c>
      <c r="D143" s="536">
        <f>SUM(D144:D147)</f>
        <v>76033164.02140002</v>
      </c>
      <c r="E143" s="537"/>
      <c r="F143" s="537"/>
      <c r="G143" s="538">
        <f>SUM(G144:G147)</f>
        <v>0</v>
      </c>
      <c r="H143" s="472">
        <f>SUM(H144:H147)</f>
        <v>76033164.02140002</v>
      </c>
      <c r="I143" s="449"/>
      <c r="J143" s="449"/>
    </row>
    <row r="144" spans="1:10" x14ac:dyDescent="0.2">
      <c r="A144" s="1013"/>
      <c r="B144" s="354">
        <v>53103040100000</v>
      </c>
      <c r="C144" s="539" t="s">
        <v>95</v>
      </c>
      <c r="D144" s="540">
        <f>+'F) Remuneraciones'!L29</f>
        <v>74086188.140000015</v>
      </c>
      <c r="E144" s="541">
        <v>0</v>
      </c>
      <c r="F144" s="542">
        <v>0</v>
      </c>
      <c r="G144" s="541">
        <f>E144*F144</f>
        <v>0</v>
      </c>
      <c r="H144" s="543">
        <f>D144+G144</f>
        <v>74086188.140000015</v>
      </c>
      <c r="I144" s="449"/>
      <c r="J144" s="449"/>
    </row>
    <row r="145" spans="1:10" x14ac:dyDescent="0.2">
      <c r="A145" s="1013"/>
      <c r="B145" s="354">
        <v>53103050000000</v>
      </c>
      <c r="C145" s="539" t="s">
        <v>174</v>
      </c>
      <c r="D145" s="544">
        <f>603057*2</f>
        <v>1206114</v>
      </c>
      <c r="E145" s="545">
        <v>0</v>
      </c>
      <c r="F145" s="546">
        <v>0</v>
      </c>
      <c r="G145" s="541">
        <f>E145*F145</f>
        <v>0</v>
      </c>
      <c r="H145" s="543">
        <f>D145+G145</f>
        <v>1206114</v>
      </c>
      <c r="I145" s="449"/>
      <c r="J145" s="449"/>
    </row>
    <row r="146" spans="1:10" x14ac:dyDescent="0.2">
      <c r="A146" s="1013"/>
      <c r="B146" s="355">
        <v>53103040400000</v>
      </c>
      <c r="C146" s="356" t="s">
        <v>175</v>
      </c>
      <c r="D146" s="544">
        <f>+D144*0.01</f>
        <v>740861.88140000019</v>
      </c>
      <c r="E146" s="545">
        <v>0</v>
      </c>
      <c r="F146" s="546">
        <v>0</v>
      </c>
      <c r="G146" s="541">
        <f>E146*F146</f>
        <v>0</v>
      </c>
      <c r="H146" s="543">
        <f>D146+G146</f>
        <v>740861.88140000019</v>
      </c>
      <c r="I146" s="449"/>
      <c r="J146" s="449"/>
    </row>
    <row r="147" spans="1:10" x14ac:dyDescent="0.2">
      <c r="A147" s="1013"/>
      <c r="B147" s="354">
        <v>53103080010000</v>
      </c>
      <c r="C147" s="539" t="s">
        <v>176</v>
      </c>
      <c r="D147" s="544">
        <v>0</v>
      </c>
      <c r="E147" s="545">
        <v>0</v>
      </c>
      <c r="F147" s="546">
        <v>0</v>
      </c>
      <c r="G147" s="541">
        <f>E147*F147</f>
        <v>0</v>
      </c>
      <c r="H147" s="543">
        <f>D147+G147</f>
        <v>0</v>
      </c>
      <c r="I147" s="449"/>
      <c r="J147" s="449"/>
    </row>
    <row r="148" spans="1:10" x14ac:dyDescent="0.2">
      <c r="A148" s="1013"/>
      <c r="B148" s="353"/>
      <c r="C148" s="535" t="s">
        <v>16</v>
      </c>
      <c r="D148" s="536">
        <f>SUM(D149:D168)</f>
        <v>5726526.2311000004</v>
      </c>
      <c r="E148" s="537"/>
      <c r="F148" s="537"/>
      <c r="G148" s="536">
        <f>SUM(G149:G168)</f>
        <v>10272960</v>
      </c>
      <c r="H148" s="472">
        <f>SUM(H149:H168)</f>
        <v>15999486.2311</v>
      </c>
      <c r="I148" s="885">
        <f>+H148+H175+H177+H186</f>
        <v>23500029.4663</v>
      </c>
      <c r="J148" s="449"/>
    </row>
    <row r="149" spans="1:10" ht="14.25" customHeight="1" x14ac:dyDescent="0.2">
      <c r="A149" s="1013"/>
      <c r="B149" s="354">
        <v>53201010100000</v>
      </c>
      <c r="C149" s="547" t="s">
        <v>177</v>
      </c>
      <c r="D149" s="544">
        <v>0</v>
      </c>
      <c r="E149" s="545">
        <v>2088</v>
      </c>
      <c r="F149" s="546">
        <f>+'H) Detalle Datos'!M11</f>
        <v>2400</v>
      </c>
      <c r="G149" s="541">
        <f t="shared" ref="G149:G168" si="35">E149*F149</f>
        <v>5011200</v>
      </c>
      <c r="H149" s="543">
        <f t="shared" ref="H149:H154" si="36">D149+G149</f>
        <v>5011200</v>
      </c>
      <c r="I149" s="449"/>
      <c r="J149" s="449"/>
    </row>
    <row r="150" spans="1:10" x14ac:dyDescent="0.2">
      <c r="A150" s="1013"/>
      <c r="B150" s="354">
        <v>53201010100000</v>
      </c>
      <c r="C150" s="547" t="s">
        <v>178</v>
      </c>
      <c r="D150" s="544">
        <v>0</v>
      </c>
      <c r="E150" s="545">
        <v>116</v>
      </c>
      <c r="F150" s="546">
        <v>45360</v>
      </c>
      <c r="G150" s="541">
        <f t="shared" si="35"/>
        <v>5261760</v>
      </c>
      <c r="H150" s="543">
        <f t="shared" si="36"/>
        <v>5261760</v>
      </c>
      <c r="I150" s="449"/>
      <c r="J150" s="449"/>
    </row>
    <row r="151" spans="1:10" x14ac:dyDescent="0.2">
      <c r="A151" s="1013"/>
      <c r="B151" s="354">
        <v>53201010100000</v>
      </c>
      <c r="C151" s="547" t="s">
        <v>179</v>
      </c>
      <c r="D151" s="544">
        <v>0</v>
      </c>
      <c r="E151" s="545">
        <v>0</v>
      </c>
      <c r="F151" s="546">
        <v>0</v>
      </c>
      <c r="G151" s="541">
        <f t="shared" si="35"/>
        <v>0</v>
      </c>
      <c r="H151" s="543">
        <f t="shared" si="36"/>
        <v>0</v>
      </c>
      <c r="I151" s="449"/>
      <c r="J151" s="449"/>
    </row>
    <row r="152" spans="1:10" x14ac:dyDescent="0.2">
      <c r="A152" s="1013"/>
      <c r="B152" s="354">
        <v>53202010100000</v>
      </c>
      <c r="C152" s="539" t="s">
        <v>180</v>
      </c>
      <c r="D152" s="541">
        <f t="shared" ref="D152:D168" si="37">+N80</f>
        <v>0</v>
      </c>
      <c r="E152" s="541">
        <v>0</v>
      </c>
      <c r="F152" s="559">
        <v>0</v>
      </c>
      <c r="G152" s="541">
        <f t="shared" si="35"/>
        <v>0</v>
      </c>
      <c r="H152" s="543">
        <f t="shared" si="36"/>
        <v>0</v>
      </c>
      <c r="I152" s="449"/>
      <c r="J152" s="449"/>
    </row>
    <row r="153" spans="1:10" x14ac:dyDescent="0.2">
      <c r="A153" s="1013"/>
      <c r="B153" s="354">
        <v>53203010100000</v>
      </c>
      <c r="C153" s="539" t="s">
        <v>19</v>
      </c>
      <c r="D153" s="541">
        <f t="shared" si="37"/>
        <v>397340.47350000002</v>
      </c>
      <c r="E153" s="541">
        <v>0</v>
      </c>
      <c r="F153" s="559">
        <v>0</v>
      </c>
      <c r="G153" s="541">
        <f t="shared" si="35"/>
        <v>0</v>
      </c>
      <c r="H153" s="543">
        <f t="shared" si="36"/>
        <v>397340.47350000002</v>
      </c>
      <c r="I153" s="449"/>
      <c r="J153" s="449"/>
    </row>
    <row r="154" spans="1:10" x14ac:dyDescent="0.2">
      <c r="A154" s="1013"/>
      <c r="B154" s="354">
        <v>53203030000000</v>
      </c>
      <c r="C154" s="539" t="s">
        <v>181</v>
      </c>
      <c r="D154" s="541">
        <f t="shared" si="37"/>
        <v>0</v>
      </c>
      <c r="E154" s="541">
        <v>0</v>
      </c>
      <c r="F154" s="559">
        <v>0</v>
      </c>
      <c r="G154" s="541">
        <f t="shared" si="35"/>
        <v>0</v>
      </c>
      <c r="H154" s="543">
        <f t="shared" si="36"/>
        <v>0</v>
      </c>
      <c r="I154" s="449"/>
      <c r="J154" s="449"/>
    </row>
    <row r="155" spans="1:10" x14ac:dyDescent="0.2">
      <c r="A155" s="1013"/>
      <c r="B155" s="354">
        <v>53204030000000</v>
      </c>
      <c r="C155" s="539" t="s">
        <v>231</v>
      </c>
      <c r="D155" s="541">
        <f t="shared" si="37"/>
        <v>84000</v>
      </c>
      <c r="E155" s="541">
        <v>0</v>
      </c>
      <c r="F155" s="559">
        <v>0</v>
      </c>
      <c r="G155" s="541">
        <f t="shared" si="35"/>
        <v>0</v>
      </c>
      <c r="H155" s="543">
        <f>D155+G155</f>
        <v>84000</v>
      </c>
      <c r="I155" s="449"/>
      <c r="J155" s="449"/>
    </row>
    <row r="156" spans="1:10" x14ac:dyDescent="0.2">
      <c r="A156" s="1013"/>
      <c r="B156" s="354">
        <v>53204100100001</v>
      </c>
      <c r="C156" s="539" t="s">
        <v>22</v>
      </c>
      <c r="D156" s="541">
        <f t="shared" si="37"/>
        <v>316753.30439999996</v>
      </c>
      <c r="E156" s="541">
        <v>0</v>
      </c>
      <c r="F156" s="559">
        <v>0</v>
      </c>
      <c r="G156" s="541">
        <f t="shared" si="35"/>
        <v>0</v>
      </c>
      <c r="H156" s="543">
        <f t="shared" ref="H156:H168" si="38">D156+G156</f>
        <v>316753.30439999996</v>
      </c>
      <c r="I156" s="449"/>
      <c r="J156" s="449"/>
    </row>
    <row r="157" spans="1:10" x14ac:dyDescent="0.2">
      <c r="A157" s="1013"/>
      <c r="B157" s="354">
        <v>53204130100000</v>
      </c>
      <c r="C157" s="539" t="s">
        <v>183</v>
      </c>
      <c r="D157" s="541">
        <f t="shared" si="37"/>
        <v>0</v>
      </c>
      <c r="E157" s="541">
        <v>0</v>
      </c>
      <c r="F157" s="559">
        <v>0</v>
      </c>
      <c r="G157" s="541">
        <f t="shared" si="35"/>
        <v>0</v>
      </c>
      <c r="H157" s="543">
        <f t="shared" si="38"/>
        <v>0</v>
      </c>
      <c r="I157" s="449"/>
      <c r="J157" s="449"/>
    </row>
    <row r="158" spans="1:10" x14ac:dyDescent="0.2">
      <c r="A158" s="1013"/>
      <c r="B158" s="354">
        <v>53205010100000</v>
      </c>
      <c r="C158" s="539" t="s">
        <v>24</v>
      </c>
      <c r="D158" s="541">
        <f t="shared" si="37"/>
        <v>1565076.76</v>
      </c>
      <c r="E158" s="541">
        <v>0</v>
      </c>
      <c r="F158" s="559">
        <v>0</v>
      </c>
      <c r="G158" s="541">
        <f t="shared" si="35"/>
        <v>0</v>
      </c>
      <c r="H158" s="543">
        <f t="shared" si="38"/>
        <v>1565076.76</v>
      </c>
      <c r="I158" s="449"/>
      <c r="J158" s="449"/>
    </row>
    <row r="159" spans="1:10" x14ac:dyDescent="0.2">
      <c r="A159" s="1013"/>
      <c r="B159" s="354">
        <v>53205020100000</v>
      </c>
      <c r="C159" s="539" t="s">
        <v>25</v>
      </c>
      <c r="D159" s="541">
        <f t="shared" si="37"/>
        <v>234449.42400000003</v>
      </c>
      <c r="E159" s="541">
        <v>0</v>
      </c>
      <c r="F159" s="559">
        <v>0</v>
      </c>
      <c r="G159" s="541">
        <f t="shared" si="35"/>
        <v>0</v>
      </c>
      <c r="H159" s="543">
        <f t="shared" si="38"/>
        <v>234449.42400000003</v>
      </c>
      <c r="I159" s="449"/>
      <c r="J159" s="449"/>
    </row>
    <row r="160" spans="1:10" x14ac:dyDescent="0.2">
      <c r="A160" s="1013"/>
      <c r="B160" s="354">
        <v>53205030100000</v>
      </c>
      <c r="C160" s="539" t="s">
        <v>26</v>
      </c>
      <c r="D160" s="541">
        <f t="shared" si="37"/>
        <v>1644815.2500000002</v>
      </c>
      <c r="E160" s="541">
        <v>0</v>
      </c>
      <c r="F160" s="559">
        <v>0</v>
      </c>
      <c r="G160" s="541">
        <f t="shared" si="35"/>
        <v>0</v>
      </c>
      <c r="H160" s="543">
        <f t="shared" si="38"/>
        <v>1644815.2500000002</v>
      </c>
      <c r="I160" s="449"/>
      <c r="J160" s="449"/>
    </row>
    <row r="161" spans="1:12" x14ac:dyDescent="0.2">
      <c r="A161" s="1013"/>
      <c r="B161" s="354">
        <v>53205050100000</v>
      </c>
      <c r="C161" s="539" t="s">
        <v>27</v>
      </c>
      <c r="D161" s="541">
        <f t="shared" si="37"/>
        <v>0</v>
      </c>
      <c r="E161" s="541">
        <v>0</v>
      </c>
      <c r="F161" s="559">
        <v>0</v>
      </c>
      <c r="G161" s="541">
        <f t="shared" si="35"/>
        <v>0</v>
      </c>
      <c r="H161" s="543">
        <f t="shared" si="38"/>
        <v>0</v>
      </c>
      <c r="I161" s="449"/>
      <c r="J161" s="449"/>
    </row>
    <row r="162" spans="1:12" x14ac:dyDescent="0.2">
      <c r="A162" s="1013"/>
      <c r="B162" s="354">
        <v>53205070100000</v>
      </c>
      <c r="C162" s="539" t="s">
        <v>29</v>
      </c>
      <c r="D162" s="541">
        <f t="shared" si="37"/>
        <v>274392</v>
      </c>
      <c r="E162" s="541">
        <v>0</v>
      </c>
      <c r="F162" s="559">
        <v>0</v>
      </c>
      <c r="G162" s="541">
        <f t="shared" si="35"/>
        <v>0</v>
      </c>
      <c r="H162" s="543">
        <f t="shared" si="38"/>
        <v>274392</v>
      </c>
      <c r="I162" s="449"/>
      <c r="J162" s="449"/>
    </row>
    <row r="163" spans="1:12" x14ac:dyDescent="0.2">
      <c r="A163" s="1013"/>
      <c r="B163" s="354">
        <v>53208010100000</v>
      </c>
      <c r="C163" s="539" t="s">
        <v>30</v>
      </c>
      <c r="D163" s="541">
        <f t="shared" si="37"/>
        <v>370800</v>
      </c>
      <c r="E163" s="541">
        <v>0</v>
      </c>
      <c r="F163" s="559">
        <v>0</v>
      </c>
      <c r="G163" s="541">
        <f t="shared" si="35"/>
        <v>0</v>
      </c>
      <c r="H163" s="543">
        <f t="shared" si="38"/>
        <v>370800</v>
      </c>
      <c r="I163" s="449"/>
      <c r="J163" s="449"/>
    </row>
    <row r="164" spans="1:12" ht="12" customHeight="1" x14ac:dyDescent="0.2">
      <c r="A164" s="1013"/>
      <c r="B164" s="354">
        <v>53208070100001</v>
      </c>
      <c r="C164" s="539" t="s">
        <v>31</v>
      </c>
      <c r="D164" s="541">
        <f t="shared" si="37"/>
        <v>60000</v>
      </c>
      <c r="E164" s="541">
        <v>0</v>
      </c>
      <c r="F164" s="559">
        <v>0</v>
      </c>
      <c r="G164" s="541">
        <f t="shared" si="35"/>
        <v>0</v>
      </c>
      <c r="H164" s="543">
        <f t="shared" si="38"/>
        <v>60000</v>
      </c>
      <c r="I164" s="449"/>
      <c r="J164" s="449"/>
    </row>
    <row r="165" spans="1:12" x14ac:dyDescent="0.2">
      <c r="A165" s="1013"/>
      <c r="B165" s="354">
        <v>53208100100001</v>
      </c>
      <c r="C165" s="539" t="s">
        <v>184</v>
      </c>
      <c r="D165" s="541">
        <f t="shared" si="37"/>
        <v>0</v>
      </c>
      <c r="E165" s="541">
        <v>0</v>
      </c>
      <c r="F165" s="559">
        <v>0</v>
      </c>
      <c r="G165" s="541">
        <f t="shared" si="35"/>
        <v>0</v>
      </c>
      <c r="H165" s="543">
        <f t="shared" si="38"/>
        <v>0</v>
      </c>
      <c r="I165" s="449"/>
      <c r="J165" s="449"/>
    </row>
    <row r="166" spans="1:12" x14ac:dyDescent="0.2">
      <c r="A166" s="1013"/>
      <c r="B166" s="354">
        <v>53211030000000</v>
      </c>
      <c r="C166" s="539" t="s">
        <v>32</v>
      </c>
      <c r="D166" s="541">
        <f t="shared" si="37"/>
        <v>0</v>
      </c>
      <c r="E166" s="541">
        <v>0</v>
      </c>
      <c r="F166" s="559">
        <v>0</v>
      </c>
      <c r="G166" s="541">
        <f t="shared" si="35"/>
        <v>0</v>
      </c>
      <c r="H166" s="543">
        <f t="shared" si="38"/>
        <v>0</v>
      </c>
      <c r="I166" s="449"/>
      <c r="J166" s="449"/>
      <c r="L166" s="4" t="s">
        <v>236</v>
      </c>
    </row>
    <row r="167" spans="1:12" x14ac:dyDescent="0.2">
      <c r="A167" s="1013"/>
      <c r="B167" s="354">
        <v>53212020100000</v>
      </c>
      <c r="C167" s="539" t="s">
        <v>185</v>
      </c>
      <c r="D167" s="541">
        <f t="shared" si="37"/>
        <v>778899.01919999986</v>
      </c>
      <c r="E167" s="541">
        <v>0</v>
      </c>
      <c r="F167" s="559">
        <v>0</v>
      </c>
      <c r="G167" s="541">
        <f t="shared" si="35"/>
        <v>0</v>
      </c>
      <c r="H167" s="543">
        <f t="shared" si="38"/>
        <v>778899.01919999986</v>
      </c>
      <c r="I167" s="449"/>
      <c r="J167" s="449"/>
    </row>
    <row r="168" spans="1:12" x14ac:dyDescent="0.2">
      <c r="A168" s="1013"/>
      <c r="B168" s="354">
        <v>53214020000000</v>
      </c>
      <c r="C168" s="539" t="s">
        <v>186</v>
      </c>
      <c r="D168" s="541">
        <f t="shared" si="37"/>
        <v>0</v>
      </c>
      <c r="E168" s="541">
        <v>0</v>
      </c>
      <c r="F168" s="559">
        <v>0</v>
      </c>
      <c r="G168" s="541">
        <f t="shared" si="35"/>
        <v>0</v>
      </c>
      <c r="H168" s="543">
        <f t="shared" si="38"/>
        <v>0</v>
      </c>
      <c r="I168" s="449"/>
      <c r="J168" s="449"/>
    </row>
    <row r="169" spans="1:12" x14ac:dyDescent="0.2">
      <c r="A169" s="1013"/>
      <c r="B169" s="548"/>
      <c r="C169" s="549" t="s">
        <v>34</v>
      </c>
      <c r="D169" s="565">
        <f>SUM(D170,D175,D177,D186,D195,D203)</f>
        <v>8651617.3932000007</v>
      </c>
      <c r="E169" s="550"/>
      <c r="F169" s="550"/>
      <c r="G169" s="565">
        <f>SUM(G170,G175,G177,G186,G195,G203)</f>
        <v>924168</v>
      </c>
      <c r="H169" s="477">
        <f>SUM(H170,H175,H177,H186,H195,H203)</f>
        <v>9575785.3931999989</v>
      </c>
      <c r="I169" s="449"/>
      <c r="J169" s="449"/>
    </row>
    <row r="170" spans="1:12" x14ac:dyDescent="0.2">
      <c r="A170" s="1013"/>
      <c r="B170" s="353"/>
      <c r="C170" s="535" t="s">
        <v>35</v>
      </c>
      <c r="D170" s="536">
        <f>SUM(D171:D174)</f>
        <v>720000</v>
      </c>
      <c r="E170" s="537"/>
      <c r="F170" s="537"/>
      <c r="G170" s="536">
        <f>SUM(G171:G174)</f>
        <v>430000</v>
      </c>
      <c r="H170" s="551">
        <f>SUM(H171:H174)</f>
        <v>1150000</v>
      </c>
      <c r="I170" s="449"/>
      <c r="J170" s="449"/>
    </row>
    <row r="171" spans="1:12" x14ac:dyDescent="0.2">
      <c r="A171" s="1013"/>
      <c r="B171" s="354">
        <v>53202020100000</v>
      </c>
      <c r="C171" s="539" t="s">
        <v>187</v>
      </c>
      <c r="D171" s="544">
        <v>0</v>
      </c>
      <c r="E171" s="545">
        <v>30000</v>
      </c>
      <c r="F171" s="552">
        <v>12</v>
      </c>
      <c r="G171" s="541">
        <f>E171*F171</f>
        <v>360000</v>
      </c>
      <c r="H171" s="543">
        <f t="shared" ref="H171:H174" si="39">D171+G171</f>
        <v>360000</v>
      </c>
      <c r="I171" s="449"/>
      <c r="J171" s="449"/>
    </row>
    <row r="172" spans="1:12" x14ac:dyDescent="0.2">
      <c r="A172" s="1013"/>
      <c r="B172" s="354">
        <v>53202030000000</v>
      </c>
      <c r="C172" s="539" t="s">
        <v>188</v>
      </c>
      <c r="D172" s="544">
        <v>0</v>
      </c>
      <c r="E172" s="545">
        <v>35000</v>
      </c>
      <c r="F172" s="552">
        <v>2</v>
      </c>
      <c r="G172" s="541">
        <f t="shared" ref="G172:G174" si="40">E172*F172</f>
        <v>70000</v>
      </c>
      <c r="H172" s="543">
        <f t="shared" si="39"/>
        <v>70000</v>
      </c>
      <c r="I172" s="449"/>
      <c r="J172" s="449"/>
    </row>
    <row r="173" spans="1:12" x14ac:dyDescent="0.2">
      <c r="A173" s="1013"/>
      <c r="B173" s="354">
        <v>53211020000000</v>
      </c>
      <c r="C173" s="539" t="s">
        <v>41</v>
      </c>
      <c r="D173" s="553">
        <f>+N99</f>
        <v>720000</v>
      </c>
      <c r="E173" s="553">
        <v>0</v>
      </c>
      <c r="F173" s="554">
        <v>0</v>
      </c>
      <c r="G173" s="541">
        <f t="shared" si="40"/>
        <v>0</v>
      </c>
      <c r="H173" s="543">
        <f t="shared" si="39"/>
        <v>720000</v>
      </c>
      <c r="I173" s="449"/>
      <c r="J173" s="449"/>
    </row>
    <row r="174" spans="1:12" x14ac:dyDescent="0.2">
      <c r="A174" s="1013"/>
      <c r="B174" s="354">
        <v>53101040600000</v>
      </c>
      <c r="C174" s="539" t="s">
        <v>189</v>
      </c>
      <c r="D174" s="553">
        <f>+N100</f>
        <v>0</v>
      </c>
      <c r="E174" s="553">
        <v>0</v>
      </c>
      <c r="F174" s="554">
        <v>0</v>
      </c>
      <c r="G174" s="541">
        <f t="shared" si="40"/>
        <v>0</v>
      </c>
      <c r="H174" s="543">
        <f t="shared" si="39"/>
        <v>0</v>
      </c>
      <c r="I174" s="449"/>
      <c r="J174" s="449"/>
    </row>
    <row r="175" spans="1:12" x14ac:dyDescent="0.2">
      <c r="A175" s="1013"/>
      <c r="B175" s="353"/>
      <c r="C175" s="535" t="s">
        <v>42</v>
      </c>
      <c r="D175" s="536">
        <f>SUM(D176)</f>
        <v>0</v>
      </c>
      <c r="E175" s="537"/>
      <c r="F175" s="537"/>
      <c r="G175" s="555">
        <f>SUM(G176:G176)</f>
        <v>0</v>
      </c>
      <c r="H175" s="551">
        <f>SUM(H176:H176)</f>
        <v>0</v>
      </c>
      <c r="I175" s="449"/>
      <c r="J175" s="449"/>
    </row>
    <row r="176" spans="1:12" x14ac:dyDescent="0.2">
      <c r="A176" s="1013"/>
      <c r="B176" s="357">
        <v>53205990000000</v>
      </c>
      <c r="C176" s="539" t="s">
        <v>44</v>
      </c>
      <c r="D176" s="553">
        <f>+N102</f>
        <v>0</v>
      </c>
      <c r="E176" s="553">
        <v>0</v>
      </c>
      <c r="F176" s="554">
        <v>0</v>
      </c>
      <c r="G176" s="541">
        <f t="shared" ref="G176" si="41">E176*F176</f>
        <v>0</v>
      </c>
      <c r="H176" s="543">
        <f t="shared" ref="H176" si="42">D176+G176</f>
        <v>0</v>
      </c>
      <c r="I176" s="449"/>
      <c r="J176" s="449"/>
    </row>
    <row r="177" spans="1:10" x14ac:dyDescent="0.2">
      <c r="A177" s="1013"/>
      <c r="B177" s="353"/>
      <c r="C177" s="535" t="s">
        <v>45</v>
      </c>
      <c r="D177" s="536">
        <f>SUM(D178:D185)</f>
        <v>5715657.0899999999</v>
      </c>
      <c r="E177" s="537"/>
      <c r="F177" s="537"/>
      <c r="G177" s="536">
        <f>SUM(G178:G185)</f>
        <v>0</v>
      </c>
      <c r="H177" s="551">
        <f>SUM(H178:H185)</f>
        <v>5715657.0899999999</v>
      </c>
      <c r="I177" s="449"/>
      <c r="J177" s="449"/>
    </row>
    <row r="178" spans="1:10" x14ac:dyDescent="0.2">
      <c r="A178" s="1013"/>
      <c r="B178" s="354">
        <v>53204010000000</v>
      </c>
      <c r="C178" s="539" t="s">
        <v>47</v>
      </c>
      <c r="D178" s="553">
        <f t="shared" ref="D178:D185" si="43">+N104</f>
        <v>355291.29</v>
      </c>
      <c r="E178" s="553">
        <v>0</v>
      </c>
      <c r="F178" s="554">
        <v>0</v>
      </c>
      <c r="G178" s="553">
        <f t="shared" ref="G178:G185" si="44">E178*F178</f>
        <v>0</v>
      </c>
      <c r="H178" s="543">
        <f t="shared" ref="H178:H185" si="45">D178+G178</f>
        <v>355291.29</v>
      </c>
      <c r="I178" s="449"/>
      <c r="J178" s="449"/>
    </row>
    <row r="179" spans="1:10" x14ac:dyDescent="0.2">
      <c r="A179" s="1013"/>
      <c r="B179" s="357">
        <v>53204040200000</v>
      </c>
      <c r="C179" s="539" t="s">
        <v>232</v>
      </c>
      <c r="D179" s="553">
        <f t="shared" si="43"/>
        <v>0</v>
      </c>
      <c r="E179" s="553">
        <v>0</v>
      </c>
      <c r="F179" s="554">
        <v>0</v>
      </c>
      <c r="G179" s="553">
        <f t="shared" si="44"/>
        <v>0</v>
      </c>
      <c r="H179" s="543">
        <f t="shared" si="45"/>
        <v>0</v>
      </c>
      <c r="I179" s="449"/>
      <c r="J179" s="449"/>
    </row>
    <row r="180" spans="1:10" x14ac:dyDescent="0.2">
      <c r="A180" s="1013"/>
      <c r="B180" s="354">
        <v>53204060000000</v>
      </c>
      <c r="C180" s="539" t="s">
        <v>49</v>
      </c>
      <c r="D180" s="553">
        <f t="shared" si="43"/>
        <v>0</v>
      </c>
      <c r="E180" s="553">
        <v>0</v>
      </c>
      <c r="F180" s="554">
        <v>0</v>
      </c>
      <c r="G180" s="553">
        <f t="shared" si="44"/>
        <v>0</v>
      </c>
      <c r="H180" s="543">
        <f t="shared" si="45"/>
        <v>0</v>
      </c>
      <c r="I180" s="449"/>
      <c r="J180" s="449"/>
    </row>
    <row r="181" spans="1:10" x14ac:dyDescent="0.2">
      <c r="A181" s="1013"/>
      <c r="B181" s="354">
        <v>53204070000000</v>
      </c>
      <c r="C181" s="539" t="s">
        <v>50</v>
      </c>
      <c r="D181" s="553">
        <v>4520365.8</v>
      </c>
      <c r="E181" s="553">
        <v>0</v>
      </c>
      <c r="F181" s="554">
        <v>0</v>
      </c>
      <c r="G181" s="553">
        <f t="shared" si="44"/>
        <v>0</v>
      </c>
      <c r="H181" s="543">
        <f t="shared" si="45"/>
        <v>4520365.8</v>
      </c>
      <c r="I181" s="449"/>
      <c r="J181" s="449"/>
    </row>
    <row r="182" spans="1:10" x14ac:dyDescent="0.2">
      <c r="A182" s="1013"/>
      <c r="B182" s="354">
        <v>53204080000000</v>
      </c>
      <c r="C182" s="539" t="s">
        <v>51</v>
      </c>
      <c r="D182" s="553">
        <f t="shared" si="43"/>
        <v>600000</v>
      </c>
      <c r="E182" s="553">
        <v>0</v>
      </c>
      <c r="F182" s="554">
        <v>0</v>
      </c>
      <c r="G182" s="553">
        <f t="shared" si="44"/>
        <v>0</v>
      </c>
      <c r="H182" s="543">
        <f t="shared" si="45"/>
        <v>600000</v>
      </c>
      <c r="I182" s="449"/>
      <c r="J182" s="449"/>
    </row>
    <row r="183" spans="1:10" x14ac:dyDescent="0.2">
      <c r="A183" s="1013"/>
      <c r="B183" s="354">
        <v>53214010000000</v>
      </c>
      <c r="C183" s="539" t="s">
        <v>52</v>
      </c>
      <c r="D183" s="553">
        <f t="shared" si="43"/>
        <v>240000</v>
      </c>
      <c r="E183" s="556">
        <v>0</v>
      </c>
      <c r="F183" s="554">
        <v>0</v>
      </c>
      <c r="G183" s="553">
        <f t="shared" si="44"/>
        <v>0</v>
      </c>
      <c r="H183" s="543">
        <f t="shared" si="45"/>
        <v>240000</v>
      </c>
      <c r="I183" s="449"/>
      <c r="J183" s="449"/>
    </row>
    <row r="184" spans="1:10" x14ac:dyDescent="0.2">
      <c r="A184" s="1013"/>
      <c r="B184" s="354">
        <v>53214040000000</v>
      </c>
      <c r="C184" s="539" t="s">
        <v>190</v>
      </c>
      <c r="D184" s="553">
        <f t="shared" si="43"/>
        <v>0</v>
      </c>
      <c r="E184" s="556">
        <v>0</v>
      </c>
      <c r="F184" s="554">
        <v>0</v>
      </c>
      <c r="G184" s="553">
        <f t="shared" si="44"/>
        <v>0</v>
      </c>
      <c r="H184" s="543">
        <f t="shared" si="45"/>
        <v>0</v>
      </c>
      <c r="I184" s="449"/>
      <c r="J184" s="449"/>
    </row>
    <row r="185" spans="1:10" x14ac:dyDescent="0.2">
      <c r="A185" s="1013"/>
      <c r="B185" s="355">
        <v>53204020100000</v>
      </c>
      <c r="C185" s="539" t="s">
        <v>182</v>
      </c>
      <c r="D185" s="553">
        <f t="shared" si="43"/>
        <v>0</v>
      </c>
      <c r="E185" s="553">
        <v>0</v>
      </c>
      <c r="F185" s="554">
        <v>0</v>
      </c>
      <c r="G185" s="553">
        <f t="shared" si="44"/>
        <v>0</v>
      </c>
      <c r="H185" s="543">
        <f t="shared" si="45"/>
        <v>0</v>
      </c>
      <c r="I185" s="449"/>
      <c r="J185" s="449"/>
    </row>
    <row r="186" spans="1:10" x14ac:dyDescent="0.2">
      <c r="A186" s="1013"/>
      <c r="B186" s="353"/>
      <c r="C186" s="535" t="s">
        <v>55</v>
      </c>
      <c r="D186" s="536">
        <f>SUM(D187:D194)</f>
        <v>1490718.1452000001</v>
      </c>
      <c r="E186" s="537"/>
      <c r="F186" s="537"/>
      <c r="G186" s="536">
        <f>SUM(G187:G194)</f>
        <v>294168</v>
      </c>
      <c r="H186" s="472">
        <f>SUM(H187:H194)</f>
        <v>1784886.1452000001</v>
      </c>
      <c r="I186" s="449"/>
      <c r="J186" s="449"/>
    </row>
    <row r="187" spans="1:10" x14ac:dyDescent="0.2">
      <c r="A187" s="1013"/>
      <c r="B187" s="354">
        <v>53207010000000</v>
      </c>
      <c r="C187" s="539" t="s">
        <v>56</v>
      </c>
      <c r="D187" s="553">
        <f>+N113</f>
        <v>0</v>
      </c>
      <c r="E187" s="553">
        <v>0</v>
      </c>
      <c r="F187" s="554">
        <v>0</v>
      </c>
      <c r="G187" s="553">
        <f t="shared" ref="G187:G194" si="46">E187*F187</f>
        <v>0</v>
      </c>
      <c r="H187" s="543">
        <f t="shared" ref="H187:H194" si="47">D187+G187</f>
        <v>0</v>
      </c>
      <c r="I187" s="449"/>
      <c r="J187" s="449"/>
    </row>
    <row r="188" spans="1:10" x14ac:dyDescent="0.2">
      <c r="A188" s="1013"/>
      <c r="B188" s="354">
        <v>53207020000000</v>
      </c>
      <c r="C188" s="539" t="s">
        <v>57</v>
      </c>
      <c r="D188" s="553">
        <f>+N114</f>
        <v>358283.27520000009</v>
      </c>
      <c r="E188" s="553">
        <v>0</v>
      </c>
      <c r="F188" s="554">
        <v>0</v>
      </c>
      <c r="G188" s="553">
        <f t="shared" si="46"/>
        <v>0</v>
      </c>
      <c r="H188" s="543">
        <f t="shared" si="47"/>
        <v>358283.27520000009</v>
      </c>
      <c r="I188" s="449"/>
      <c r="J188" s="449"/>
    </row>
    <row r="189" spans="1:10" x14ac:dyDescent="0.2">
      <c r="A189" s="1013"/>
      <c r="B189" s="354">
        <v>53208020000000</v>
      </c>
      <c r="C189" s="539" t="s">
        <v>173</v>
      </c>
      <c r="D189" s="553">
        <f>+N115</f>
        <v>0</v>
      </c>
      <c r="E189" s="553">
        <v>0</v>
      </c>
      <c r="F189" s="554">
        <v>0</v>
      </c>
      <c r="G189" s="553">
        <f t="shared" si="46"/>
        <v>0</v>
      </c>
      <c r="H189" s="543">
        <f t="shared" si="47"/>
        <v>0</v>
      </c>
      <c r="I189" s="449"/>
      <c r="J189" s="449"/>
    </row>
    <row r="190" spans="1:10" x14ac:dyDescent="0.2">
      <c r="A190" s="1013"/>
      <c r="B190" s="354">
        <v>53208990000000</v>
      </c>
      <c r="C190" s="539" t="s">
        <v>191</v>
      </c>
      <c r="D190" s="553">
        <f>+N116</f>
        <v>552000</v>
      </c>
      <c r="E190" s="553">
        <v>0</v>
      </c>
      <c r="F190" s="554">
        <v>0</v>
      </c>
      <c r="G190" s="553">
        <f t="shared" si="46"/>
        <v>0</v>
      </c>
      <c r="H190" s="543">
        <f t="shared" si="47"/>
        <v>552000</v>
      </c>
      <c r="I190" s="449"/>
      <c r="J190" s="449"/>
    </row>
    <row r="191" spans="1:10" x14ac:dyDescent="0.2">
      <c r="A191" s="1013"/>
      <c r="B191" s="355">
        <v>53210020300000</v>
      </c>
      <c r="C191" s="539" t="s">
        <v>193</v>
      </c>
      <c r="D191" s="557">
        <v>0</v>
      </c>
      <c r="E191" s="557">
        <v>7004</v>
      </c>
      <c r="F191" s="558">
        <v>42</v>
      </c>
      <c r="G191" s="541">
        <f t="shared" si="46"/>
        <v>294168</v>
      </c>
      <c r="H191" s="543">
        <f>D191+G191</f>
        <v>294168</v>
      </c>
      <c r="I191" s="449"/>
      <c r="J191" s="449"/>
    </row>
    <row r="192" spans="1:10" x14ac:dyDescent="0.2">
      <c r="A192" s="1013"/>
      <c r="B192" s="354">
        <v>53208990000000</v>
      </c>
      <c r="C192" s="539" t="s">
        <v>194</v>
      </c>
      <c r="D192" s="541">
        <f>+N117</f>
        <v>0</v>
      </c>
      <c r="E192" s="541">
        <v>0</v>
      </c>
      <c r="F192" s="559">
        <v>0</v>
      </c>
      <c r="G192" s="541">
        <f t="shared" si="46"/>
        <v>0</v>
      </c>
      <c r="H192" s="543">
        <f>D192+G192</f>
        <v>0</v>
      </c>
      <c r="I192" s="449"/>
      <c r="J192" s="449"/>
    </row>
    <row r="193" spans="1:10" x14ac:dyDescent="0.2">
      <c r="A193" s="1013"/>
      <c r="B193" s="354">
        <v>53209990000000</v>
      </c>
      <c r="C193" s="539" t="s">
        <v>192</v>
      </c>
      <c r="D193" s="541">
        <f t="shared" ref="D193:D194" si="48">+N118</f>
        <v>0</v>
      </c>
      <c r="E193" s="541">
        <v>0</v>
      </c>
      <c r="F193" s="559">
        <v>0</v>
      </c>
      <c r="G193" s="541">
        <f t="shared" si="46"/>
        <v>0</v>
      </c>
      <c r="H193" s="543">
        <f t="shared" si="47"/>
        <v>0</v>
      </c>
      <c r="I193" s="449"/>
      <c r="J193" s="449"/>
    </row>
    <row r="194" spans="1:10" x14ac:dyDescent="0.2">
      <c r="A194" s="1013"/>
      <c r="B194" s="354">
        <v>53210020100000</v>
      </c>
      <c r="C194" s="539" t="s">
        <v>64</v>
      </c>
      <c r="D194" s="541">
        <f t="shared" si="48"/>
        <v>580434.87</v>
      </c>
      <c r="E194" s="541">
        <v>0</v>
      </c>
      <c r="F194" s="559">
        <v>0</v>
      </c>
      <c r="G194" s="541">
        <f t="shared" si="46"/>
        <v>0</v>
      </c>
      <c r="H194" s="543">
        <f t="shared" si="47"/>
        <v>580434.87</v>
      </c>
      <c r="I194" s="449"/>
      <c r="J194" s="449"/>
    </row>
    <row r="195" spans="1:10" x14ac:dyDescent="0.2">
      <c r="A195" s="1013"/>
      <c r="B195" s="353"/>
      <c r="C195" s="535" t="s">
        <v>65</v>
      </c>
      <c r="D195" s="536">
        <f>SUM(D196:D202)</f>
        <v>725242.15799999994</v>
      </c>
      <c r="E195" s="537"/>
      <c r="F195" s="537"/>
      <c r="G195" s="536">
        <f>SUM(G196:G202)</f>
        <v>0</v>
      </c>
      <c r="H195" s="472">
        <f>SUM(H196:H202)</f>
        <v>725242.15799999994</v>
      </c>
      <c r="I195" s="449"/>
      <c r="J195" s="449"/>
    </row>
    <row r="196" spans="1:10" x14ac:dyDescent="0.2">
      <c r="A196" s="1013"/>
      <c r="B196" s="354">
        <v>53206030000000</v>
      </c>
      <c r="C196" s="539" t="s">
        <v>99</v>
      </c>
      <c r="D196" s="553">
        <f>+N121</f>
        <v>0</v>
      </c>
      <c r="E196" s="553">
        <v>0</v>
      </c>
      <c r="F196" s="554">
        <v>0</v>
      </c>
      <c r="G196" s="541">
        <f t="shared" ref="G196:G202" si="49">E196*F196</f>
        <v>0</v>
      </c>
      <c r="H196" s="543">
        <f t="shared" ref="H196:H202" si="50">D196+G196</f>
        <v>0</v>
      </c>
      <c r="I196" s="449"/>
      <c r="J196" s="449"/>
    </row>
    <row r="197" spans="1:10" x14ac:dyDescent="0.2">
      <c r="A197" s="1013"/>
      <c r="B197" s="354">
        <v>53206040000000</v>
      </c>
      <c r="C197" s="539" t="s">
        <v>100</v>
      </c>
      <c r="D197" s="553">
        <f t="shared" ref="D197:D202" si="51">+N122</f>
        <v>0</v>
      </c>
      <c r="E197" s="553">
        <v>0</v>
      </c>
      <c r="F197" s="554">
        <v>0</v>
      </c>
      <c r="G197" s="541">
        <f t="shared" si="49"/>
        <v>0</v>
      </c>
      <c r="H197" s="543">
        <f t="shared" si="50"/>
        <v>0</v>
      </c>
      <c r="I197" s="449"/>
      <c r="J197" s="449"/>
    </row>
    <row r="198" spans="1:10" x14ac:dyDescent="0.2">
      <c r="A198" s="1013"/>
      <c r="B198" s="354">
        <v>53206060000000</v>
      </c>
      <c r="C198" s="539" t="s">
        <v>195</v>
      </c>
      <c r="D198" s="553">
        <f t="shared" si="51"/>
        <v>0</v>
      </c>
      <c r="E198" s="553">
        <v>0</v>
      </c>
      <c r="F198" s="554">
        <v>0</v>
      </c>
      <c r="G198" s="541">
        <f t="shared" si="49"/>
        <v>0</v>
      </c>
      <c r="H198" s="543">
        <f t="shared" si="50"/>
        <v>0</v>
      </c>
      <c r="I198" s="449"/>
      <c r="J198" s="449"/>
    </row>
    <row r="199" spans="1:10" x14ac:dyDescent="0.2">
      <c r="A199" s="1013"/>
      <c r="B199" s="354">
        <v>53206070000000</v>
      </c>
      <c r="C199" s="539" t="s">
        <v>102</v>
      </c>
      <c r="D199" s="553">
        <v>0</v>
      </c>
      <c r="E199" s="553">
        <v>0</v>
      </c>
      <c r="F199" s="554">
        <v>0</v>
      </c>
      <c r="G199" s="541">
        <f t="shared" si="49"/>
        <v>0</v>
      </c>
      <c r="H199" s="543">
        <f t="shared" si="50"/>
        <v>0</v>
      </c>
      <c r="I199" s="449"/>
      <c r="J199" s="449"/>
    </row>
    <row r="200" spans="1:10" x14ac:dyDescent="0.2">
      <c r="A200" s="1013"/>
      <c r="B200" s="354">
        <v>53206990000000</v>
      </c>
      <c r="C200" s="539" t="s">
        <v>196</v>
      </c>
      <c r="D200" s="553">
        <f t="shared" si="51"/>
        <v>0</v>
      </c>
      <c r="E200" s="553">
        <v>0</v>
      </c>
      <c r="F200" s="554">
        <v>0</v>
      </c>
      <c r="G200" s="541">
        <f t="shared" si="49"/>
        <v>0</v>
      </c>
      <c r="H200" s="543">
        <f t="shared" si="50"/>
        <v>0</v>
      </c>
      <c r="I200" s="449"/>
      <c r="J200" s="449"/>
    </row>
    <row r="201" spans="1:10" x14ac:dyDescent="0.2">
      <c r="A201" s="1013"/>
      <c r="B201" s="354">
        <v>53208030000000</v>
      </c>
      <c r="C201" s="539" t="s">
        <v>104</v>
      </c>
      <c r="D201" s="553">
        <f t="shared" si="51"/>
        <v>0</v>
      </c>
      <c r="E201" s="553">
        <v>0</v>
      </c>
      <c r="F201" s="554">
        <v>0</v>
      </c>
      <c r="G201" s="541">
        <f t="shared" si="49"/>
        <v>0</v>
      </c>
      <c r="H201" s="543">
        <f t="shared" si="50"/>
        <v>0</v>
      </c>
      <c r="I201" s="449"/>
      <c r="J201" s="449"/>
    </row>
    <row r="202" spans="1:10" x14ac:dyDescent="0.2">
      <c r="A202" s="1013"/>
      <c r="B202" s="354">
        <v>53206990000000</v>
      </c>
      <c r="C202" s="539" t="s">
        <v>233</v>
      </c>
      <c r="D202" s="553">
        <f t="shared" si="51"/>
        <v>725242.15799999994</v>
      </c>
      <c r="E202" s="553">
        <v>0</v>
      </c>
      <c r="F202" s="554">
        <v>0</v>
      </c>
      <c r="G202" s="541">
        <f t="shared" si="49"/>
        <v>0</v>
      </c>
      <c r="H202" s="543">
        <f t="shared" si="50"/>
        <v>725242.15799999994</v>
      </c>
      <c r="I202" s="449"/>
      <c r="J202" s="449"/>
    </row>
    <row r="203" spans="1:10" x14ac:dyDescent="0.2">
      <c r="A203" s="1013"/>
      <c r="B203" s="353"/>
      <c r="C203" s="535" t="s">
        <v>66</v>
      </c>
      <c r="D203" s="536">
        <f>SUM(D204:D204)</f>
        <v>0</v>
      </c>
      <c r="E203" s="537"/>
      <c r="F203" s="537"/>
      <c r="G203" s="536">
        <f>SUM(G204:G204)</f>
        <v>200000</v>
      </c>
      <c r="H203" s="472">
        <f>SUM(H204:H204)</f>
        <v>200000</v>
      </c>
      <c r="I203" s="449"/>
      <c r="J203" s="449"/>
    </row>
    <row r="204" spans="1:10" x14ac:dyDescent="0.2">
      <c r="A204" s="1013"/>
      <c r="B204" s="358"/>
      <c r="C204" s="560" t="s">
        <v>234</v>
      </c>
      <c r="D204" s="544">
        <v>0</v>
      </c>
      <c r="E204" s="544">
        <v>10000</v>
      </c>
      <c r="F204" s="552">
        <v>20</v>
      </c>
      <c r="G204" s="541">
        <f t="shared" ref="G204" si="52">E204*F204</f>
        <v>200000</v>
      </c>
      <c r="H204" s="561">
        <f t="shared" ref="H204" si="53">D204+G204</f>
        <v>200000</v>
      </c>
      <c r="I204" s="568" t="s">
        <v>238</v>
      </c>
      <c r="J204" s="566">
        <f>+H202+H201+H200+H199+H198+H197+H196+H194+H193+H192+H191+H190+H189+H188+H187+H185+H182+H181+H180+H179+H178+H176+H174+H173+H167+H166+H165+H163+H162+H161+H160+H159+H158+H157+H156+H155+H154+H153</f>
        <v>14372311.624299999</v>
      </c>
    </row>
    <row r="205" spans="1:10" ht="13.5" thickBot="1" x14ac:dyDescent="0.25">
      <c r="A205" s="1024"/>
      <c r="B205" s="562"/>
      <c r="C205" s="563" t="s">
        <v>105</v>
      </c>
      <c r="D205" s="487">
        <f>SUM(D142,D169)</f>
        <v>90411307.645700023</v>
      </c>
      <c r="E205" s="488"/>
      <c r="F205" s="488"/>
      <c r="G205" s="487">
        <f>SUM(G142,G169)</f>
        <v>11197128</v>
      </c>
      <c r="H205" s="564">
        <f>SUM(H142,H169)</f>
        <v>101608435.64570002</v>
      </c>
      <c r="I205" s="569" t="s">
        <v>239</v>
      </c>
      <c r="J205" s="567">
        <f>+H205-J204</f>
        <v>87236124.02140002</v>
      </c>
    </row>
    <row r="206" spans="1:10" x14ac:dyDescent="0.2">
      <c r="A206" s="1025" t="s">
        <v>81</v>
      </c>
      <c r="B206" s="1027" t="s">
        <v>75</v>
      </c>
      <c r="C206" s="1029" t="s">
        <v>76</v>
      </c>
      <c r="D206" s="1031" t="s">
        <v>77</v>
      </c>
      <c r="E206" s="1033" t="s">
        <v>78</v>
      </c>
      <c r="F206" s="1033"/>
      <c r="G206" s="1033"/>
      <c r="H206" s="1022" t="s">
        <v>235</v>
      </c>
    </row>
    <row r="207" spans="1:10" ht="26.25" thickBot="1" x14ac:dyDescent="0.25">
      <c r="A207" s="1026"/>
      <c r="B207" s="1028"/>
      <c r="C207" s="1030"/>
      <c r="D207" s="1032"/>
      <c r="E207" s="571" t="s">
        <v>67</v>
      </c>
      <c r="F207" s="572" t="s">
        <v>68</v>
      </c>
      <c r="G207" s="573" t="s">
        <v>6</v>
      </c>
      <c r="H207" s="1023"/>
    </row>
    <row r="208" spans="1:10" x14ac:dyDescent="0.2">
      <c r="A208" s="1012" t="s">
        <v>217</v>
      </c>
      <c r="B208" s="465"/>
      <c r="C208" s="466" t="s">
        <v>11</v>
      </c>
      <c r="D208" s="467">
        <f>+D209+D214</f>
        <v>52697902.622633338</v>
      </c>
      <c r="E208" s="468"/>
      <c r="F208" s="468"/>
      <c r="G208" s="469">
        <f>SUM(G209,G214)</f>
        <v>1795680</v>
      </c>
      <c r="H208" s="470">
        <f>SUM(H209,H214)</f>
        <v>54493582.622633338</v>
      </c>
      <c r="I208" s="449"/>
      <c r="J208" s="449"/>
    </row>
    <row r="209" spans="1:10" x14ac:dyDescent="0.2">
      <c r="A209" s="1013"/>
      <c r="B209" s="353"/>
      <c r="C209" s="535" t="s">
        <v>12</v>
      </c>
      <c r="D209" s="536">
        <f>SUM(D210:D213)</f>
        <v>50789060.545600004</v>
      </c>
      <c r="E209" s="537"/>
      <c r="F209" s="537"/>
      <c r="G209" s="538">
        <f>SUM(G210:G213)</f>
        <v>0</v>
      </c>
      <c r="H209" s="472">
        <f>SUM(H210:H213)</f>
        <v>50789060.545600004</v>
      </c>
      <c r="I209" s="449"/>
      <c r="J209" s="449"/>
    </row>
    <row r="210" spans="1:10" x14ac:dyDescent="0.2">
      <c r="A210" s="1013"/>
      <c r="B210" s="354">
        <v>53103040100000</v>
      </c>
      <c r="C210" s="539" t="s">
        <v>95</v>
      </c>
      <c r="D210" s="540">
        <f>+'F) Remuneraciones'!L40</f>
        <v>50286198.560000002</v>
      </c>
      <c r="E210" s="541">
        <v>0</v>
      </c>
      <c r="F210" s="542">
        <v>0</v>
      </c>
      <c r="G210" s="541">
        <f>E210*F210</f>
        <v>0</v>
      </c>
      <c r="H210" s="543">
        <f>D210+G210</f>
        <v>50286198.560000002</v>
      </c>
      <c r="I210" s="449"/>
      <c r="J210" s="449"/>
    </row>
    <row r="211" spans="1:10" x14ac:dyDescent="0.2">
      <c r="A211" s="1013"/>
      <c r="B211" s="354">
        <v>53103050000000</v>
      </c>
      <c r="C211" s="539" t="s">
        <v>174</v>
      </c>
      <c r="D211" s="544">
        <v>0</v>
      </c>
      <c r="E211" s="545">
        <v>0</v>
      </c>
      <c r="F211" s="546">
        <v>0</v>
      </c>
      <c r="G211" s="541">
        <f>E211*F211</f>
        <v>0</v>
      </c>
      <c r="H211" s="543">
        <f>D211+G211</f>
        <v>0</v>
      </c>
      <c r="I211" s="449"/>
      <c r="J211" s="449"/>
    </row>
    <row r="212" spans="1:10" x14ac:dyDescent="0.2">
      <c r="A212" s="1013"/>
      <c r="B212" s="355">
        <v>53103040400000</v>
      </c>
      <c r="C212" s="356" t="s">
        <v>175</v>
      </c>
      <c r="D212" s="544">
        <f>+D210*0.01</f>
        <v>502861.98560000001</v>
      </c>
      <c r="E212" s="545">
        <v>0</v>
      </c>
      <c r="F212" s="546">
        <v>0</v>
      </c>
      <c r="G212" s="541">
        <f>E212*F212</f>
        <v>0</v>
      </c>
      <c r="H212" s="543">
        <f>D212+G212</f>
        <v>502861.98560000001</v>
      </c>
      <c r="I212" s="449"/>
      <c r="J212" s="449"/>
    </row>
    <row r="213" spans="1:10" x14ac:dyDescent="0.2">
      <c r="A213" s="1013"/>
      <c r="B213" s="354">
        <v>53103080010000</v>
      </c>
      <c r="C213" s="539" t="s">
        <v>176</v>
      </c>
      <c r="D213" s="544">
        <v>0</v>
      </c>
      <c r="E213" s="545">
        <v>0</v>
      </c>
      <c r="F213" s="546">
        <v>0</v>
      </c>
      <c r="G213" s="541">
        <f>E213*F213</f>
        <v>0</v>
      </c>
      <c r="H213" s="543">
        <f>D213+G213</f>
        <v>0</v>
      </c>
      <c r="I213" s="449"/>
      <c r="J213" s="449"/>
    </row>
    <row r="214" spans="1:10" x14ac:dyDescent="0.2">
      <c r="A214" s="1013"/>
      <c r="B214" s="353"/>
      <c r="C214" s="535" t="s">
        <v>16</v>
      </c>
      <c r="D214" s="536">
        <f>SUM(D215:D234)</f>
        <v>1908842.0770333337</v>
      </c>
      <c r="E214" s="537"/>
      <c r="F214" s="537"/>
      <c r="G214" s="536">
        <f>SUM(G215:G234)</f>
        <v>1795680</v>
      </c>
      <c r="H214" s="472">
        <f>SUM(H215:H234)</f>
        <v>3704522.0770333335</v>
      </c>
      <c r="I214" s="885">
        <f>+H214+H241+H243+H252</f>
        <v>6106647.1554333335</v>
      </c>
      <c r="J214" s="449"/>
    </row>
    <row r="215" spans="1:10" x14ac:dyDescent="0.2">
      <c r="A215" s="1013"/>
      <c r="B215" s="354">
        <v>53201010100000</v>
      </c>
      <c r="C215" s="547" t="s">
        <v>177</v>
      </c>
      <c r="D215" s="544">
        <v>0</v>
      </c>
      <c r="E215" s="545">
        <v>2088</v>
      </c>
      <c r="F215" s="546">
        <f>+'H) Detalle Datos'!M12</f>
        <v>360</v>
      </c>
      <c r="G215" s="541">
        <f t="shared" ref="G215:G234" si="54">E215*F215</f>
        <v>751680</v>
      </c>
      <c r="H215" s="543">
        <f t="shared" ref="H215:H220" si="55">D215+G215</f>
        <v>751680</v>
      </c>
      <c r="I215" s="449"/>
      <c r="J215" s="449"/>
    </row>
    <row r="216" spans="1:10" x14ac:dyDescent="0.2">
      <c r="A216" s="1013"/>
      <c r="B216" s="354">
        <v>53201010100000</v>
      </c>
      <c r="C216" s="547" t="s">
        <v>178</v>
      </c>
      <c r="D216" s="544">
        <v>0</v>
      </c>
      <c r="E216" s="545">
        <v>116</v>
      </c>
      <c r="F216" s="546">
        <v>9000</v>
      </c>
      <c r="G216" s="541">
        <f t="shared" si="54"/>
        <v>1044000</v>
      </c>
      <c r="H216" s="543">
        <f t="shared" si="55"/>
        <v>1044000</v>
      </c>
      <c r="I216" s="449"/>
      <c r="J216" s="449"/>
    </row>
    <row r="217" spans="1:10" x14ac:dyDescent="0.2">
      <c r="A217" s="1013"/>
      <c r="B217" s="354">
        <v>53201010100000</v>
      </c>
      <c r="C217" s="547" t="s">
        <v>179</v>
      </c>
      <c r="D217" s="544">
        <v>0</v>
      </c>
      <c r="E217" s="545">
        <v>0</v>
      </c>
      <c r="F217" s="546">
        <v>0</v>
      </c>
      <c r="G217" s="541">
        <f t="shared" si="54"/>
        <v>0</v>
      </c>
      <c r="H217" s="543">
        <f t="shared" si="55"/>
        <v>0</v>
      </c>
      <c r="I217" s="449"/>
      <c r="J217" s="449"/>
    </row>
    <row r="218" spans="1:10" x14ac:dyDescent="0.2">
      <c r="A218" s="1013"/>
      <c r="B218" s="354">
        <v>53202010100000</v>
      </c>
      <c r="C218" s="539" t="s">
        <v>180</v>
      </c>
      <c r="D218" s="541">
        <f t="shared" ref="D218:D234" si="56">+O80</f>
        <v>0</v>
      </c>
      <c r="E218" s="541">
        <v>0</v>
      </c>
      <c r="F218" s="559">
        <v>0</v>
      </c>
      <c r="G218" s="541">
        <f t="shared" si="54"/>
        <v>0</v>
      </c>
      <c r="H218" s="543">
        <f t="shared" si="55"/>
        <v>0</v>
      </c>
      <c r="I218" s="449"/>
      <c r="J218" s="449"/>
    </row>
    <row r="219" spans="1:10" x14ac:dyDescent="0.2">
      <c r="A219" s="1013"/>
      <c r="B219" s="354">
        <v>53203010100000</v>
      </c>
      <c r="C219" s="539" t="s">
        <v>19</v>
      </c>
      <c r="D219" s="541">
        <f t="shared" si="56"/>
        <v>132446.82450000002</v>
      </c>
      <c r="E219" s="541">
        <v>0</v>
      </c>
      <c r="F219" s="559">
        <v>0</v>
      </c>
      <c r="G219" s="541">
        <f t="shared" si="54"/>
        <v>0</v>
      </c>
      <c r="H219" s="543">
        <f t="shared" si="55"/>
        <v>132446.82450000002</v>
      </c>
      <c r="I219" s="449"/>
      <c r="J219" s="449"/>
    </row>
    <row r="220" spans="1:10" x14ac:dyDescent="0.2">
      <c r="A220" s="1013"/>
      <c r="B220" s="354">
        <v>53203030000000</v>
      </c>
      <c r="C220" s="539" t="s">
        <v>181</v>
      </c>
      <c r="D220" s="541">
        <f t="shared" si="56"/>
        <v>0</v>
      </c>
      <c r="E220" s="541">
        <v>0</v>
      </c>
      <c r="F220" s="559">
        <v>0</v>
      </c>
      <c r="G220" s="541">
        <f t="shared" si="54"/>
        <v>0</v>
      </c>
      <c r="H220" s="543">
        <f t="shared" si="55"/>
        <v>0</v>
      </c>
      <c r="I220" s="449"/>
      <c r="J220" s="449"/>
    </row>
    <row r="221" spans="1:10" x14ac:dyDescent="0.2">
      <c r="A221" s="1013"/>
      <c r="B221" s="354">
        <v>53204030000000</v>
      </c>
      <c r="C221" s="539" t="s">
        <v>231</v>
      </c>
      <c r="D221" s="541">
        <f t="shared" si="56"/>
        <v>28000</v>
      </c>
      <c r="E221" s="541">
        <v>0</v>
      </c>
      <c r="F221" s="559">
        <v>0</v>
      </c>
      <c r="G221" s="541">
        <f t="shared" si="54"/>
        <v>0</v>
      </c>
      <c r="H221" s="543">
        <f>D221+G221</f>
        <v>28000</v>
      </c>
      <c r="I221" s="449"/>
      <c r="J221" s="449"/>
    </row>
    <row r="222" spans="1:10" x14ac:dyDescent="0.2">
      <c r="A222" s="1013"/>
      <c r="B222" s="354">
        <v>53204100100001</v>
      </c>
      <c r="C222" s="539" t="s">
        <v>22</v>
      </c>
      <c r="D222" s="541">
        <f t="shared" si="56"/>
        <v>105584.4348</v>
      </c>
      <c r="E222" s="541">
        <v>0</v>
      </c>
      <c r="F222" s="559">
        <v>0</v>
      </c>
      <c r="G222" s="541">
        <f t="shared" si="54"/>
        <v>0</v>
      </c>
      <c r="H222" s="543">
        <f t="shared" ref="H222:H234" si="57">D222+G222</f>
        <v>105584.4348</v>
      </c>
      <c r="I222" s="449"/>
      <c r="J222" s="449"/>
    </row>
    <row r="223" spans="1:10" x14ac:dyDescent="0.2">
      <c r="A223" s="1013"/>
      <c r="B223" s="354">
        <v>53204130100000</v>
      </c>
      <c r="C223" s="539" t="s">
        <v>183</v>
      </c>
      <c r="D223" s="541">
        <f t="shared" si="56"/>
        <v>0</v>
      </c>
      <c r="E223" s="541">
        <v>0</v>
      </c>
      <c r="F223" s="559">
        <v>0</v>
      </c>
      <c r="G223" s="541">
        <f t="shared" si="54"/>
        <v>0</v>
      </c>
      <c r="H223" s="543">
        <f t="shared" si="57"/>
        <v>0</v>
      </c>
      <c r="I223" s="449"/>
      <c r="J223" s="449"/>
    </row>
    <row r="224" spans="1:10" x14ac:dyDescent="0.2">
      <c r="A224" s="1013"/>
      <c r="B224" s="354">
        <v>53205010100000</v>
      </c>
      <c r="C224" s="539" t="s">
        <v>24</v>
      </c>
      <c r="D224" s="541">
        <f t="shared" si="56"/>
        <v>521692.25333333336</v>
      </c>
      <c r="E224" s="541">
        <v>0</v>
      </c>
      <c r="F224" s="559">
        <v>0</v>
      </c>
      <c r="G224" s="541">
        <f t="shared" si="54"/>
        <v>0</v>
      </c>
      <c r="H224" s="543">
        <f t="shared" si="57"/>
        <v>521692.25333333336</v>
      </c>
      <c r="I224" s="449"/>
      <c r="J224" s="449"/>
    </row>
    <row r="225" spans="1:10" x14ac:dyDescent="0.2">
      <c r="A225" s="1013"/>
      <c r="B225" s="354">
        <v>53205020100000</v>
      </c>
      <c r="C225" s="539" t="s">
        <v>25</v>
      </c>
      <c r="D225" s="541">
        <f t="shared" si="56"/>
        <v>78149.808000000005</v>
      </c>
      <c r="E225" s="541">
        <v>0</v>
      </c>
      <c r="F225" s="559">
        <v>0</v>
      </c>
      <c r="G225" s="541">
        <f t="shared" si="54"/>
        <v>0</v>
      </c>
      <c r="H225" s="543">
        <f t="shared" si="57"/>
        <v>78149.808000000005</v>
      </c>
      <c r="I225" s="449"/>
      <c r="J225" s="449"/>
    </row>
    <row r="226" spans="1:10" x14ac:dyDescent="0.2">
      <c r="A226" s="1013"/>
      <c r="B226" s="354">
        <v>53205030100000</v>
      </c>
      <c r="C226" s="539" t="s">
        <v>26</v>
      </c>
      <c r="D226" s="541">
        <f t="shared" si="56"/>
        <v>548271.75000000012</v>
      </c>
      <c r="E226" s="541">
        <v>0</v>
      </c>
      <c r="F226" s="559">
        <v>0</v>
      </c>
      <c r="G226" s="541">
        <f t="shared" si="54"/>
        <v>0</v>
      </c>
      <c r="H226" s="543">
        <f t="shared" si="57"/>
        <v>548271.75000000012</v>
      </c>
      <c r="I226" s="449"/>
      <c r="J226" s="449"/>
    </row>
    <row r="227" spans="1:10" x14ac:dyDescent="0.2">
      <c r="A227" s="1013"/>
      <c r="B227" s="354">
        <v>53205050100000</v>
      </c>
      <c r="C227" s="539" t="s">
        <v>27</v>
      </c>
      <c r="D227" s="541">
        <f t="shared" si="56"/>
        <v>0</v>
      </c>
      <c r="E227" s="541">
        <v>0</v>
      </c>
      <c r="F227" s="559">
        <v>0</v>
      </c>
      <c r="G227" s="541">
        <f t="shared" si="54"/>
        <v>0</v>
      </c>
      <c r="H227" s="543">
        <f t="shared" si="57"/>
        <v>0</v>
      </c>
      <c r="I227" s="449"/>
      <c r="J227" s="449"/>
    </row>
    <row r="228" spans="1:10" x14ac:dyDescent="0.2">
      <c r="A228" s="1013"/>
      <c r="B228" s="354">
        <v>53205070100000</v>
      </c>
      <c r="C228" s="539" t="s">
        <v>29</v>
      </c>
      <c r="D228" s="541">
        <f t="shared" si="56"/>
        <v>91464</v>
      </c>
      <c r="E228" s="541">
        <v>0</v>
      </c>
      <c r="F228" s="559">
        <v>0</v>
      </c>
      <c r="G228" s="541">
        <f t="shared" si="54"/>
        <v>0</v>
      </c>
      <c r="H228" s="543">
        <f t="shared" si="57"/>
        <v>91464</v>
      </c>
      <c r="I228" s="449"/>
      <c r="J228" s="449"/>
    </row>
    <row r="229" spans="1:10" x14ac:dyDescent="0.2">
      <c r="A229" s="1013"/>
      <c r="B229" s="354">
        <v>53208010100000</v>
      </c>
      <c r="C229" s="539" t="s">
        <v>30</v>
      </c>
      <c r="D229" s="541">
        <f t="shared" si="56"/>
        <v>123600</v>
      </c>
      <c r="E229" s="541">
        <v>0</v>
      </c>
      <c r="F229" s="559">
        <v>0</v>
      </c>
      <c r="G229" s="541">
        <f t="shared" si="54"/>
        <v>0</v>
      </c>
      <c r="H229" s="543">
        <f t="shared" si="57"/>
        <v>123600</v>
      </c>
      <c r="I229" s="449"/>
      <c r="J229" s="449"/>
    </row>
    <row r="230" spans="1:10" x14ac:dyDescent="0.2">
      <c r="A230" s="1013"/>
      <c r="B230" s="354">
        <v>53208070100001</v>
      </c>
      <c r="C230" s="539" t="s">
        <v>31</v>
      </c>
      <c r="D230" s="541">
        <f t="shared" si="56"/>
        <v>20000</v>
      </c>
      <c r="E230" s="541">
        <v>0</v>
      </c>
      <c r="F230" s="559">
        <v>0</v>
      </c>
      <c r="G230" s="541">
        <f t="shared" si="54"/>
        <v>0</v>
      </c>
      <c r="H230" s="543">
        <f t="shared" si="57"/>
        <v>20000</v>
      </c>
      <c r="I230" s="449"/>
      <c r="J230" s="449"/>
    </row>
    <row r="231" spans="1:10" x14ac:dyDescent="0.2">
      <c r="A231" s="1013"/>
      <c r="B231" s="354">
        <v>53208100100001</v>
      </c>
      <c r="C231" s="539" t="s">
        <v>184</v>
      </c>
      <c r="D231" s="541">
        <f t="shared" si="56"/>
        <v>0</v>
      </c>
      <c r="E231" s="541">
        <v>0</v>
      </c>
      <c r="F231" s="559">
        <v>0</v>
      </c>
      <c r="G231" s="541">
        <f t="shared" si="54"/>
        <v>0</v>
      </c>
      <c r="H231" s="543">
        <f t="shared" si="57"/>
        <v>0</v>
      </c>
      <c r="I231" s="449"/>
      <c r="J231" s="449"/>
    </row>
    <row r="232" spans="1:10" x14ac:dyDescent="0.2">
      <c r="A232" s="1013"/>
      <c r="B232" s="354">
        <v>53211030000000</v>
      </c>
      <c r="C232" s="539" t="s">
        <v>32</v>
      </c>
      <c r="D232" s="541">
        <f t="shared" si="56"/>
        <v>0</v>
      </c>
      <c r="E232" s="541">
        <v>0</v>
      </c>
      <c r="F232" s="559">
        <v>0</v>
      </c>
      <c r="G232" s="541">
        <f t="shared" si="54"/>
        <v>0</v>
      </c>
      <c r="H232" s="543">
        <f t="shared" si="57"/>
        <v>0</v>
      </c>
      <c r="I232" s="449"/>
      <c r="J232" s="449"/>
    </row>
    <row r="233" spans="1:10" x14ac:dyDescent="0.2">
      <c r="A233" s="1013"/>
      <c r="B233" s="354">
        <v>53212020100000</v>
      </c>
      <c r="C233" s="539" t="s">
        <v>185</v>
      </c>
      <c r="D233" s="541">
        <f t="shared" si="56"/>
        <v>259633.00639999998</v>
      </c>
      <c r="E233" s="541">
        <v>0</v>
      </c>
      <c r="F233" s="559">
        <v>0</v>
      </c>
      <c r="G233" s="541">
        <f t="shared" si="54"/>
        <v>0</v>
      </c>
      <c r="H233" s="543">
        <f t="shared" si="57"/>
        <v>259633.00639999998</v>
      </c>
      <c r="I233" s="449"/>
      <c r="J233" s="449"/>
    </row>
    <row r="234" spans="1:10" x14ac:dyDescent="0.2">
      <c r="A234" s="1013"/>
      <c r="B234" s="354">
        <v>53214020000000</v>
      </c>
      <c r="C234" s="539" t="s">
        <v>186</v>
      </c>
      <c r="D234" s="541">
        <f t="shared" si="56"/>
        <v>0</v>
      </c>
      <c r="E234" s="541">
        <v>0</v>
      </c>
      <c r="F234" s="559">
        <v>0</v>
      </c>
      <c r="G234" s="541">
        <f t="shared" si="54"/>
        <v>0</v>
      </c>
      <c r="H234" s="543">
        <f t="shared" si="57"/>
        <v>0</v>
      </c>
      <c r="I234" s="449"/>
      <c r="J234" s="449"/>
    </row>
    <row r="235" spans="1:10" x14ac:dyDescent="0.2">
      <c r="A235" s="1013"/>
      <c r="B235" s="548"/>
      <c r="C235" s="549" t="s">
        <v>34</v>
      </c>
      <c r="D235" s="565">
        <f>SUM(D236,D241,D243,D252,D261,D269)</f>
        <v>2883872.4644000004</v>
      </c>
      <c r="E235" s="550"/>
      <c r="F235" s="550"/>
      <c r="G235" s="565">
        <f>SUM(G236,G241,G243,G252,G261,G269)</f>
        <v>440000</v>
      </c>
      <c r="H235" s="477">
        <f>SUM(H236,H241,H243,H252,H261,H269)</f>
        <v>3323872.4644000004</v>
      </c>
      <c r="I235" s="449"/>
      <c r="J235" s="449"/>
    </row>
    <row r="236" spans="1:10" x14ac:dyDescent="0.2">
      <c r="A236" s="1013"/>
      <c r="B236" s="353"/>
      <c r="C236" s="535" t="s">
        <v>35</v>
      </c>
      <c r="D236" s="536">
        <f>SUM(D237:D240)</f>
        <v>240000</v>
      </c>
      <c r="E236" s="537"/>
      <c r="F236" s="537"/>
      <c r="G236" s="536">
        <f>SUM(G237:G240)</f>
        <v>240000</v>
      </c>
      <c r="H236" s="551">
        <f>SUM(H237:H240)</f>
        <v>480000</v>
      </c>
      <c r="I236" s="449"/>
      <c r="J236" s="449"/>
    </row>
    <row r="237" spans="1:10" x14ac:dyDescent="0.2">
      <c r="A237" s="1013"/>
      <c r="B237" s="354">
        <v>53202020100000</v>
      </c>
      <c r="C237" s="539" t="s">
        <v>187</v>
      </c>
      <c r="D237" s="544">
        <v>0</v>
      </c>
      <c r="E237" s="545">
        <v>30000</v>
      </c>
      <c r="F237" s="552">
        <v>8</v>
      </c>
      <c r="G237" s="541">
        <f>E237*F237</f>
        <v>240000</v>
      </c>
      <c r="H237" s="543">
        <f t="shared" ref="H237:H240" si="58">D237+G237</f>
        <v>240000</v>
      </c>
      <c r="I237" s="449"/>
      <c r="J237" s="449"/>
    </row>
    <row r="238" spans="1:10" x14ac:dyDescent="0.2">
      <c r="A238" s="1013"/>
      <c r="B238" s="354">
        <v>53202030000000</v>
      </c>
      <c r="C238" s="539" t="s">
        <v>188</v>
      </c>
      <c r="D238" s="544">
        <v>0</v>
      </c>
      <c r="E238" s="545">
        <v>0</v>
      </c>
      <c r="F238" s="552">
        <v>0</v>
      </c>
      <c r="G238" s="541">
        <f t="shared" ref="G238:G240" si="59">E238*F238</f>
        <v>0</v>
      </c>
      <c r="H238" s="543">
        <f t="shared" si="58"/>
        <v>0</v>
      </c>
      <c r="I238" s="449"/>
      <c r="J238" s="449"/>
    </row>
    <row r="239" spans="1:10" x14ac:dyDescent="0.2">
      <c r="A239" s="1013"/>
      <c r="B239" s="354">
        <v>53211020000000</v>
      </c>
      <c r="C239" s="539" t="s">
        <v>41</v>
      </c>
      <c r="D239" s="553">
        <f>+O99</f>
        <v>240000</v>
      </c>
      <c r="E239" s="553">
        <v>0</v>
      </c>
      <c r="F239" s="554">
        <v>0</v>
      </c>
      <c r="G239" s="541">
        <f t="shared" si="59"/>
        <v>0</v>
      </c>
      <c r="H239" s="543">
        <f t="shared" si="58"/>
        <v>240000</v>
      </c>
      <c r="I239" s="449"/>
      <c r="J239" s="449"/>
    </row>
    <row r="240" spans="1:10" x14ac:dyDescent="0.2">
      <c r="A240" s="1013"/>
      <c r="B240" s="354">
        <v>53101040600000</v>
      </c>
      <c r="C240" s="539" t="s">
        <v>189</v>
      </c>
      <c r="D240" s="553">
        <f>+O100</f>
        <v>0</v>
      </c>
      <c r="E240" s="553">
        <v>0</v>
      </c>
      <c r="F240" s="554">
        <v>0</v>
      </c>
      <c r="G240" s="541">
        <f t="shared" si="59"/>
        <v>0</v>
      </c>
      <c r="H240" s="543">
        <f t="shared" si="58"/>
        <v>0</v>
      </c>
      <c r="I240" s="449"/>
      <c r="J240" s="449"/>
    </row>
    <row r="241" spans="1:10" x14ac:dyDescent="0.2">
      <c r="A241" s="1013"/>
      <c r="B241" s="353"/>
      <c r="C241" s="535" t="s">
        <v>42</v>
      </c>
      <c r="D241" s="536">
        <f>SUM(D242)</f>
        <v>0</v>
      </c>
      <c r="E241" s="537"/>
      <c r="F241" s="537"/>
      <c r="G241" s="555">
        <f>SUM(G242:G242)</f>
        <v>0</v>
      </c>
      <c r="H241" s="551">
        <f>SUM(H242:H242)</f>
        <v>0</v>
      </c>
      <c r="I241" s="449"/>
      <c r="J241" s="449"/>
    </row>
    <row r="242" spans="1:10" x14ac:dyDescent="0.2">
      <c r="A242" s="1013"/>
      <c r="B242" s="357">
        <v>53205990000000</v>
      </c>
      <c r="C242" s="539" t="s">
        <v>44</v>
      </c>
      <c r="D242" s="553">
        <f>+O102</f>
        <v>0</v>
      </c>
      <c r="E242" s="553">
        <v>0</v>
      </c>
      <c r="F242" s="554">
        <v>0</v>
      </c>
      <c r="G242" s="541">
        <f t="shared" ref="G242" si="60">E242*F242</f>
        <v>0</v>
      </c>
      <c r="H242" s="543">
        <f t="shared" ref="H242" si="61">D242+G242</f>
        <v>0</v>
      </c>
      <c r="I242" s="449"/>
      <c r="J242" s="449"/>
    </row>
    <row r="243" spans="1:10" x14ac:dyDescent="0.2">
      <c r="A243" s="1013"/>
      <c r="B243" s="353"/>
      <c r="C243" s="535" t="s">
        <v>45</v>
      </c>
      <c r="D243" s="536">
        <f>SUM(D244:D251)</f>
        <v>1905219.03</v>
      </c>
      <c r="E243" s="537"/>
      <c r="F243" s="537"/>
      <c r="G243" s="536">
        <f>SUM(G244:G251)</f>
        <v>0</v>
      </c>
      <c r="H243" s="551">
        <f>SUM(H244:H251)</f>
        <v>1905219.03</v>
      </c>
      <c r="I243" s="449"/>
      <c r="J243" s="449"/>
    </row>
    <row r="244" spans="1:10" x14ac:dyDescent="0.2">
      <c r="A244" s="1013"/>
      <c r="B244" s="354">
        <v>53204010000000</v>
      </c>
      <c r="C244" s="539" t="s">
        <v>47</v>
      </c>
      <c r="D244" s="553">
        <f t="shared" ref="D244:D251" si="62">+O104</f>
        <v>118430.43000000001</v>
      </c>
      <c r="E244" s="553">
        <v>0</v>
      </c>
      <c r="F244" s="554">
        <v>0</v>
      </c>
      <c r="G244" s="553">
        <f t="shared" ref="G244:G251" si="63">E244*F244</f>
        <v>0</v>
      </c>
      <c r="H244" s="543">
        <f t="shared" ref="H244:H251" si="64">D244+G244</f>
        <v>118430.43000000001</v>
      </c>
      <c r="I244" s="449"/>
      <c r="J244" s="449"/>
    </row>
    <row r="245" spans="1:10" x14ac:dyDescent="0.2">
      <c r="A245" s="1013"/>
      <c r="B245" s="357">
        <v>53204040200000</v>
      </c>
      <c r="C245" s="539" t="s">
        <v>232</v>
      </c>
      <c r="D245" s="553">
        <f t="shared" si="62"/>
        <v>0</v>
      </c>
      <c r="E245" s="553">
        <v>0</v>
      </c>
      <c r="F245" s="554">
        <v>0</v>
      </c>
      <c r="G245" s="553">
        <f t="shared" si="63"/>
        <v>0</v>
      </c>
      <c r="H245" s="543">
        <f t="shared" si="64"/>
        <v>0</v>
      </c>
      <c r="I245" s="449"/>
      <c r="J245" s="449"/>
    </row>
    <row r="246" spans="1:10" x14ac:dyDescent="0.2">
      <c r="A246" s="1013"/>
      <c r="B246" s="354">
        <v>53204060000000</v>
      </c>
      <c r="C246" s="539" t="s">
        <v>49</v>
      </c>
      <c r="D246" s="553">
        <f t="shared" si="62"/>
        <v>0</v>
      </c>
      <c r="E246" s="553">
        <v>0</v>
      </c>
      <c r="F246" s="554">
        <v>0</v>
      </c>
      <c r="G246" s="553">
        <f t="shared" si="63"/>
        <v>0</v>
      </c>
      <c r="H246" s="543">
        <f t="shared" si="64"/>
        <v>0</v>
      </c>
      <c r="I246" s="449"/>
      <c r="J246" s="449"/>
    </row>
    <row r="247" spans="1:10" x14ac:dyDescent="0.2">
      <c r="A247" s="1013"/>
      <c r="B247" s="354">
        <v>53204070000000</v>
      </c>
      <c r="C247" s="539" t="s">
        <v>50</v>
      </c>
      <c r="D247" s="553">
        <v>1506788.6</v>
      </c>
      <c r="E247" s="553">
        <v>0</v>
      </c>
      <c r="F247" s="554">
        <v>0</v>
      </c>
      <c r="G247" s="553">
        <f t="shared" si="63"/>
        <v>0</v>
      </c>
      <c r="H247" s="543">
        <f t="shared" si="64"/>
        <v>1506788.6</v>
      </c>
      <c r="I247" s="449"/>
      <c r="J247" s="449"/>
    </row>
    <row r="248" spans="1:10" x14ac:dyDescent="0.2">
      <c r="A248" s="1013"/>
      <c r="B248" s="354">
        <v>53204080000000</v>
      </c>
      <c r="C248" s="539" t="s">
        <v>51</v>
      </c>
      <c r="D248" s="553">
        <f t="shared" si="62"/>
        <v>200000</v>
      </c>
      <c r="E248" s="553">
        <v>0</v>
      </c>
      <c r="F248" s="554">
        <v>0</v>
      </c>
      <c r="G248" s="553">
        <f t="shared" si="63"/>
        <v>0</v>
      </c>
      <c r="H248" s="543">
        <f t="shared" si="64"/>
        <v>200000</v>
      </c>
      <c r="I248" s="449"/>
      <c r="J248" s="449"/>
    </row>
    <row r="249" spans="1:10" x14ac:dyDescent="0.2">
      <c r="A249" s="1013"/>
      <c r="B249" s="354">
        <v>53214010000000</v>
      </c>
      <c r="C249" s="539" t="s">
        <v>52</v>
      </c>
      <c r="D249" s="553">
        <f t="shared" si="62"/>
        <v>80000</v>
      </c>
      <c r="E249" s="556">
        <v>0</v>
      </c>
      <c r="F249" s="554">
        <v>0</v>
      </c>
      <c r="G249" s="553">
        <f t="shared" si="63"/>
        <v>0</v>
      </c>
      <c r="H249" s="543">
        <f t="shared" si="64"/>
        <v>80000</v>
      </c>
      <c r="I249" s="449"/>
      <c r="J249" s="449"/>
    </row>
    <row r="250" spans="1:10" x14ac:dyDescent="0.2">
      <c r="A250" s="1013"/>
      <c r="B250" s="354">
        <v>53214040000000</v>
      </c>
      <c r="C250" s="539" t="s">
        <v>190</v>
      </c>
      <c r="D250" s="553">
        <f t="shared" si="62"/>
        <v>0</v>
      </c>
      <c r="E250" s="556">
        <v>0</v>
      </c>
      <c r="F250" s="554">
        <v>0</v>
      </c>
      <c r="G250" s="553">
        <f t="shared" si="63"/>
        <v>0</v>
      </c>
      <c r="H250" s="543">
        <f t="shared" si="64"/>
        <v>0</v>
      </c>
      <c r="I250" s="449"/>
      <c r="J250" s="449"/>
    </row>
    <row r="251" spans="1:10" x14ac:dyDescent="0.2">
      <c r="A251" s="1013"/>
      <c r="B251" s="355">
        <v>53204020100000</v>
      </c>
      <c r="C251" s="539" t="s">
        <v>182</v>
      </c>
      <c r="D251" s="553">
        <f t="shared" si="62"/>
        <v>0</v>
      </c>
      <c r="E251" s="553">
        <v>0</v>
      </c>
      <c r="F251" s="554">
        <v>0</v>
      </c>
      <c r="G251" s="553">
        <f t="shared" si="63"/>
        <v>0</v>
      </c>
      <c r="H251" s="543">
        <f t="shared" si="64"/>
        <v>0</v>
      </c>
      <c r="I251" s="449"/>
      <c r="J251" s="449"/>
    </row>
    <row r="252" spans="1:10" x14ac:dyDescent="0.2">
      <c r="A252" s="1013"/>
      <c r="B252" s="353"/>
      <c r="C252" s="535" t="s">
        <v>55</v>
      </c>
      <c r="D252" s="536">
        <f>SUM(D253:D260)</f>
        <v>496906.04840000009</v>
      </c>
      <c r="E252" s="537"/>
      <c r="F252" s="537"/>
      <c r="G252" s="536">
        <f>SUM(G253:G260)</f>
        <v>0</v>
      </c>
      <c r="H252" s="472">
        <f>SUM(H253:H260)</f>
        <v>496906.04840000009</v>
      </c>
      <c r="I252" s="449"/>
      <c r="J252" s="449"/>
    </row>
    <row r="253" spans="1:10" x14ac:dyDescent="0.2">
      <c r="A253" s="1013"/>
      <c r="B253" s="354">
        <v>53207010000000</v>
      </c>
      <c r="C253" s="539" t="s">
        <v>56</v>
      </c>
      <c r="D253" s="553">
        <f>+O113</f>
        <v>0</v>
      </c>
      <c r="E253" s="553">
        <v>0</v>
      </c>
      <c r="F253" s="554">
        <v>0</v>
      </c>
      <c r="G253" s="553">
        <f t="shared" ref="G253:G260" si="65">E253*F253</f>
        <v>0</v>
      </c>
      <c r="H253" s="543">
        <f t="shared" ref="H253:H256" si="66">D253+G253</f>
        <v>0</v>
      </c>
      <c r="I253" s="449"/>
      <c r="J253" s="449"/>
    </row>
    <row r="254" spans="1:10" x14ac:dyDescent="0.2">
      <c r="A254" s="1013"/>
      <c r="B254" s="354">
        <v>53207020000000</v>
      </c>
      <c r="C254" s="539" t="s">
        <v>57</v>
      </c>
      <c r="D254" s="553">
        <f>+O114</f>
        <v>119427.75840000004</v>
      </c>
      <c r="E254" s="553">
        <v>0</v>
      </c>
      <c r="F254" s="554">
        <v>0</v>
      </c>
      <c r="G254" s="553">
        <f t="shared" si="65"/>
        <v>0</v>
      </c>
      <c r="H254" s="543">
        <f t="shared" si="66"/>
        <v>119427.75840000004</v>
      </c>
      <c r="I254" s="449"/>
      <c r="J254" s="449"/>
    </row>
    <row r="255" spans="1:10" x14ac:dyDescent="0.2">
      <c r="A255" s="1013"/>
      <c r="B255" s="354">
        <v>53208020000000</v>
      </c>
      <c r="C255" s="539" t="s">
        <v>173</v>
      </c>
      <c r="D255" s="553">
        <f>+O115</f>
        <v>0</v>
      </c>
      <c r="E255" s="553">
        <v>0</v>
      </c>
      <c r="F255" s="554">
        <v>0</v>
      </c>
      <c r="G255" s="553">
        <f t="shared" si="65"/>
        <v>0</v>
      </c>
      <c r="H255" s="543">
        <f t="shared" si="66"/>
        <v>0</v>
      </c>
      <c r="I255" s="449"/>
      <c r="J255" s="449"/>
    </row>
    <row r="256" spans="1:10" x14ac:dyDescent="0.2">
      <c r="A256" s="1013"/>
      <c r="B256" s="354">
        <v>53208990000000</v>
      </c>
      <c r="C256" s="539" t="s">
        <v>191</v>
      </c>
      <c r="D256" s="553">
        <f>+O116</f>
        <v>184000</v>
      </c>
      <c r="E256" s="553">
        <v>0</v>
      </c>
      <c r="F256" s="554">
        <v>0</v>
      </c>
      <c r="G256" s="553">
        <f t="shared" si="65"/>
        <v>0</v>
      </c>
      <c r="H256" s="543">
        <f t="shared" si="66"/>
        <v>184000</v>
      </c>
      <c r="I256" s="449"/>
      <c r="J256" s="449"/>
    </row>
    <row r="257" spans="1:10" x14ac:dyDescent="0.2">
      <c r="A257" s="1013"/>
      <c r="B257" s="355">
        <v>53210020300000</v>
      </c>
      <c r="C257" s="539" t="s">
        <v>193</v>
      </c>
      <c r="D257" s="557">
        <v>0</v>
      </c>
      <c r="E257" s="557">
        <v>0</v>
      </c>
      <c r="F257" s="558">
        <v>0</v>
      </c>
      <c r="G257" s="541">
        <f t="shared" si="65"/>
        <v>0</v>
      </c>
      <c r="H257" s="543">
        <f>D257+G257</f>
        <v>0</v>
      </c>
      <c r="I257" s="449"/>
      <c r="J257" s="449"/>
    </row>
    <row r="258" spans="1:10" x14ac:dyDescent="0.2">
      <c r="A258" s="1013"/>
      <c r="B258" s="354">
        <v>53208990000000</v>
      </c>
      <c r="C258" s="539" t="s">
        <v>194</v>
      </c>
      <c r="D258" s="541">
        <f>+O117</f>
        <v>0</v>
      </c>
      <c r="E258" s="541">
        <v>0</v>
      </c>
      <c r="F258" s="559">
        <v>0</v>
      </c>
      <c r="G258" s="541">
        <f t="shared" si="65"/>
        <v>0</v>
      </c>
      <c r="H258" s="543">
        <f>D258+G258</f>
        <v>0</v>
      </c>
      <c r="I258" s="449"/>
      <c r="J258" s="449"/>
    </row>
    <row r="259" spans="1:10" x14ac:dyDescent="0.2">
      <c r="A259" s="1013"/>
      <c r="B259" s="354">
        <v>53209990000000</v>
      </c>
      <c r="C259" s="539" t="s">
        <v>192</v>
      </c>
      <c r="D259" s="541">
        <f t="shared" ref="D259:D260" si="67">+O118</f>
        <v>0</v>
      </c>
      <c r="E259" s="541">
        <v>0</v>
      </c>
      <c r="F259" s="559">
        <v>0</v>
      </c>
      <c r="G259" s="541">
        <f t="shared" si="65"/>
        <v>0</v>
      </c>
      <c r="H259" s="543">
        <f t="shared" ref="H259:H260" si="68">D259+G259</f>
        <v>0</v>
      </c>
      <c r="I259" s="449"/>
      <c r="J259" s="449"/>
    </row>
    <row r="260" spans="1:10" x14ac:dyDescent="0.2">
      <c r="A260" s="1013"/>
      <c r="B260" s="354">
        <v>53210020100000</v>
      </c>
      <c r="C260" s="539" t="s">
        <v>64</v>
      </c>
      <c r="D260" s="541">
        <f t="shared" si="67"/>
        <v>193478.29000000004</v>
      </c>
      <c r="E260" s="541">
        <v>0</v>
      </c>
      <c r="F260" s="559">
        <v>0</v>
      </c>
      <c r="G260" s="541">
        <f t="shared" si="65"/>
        <v>0</v>
      </c>
      <c r="H260" s="543">
        <f t="shared" si="68"/>
        <v>193478.29000000004</v>
      </c>
      <c r="I260" s="449"/>
      <c r="J260" s="449"/>
    </row>
    <row r="261" spans="1:10" x14ac:dyDescent="0.2">
      <c r="A261" s="1013"/>
      <c r="B261" s="353"/>
      <c r="C261" s="535" t="s">
        <v>65</v>
      </c>
      <c r="D261" s="536">
        <f>SUM(D262:D268)</f>
        <v>241747.386</v>
      </c>
      <c r="E261" s="537"/>
      <c r="F261" s="537"/>
      <c r="G261" s="536">
        <f>SUM(G262:G268)</f>
        <v>0</v>
      </c>
      <c r="H261" s="472">
        <f>SUM(H262:H268)</f>
        <v>241747.386</v>
      </c>
      <c r="I261" s="449"/>
      <c r="J261" s="449"/>
    </row>
    <row r="262" spans="1:10" x14ac:dyDescent="0.2">
      <c r="A262" s="1013"/>
      <c r="B262" s="354">
        <v>53206030000000</v>
      </c>
      <c r="C262" s="539" t="s">
        <v>99</v>
      </c>
      <c r="D262" s="553">
        <f>+O121</f>
        <v>0</v>
      </c>
      <c r="E262" s="553">
        <v>0</v>
      </c>
      <c r="F262" s="554">
        <v>0</v>
      </c>
      <c r="G262" s="541">
        <f t="shared" ref="G262:G268" si="69">E262*F262</f>
        <v>0</v>
      </c>
      <c r="H262" s="543">
        <f t="shared" ref="H262:H268" si="70">D262+G262</f>
        <v>0</v>
      </c>
      <c r="I262" s="449"/>
      <c r="J262" s="449"/>
    </row>
    <row r="263" spans="1:10" x14ac:dyDescent="0.2">
      <c r="A263" s="1013"/>
      <c r="B263" s="354">
        <v>53206040000000</v>
      </c>
      <c r="C263" s="539" t="s">
        <v>100</v>
      </c>
      <c r="D263" s="553">
        <f t="shared" ref="D263:D268" si="71">+O122</f>
        <v>0</v>
      </c>
      <c r="E263" s="553">
        <v>0</v>
      </c>
      <c r="F263" s="554">
        <v>0</v>
      </c>
      <c r="G263" s="541">
        <f t="shared" si="69"/>
        <v>0</v>
      </c>
      <c r="H263" s="543">
        <f t="shared" si="70"/>
        <v>0</v>
      </c>
      <c r="I263" s="449"/>
      <c r="J263" s="449"/>
    </row>
    <row r="264" spans="1:10" x14ac:dyDescent="0.2">
      <c r="A264" s="1013"/>
      <c r="B264" s="354">
        <v>53206060000000</v>
      </c>
      <c r="C264" s="539" t="s">
        <v>195</v>
      </c>
      <c r="D264" s="553">
        <f t="shared" si="71"/>
        <v>0</v>
      </c>
      <c r="E264" s="553">
        <v>0</v>
      </c>
      <c r="F264" s="554">
        <v>0</v>
      </c>
      <c r="G264" s="541">
        <f t="shared" si="69"/>
        <v>0</v>
      </c>
      <c r="H264" s="543">
        <f t="shared" si="70"/>
        <v>0</v>
      </c>
      <c r="I264" s="449"/>
      <c r="J264" s="449"/>
    </row>
    <row r="265" spans="1:10" x14ac:dyDescent="0.2">
      <c r="A265" s="1013"/>
      <c r="B265" s="354">
        <v>53206070000000</v>
      </c>
      <c r="C265" s="539" t="s">
        <v>102</v>
      </c>
      <c r="D265" s="553">
        <f t="shared" si="71"/>
        <v>0</v>
      </c>
      <c r="E265" s="553">
        <v>0</v>
      </c>
      <c r="F265" s="554">
        <v>0</v>
      </c>
      <c r="G265" s="541">
        <f t="shared" si="69"/>
        <v>0</v>
      </c>
      <c r="H265" s="543">
        <f t="shared" si="70"/>
        <v>0</v>
      </c>
      <c r="I265" s="449"/>
      <c r="J265" s="449"/>
    </row>
    <row r="266" spans="1:10" x14ac:dyDescent="0.2">
      <c r="A266" s="1013"/>
      <c r="B266" s="354">
        <v>53206990000000</v>
      </c>
      <c r="C266" s="539" t="s">
        <v>196</v>
      </c>
      <c r="D266" s="553">
        <f t="shared" si="71"/>
        <v>0</v>
      </c>
      <c r="E266" s="553">
        <v>0</v>
      </c>
      <c r="F266" s="554">
        <v>0</v>
      </c>
      <c r="G266" s="541">
        <f t="shared" si="69"/>
        <v>0</v>
      </c>
      <c r="H266" s="543">
        <f t="shared" si="70"/>
        <v>0</v>
      </c>
      <c r="I266" s="449"/>
      <c r="J266" s="449"/>
    </row>
    <row r="267" spans="1:10" x14ac:dyDescent="0.2">
      <c r="A267" s="1013"/>
      <c r="B267" s="354">
        <v>53208030000000</v>
      </c>
      <c r="C267" s="539" t="s">
        <v>104</v>
      </c>
      <c r="D267" s="553">
        <f t="shared" si="71"/>
        <v>0</v>
      </c>
      <c r="E267" s="553">
        <v>0</v>
      </c>
      <c r="F267" s="554">
        <v>0</v>
      </c>
      <c r="G267" s="541">
        <f t="shared" si="69"/>
        <v>0</v>
      </c>
      <c r="H267" s="543">
        <f t="shared" si="70"/>
        <v>0</v>
      </c>
      <c r="I267" s="449"/>
      <c r="J267" s="449"/>
    </row>
    <row r="268" spans="1:10" x14ac:dyDescent="0.2">
      <c r="A268" s="1013"/>
      <c r="B268" s="354">
        <v>53206990000000</v>
      </c>
      <c r="C268" s="539" t="s">
        <v>233</v>
      </c>
      <c r="D268" s="553">
        <f t="shared" si="71"/>
        <v>241747.386</v>
      </c>
      <c r="E268" s="553">
        <v>0</v>
      </c>
      <c r="F268" s="554">
        <v>0</v>
      </c>
      <c r="G268" s="541">
        <f t="shared" si="69"/>
        <v>0</v>
      </c>
      <c r="H268" s="543">
        <f t="shared" si="70"/>
        <v>241747.386</v>
      </c>
      <c r="I268" s="449"/>
      <c r="J268" s="449"/>
    </row>
    <row r="269" spans="1:10" x14ac:dyDescent="0.2">
      <c r="A269" s="1013"/>
      <c r="B269" s="353"/>
      <c r="C269" s="535" t="s">
        <v>66</v>
      </c>
      <c r="D269" s="536">
        <f>SUM(D270:D270)</f>
        <v>0</v>
      </c>
      <c r="E269" s="537"/>
      <c r="F269" s="537"/>
      <c r="G269" s="536">
        <f>SUM(G270:G270)</f>
        <v>200000</v>
      </c>
      <c r="H269" s="472">
        <f>SUM(H270:H270)</f>
        <v>200000</v>
      </c>
      <c r="I269" s="449"/>
      <c r="J269" s="449"/>
    </row>
    <row r="270" spans="1:10" x14ac:dyDescent="0.2">
      <c r="A270" s="1013"/>
      <c r="B270" s="358"/>
      <c r="C270" s="560" t="s">
        <v>234</v>
      </c>
      <c r="D270" s="544">
        <v>0</v>
      </c>
      <c r="E270" s="544">
        <v>10000</v>
      </c>
      <c r="F270" s="552">
        <v>20</v>
      </c>
      <c r="G270" s="541">
        <f t="shared" ref="G270" si="72">E270*F270</f>
        <v>200000</v>
      </c>
      <c r="H270" s="561">
        <f t="shared" ref="H270" si="73">D270+G270</f>
        <v>200000</v>
      </c>
      <c r="I270" s="568" t="s">
        <v>238</v>
      </c>
      <c r="J270" s="566">
        <f>+H268+H267+H266+H265+H264+H263+H262+H260+H259+H258+H257+H256+H255+H254+H253+H251+H248+H247+H246+H245+H244+H242+H240+H239+H233+H232+H231+H229+H228+H227+H226+H225+H224+H223+H222+H221+H220+H219</f>
        <v>4692714.5414333334</v>
      </c>
    </row>
    <row r="271" spans="1:10" ht="13.5" thickBot="1" x14ac:dyDescent="0.25">
      <c r="A271" s="1024"/>
      <c r="B271" s="562"/>
      <c r="C271" s="563" t="s">
        <v>105</v>
      </c>
      <c r="D271" s="487">
        <f>SUM(D208,D235)</f>
        <v>55581775.087033339</v>
      </c>
      <c r="E271" s="488"/>
      <c r="F271" s="488"/>
      <c r="G271" s="487">
        <f>SUM(G208,G235)</f>
        <v>2235680</v>
      </c>
      <c r="H271" s="564">
        <f>SUM(H208,H235)</f>
        <v>57817455.087033339</v>
      </c>
      <c r="I271" s="569" t="s">
        <v>239</v>
      </c>
      <c r="J271" s="567">
        <f>+H271-J270</f>
        <v>53124740.545600004</v>
      </c>
    </row>
    <row r="272" spans="1:10" ht="15.75" x14ac:dyDescent="0.2">
      <c r="A272" s="1010" t="s">
        <v>109</v>
      </c>
      <c r="B272" s="1010"/>
      <c r="C272" s="1010"/>
      <c r="D272" s="1010"/>
      <c r="E272" s="1010"/>
      <c r="F272" s="1010"/>
      <c r="G272" s="1011"/>
      <c r="H272" s="570">
        <f>SUM(H271+H139+H75+H205)</f>
        <v>231265863.50336671</v>
      </c>
    </row>
  </sheetData>
  <mergeCells count="37">
    <mergeCell ref="M97:P97"/>
    <mergeCell ref="M98:P98"/>
    <mergeCell ref="M101:P101"/>
    <mergeCell ref="M103:P103"/>
    <mergeCell ref="A142:A205"/>
    <mergeCell ref="M112:P112"/>
    <mergeCell ref="M120:P120"/>
    <mergeCell ref="C140:C141"/>
    <mergeCell ref="D140:D141"/>
    <mergeCell ref="E140:G140"/>
    <mergeCell ref="H140:H141"/>
    <mergeCell ref="A206:A207"/>
    <mergeCell ref="B206:B207"/>
    <mergeCell ref="C206:C207"/>
    <mergeCell ref="D206:D207"/>
    <mergeCell ref="E206:G206"/>
    <mergeCell ref="C10:C11"/>
    <mergeCell ref="I10:J11"/>
    <mergeCell ref="D4:E4"/>
    <mergeCell ref="M76:M77"/>
    <mergeCell ref="A272:G272"/>
    <mergeCell ref="A8:C8"/>
    <mergeCell ref="A12:A75"/>
    <mergeCell ref="B10:B11"/>
    <mergeCell ref="A10:A11"/>
    <mergeCell ref="E10:G10"/>
    <mergeCell ref="D10:D11"/>
    <mergeCell ref="H206:H207"/>
    <mergeCell ref="A208:A271"/>
    <mergeCell ref="A76:A139"/>
    <mergeCell ref="A140:A141"/>
    <mergeCell ref="B140:B141"/>
    <mergeCell ref="N76:N77"/>
    <mergeCell ref="O76:O77"/>
    <mergeCell ref="P76:P77"/>
    <mergeCell ref="L76:L77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topLeftCell="S13" zoomScale="90" zoomScaleNormal="90" workbookViewId="0">
      <selection activeCell="Y39" sqref="Y39"/>
    </sheetView>
  </sheetViews>
  <sheetFormatPr baseColWidth="10" defaultColWidth="11.42578125" defaultRowHeight="12.75" x14ac:dyDescent="0.2"/>
  <cols>
    <col min="1" max="1" width="7.140625" style="31" customWidth="1"/>
    <col min="2" max="2" width="28" style="31" customWidth="1"/>
    <col min="3" max="3" width="28.7109375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1" width="19.140625" style="31" customWidth="1"/>
    <col min="12" max="12" width="4.85546875" style="31" customWidth="1"/>
    <col min="13" max="13" width="19.140625" style="31" customWidth="1"/>
    <col min="14" max="14" width="19.28515625" style="31" customWidth="1"/>
    <col min="15" max="15" width="17.140625" style="31" customWidth="1"/>
    <col min="16" max="16" width="18.42578125" style="31" customWidth="1"/>
    <col min="17" max="17" width="17.7109375" style="31" customWidth="1"/>
    <col min="18" max="18" width="20" style="31" customWidth="1"/>
    <col min="19" max="19" width="17.42578125" style="31" customWidth="1"/>
    <col min="20" max="20" width="5" style="31" customWidth="1"/>
    <col min="21" max="21" width="19.85546875" style="31" bestFit="1" customWidth="1"/>
    <col min="22" max="22" width="52.140625" style="31" bestFit="1" customWidth="1"/>
    <col min="23" max="23" width="18.28515625" style="31" customWidth="1"/>
    <col min="24" max="24" width="15.140625" style="31" customWidth="1"/>
    <col min="25" max="25" width="11.42578125" style="31" customWidth="1"/>
    <col min="26" max="26" width="14.28515625" style="31" customWidth="1"/>
    <col min="27" max="27" width="22.5703125" style="31" customWidth="1"/>
    <col min="28" max="28" width="14.28515625" style="31" customWidth="1"/>
    <col min="29" max="29" width="21.140625" style="31" customWidth="1"/>
    <col min="30" max="30" width="14.28515625" style="31" customWidth="1"/>
    <col min="31" max="31" width="20.28515625" style="31" customWidth="1"/>
    <col min="32" max="32" width="11.28515625" style="31" customWidth="1"/>
    <col min="33" max="33" width="14.28515625" style="31" customWidth="1"/>
    <col min="34" max="34" width="20.7109375" style="31" customWidth="1"/>
    <col min="35" max="35" width="14.28515625" style="31" customWidth="1"/>
    <col min="36" max="36" width="23" style="31" customWidth="1"/>
    <col min="37" max="37" width="14.28515625" style="31" customWidth="1"/>
    <col min="38" max="38" width="17.85546875" style="31" customWidth="1"/>
    <col min="39" max="39" width="11.42578125" style="31"/>
    <col min="40" max="40" width="14.28515625" style="31" customWidth="1"/>
    <col min="41" max="41" width="20.140625" style="31" customWidth="1"/>
    <col min="42" max="42" width="14.28515625" style="31" customWidth="1"/>
    <col min="43" max="43" width="21.7109375" style="31" customWidth="1"/>
    <col min="44" max="44" width="14.28515625" style="31" customWidth="1"/>
    <col min="45" max="45" width="17.85546875" style="31" customWidth="1"/>
    <col min="46" max="16384" width="11.42578125" style="31"/>
  </cols>
  <sheetData>
    <row r="1" spans="1:242" s="6" customFormat="1" x14ac:dyDescent="0.2">
      <c r="C1" s="7"/>
      <c r="D1" s="7"/>
      <c r="E1" s="44" t="s">
        <v>208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200</v>
      </c>
      <c r="F2" s="44"/>
      <c r="G2" s="44"/>
      <c r="H2" s="44"/>
      <c r="I2" s="44"/>
      <c r="IG2" s="4"/>
      <c r="IH2" s="4"/>
    </row>
    <row r="3" spans="1:242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6"/>
      <c r="D4" s="118" t="s">
        <v>0</v>
      </c>
      <c r="E4" s="180" t="str">
        <f>+'B) Reajuste Tarifas y Ocupación'!F5</f>
        <v>(DEPTO./DELEG.)</v>
      </c>
      <c r="F4" s="73"/>
      <c r="G4" s="74"/>
      <c r="H4" s="74"/>
      <c r="I4" s="74"/>
      <c r="J4" s="7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6"/>
      <c r="D5" s="119"/>
      <c r="E5" s="122"/>
      <c r="F5" s="122"/>
      <c r="G5" s="122"/>
      <c r="H5" s="122"/>
      <c r="I5" s="122"/>
      <c r="J5" s="122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6"/>
      <c r="D6" s="119"/>
      <c r="E6" s="122"/>
      <c r="F6" s="122"/>
      <c r="G6" s="122"/>
      <c r="H6" s="122"/>
      <c r="I6" s="122"/>
      <c r="J6" s="122"/>
      <c r="O6" s="3"/>
      <c r="HX6" s="4"/>
      <c r="HY6" s="4"/>
      <c r="HZ6" s="4"/>
      <c r="IA6" s="4"/>
      <c r="IB6" s="4"/>
      <c r="IC6" s="4"/>
    </row>
    <row r="7" spans="1:242" x14ac:dyDescent="0.2">
      <c r="B7" s="29"/>
      <c r="C7" s="29"/>
      <c r="D7" s="29"/>
      <c r="E7" s="29"/>
      <c r="F7" s="29"/>
      <c r="G7" s="29"/>
      <c r="H7" s="29"/>
      <c r="I7" s="29"/>
      <c r="J7" s="37"/>
      <c r="K7" s="37"/>
      <c r="L7" s="37"/>
      <c r="M7" s="37"/>
      <c r="N7" s="37"/>
      <c r="O7" s="37"/>
      <c r="P7" s="37"/>
      <c r="Q7" s="37"/>
      <c r="R7" s="37"/>
      <c r="Y7" s="206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8"/>
    </row>
    <row r="8" spans="1:242" x14ac:dyDescent="0.2">
      <c r="B8" s="29"/>
      <c r="C8" s="29"/>
      <c r="D8" s="29"/>
      <c r="E8" s="29"/>
      <c r="F8" s="29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Y8" s="20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210"/>
    </row>
    <row r="9" spans="1:242" ht="15.75" customHeight="1" x14ac:dyDescent="0.2">
      <c r="A9" s="1046" t="s">
        <v>156</v>
      </c>
      <c r="B9" s="1046"/>
      <c r="C9" s="1046"/>
      <c r="D9" s="1046"/>
      <c r="E9" s="1046"/>
      <c r="F9" s="1046"/>
      <c r="G9" s="1046"/>
      <c r="H9" s="1046"/>
      <c r="I9" s="121"/>
      <c r="J9" s="121"/>
      <c r="K9" s="121"/>
      <c r="L9" s="121"/>
      <c r="M9" s="1047" t="s">
        <v>157</v>
      </c>
      <c r="N9" s="1047"/>
      <c r="O9" s="1047"/>
      <c r="P9" s="1047"/>
      <c r="Q9" s="1047"/>
      <c r="R9" s="1047"/>
      <c r="S9" s="1047"/>
      <c r="U9" s="1047" t="s">
        <v>158</v>
      </c>
      <c r="V9" s="1047"/>
      <c r="W9" s="1047"/>
      <c r="X9" s="149"/>
      <c r="Y9" s="211"/>
      <c r="Z9" s="1047" t="s">
        <v>159</v>
      </c>
      <c r="AA9" s="1047"/>
      <c r="AB9" s="1047"/>
      <c r="AC9" s="1047"/>
      <c r="AD9" s="1047"/>
      <c r="AE9" s="1047"/>
      <c r="AF9" s="149"/>
      <c r="AG9" s="1047" t="s">
        <v>160</v>
      </c>
      <c r="AH9" s="1047"/>
      <c r="AI9" s="1047"/>
      <c r="AJ9" s="1047"/>
      <c r="AK9" s="1047"/>
      <c r="AL9" s="1047"/>
      <c r="AM9" s="39"/>
      <c r="AN9" s="1047" t="s">
        <v>161</v>
      </c>
      <c r="AO9" s="1047"/>
      <c r="AP9" s="1047"/>
      <c r="AQ9" s="1047"/>
      <c r="AR9" s="1047"/>
      <c r="AS9" s="1047"/>
      <c r="AT9" s="210"/>
    </row>
    <row r="10" spans="1:242" ht="13.5" customHeight="1" x14ac:dyDescent="0.2">
      <c r="B10" s="26"/>
      <c r="C10" s="119"/>
      <c r="D10" s="119"/>
      <c r="E10" s="122"/>
      <c r="F10" s="122"/>
      <c r="G10" s="122"/>
      <c r="H10" s="122"/>
      <c r="I10" s="122"/>
      <c r="J10" s="122"/>
      <c r="M10" s="1047"/>
      <c r="N10" s="1047"/>
      <c r="O10" s="1047"/>
      <c r="P10" s="1047"/>
      <c r="Q10" s="1047"/>
      <c r="R10" s="1047"/>
      <c r="S10" s="1047"/>
      <c r="U10" s="1047"/>
      <c r="V10" s="1047"/>
      <c r="W10" s="1047"/>
      <c r="Y10" s="209"/>
      <c r="Z10" s="1047"/>
      <c r="AA10" s="1047"/>
      <c r="AB10" s="1047"/>
      <c r="AC10" s="1047"/>
      <c r="AD10" s="1047"/>
      <c r="AE10" s="1047"/>
      <c r="AF10" s="39"/>
      <c r="AG10" s="1047"/>
      <c r="AH10" s="1047"/>
      <c r="AI10" s="1047"/>
      <c r="AJ10" s="1047"/>
      <c r="AK10" s="1047"/>
      <c r="AL10" s="1047"/>
      <c r="AM10" s="39"/>
      <c r="AN10" s="1047"/>
      <c r="AO10" s="1047"/>
      <c r="AP10" s="1047"/>
      <c r="AQ10" s="1047"/>
      <c r="AR10" s="1047"/>
      <c r="AS10" s="1047"/>
      <c r="AT10" s="210"/>
    </row>
    <row r="11" spans="1:242" x14ac:dyDescent="0.2">
      <c r="J11" s="77" t="s">
        <v>4</v>
      </c>
      <c r="K11" s="76">
        <v>0.03</v>
      </c>
      <c r="W11" s="799"/>
      <c r="Y11" s="20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210"/>
    </row>
    <row r="12" spans="1:242" ht="12.75" customHeight="1" thickBot="1" x14ac:dyDescent="0.25">
      <c r="K12" s="39"/>
      <c r="L12" s="39"/>
      <c r="M12" s="1039"/>
      <c r="N12" s="1039"/>
      <c r="O12" s="1039"/>
      <c r="P12" s="1039"/>
      <c r="Q12" s="1039"/>
      <c r="R12" s="1039"/>
      <c r="Y12" s="20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210"/>
    </row>
    <row r="13" spans="1:242" ht="21.75" customHeight="1" x14ac:dyDescent="0.2">
      <c r="A13" s="1060" t="s">
        <v>118</v>
      </c>
      <c r="B13" s="1061"/>
      <c r="C13" s="1064" t="s">
        <v>73</v>
      </c>
      <c r="D13" s="1064" t="s">
        <v>74</v>
      </c>
      <c r="E13" s="1066" t="s">
        <v>3</v>
      </c>
      <c r="F13" s="1066" t="s">
        <v>81</v>
      </c>
      <c r="G13" s="1068" t="s">
        <v>226</v>
      </c>
      <c r="H13" s="1069"/>
      <c r="I13" s="1069"/>
      <c r="J13" s="1069"/>
      <c r="K13" s="1052" t="s">
        <v>227</v>
      </c>
      <c r="L13" s="37"/>
      <c r="M13" s="1054" t="s">
        <v>69</v>
      </c>
      <c r="N13" s="1055"/>
      <c r="O13" s="1056" t="s">
        <v>70</v>
      </c>
      <c r="P13" s="1057"/>
      <c r="Q13" s="1058" t="s">
        <v>71</v>
      </c>
      <c r="R13" s="1059"/>
      <c r="S13" s="1080" t="s">
        <v>147</v>
      </c>
      <c r="U13" s="1048" t="s">
        <v>75</v>
      </c>
      <c r="V13" s="1050" t="s">
        <v>76</v>
      </c>
      <c r="W13" s="1082" t="s">
        <v>366</v>
      </c>
      <c r="Y13" s="209"/>
      <c r="Z13" s="1086" t="s">
        <v>69</v>
      </c>
      <c r="AA13" s="1087"/>
      <c r="AB13" s="1088" t="s">
        <v>70</v>
      </c>
      <c r="AC13" s="1089"/>
      <c r="AD13" s="1090" t="s">
        <v>71</v>
      </c>
      <c r="AE13" s="1091"/>
      <c r="AF13" s="39"/>
      <c r="AG13" s="1054" t="s">
        <v>69</v>
      </c>
      <c r="AH13" s="1092"/>
      <c r="AI13" s="1056" t="s">
        <v>70</v>
      </c>
      <c r="AJ13" s="1057"/>
      <c r="AK13" s="1083" t="s">
        <v>71</v>
      </c>
      <c r="AL13" s="1059"/>
      <c r="AM13" s="39"/>
      <c r="AN13" s="1054" t="s">
        <v>69</v>
      </c>
      <c r="AO13" s="1092"/>
      <c r="AP13" s="1056" t="s">
        <v>70</v>
      </c>
      <c r="AQ13" s="1057"/>
      <c r="AR13" s="1083" t="s">
        <v>71</v>
      </c>
      <c r="AS13" s="1059"/>
      <c r="AT13" s="210"/>
    </row>
    <row r="14" spans="1:242" s="39" customFormat="1" ht="49.5" customHeight="1" thickBot="1" x14ac:dyDescent="0.25">
      <c r="A14" s="1062"/>
      <c r="B14" s="1063"/>
      <c r="C14" s="1065"/>
      <c r="D14" s="1065"/>
      <c r="E14" s="1067"/>
      <c r="F14" s="1067"/>
      <c r="G14" s="350" t="s">
        <v>228</v>
      </c>
      <c r="H14" s="351" t="s">
        <v>116</v>
      </c>
      <c r="I14" s="351" t="s">
        <v>117</v>
      </c>
      <c r="J14" s="352" t="s">
        <v>229</v>
      </c>
      <c r="K14" s="1053"/>
      <c r="L14" s="37"/>
      <c r="M14" s="191" t="s">
        <v>36</v>
      </c>
      <c r="N14" s="193" t="s">
        <v>37</v>
      </c>
      <c r="O14" s="200" t="s">
        <v>36</v>
      </c>
      <c r="P14" s="201" t="s">
        <v>37</v>
      </c>
      <c r="Q14" s="194" t="s">
        <v>36</v>
      </c>
      <c r="R14" s="192" t="s">
        <v>37</v>
      </c>
      <c r="S14" s="1081"/>
      <c r="U14" s="1049"/>
      <c r="V14" s="1051"/>
      <c r="W14" s="1082"/>
      <c r="Y14" s="209"/>
      <c r="Z14" s="191" t="s">
        <v>36</v>
      </c>
      <c r="AA14" s="193" t="s">
        <v>37</v>
      </c>
      <c r="AB14" s="200" t="s">
        <v>36</v>
      </c>
      <c r="AC14" s="201" t="s">
        <v>37</v>
      </c>
      <c r="AD14" s="194" t="s">
        <v>36</v>
      </c>
      <c r="AE14" s="192" t="s">
        <v>37</v>
      </c>
      <c r="AG14" s="212" t="s">
        <v>36</v>
      </c>
      <c r="AH14" s="213" t="s">
        <v>37</v>
      </c>
      <c r="AI14" s="214" t="s">
        <v>36</v>
      </c>
      <c r="AJ14" s="215" t="s">
        <v>37</v>
      </c>
      <c r="AK14" s="216" t="s">
        <v>36</v>
      </c>
      <c r="AL14" s="217" t="s">
        <v>37</v>
      </c>
      <c r="AN14" s="1084" t="s">
        <v>148</v>
      </c>
      <c r="AO14" s="1085"/>
      <c r="AP14" s="1095" t="s">
        <v>148</v>
      </c>
      <c r="AQ14" s="1096"/>
      <c r="AR14" s="1097" t="s">
        <v>149</v>
      </c>
      <c r="AS14" s="1098"/>
      <c r="AT14" s="210"/>
    </row>
    <row r="15" spans="1:242" s="39" customFormat="1" ht="12.75" customHeight="1" thickBot="1" x14ac:dyDescent="0.25">
      <c r="A15" s="1070" t="s">
        <v>143</v>
      </c>
      <c r="B15" s="1073" t="s">
        <v>93</v>
      </c>
      <c r="C15" s="779" t="s">
        <v>306</v>
      </c>
      <c r="D15" s="780" t="s">
        <v>307</v>
      </c>
      <c r="E15" s="781" t="s">
        <v>308</v>
      </c>
      <c r="F15" s="782" t="s">
        <v>119</v>
      </c>
      <c r="G15" s="783">
        <v>12334908</v>
      </c>
      <c r="H15" s="795">
        <v>188000</v>
      </c>
      <c r="I15" s="825">
        <v>125735.6</v>
      </c>
      <c r="J15" s="141">
        <f>SUM(G15:I15)</f>
        <v>12648643.6</v>
      </c>
      <c r="K15" s="136">
        <f t="shared" ref="K15:K61" si="0">+J15*(1+$K$11)</f>
        <v>13028102.908</v>
      </c>
      <c r="L15" s="37"/>
      <c r="M15" s="158">
        <v>0.51800000000000002</v>
      </c>
      <c r="N15" s="184">
        <f t="shared" ref="N15:N61" si="1">+$K15*M15</f>
        <v>6748557.3063439997</v>
      </c>
      <c r="O15" s="158">
        <v>0.10199999999999999</v>
      </c>
      <c r="P15" s="197">
        <f t="shared" ref="P15:P61" si="2">+$K15*O15</f>
        <v>1328866.4966159998</v>
      </c>
      <c r="Q15" s="158">
        <v>0.38</v>
      </c>
      <c r="R15" s="184">
        <f t="shared" ref="R15:R61" si="3">+$K15*Q15</f>
        <v>4950679.1050399998</v>
      </c>
      <c r="S15" s="187">
        <f>+M15+O15+Q15</f>
        <v>1</v>
      </c>
      <c r="U15" s="153"/>
      <c r="V15" s="150" t="s">
        <v>11</v>
      </c>
      <c r="W15" s="565">
        <f>SUM(W16,W20)</f>
        <v>49366194.937999994</v>
      </c>
      <c r="Y15" s="209"/>
      <c r="Z15" s="202">
        <f t="shared" ref="Z15:AE15" si="4">+M62</f>
        <v>0.36570956942984667</v>
      </c>
      <c r="AA15" s="204">
        <f t="shared" si="4"/>
        <v>83269274.753748015</v>
      </c>
      <c r="AB15" s="202">
        <f t="shared" si="4"/>
        <v>9.4795356438805697E-2</v>
      </c>
      <c r="AC15" s="205">
        <f t="shared" si="4"/>
        <v>21584178.376816005</v>
      </c>
      <c r="AD15" s="203">
        <f t="shared" si="4"/>
        <v>0.53949507413134778</v>
      </c>
      <c r="AE15" s="205">
        <f t="shared" si="4"/>
        <v>122838906.365436</v>
      </c>
      <c r="AG15" s="293">
        <f>+Z15</f>
        <v>0.36570956942984667</v>
      </c>
      <c r="AH15" s="294">
        <f>+AG15*W80</f>
        <v>30814281.320099309</v>
      </c>
      <c r="AI15" s="295">
        <f>+AB15</f>
        <v>9.4795356438805697E-2</v>
      </c>
      <c r="AJ15" s="294">
        <f>+AI15*W80</f>
        <v>7987351.2352943383</v>
      </c>
      <c r="AK15" s="296">
        <f>+AD15</f>
        <v>0.53949507413134778</v>
      </c>
      <c r="AL15" s="297">
        <f>+AK15*W80</f>
        <v>45457254.539466351</v>
      </c>
      <c r="AN15" s="1093">
        <f>+AH15+AA15</f>
        <v>114083556.07384732</v>
      </c>
      <c r="AO15" s="1094"/>
      <c r="AP15" s="1093">
        <f>+AJ15+AC15+K70</f>
        <v>29571529.612110343</v>
      </c>
      <c r="AQ15" s="1094"/>
      <c r="AR15" s="1093">
        <f>+AL15+AE15</f>
        <v>168296160.90490234</v>
      </c>
      <c r="AS15" s="1094"/>
      <c r="AT15" s="210"/>
    </row>
    <row r="16" spans="1:242" s="39" customFormat="1" x14ac:dyDescent="0.2">
      <c r="A16" s="1071"/>
      <c r="B16" s="1074"/>
      <c r="C16" s="89" t="s">
        <v>309</v>
      </c>
      <c r="D16" s="784" t="s">
        <v>310</v>
      </c>
      <c r="E16" s="785" t="s">
        <v>311</v>
      </c>
      <c r="F16" s="134" t="s">
        <v>119</v>
      </c>
      <c r="G16" s="786">
        <v>5901276</v>
      </c>
      <c r="H16" s="798">
        <v>328000</v>
      </c>
      <c r="I16" s="826">
        <v>125735.6</v>
      </c>
      <c r="J16" s="142">
        <f t="shared" ref="J16:J39" si="5">SUM(G16:I16)</f>
        <v>6355011.5999999996</v>
      </c>
      <c r="K16" s="137">
        <f t="shared" si="0"/>
        <v>6545661.9479999999</v>
      </c>
      <c r="L16" s="37"/>
      <c r="M16" s="791">
        <v>0.47800000000000004</v>
      </c>
      <c r="N16" s="185">
        <f t="shared" si="1"/>
        <v>3128826.411144</v>
      </c>
      <c r="O16" s="791">
        <v>0.08</v>
      </c>
      <c r="P16" s="183">
        <f t="shared" si="2"/>
        <v>523652.95584000001</v>
      </c>
      <c r="Q16" s="791">
        <v>0.44199999999999995</v>
      </c>
      <c r="R16" s="185">
        <f t="shared" si="3"/>
        <v>2893182.5810159994</v>
      </c>
      <c r="S16" s="188">
        <f t="shared" ref="S16:S61" si="6">+M16+O16+Q16</f>
        <v>1</v>
      </c>
      <c r="U16" s="154"/>
      <c r="V16" s="151" t="s">
        <v>12</v>
      </c>
      <c r="W16" s="536">
        <f>SUM(W17:W19)</f>
        <v>0</v>
      </c>
      <c r="Y16" s="209"/>
      <c r="AE16" s="830">
        <f>+AA15+AC15+AE15</f>
        <v>227692359.49600002</v>
      </c>
      <c r="AL16" s="830">
        <f>+AH15+AJ15+AL15</f>
        <v>84258887.094860002</v>
      </c>
      <c r="AP16" s="41"/>
      <c r="AS16" s="41"/>
      <c r="AT16" s="210"/>
    </row>
    <row r="17" spans="1:46" s="39" customFormat="1" ht="12.75" customHeight="1" x14ac:dyDescent="0.2">
      <c r="A17" s="1071"/>
      <c r="B17" s="1074"/>
      <c r="C17" s="89" t="s">
        <v>312</v>
      </c>
      <c r="D17" s="784" t="s">
        <v>313</v>
      </c>
      <c r="E17" s="785" t="s">
        <v>314</v>
      </c>
      <c r="F17" s="134" t="s">
        <v>119</v>
      </c>
      <c r="G17" s="786">
        <v>8561628</v>
      </c>
      <c r="H17" s="798">
        <v>328000</v>
      </c>
      <c r="I17" s="826">
        <v>125735.6</v>
      </c>
      <c r="J17" s="142">
        <f t="shared" si="5"/>
        <v>9015363.5999999996</v>
      </c>
      <c r="K17" s="137">
        <f t="shared" si="0"/>
        <v>9285824.5079999994</v>
      </c>
      <c r="L17" s="37"/>
      <c r="M17" s="791">
        <v>0.55200000000000005</v>
      </c>
      <c r="N17" s="185">
        <f t="shared" si="1"/>
        <v>5125775.1284159999</v>
      </c>
      <c r="O17" s="791">
        <v>4.2000000000000003E-2</v>
      </c>
      <c r="P17" s="183">
        <f t="shared" si="2"/>
        <v>390004.62933600001</v>
      </c>
      <c r="Q17" s="791">
        <v>0.40600000000000003</v>
      </c>
      <c r="R17" s="185">
        <f t="shared" si="3"/>
        <v>3770044.750248</v>
      </c>
      <c r="S17" s="188">
        <f t="shared" si="6"/>
        <v>1</v>
      </c>
      <c r="U17" s="155">
        <v>53103050000000</v>
      </c>
      <c r="V17" s="152" t="s">
        <v>13</v>
      </c>
      <c r="W17" s="882">
        <v>0</v>
      </c>
      <c r="Y17" s="209"/>
      <c r="AT17" s="210"/>
    </row>
    <row r="18" spans="1:46" s="39" customFormat="1" ht="13.5" customHeight="1" thickBot="1" x14ac:dyDescent="0.25">
      <c r="A18" s="1071"/>
      <c r="B18" s="1074"/>
      <c r="C18" s="89" t="s">
        <v>315</v>
      </c>
      <c r="D18" s="784" t="s">
        <v>316</v>
      </c>
      <c r="E18" s="785" t="s">
        <v>317</v>
      </c>
      <c r="F18" s="134" t="s">
        <v>119</v>
      </c>
      <c r="G18" s="786">
        <v>9305556</v>
      </c>
      <c r="H18" s="798">
        <v>328000</v>
      </c>
      <c r="I18" s="826">
        <v>125735.6</v>
      </c>
      <c r="J18" s="142">
        <f t="shared" si="5"/>
        <v>9759291.5999999996</v>
      </c>
      <c r="K18" s="137">
        <f t="shared" si="0"/>
        <v>10052070.347999999</v>
      </c>
      <c r="L18" s="37"/>
      <c r="M18" s="791">
        <v>0.48899999999999999</v>
      </c>
      <c r="N18" s="185">
        <f t="shared" si="1"/>
        <v>4915462.4001719998</v>
      </c>
      <c r="O18" s="791">
        <v>0.10200000000000001</v>
      </c>
      <c r="P18" s="183">
        <f t="shared" si="2"/>
        <v>1025311.175496</v>
      </c>
      <c r="Q18" s="791">
        <v>0.40899999999999997</v>
      </c>
      <c r="R18" s="185">
        <f t="shared" si="3"/>
        <v>4111296.7723319996</v>
      </c>
      <c r="S18" s="188">
        <f t="shared" si="6"/>
        <v>1</v>
      </c>
      <c r="U18" s="155">
        <v>53103060000000</v>
      </c>
      <c r="V18" s="152" t="s">
        <v>14</v>
      </c>
      <c r="W18" s="882">
        <v>0</v>
      </c>
      <c r="Y18" s="218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20"/>
    </row>
    <row r="19" spans="1:46" s="39" customFormat="1" x14ac:dyDescent="0.2">
      <c r="A19" s="1071"/>
      <c r="B19" s="1074"/>
      <c r="C19" s="89" t="s">
        <v>318</v>
      </c>
      <c r="D19" s="784" t="s">
        <v>319</v>
      </c>
      <c r="E19" s="785" t="s">
        <v>320</v>
      </c>
      <c r="F19" s="134" t="s">
        <v>119</v>
      </c>
      <c r="G19" s="786">
        <v>6090048</v>
      </c>
      <c r="H19" s="798">
        <v>328000</v>
      </c>
      <c r="I19" s="826">
        <v>125735.6</v>
      </c>
      <c r="J19" s="142">
        <f t="shared" si="5"/>
        <v>6543783.5999999996</v>
      </c>
      <c r="K19" s="137">
        <f t="shared" si="0"/>
        <v>6740097.108</v>
      </c>
      <c r="L19" s="37"/>
      <c r="M19" s="791">
        <v>0.45300000000000001</v>
      </c>
      <c r="N19" s="185">
        <f t="shared" si="1"/>
        <v>3053263.9899240001</v>
      </c>
      <c r="O19" s="791">
        <v>3.1E-2</v>
      </c>
      <c r="P19" s="183">
        <f t="shared" si="2"/>
        <v>208943.01034800001</v>
      </c>
      <c r="Q19" s="791">
        <v>0.51600000000000001</v>
      </c>
      <c r="R19" s="185">
        <f t="shared" si="3"/>
        <v>3477890.1077280003</v>
      </c>
      <c r="S19" s="188">
        <f t="shared" si="6"/>
        <v>1</v>
      </c>
      <c r="U19" s="155">
        <v>53103080010000</v>
      </c>
      <c r="V19" s="152" t="s">
        <v>15</v>
      </c>
      <c r="W19" s="882">
        <v>0</v>
      </c>
    </row>
    <row r="20" spans="1:46" s="39" customFormat="1" x14ac:dyDescent="0.2">
      <c r="A20" s="1071"/>
      <c r="B20" s="1074"/>
      <c r="C20" s="89" t="s">
        <v>321</v>
      </c>
      <c r="D20" s="784" t="s">
        <v>322</v>
      </c>
      <c r="E20" s="785" t="s">
        <v>323</v>
      </c>
      <c r="F20" s="134" t="s">
        <v>119</v>
      </c>
      <c r="G20" s="786">
        <v>9370440</v>
      </c>
      <c r="H20" s="798">
        <v>328000</v>
      </c>
      <c r="I20" s="826">
        <v>125735.6</v>
      </c>
      <c r="J20" s="142">
        <f t="shared" si="5"/>
        <v>9824175.5999999996</v>
      </c>
      <c r="K20" s="137">
        <f t="shared" si="0"/>
        <v>10118900.868000001</v>
      </c>
      <c r="L20" s="37"/>
      <c r="M20" s="791">
        <v>0.53100000000000003</v>
      </c>
      <c r="N20" s="185">
        <f t="shared" si="1"/>
        <v>5373136.3609080007</v>
      </c>
      <c r="O20" s="791">
        <v>0.112</v>
      </c>
      <c r="P20" s="183">
        <f t="shared" si="2"/>
        <v>1133316.8972160001</v>
      </c>
      <c r="Q20" s="791">
        <v>0.35699999999999998</v>
      </c>
      <c r="R20" s="185">
        <f t="shared" si="3"/>
        <v>3612447.6098760003</v>
      </c>
      <c r="S20" s="188">
        <f t="shared" si="6"/>
        <v>1</v>
      </c>
      <c r="U20" s="154"/>
      <c r="V20" s="151" t="s">
        <v>16</v>
      </c>
      <c r="W20" s="883">
        <f>SUM(W21:W39)</f>
        <v>49366194.937999994</v>
      </c>
    </row>
    <row r="21" spans="1:46" s="39" customFormat="1" x14ac:dyDescent="0.2">
      <c r="A21" s="1071"/>
      <c r="B21" s="1074"/>
      <c r="C21" s="89" t="s">
        <v>324</v>
      </c>
      <c r="D21" s="784" t="s">
        <v>325</v>
      </c>
      <c r="E21" s="785" t="s">
        <v>311</v>
      </c>
      <c r="F21" s="134" t="s">
        <v>119</v>
      </c>
      <c r="G21" s="786">
        <v>5741448</v>
      </c>
      <c r="H21" s="798">
        <v>328000</v>
      </c>
      <c r="I21" s="826">
        <v>125735.6</v>
      </c>
      <c r="J21" s="142">
        <f t="shared" si="5"/>
        <v>6195183.5999999996</v>
      </c>
      <c r="K21" s="137">
        <f t="shared" si="0"/>
        <v>6381039.108</v>
      </c>
      <c r="L21" s="37"/>
      <c r="M21" s="791">
        <v>0.34499999999999997</v>
      </c>
      <c r="N21" s="185">
        <f t="shared" si="1"/>
        <v>2201458.4922599997</v>
      </c>
      <c r="O21" s="791">
        <v>5.7999999999999996E-2</v>
      </c>
      <c r="P21" s="183">
        <f t="shared" si="2"/>
        <v>370100.26826399995</v>
      </c>
      <c r="Q21" s="791">
        <v>0.59699999999999998</v>
      </c>
      <c r="R21" s="185">
        <f t="shared" si="3"/>
        <v>3809480.347476</v>
      </c>
      <c r="S21" s="188">
        <f t="shared" si="6"/>
        <v>1</v>
      </c>
      <c r="U21" s="155">
        <v>53201010100000</v>
      </c>
      <c r="V21" s="152" t="s">
        <v>17</v>
      </c>
      <c r="W21" s="882">
        <f>11363337.6*1.03</f>
        <v>11704237.728</v>
      </c>
    </row>
    <row r="22" spans="1:46" s="39" customFormat="1" x14ac:dyDescent="0.2">
      <c r="A22" s="1071"/>
      <c r="B22" s="1074"/>
      <c r="C22" s="89" t="s">
        <v>326</v>
      </c>
      <c r="D22" s="784" t="s">
        <v>327</v>
      </c>
      <c r="E22" s="785" t="s">
        <v>328</v>
      </c>
      <c r="F22" s="134" t="s">
        <v>119</v>
      </c>
      <c r="G22" s="786">
        <v>5873328</v>
      </c>
      <c r="H22" s="798">
        <v>328000</v>
      </c>
      <c r="I22" s="826">
        <v>125735.6</v>
      </c>
      <c r="J22" s="142">
        <f t="shared" si="5"/>
        <v>6327063.5999999996</v>
      </c>
      <c r="K22" s="137">
        <f t="shared" si="0"/>
        <v>6516875.5079999994</v>
      </c>
      <c r="L22" s="37"/>
      <c r="M22" s="791">
        <v>0.51400000000000001</v>
      </c>
      <c r="N22" s="185">
        <f t="shared" si="1"/>
        <v>3349674.0111119999</v>
      </c>
      <c r="O22" s="791">
        <v>0.112</v>
      </c>
      <c r="P22" s="183">
        <f t="shared" si="2"/>
        <v>729890.05689599994</v>
      </c>
      <c r="Q22" s="791">
        <v>0.374</v>
      </c>
      <c r="R22" s="185">
        <f t="shared" si="3"/>
        <v>2437311.4399919999</v>
      </c>
      <c r="S22" s="188">
        <f t="shared" si="6"/>
        <v>1</v>
      </c>
      <c r="U22" s="155">
        <v>53202010100000</v>
      </c>
      <c r="V22" s="152" t="s">
        <v>18</v>
      </c>
      <c r="W22" s="882">
        <f>624197.2*1.03</f>
        <v>642923.11599999992</v>
      </c>
    </row>
    <row r="23" spans="1:46" s="39" customFormat="1" x14ac:dyDescent="0.2">
      <c r="A23" s="1071"/>
      <c r="B23" s="1074"/>
      <c r="C23" s="89" t="s">
        <v>329</v>
      </c>
      <c r="D23" s="784" t="s">
        <v>330</v>
      </c>
      <c r="E23" s="785" t="s">
        <v>311</v>
      </c>
      <c r="F23" s="134" t="s">
        <v>119</v>
      </c>
      <c r="G23" s="786">
        <v>6742080</v>
      </c>
      <c r="H23" s="798">
        <v>328000</v>
      </c>
      <c r="I23" s="826">
        <v>125735.6</v>
      </c>
      <c r="J23" s="142">
        <f t="shared" si="5"/>
        <v>7195815.5999999996</v>
      </c>
      <c r="K23" s="137">
        <f t="shared" si="0"/>
        <v>7411690.068</v>
      </c>
      <c r="L23" s="37"/>
      <c r="M23" s="791">
        <v>0.432</v>
      </c>
      <c r="N23" s="185">
        <f t="shared" si="1"/>
        <v>3201850.1093759998</v>
      </c>
      <c r="O23" s="791">
        <v>0.06</v>
      </c>
      <c r="P23" s="183">
        <f t="shared" si="2"/>
        <v>444701.40408000001</v>
      </c>
      <c r="Q23" s="791">
        <v>0.50800000000000001</v>
      </c>
      <c r="R23" s="185">
        <f t="shared" si="3"/>
        <v>3765138.554544</v>
      </c>
      <c r="S23" s="188">
        <f t="shared" si="6"/>
        <v>1</v>
      </c>
      <c r="U23" s="155">
        <v>53203010100000</v>
      </c>
      <c r="V23" s="152" t="s">
        <v>19</v>
      </c>
      <c r="W23" s="882">
        <f>2142797.2*1.03</f>
        <v>2207081.1160000004</v>
      </c>
    </row>
    <row r="24" spans="1:46" s="39" customFormat="1" ht="13.5" thickBot="1" x14ac:dyDescent="0.25">
      <c r="A24" s="1071"/>
      <c r="B24" s="1075"/>
      <c r="C24" s="244" t="s">
        <v>331</v>
      </c>
      <c r="D24" s="380" t="s">
        <v>332</v>
      </c>
      <c r="E24" s="787" t="s">
        <v>311</v>
      </c>
      <c r="F24" s="788" t="s">
        <v>119</v>
      </c>
      <c r="G24" s="383">
        <v>10779528</v>
      </c>
      <c r="H24" s="827">
        <v>188000</v>
      </c>
      <c r="I24" s="826">
        <v>125735.6</v>
      </c>
      <c r="J24" s="143">
        <f t="shared" si="5"/>
        <v>11093263.6</v>
      </c>
      <c r="K24" s="135">
        <f t="shared" si="0"/>
        <v>11426061.507999999</v>
      </c>
      <c r="L24" s="37"/>
      <c r="M24" s="792">
        <v>0.61799999999999999</v>
      </c>
      <c r="N24" s="186">
        <f t="shared" si="1"/>
        <v>7061306.0119439997</v>
      </c>
      <c r="O24" s="792">
        <v>0.15</v>
      </c>
      <c r="P24" s="198">
        <f t="shared" si="2"/>
        <v>1713909.2261999999</v>
      </c>
      <c r="Q24" s="792">
        <v>0.23200000000000001</v>
      </c>
      <c r="R24" s="186">
        <f t="shared" si="3"/>
        <v>2650846.2698559999</v>
      </c>
      <c r="S24" s="190">
        <f t="shared" si="6"/>
        <v>1</v>
      </c>
      <c r="U24" s="155">
        <v>53203030000000</v>
      </c>
      <c r="V24" s="152" t="s">
        <v>20</v>
      </c>
      <c r="W24" s="882">
        <v>0</v>
      </c>
    </row>
    <row r="25" spans="1:46" s="39" customFormat="1" ht="12.75" customHeight="1" x14ac:dyDescent="0.2">
      <c r="A25" s="1071"/>
      <c r="B25" s="1073" t="s">
        <v>92</v>
      </c>
      <c r="C25" s="779" t="s">
        <v>333</v>
      </c>
      <c r="D25" s="780" t="s">
        <v>334</v>
      </c>
      <c r="E25" s="781" t="s">
        <v>335</v>
      </c>
      <c r="F25" s="782" t="s">
        <v>119</v>
      </c>
      <c r="G25" s="783">
        <v>18688320</v>
      </c>
      <c r="H25" s="795">
        <v>188000</v>
      </c>
      <c r="I25" s="825">
        <v>125735.6</v>
      </c>
      <c r="J25" s="141">
        <f t="shared" si="5"/>
        <v>19002055.600000001</v>
      </c>
      <c r="K25" s="136">
        <f t="shared" si="0"/>
        <v>19572117.268000003</v>
      </c>
      <c r="L25" s="37"/>
      <c r="M25" s="158">
        <v>0.32899999999999996</v>
      </c>
      <c r="N25" s="184">
        <f t="shared" si="1"/>
        <v>6439226.5811720006</v>
      </c>
      <c r="O25" s="158">
        <v>0.10800000000000001</v>
      </c>
      <c r="P25" s="197">
        <f t="shared" si="2"/>
        <v>2113788.6649440005</v>
      </c>
      <c r="Q25" s="158">
        <v>0.56300000000000006</v>
      </c>
      <c r="R25" s="184">
        <f t="shared" si="3"/>
        <v>11019102.021884004</v>
      </c>
      <c r="S25" s="187">
        <f t="shared" si="6"/>
        <v>1</v>
      </c>
      <c r="U25" s="155">
        <v>53204030000000</v>
      </c>
      <c r="V25" s="152" t="s">
        <v>21</v>
      </c>
      <c r="W25" s="882">
        <v>0</v>
      </c>
      <c r="AG25" s="31"/>
    </row>
    <row r="26" spans="1:46" s="39" customFormat="1" ht="12.75" customHeight="1" x14ac:dyDescent="0.2">
      <c r="A26" s="1071"/>
      <c r="B26" s="1074"/>
      <c r="C26" s="89" t="s">
        <v>336</v>
      </c>
      <c r="D26" s="784" t="s">
        <v>337</v>
      </c>
      <c r="E26" s="785" t="s">
        <v>311</v>
      </c>
      <c r="F26" s="134" t="s">
        <v>119</v>
      </c>
      <c r="G26" s="786">
        <v>10646424</v>
      </c>
      <c r="H26" s="798">
        <v>188000</v>
      </c>
      <c r="I26" s="826">
        <v>125735.6</v>
      </c>
      <c r="J26" s="142">
        <f t="shared" si="5"/>
        <v>10960159.6</v>
      </c>
      <c r="K26" s="137">
        <f t="shared" si="0"/>
        <v>11288964.388</v>
      </c>
      <c r="L26" s="37"/>
      <c r="M26" s="791">
        <v>0.33599999999999997</v>
      </c>
      <c r="N26" s="185">
        <f t="shared" si="1"/>
        <v>3793092.0343679995</v>
      </c>
      <c r="O26" s="791">
        <v>0.10800000000000001</v>
      </c>
      <c r="P26" s="183">
        <f t="shared" si="2"/>
        <v>1219208.1539040001</v>
      </c>
      <c r="Q26" s="791">
        <v>0.55600000000000005</v>
      </c>
      <c r="R26" s="185">
        <f t="shared" si="3"/>
        <v>6276664.1997280009</v>
      </c>
      <c r="S26" s="188">
        <f t="shared" si="6"/>
        <v>1</v>
      </c>
      <c r="U26" s="155">
        <v>53204100100001</v>
      </c>
      <c r="V26" s="152" t="s">
        <v>22</v>
      </c>
      <c r="W26" s="882">
        <f>5033666.2*1.03</f>
        <v>5184676.1860000007</v>
      </c>
      <c r="AG26" s="31"/>
    </row>
    <row r="27" spans="1:46" s="39" customFormat="1" ht="12.75" customHeight="1" x14ac:dyDescent="0.2">
      <c r="A27" s="1071"/>
      <c r="B27" s="1074"/>
      <c r="C27" s="89" t="s">
        <v>338</v>
      </c>
      <c r="D27" s="784" t="s">
        <v>339</v>
      </c>
      <c r="E27" s="785" t="s">
        <v>311</v>
      </c>
      <c r="F27" s="134" t="s">
        <v>119</v>
      </c>
      <c r="G27" s="786">
        <v>9147576</v>
      </c>
      <c r="H27" s="798">
        <v>328000</v>
      </c>
      <c r="I27" s="826">
        <v>125735.6</v>
      </c>
      <c r="J27" s="142">
        <f t="shared" si="5"/>
        <v>9601311.5999999996</v>
      </c>
      <c r="K27" s="137">
        <f t="shared" si="0"/>
        <v>9889350.9480000008</v>
      </c>
      <c r="L27" s="37"/>
      <c r="M27" s="791">
        <v>0.33599999999999997</v>
      </c>
      <c r="N27" s="185">
        <f t="shared" si="1"/>
        <v>3322821.9185279999</v>
      </c>
      <c r="O27" s="791">
        <v>0.10800000000000001</v>
      </c>
      <c r="P27" s="183">
        <f t="shared" si="2"/>
        <v>1068049.9023840001</v>
      </c>
      <c r="Q27" s="791">
        <v>0.55599999999999994</v>
      </c>
      <c r="R27" s="185">
        <f t="shared" si="3"/>
        <v>5498479.1270880001</v>
      </c>
      <c r="S27" s="188">
        <f t="shared" si="6"/>
        <v>0.99999999999999989</v>
      </c>
      <c r="U27" s="155">
        <v>53204130100000</v>
      </c>
      <c r="V27" s="152" t="s">
        <v>23</v>
      </c>
      <c r="W27" s="882">
        <v>0</v>
      </c>
      <c r="AG27" s="31"/>
    </row>
    <row r="28" spans="1:46" s="39" customFormat="1" ht="12.75" customHeight="1" x14ac:dyDescent="0.2">
      <c r="A28" s="1071"/>
      <c r="B28" s="1074"/>
      <c r="C28" s="89" t="s">
        <v>340</v>
      </c>
      <c r="D28" s="784" t="s">
        <v>341</v>
      </c>
      <c r="E28" s="785" t="s">
        <v>311</v>
      </c>
      <c r="F28" s="134" t="s">
        <v>119</v>
      </c>
      <c r="G28" s="786">
        <v>7326900</v>
      </c>
      <c r="H28" s="798">
        <v>328000</v>
      </c>
      <c r="I28" s="826">
        <v>125735.6</v>
      </c>
      <c r="J28" s="142">
        <f t="shared" si="5"/>
        <v>7780635.5999999996</v>
      </c>
      <c r="K28" s="137">
        <f t="shared" si="0"/>
        <v>8014054.6679999996</v>
      </c>
      <c r="L28" s="37"/>
      <c r="M28" s="791">
        <v>0.32899999999999996</v>
      </c>
      <c r="N28" s="185">
        <f t="shared" si="1"/>
        <v>2636623.9857719997</v>
      </c>
      <c r="O28" s="791">
        <v>0.10800000000000001</v>
      </c>
      <c r="P28" s="183">
        <f t="shared" si="2"/>
        <v>865517.90414400003</v>
      </c>
      <c r="Q28" s="791">
        <v>0.56299999999999994</v>
      </c>
      <c r="R28" s="185">
        <f t="shared" si="3"/>
        <v>4511912.7780839996</v>
      </c>
      <c r="S28" s="188">
        <f t="shared" si="6"/>
        <v>0.99999999999999989</v>
      </c>
      <c r="U28" s="155">
        <v>53205010100000</v>
      </c>
      <c r="V28" s="152" t="s">
        <v>24</v>
      </c>
      <c r="W28" s="882">
        <f>7332219.4*1.03</f>
        <v>7552185.9820000008</v>
      </c>
      <c r="AG28" s="31"/>
    </row>
    <row r="29" spans="1:46" s="39" customFormat="1" ht="12.75" customHeight="1" x14ac:dyDescent="0.2">
      <c r="A29" s="1071"/>
      <c r="B29" s="1074"/>
      <c r="C29" s="89" t="s">
        <v>342</v>
      </c>
      <c r="D29" s="784" t="s">
        <v>343</v>
      </c>
      <c r="E29" s="785" t="s">
        <v>344</v>
      </c>
      <c r="F29" s="134" t="s">
        <v>119</v>
      </c>
      <c r="G29" s="786">
        <v>5521176</v>
      </c>
      <c r="H29" s="798">
        <v>328000</v>
      </c>
      <c r="I29" s="826">
        <v>125735.6</v>
      </c>
      <c r="J29" s="142">
        <f t="shared" si="5"/>
        <v>5974911.5999999996</v>
      </c>
      <c r="K29" s="137">
        <f t="shared" si="0"/>
        <v>6154158.9479999999</v>
      </c>
      <c r="L29" s="37"/>
      <c r="M29" s="791">
        <v>0.33400000000000002</v>
      </c>
      <c r="N29" s="185">
        <f t="shared" si="1"/>
        <v>2055489.0886320001</v>
      </c>
      <c r="O29" s="791">
        <v>0.111</v>
      </c>
      <c r="P29" s="183">
        <f t="shared" si="2"/>
        <v>683111.64322800003</v>
      </c>
      <c r="Q29" s="791">
        <v>0.55500000000000005</v>
      </c>
      <c r="R29" s="185">
        <f t="shared" si="3"/>
        <v>3415558.2161400001</v>
      </c>
      <c r="S29" s="188">
        <f t="shared" si="6"/>
        <v>1</v>
      </c>
      <c r="U29" s="155">
        <v>53205020100000</v>
      </c>
      <c r="V29" s="152" t="s">
        <v>25</v>
      </c>
      <c r="W29" s="882">
        <f>1318013.8*1.03</f>
        <v>1357554.2140000002</v>
      </c>
      <c r="AG29" s="31"/>
    </row>
    <row r="30" spans="1:46" s="39" customFormat="1" ht="12.75" customHeight="1" x14ac:dyDescent="0.2">
      <c r="A30" s="1071"/>
      <c r="B30" s="1074"/>
      <c r="C30" s="89"/>
      <c r="D30" s="132"/>
      <c r="E30" s="133"/>
      <c r="F30" s="134" t="s">
        <v>119</v>
      </c>
      <c r="G30" s="126">
        <v>0</v>
      </c>
      <c r="H30" s="126"/>
      <c r="I30" s="139"/>
      <c r="J30" s="142">
        <f t="shared" si="5"/>
        <v>0</v>
      </c>
      <c r="K30" s="137">
        <f t="shared" si="0"/>
        <v>0</v>
      </c>
      <c r="L30" s="37"/>
      <c r="M30" s="791">
        <v>0</v>
      </c>
      <c r="N30" s="185">
        <f t="shared" si="1"/>
        <v>0</v>
      </c>
      <c r="O30" s="791">
        <v>0</v>
      </c>
      <c r="P30" s="183">
        <f t="shared" si="2"/>
        <v>0</v>
      </c>
      <c r="Q30" s="791">
        <v>0</v>
      </c>
      <c r="R30" s="185">
        <f t="shared" si="3"/>
        <v>0</v>
      </c>
      <c r="S30" s="188">
        <f t="shared" si="6"/>
        <v>0</v>
      </c>
      <c r="U30" s="155">
        <v>53205030100000</v>
      </c>
      <c r="V30" s="152" t="s">
        <v>26</v>
      </c>
      <c r="W30" s="882">
        <f>643351.6*1.03</f>
        <v>662652.14800000004</v>
      </c>
      <c r="AG30" s="31"/>
    </row>
    <row r="31" spans="1:46" s="39" customFormat="1" ht="12.75" customHeight="1" x14ac:dyDescent="0.2">
      <c r="A31" s="1071"/>
      <c r="B31" s="1074"/>
      <c r="C31" s="89"/>
      <c r="D31" s="132"/>
      <c r="E31" s="133"/>
      <c r="F31" s="134" t="s">
        <v>119</v>
      </c>
      <c r="G31" s="126">
        <v>0</v>
      </c>
      <c r="H31" s="126"/>
      <c r="I31" s="139"/>
      <c r="J31" s="142">
        <f t="shared" si="5"/>
        <v>0</v>
      </c>
      <c r="K31" s="137">
        <f t="shared" si="0"/>
        <v>0</v>
      </c>
      <c r="L31" s="37"/>
      <c r="M31" s="791">
        <v>0</v>
      </c>
      <c r="N31" s="185">
        <f t="shared" si="1"/>
        <v>0</v>
      </c>
      <c r="O31" s="791">
        <v>0</v>
      </c>
      <c r="P31" s="183">
        <f t="shared" si="2"/>
        <v>0</v>
      </c>
      <c r="Q31" s="791">
        <v>0</v>
      </c>
      <c r="R31" s="185">
        <f t="shared" si="3"/>
        <v>0</v>
      </c>
      <c r="S31" s="188">
        <f t="shared" si="6"/>
        <v>0</v>
      </c>
      <c r="U31" s="155">
        <v>53205050100000</v>
      </c>
      <c r="V31" s="152" t="s">
        <v>27</v>
      </c>
      <c r="W31" s="882">
        <v>0</v>
      </c>
      <c r="AG31" s="31"/>
    </row>
    <row r="32" spans="1:46" s="39" customFormat="1" ht="12.75" customHeight="1" x14ac:dyDescent="0.2">
      <c r="A32" s="1071"/>
      <c r="B32" s="1074"/>
      <c r="C32" s="89"/>
      <c r="D32" s="132"/>
      <c r="E32" s="133"/>
      <c r="F32" s="134" t="s">
        <v>119</v>
      </c>
      <c r="G32" s="126">
        <v>0</v>
      </c>
      <c r="H32" s="126"/>
      <c r="I32" s="139"/>
      <c r="J32" s="142">
        <f t="shared" si="5"/>
        <v>0</v>
      </c>
      <c r="K32" s="137">
        <f t="shared" si="0"/>
        <v>0</v>
      </c>
      <c r="L32" s="37"/>
      <c r="M32" s="791">
        <v>0</v>
      </c>
      <c r="N32" s="185">
        <f t="shared" si="1"/>
        <v>0</v>
      </c>
      <c r="O32" s="791">
        <v>0</v>
      </c>
      <c r="P32" s="183">
        <f t="shared" si="2"/>
        <v>0</v>
      </c>
      <c r="Q32" s="791">
        <v>0</v>
      </c>
      <c r="R32" s="185">
        <f t="shared" si="3"/>
        <v>0</v>
      </c>
      <c r="S32" s="188">
        <f t="shared" si="6"/>
        <v>0</v>
      </c>
      <c r="U32" s="155">
        <v>53205060100000</v>
      </c>
      <c r="V32" s="152" t="s">
        <v>28</v>
      </c>
      <c r="W32" s="882">
        <f>1744710.4*1.03</f>
        <v>1797051.7120000001</v>
      </c>
      <c r="AG32" s="31"/>
    </row>
    <row r="33" spans="1:33" s="39" customFormat="1" ht="12.75" customHeight="1" x14ac:dyDescent="0.2">
      <c r="A33" s="1071"/>
      <c r="B33" s="1074"/>
      <c r="C33" s="89"/>
      <c r="D33" s="132"/>
      <c r="E33" s="133"/>
      <c r="F33" s="134" t="s">
        <v>119</v>
      </c>
      <c r="G33" s="126">
        <v>0</v>
      </c>
      <c r="H33" s="126"/>
      <c r="I33" s="139"/>
      <c r="J33" s="142">
        <f t="shared" si="5"/>
        <v>0</v>
      </c>
      <c r="K33" s="137">
        <f t="shared" si="0"/>
        <v>0</v>
      </c>
      <c r="L33" s="37"/>
      <c r="M33" s="791">
        <v>0</v>
      </c>
      <c r="N33" s="185">
        <f t="shared" si="1"/>
        <v>0</v>
      </c>
      <c r="O33" s="791">
        <v>0</v>
      </c>
      <c r="P33" s="183">
        <f t="shared" si="2"/>
        <v>0</v>
      </c>
      <c r="Q33" s="791">
        <v>0</v>
      </c>
      <c r="R33" s="185">
        <f t="shared" si="3"/>
        <v>0</v>
      </c>
      <c r="S33" s="188">
        <f t="shared" si="6"/>
        <v>0</v>
      </c>
      <c r="U33" s="155">
        <v>53205070100000</v>
      </c>
      <c r="V33" s="152" t="s">
        <v>29</v>
      </c>
      <c r="W33" s="882">
        <f>668593*1.03</f>
        <v>688650.79</v>
      </c>
      <c r="AG33" s="31"/>
    </row>
    <row r="34" spans="1:33" s="39" customFormat="1" ht="12.75" customHeight="1" thickBot="1" x14ac:dyDescent="0.25">
      <c r="A34" s="1071"/>
      <c r="B34" s="1075"/>
      <c r="C34" s="148"/>
      <c r="D34" s="127"/>
      <c r="E34" s="128"/>
      <c r="F34" s="129" t="s">
        <v>119</v>
      </c>
      <c r="G34" s="130">
        <v>0</v>
      </c>
      <c r="H34" s="130"/>
      <c r="I34" s="140"/>
      <c r="J34" s="143">
        <f t="shared" si="5"/>
        <v>0</v>
      </c>
      <c r="K34" s="135">
        <f t="shared" si="0"/>
        <v>0</v>
      </c>
      <c r="L34" s="37"/>
      <c r="M34" s="792">
        <v>0</v>
      </c>
      <c r="N34" s="186">
        <f t="shared" si="1"/>
        <v>0</v>
      </c>
      <c r="O34" s="792">
        <v>0</v>
      </c>
      <c r="P34" s="198">
        <f t="shared" si="2"/>
        <v>0</v>
      </c>
      <c r="Q34" s="792">
        <v>0</v>
      </c>
      <c r="R34" s="186">
        <f t="shared" si="3"/>
        <v>0</v>
      </c>
      <c r="S34" s="190">
        <f t="shared" si="6"/>
        <v>0</v>
      </c>
      <c r="U34" s="155">
        <v>53208010100000</v>
      </c>
      <c r="V34" s="152" t="s">
        <v>30</v>
      </c>
      <c r="W34" s="882">
        <f>1088073.8*1.03</f>
        <v>1120716.014</v>
      </c>
      <c r="AG34" s="31"/>
    </row>
    <row r="35" spans="1:33" s="39" customFormat="1" ht="12.75" customHeight="1" x14ac:dyDescent="0.2">
      <c r="A35" s="1071"/>
      <c r="B35" s="1073" t="s">
        <v>91</v>
      </c>
      <c r="C35" s="779" t="s">
        <v>345</v>
      </c>
      <c r="D35" s="780" t="s">
        <v>346</v>
      </c>
      <c r="E35" s="781" t="s">
        <v>347</v>
      </c>
      <c r="F35" s="782" t="s">
        <v>119</v>
      </c>
      <c r="G35" s="783">
        <v>12975144</v>
      </c>
      <c r="H35" s="795">
        <v>188000</v>
      </c>
      <c r="I35" s="825">
        <v>125735.6</v>
      </c>
      <c r="J35" s="141">
        <f t="shared" si="5"/>
        <v>13288879.6</v>
      </c>
      <c r="K35" s="136">
        <f t="shared" si="0"/>
        <v>13687545.988</v>
      </c>
      <c r="L35" s="37"/>
      <c r="M35" s="158">
        <v>0.16900000000000001</v>
      </c>
      <c r="N35" s="184">
        <f t="shared" si="1"/>
        <v>2313195.2719720001</v>
      </c>
      <c r="O35" s="158">
        <v>0.10100000000000001</v>
      </c>
      <c r="P35" s="197">
        <f t="shared" si="2"/>
        <v>1382442.144788</v>
      </c>
      <c r="Q35" s="158">
        <v>0.73</v>
      </c>
      <c r="R35" s="184">
        <f t="shared" si="3"/>
        <v>9991908.5712400004</v>
      </c>
      <c r="S35" s="187">
        <f t="shared" si="6"/>
        <v>1</v>
      </c>
      <c r="U35" s="155">
        <v>53208070100001</v>
      </c>
      <c r="V35" s="152" t="s">
        <v>31</v>
      </c>
      <c r="W35" s="882">
        <f>1205637.8*1.03</f>
        <v>1241806.9340000001</v>
      </c>
      <c r="AG35" s="31"/>
    </row>
    <row r="36" spans="1:33" s="39" customFormat="1" ht="12.75" customHeight="1" x14ac:dyDescent="0.2">
      <c r="A36" s="1071"/>
      <c r="B36" s="1074"/>
      <c r="C36" s="89"/>
      <c r="D36" s="132"/>
      <c r="E36" s="133"/>
      <c r="F36" s="134" t="s">
        <v>119</v>
      </c>
      <c r="G36" s="126">
        <v>0</v>
      </c>
      <c r="H36" s="126"/>
      <c r="I36" s="139"/>
      <c r="J36" s="142">
        <f t="shared" si="5"/>
        <v>0</v>
      </c>
      <c r="K36" s="137">
        <f t="shared" si="0"/>
        <v>0</v>
      </c>
      <c r="L36" s="37"/>
      <c r="M36" s="791">
        <v>0</v>
      </c>
      <c r="N36" s="185">
        <f t="shared" si="1"/>
        <v>0</v>
      </c>
      <c r="O36" s="791">
        <v>0</v>
      </c>
      <c r="P36" s="183">
        <f t="shared" si="2"/>
        <v>0</v>
      </c>
      <c r="Q36" s="791">
        <v>0</v>
      </c>
      <c r="R36" s="185">
        <f t="shared" si="3"/>
        <v>0</v>
      </c>
      <c r="S36" s="188">
        <f t="shared" si="6"/>
        <v>0</v>
      </c>
      <c r="U36" s="155">
        <v>53208100100001</v>
      </c>
      <c r="V36" s="152" t="s">
        <v>131</v>
      </c>
      <c r="W36" s="882">
        <v>0</v>
      </c>
      <c r="AG36" s="31"/>
    </row>
    <row r="37" spans="1:33" s="39" customFormat="1" ht="12.75" customHeight="1" x14ac:dyDescent="0.2">
      <c r="A37" s="1071"/>
      <c r="B37" s="1074"/>
      <c r="C37" s="89"/>
      <c r="D37" s="132"/>
      <c r="E37" s="133"/>
      <c r="F37" s="134" t="s">
        <v>119</v>
      </c>
      <c r="G37" s="126">
        <v>0</v>
      </c>
      <c r="H37" s="126"/>
      <c r="I37" s="139"/>
      <c r="J37" s="142">
        <f t="shared" si="5"/>
        <v>0</v>
      </c>
      <c r="K37" s="137">
        <f t="shared" si="0"/>
        <v>0</v>
      </c>
      <c r="L37" s="37"/>
      <c r="M37" s="791">
        <v>0</v>
      </c>
      <c r="N37" s="185">
        <f t="shared" si="1"/>
        <v>0</v>
      </c>
      <c r="O37" s="791">
        <v>0</v>
      </c>
      <c r="P37" s="183">
        <f t="shared" si="2"/>
        <v>0</v>
      </c>
      <c r="Q37" s="791">
        <v>0</v>
      </c>
      <c r="R37" s="185">
        <f t="shared" si="3"/>
        <v>0</v>
      </c>
      <c r="S37" s="188">
        <f t="shared" si="6"/>
        <v>0</v>
      </c>
      <c r="U37" s="155">
        <v>53211030000000</v>
      </c>
      <c r="V37" s="152" t="s">
        <v>32</v>
      </c>
      <c r="W37" s="882">
        <v>0</v>
      </c>
      <c r="AG37" s="31"/>
    </row>
    <row r="38" spans="1:33" s="39" customFormat="1" ht="12.75" customHeight="1" x14ac:dyDescent="0.2">
      <c r="A38" s="1071"/>
      <c r="B38" s="1074"/>
      <c r="C38" s="89"/>
      <c r="D38" s="132"/>
      <c r="E38" s="133"/>
      <c r="F38" s="134" t="s">
        <v>119</v>
      </c>
      <c r="G38" s="126">
        <v>0</v>
      </c>
      <c r="H38" s="126"/>
      <c r="I38" s="139"/>
      <c r="J38" s="142">
        <f t="shared" si="5"/>
        <v>0</v>
      </c>
      <c r="K38" s="137">
        <f t="shared" si="0"/>
        <v>0</v>
      </c>
      <c r="L38" s="37"/>
      <c r="M38" s="791">
        <v>0</v>
      </c>
      <c r="N38" s="185">
        <f t="shared" si="1"/>
        <v>0</v>
      </c>
      <c r="O38" s="791">
        <v>0</v>
      </c>
      <c r="P38" s="183">
        <f t="shared" si="2"/>
        <v>0</v>
      </c>
      <c r="Q38" s="791">
        <v>0</v>
      </c>
      <c r="R38" s="185">
        <f t="shared" si="3"/>
        <v>0</v>
      </c>
      <c r="S38" s="188">
        <f t="shared" si="6"/>
        <v>0</v>
      </c>
      <c r="U38" s="155">
        <v>53212020100000</v>
      </c>
      <c r="V38" s="152" t="s">
        <v>98</v>
      </c>
      <c r="W38" s="882">
        <f>14763746.6*1.03</f>
        <v>15206658.998</v>
      </c>
      <c r="AG38" s="31"/>
    </row>
    <row r="39" spans="1:33" s="39" customFormat="1" ht="12.75" customHeight="1" thickBot="1" x14ac:dyDescent="0.25">
      <c r="A39" s="1071"/>
      <c r="B39" s="1075"/>
      <c r="C39" s="148"/>
      <c r="D39" s="127"/>
      <c r="E39" s="128"/>
      <c r="F39" s="129" t="s">
        <v>119</v>
      </c>
      <c r="G39" s="130">
        <v>0</v>
      </c>
      <c r="H39" s="130"/>
      <c r="I39" s="140"/>
      <c r="J39" s="143">
        <f t="shared" si="5"/>
        <v>0</v>
      </c>
      <c r="K39" s="135">
        <f t="shared" si="0"/>
        <v>0</v>
      </c>
      <c r="L39" s="37"/>
      <c r="M39" s="792">
        <v>0</v>
      </c>
      <c r="N39" s="186">
        <f t="shared" si="1"/>
        <v>0</v>
      </c>
      <c r="O39" s="792">
        <v>0</v>
      </c>
      <c r="P39" s="198">
        <f t="shared" si="2"/>
        <v>0</v>
      </c>
      <c r="Q39" s="792">
        <v>0</v>
      </c>
      <c r="R39" s="186">
        <f t="shared" si="3"/>
        <v>0</v>
      </c>
      <c r="S39" s="190">
        <f t="shared" si="6"/>
        <v>0</v>
      </c>
      <c r="U39" s="155">
        <v>53214020000000</v>
      </c>
      <c r="V39" s="152" t="s">
        <v>33</v>
      </c>
      <c r="W39" s="882">
        <v>0</v>
      </c>
      <c r="AG39" s="31"/>
    </row>
    <row r="40" spans="1:33" s="39" customFormat="1" ht="12.75" customHeight="1" x14ac:dyDescent="0.2">
      <c r="A40" s="1071"/>
      <c r="B40" s="1076" t="s">
        <v>120</v>
      </c>
      <c r="C40" s="789" t="s">
        <v>348</v>
      </c>
      <c r="D40" s="124" t="s">
        <v>349</v>
      </c>
      <c r="E40" s="125" t="s">
        <v>350</v>
      </c>
      <c r="F40" s="790" t="s">
        <v>119</v>
      </c>
      <c r="G40" s="783">
        <v>5949228</v>
      </c>
      <c r="H40" s="795">
        <v>328000</v>
      </c>
      <c r="I40" s="825">
        <v>125735.6</v>
      </c>
      <c r="J40" s="144">
        <f t="shared" ref="J40:J61" si="7">SUM(G40:I40)</f>
        <v>6402963.5999999996</v>
      </c>
      <c r="K40" s="146">
        <f t="shared" si="0"/>
        <v>6595052.5079999994</v>
      </c>
      <c r="L40" s="37"/>
      <c r="M40" s="158">
        <v>0.375</v>
      </c>
      <c r="N40" s="184">
        <f t="shared" si="1"/>
        <v>2473144.6904999996</v>
      </c>
      <c r="O40" s="158">
        <v>0.1</v>
      </c>
      <c r="P40" s="197">
        <f t="shared" si="2"/>
        <v>659505.25080000004</v>
      </c>
      <c r="Q40" s="158">
        <v>0.52500000000000002</v>
      </c>
      <c r="R40" s="184">
        <f t="shared" si="3"/>
        <v>3462402.5666999999</v>
      </c>
      <c r="S40" s="187">
        <f t="shared" si="6"/>
        <v>1</v>
      </c>
      <c r="U40" s="153"/>
      <c r="V40" s="150" t="s">
        <v>34</v>
      </c>
      <c r="W40" s="565">
        <f>SUM(W41,W46,W49,W60,W70,W78)</f>
        <v>34892692.156860001</v>
      </c>
      <c r="AG40" s="31"/>
    </row>
    <row r="41" spans="1:33" s="39" customFormat="1" ht="12.75" customHeight="1" x14ac:dyDescent="0.2">
      <c r="A41" s="1071"/>
      <c r="B41" s="1077"/>
      <c r="C41" s="90" t="s">
        <v>351</v>
      </c>
      <c r="D41" s="92" t="s">
        <v>352</v>
      </c>
      <c r="E41" s="93" t="s">
        <v>353</v>
      </c>
      <c r="F41" s="101" t="s">
        <v>119</v>
      </c>
      <c r="G41" s="786">
        <v>6294756</v>
      </c>
      <c r="H41" s="798">
        <v>328000</v>
      </c>
      <c r="I41" s="139">
        <v>125735.6</v>
      </c>
      <c r="J41" s="145">
        <f t="shared" ref="J41:J48" si="8">SUM(G41:I41)</f>
        <v>6748491.5999999996</v>
      </c>
      <c r="K41" s="147">
        <f t="shared" si="0"/>
        <v>6950946.3480000002</v>
      </c>
      <c r="L41" s="37"/>
      <c r="M41" s="791">
        <v>0.4910000000000001</v>
      </c>
      <c r="N41" s="185">
        <f t="shared" si="1"/>
        <v>3412914.656868001</v>
      </c>
      <c r="O41" s="791">
        <v>0.129</v>
      </c>
      <c r="P41" s="183">
        <f t="shared" si="2"/>
        <v>896672.07889200002</v>
      </c>
      <c r="Q41" s="791">
        <v>0.38</v>
      </c>
      <c r="R41" s="185">
        <f t="shared" si="3"/>
        <v>2641359.6122400002</v>
      </c>
      <c r="S41" s="188">
        <f t="shared" si="6"/>
        <v>1</v>
      </c>
      <c r="U41" s="154"/>
      <c r="V41" s="151" t="s">
        <v>35</v>
      </c>
      <c r="W41" s="536">
        <f>SUM(W42:W45)</f>
        <v>2457730.1739999996</v>
      </c>
      <c r="AG41" s="31"/>
    </row>
    <row r="42" spans="1:33" s="39" customFormat="1" ht="12.75" customHeight="1" x14ac:dyDescent="0.2">
      <c r="A42" s="1071"/>
      <c r="B42" s="1077"/>
      <c r="C42" s="90" t="s">
        <v>354</v>
      </c>
      <c r="D42" s="92" t="s">
        <v>355</v>
      </c>
      <c r="E42" s="93" t="s">
        <v>356</v>
      </c>
      <c r="F42" s="101" t="s">
        <v>119</v>
      </c>
      <c r="G42" s="786">
        <v>20977308</v>
      </c>
      <c r="H42" s="798">
        <v>188000</v>
      </c>
      <c r="I42" s="139">
        <v>125735.6</v>
      </c>
      <c r="J42" s="145">
        <f t="shared" si="8"/>
        <v>21291043.600000001</v>
      </c>
      <c r="K42" s="147">
        <f t="shared" si="0"/>
        <v>21929774.908000004</v>
      </c>
      <c r="L42" s="37"/>
      <c r="M42" s="791">
        <v>0.27499999999999997</v>
      </c>
      <c r="N42" s="185">
        <f t="shared" si="1"/>
        <v>6030688.0997000001</v>
      </c>
      <c r="O42" s="791">
        <v>0.12</v>
      </c>
      <c r="P42" s="183">
        <f t="shared" si="2"/>
        <v>2631572.9889600002</v>
      </c>
      <c r="Q42" s="791">
        <v>0.60499999999999998</v>
      </c>
      <c r="R42" s="185">
        <f t="shared" si="3"/>
        <v>13267513.819340002</v>
      </c>
      <c r="S42" s="188">
        <f t="shared" si="6"/>
        <v>1</v>
      </c>
      <c r="U42" s="155">
        <v>53202020100000</v>
      </c>
      <c r="V42" s="152" t="s">
        <v>39</v>
      </c>
      <c r="W42" s="882">
        <v>0</v>
      </c>
      <c r="AG42" s="31"/>
    </row>
    <row r="43" spans="1:33" s="39" customFormat="1" ht="12.75" customHeight="1" x14ac:dyDescent="0.2">
      <c r="A43" s="1071"/>
      <c r="B43" s="1077"/>
      <c r="C43" s="90" t="s">
        <v>357</v>
      </c>
      <c r="D43" s="92" t="s">
        <v>358</v>
      </c>
      <c r="E43" s="93" t="s">
        <v>359</v>
      </c>
      <c r="F43" s="101" t="s">
        <v>119</v>
      </c>
      <c r="G43" s="786">
        <v>17072712</v>
      </c>
      <c r="H43" s="798">
        <v>188000</v>
      </c>
      <c r="I43" s="139">
        <v>125735.6</v>
      </c>
      <c r="J43" s="145">
        <f t="shared" si="8"/>
        <v>17386447.600000001</v>
      </c>
      <c r="K43" s="147">
        <f t="shared" si="0"/>
        <v>17908041.028000001</v>
      </c>
      <c r="L43" s="37"/>
      <c r="M43" s="791">
        <v>0.22999999999999998</v>
      </c>
      <c r="N43" s="185">
        <f t="shared" si="1"/>
        <v>4118849.4364399998</v>
      </c>
      <c r="O43" s="791">
        <v>0.08</v>
      </c>
      <c r="P43" s="183">
        <f t="shared" si="2"/>
        <v>1432643.2822400001</v>
      </c>
      <c r="Q43" s="791">
        <v>0.69000000000000006</v>
      </c>
      <c r="R43" s="185">
        <f t="shared" si="3"/>
        <v>12356548.309320001</v>
      </c>
      <c r="S43" s="188">
        <f t="shared" si="6"/>
        <v>1</v>
      </c>
      <c r="U43" s="155">
        <v>53202030000000</v>
      </c>
      <c r="V43" s="152" t="s">
        <v>40</v>
      </c>
      <c r="W43" s="882">
        <v>0</v>
      </c>
      <c r="AG43" s="31"/>
    </row>
    <row r="44" spans="1:33" s="39" customFormat="1" ht="12.75" customHeight="1" x14ac:dyDescent="0.2">
      <c r="A44" s="1071"/>
      <c r="B44" s="1077"/>
      <c r="C44" s="90" t="s">
        <v>360</v>
      </c>
      <c r="D44" s="92" t="s">
        <v>361</v>
      </c>
      <c r="E44" s="785" t="s">
        <v>311</v>
      </c>
      <c r="F44" s="101" t="s">
        <v>119</v>
      </c>
      <c r="G44" s="786">
        <v>8805612</v>
      </c>
      <c r="H44" s="798">
        <v>328000</v>
      </c>
      <c r="I44" s="139">
        <v>125735.6</v>
      </c>
      <c r="J44" s="145">
        <f t="shared" si="8"/>
        <v>9259347.5999999996</v>
      </c>
      <c r="K44" s="147">
        <f t="shared" si="0"/>
        <v>9537128.027999999</v>
      </c>
      <c r="L44" s="37"/>
      <c r="M44" s="791">
        <v>0.22999999999999998</v>
      </c>
      <c r="N44" s="185">
        <f t="shared" si="1"/>
        <v>2193539.4464399996</v>
      </c>
      <c r="O44" s="791">
        <v>0.08</v>
      </c>
      <c r="P44" s="183">
        <f t="shared" si="2"/>
        <v>762970.24223999993</v>
      </c>
      <c r="Q44" s="791">
        <v>0.69000000000000006</v>
      </c>
      <c r="R44" s="185">
        <f t="shared" si="3"/>
        <v>6580618.3393200003</v>
      </c>
      <c r="S44" s="188">
        <f t="shared" si="6"/>
        <v>1</v>
      </c>
      <c r="U44" s="155">
        <v>53211020000000</v>
      </c>
      <c r="V44" s="152" t="s">
        <v>41</v>
      </c>
      <c r="W44" s="882">
        <v>0</v>
      </c>
      <c r="AG44" s="31"/>
    </row>
    <row r="45" spans="1:33" s="39" customFormat="1" ht="12.75" customHeight="1" x14ac:dyDescent="0.2">
      <c r="A45" s="1071"/>
      <c r="B45" s="1077"/>
      <c r="C45" s="90" t="s">
        <v>362</v>
      </c>
      <c r="D45" s="92" t="s">
        <v>363</v>
      </c>
      <c r="E45" s="785" t="s">
        <v>311</v>
      </c>
      <c r="F45" s="101" t="s">
        <v>364</v>
      </c>
      <c r="G45" s="786">
        <v>7952964</v>
      </c>
      <c r="H45" s="798">
        <v>328000</v>
      </c>
      <c r="I45" s="139">
        <v>125735.6</v>
      </c>
      <c r="J45" s="145">
        <f t="shared" si="8"/>
        <v>8406699.5999999996</v>
      </c>
      <c r="K45" s="147">
        <f t="shared" si="0"/>
        <v>8658900.5879999995</v>
      </c>
      <c r="L45" s="37"/>
      <c r="M45" s="791">
        <v>3.6999999999999998E-2</v>
      </c>
      <c r="N45" s="185">
        <f t="shared" si="1"/>
        <v>320379.32175599999</v>
      </c>
      <c r="O45" s="791">
        <v>0</v>
      </c>
      <c r="P45" s="183">
        <f t="shared" si="2"/>
        <v>0</v>
      </c>
      <c r="Q45" s="791">
        <v>0.96300000000000008</v>
      </c>
      <c r="R45" s="185">
        <f t="shared" si="3"/>
        <v>8338521.2662439998</v>
      </c>
      <c r="S45" s="188">
        <f t="shared" si="6"/>
        <v>1</v>
      </c>
      <c r="U45" s="155">
        <v>53101004030000</v>
      </c>
      <c r="V45" s="152" t="s">
        <v>38</v>
      </c>
      <c r="W45" s="882">
        <f>2386145.8*1.03</f>
        <v>2457730.1739999996</v>
      </c>
      <c r="AG45" s="31"/>
    </row>
    <row r="46" spans="1:33" s="39" customFormat="1" ht="12.75" customHeight="1" x14ac:dyDescent="0.2">
      <c r="A46" s="1071"/>
      <c r="B46" s="1077"/>
      <c r="C46" s="90" t="s">
        <v>365</v>
      </c>
      <c r="D46" s="92"/>
      <c r="E46" s="93"/>
      <c r="F46" s="101" t="s">
        <v>119</v>
      </c>
      <c r="G46" s="786"/>
      <c r="H46" s="786">
        <v>0</v>
      </c>
      <c r="I46" s="139"/>
      <c r="J46" s="145"/>
      <c r="K46" s="147">
        <f t="shared" si="0"/>
        <v>0</v>
      </c>
      <c r="L46" s="37"/>
      <c r="M46" s="791">
        <v>0.36559999999999998</v>
      </c>
      <c r="N46" s="185">
        <f t="shared" si="1"/>
        <v>0</v>
      </c>
      <c r="O46" s="791">
        <v>9.4799999999999995E-2</v>
      </c>
      <c r="P46" s="183">
        <f t="shared" si="2"/>
        <v>0</v>
      </c>
      <c r="Q46" s="829">
        <v>0.53959999999999997</v>
      </c>
      <c r="R46" s="185">
        <f t="shared" si="3"/>
        <v>0</v>
      </c>
      <c r="S46" s="188">
        <f t="shared" si="6"/>
        <v>1</v>
      </c>
      <c r="U46" s="154"/>
      <c r="V46" s="151" t="s">
        <v>42</v>
      </c>
      <c r="W46" s="536">
        <f>SUM(W47:W48)</f>
        <v>682155.19799999997</v>
      </c>
      <c r="AG46" s="31"/>
    </row>
    <row r="47" spans="1:33" s="39" customFormat="1" ht="12.75" customHeight="1" x14ac:dyDescent="0.2">
      <c r="A47" s="1071"/>
      <c r="B47" s="1077"/>
      <c r="C47" s="90"/>
      <c r="D47" s="92"/>
      <c r="E47" s="93"/>
      <c r="F47" s="101" t="s">
        <v>119</v>
      </c>
      <c r="G47" s="126">
        <v>0</v>
      </c>
      <c r="H47" s="126">
        <v>0</v>
      </c>
      <c r="I47" s="139"/>
      <c r="J47" s="145">
        <f t="shared" si="8"/>
        <v>0</v>
      </c>
      <c r="K47" s="147">
        <f t="shared" si="0"/>
        <v>0</v>
      </c>
      <c r="L47" s="37"/>
      <c r="M47" s="182">
        <v>0</v>
      </c>
      <c r="N47" s="185">
        <f t="shared" si="1"/>
        <v>0</v>
      </c>
      <c r="O47" s="182">
        <v>0</v>
      </c>
      <c r="P47" s="183">
        <f t="shared" si="2"/>
        <v>0</v>
      </c>
      <c r="Q47" s="195">
        <v>0</v>
      </c>
      <c r="R47" s="185">
        <f t="shared" si="3"/>
        <v>0</v>
      </c>
      <c r="S47" s="188">
        <f t="shared" si="6"/>
        <v>0</v>
      </c>
      <c r="U47" s="155">
        <v>53205080000000</v>
      </c>
      <c r="V47" s="152" t="s">
        <v>43</v>
      </c>
      <c r="W47" s="882">
        <v>0</v>
      </c>
      <c r="AG47" s="31"/>
    </row>
    <row r="48" spans="1:33" s="39" customFormat="1" ht="12.75" customHeight="1" x14ac:dyDescent="0.2">
      <c r="A48" s="1071"/>
      <c r="B48" s="1077"/>
      <c r="C48" s="90"/>
      <c r="D48" s="92"/>
      <c r="E48" s="93"/>
      <c r="F48" s="101" t="s">
        <v>119</v>
      </c>
      <c r="G48" s="126">
        <v>0</v>
      </c>
      <c r="H48" s="126">
        <v>0</v>
      </c>
      <c r="I48" s="139"/>
      <c r="J48" s="145">
        <f t="shared" si="8"/>
        <v>0</v>
      </c>
      <c r="K48" s="147">
        <f t="shared" si="0"/>
        <v>0</v>
      </c>
      <c r="L48" s="37"/>
      <c r="M48" s="182">
        <v>0</v>
      </c>
      <c r="N48" s="185">
        <f t="shared" si="1"/>
        <v>0</v>
      </c>
      <c r="O48" s="182">
        <v>0</v>
      </c>
      <c r="P48" s="183">
        <f t="shared" si="2"/>
        <v>0</v>
      </c>
      <c r="Q48" s="195">
        <v>0</v>
      </c>
      <c r="R48" s="185">
        <f t="shared" si="3"/>
        <v>0</v>
      </c>
      <c r="S48" s="188">
        <f t="shared" si="6"/>
        <v>0</v>
      </c>
      <c r="U48" s="155">
        <v>53205990000000</v>
      </c>
      <c r="V48" s="152" t="s">
        <v>44</v>
      </c>
      <c r="W48" s="882">
        <f>662286.6*1.03</f>
        <v>682155.19799999997</v>
      </c>
      <c r="AG48" s="31"/>
    </row>
    <row r="49" spans="1:33" s="39" customFormat="1" ht="12.75" customHeight="1" x14ac:dyDescent="0.2">
      <c r="A49" s="1071"/>
      <c r="B49" s="1078"/>
      <c r="C49" s="90"/>
      <c r="D49" s="92"/>
      <c r="E49" s="93"/>
      <c r="F49" s="101" t="s">
        <v>119</v>
      </c>
      <c r="G49" s="126">
        <v>0</v>
      </c>
      <c r="H49" s="126">
        <v>0</v>
      </c>
      <c r="I49" s="139">
        <v>0</v>
      </c>
      <c r="J49" s="145">
        <f t="shared" si="7"/>
        <v>0</v>
      </c>
      <c r="K49" s="147">
        <f t="shared" si="0"/>
        <v>0</v>
      </c>
      <c r="L49" s="37"/>
      <c r="M49" s="182">
        <v>0</v>
      </c>
      <c r="N49" s="185">
        <f t="shared" si="1"/>
        <v>0</v>
      </c>
      <c r="O49" s="182">
        <v>0</v>
      </c>
      <c r="P49" s="183">
        <f t="shared" si="2"/>
        <v>0</v>
      </c>
      <c r="Q49" s="195">
        <v>0</v>
      </c>
      <c r="R49" s="185">
        <f t="shared" si="3"/>
        <v>0</v>
      </c>
      <c r="S49" s="188">
        <f t="shared" si="6"/>
        <v>0</v>
      </c>
      <c r="U49" s="154"/>
      <c r="V49" s="151" t="s">
        <v>45</v>
      </c>
      <c r="W49" s="536">
        <f>SUM(W50:W59)</f>
        <v>11834543.541999999</v>
      </c>
      <c r="AG49" s="31"/>
    </row>
    <row r="50" spans="1:33" s="39" customFormat="1" ht="12.75" customHeight="1" x14ac:dyDescent="0.2">
      <c r="A50" s="1071"/>
      <c r="B50" s="1077"/>
      <c r="C50" s="90"/>
      <c r="D50" s="92"/>
      <c r="E50" s="93"/>
      <c r="F50" s="101" t="s">
        <v>119</v>
      </c>
      <c r="G50" s="126">
        <v>0</v>
      </c>
      <c r="H50" s="126">
        <v>0</v>
      </c>
      <c r="I50" s="139">
        <v>0</v>
      </c>
      <c r="J50" s="145">
        <f t="shared" ref="J50:J53" si="9">SUM(G50:I50)</f>
        <v>0</v>
      </c>
      <c r="K50" s="147">
        <f t="shared" si="0"/>
        <v>0</v>
      </c>
      <c r="L50" s="37"/>
      <c r="M50" s="182">
        <v>0</v>
      </c>
      <c r="N50" s="185">
        <f t="shared" si="1"/>
        <v>0</v>
      </c>
      <c r="O50" s="182">
        <v>0</v>
      </c>
      <c r="P50" s="183">
        <f t="shared" si="2"/>
        <v>0</v>
      </c>
      <c r="Q50" s="195">
        <v>0</v>
      </c>
      <c r="R50" s="185">
        <f t="shared" si="3"/>
        <v>0</v>
      </c>
      <c r="S50" s="188">
        <f t="shared" si="6"/>
        <v>0</v>
      </c>
      <c r="U50" s="155">
        <v>53203010200000</v>
      </c>
      <c r="V50" s="152" t="s">
        <v>46</v>
      </c>
      <c r="W50" s="882">
        <v>0</v>
      </c>
      <c r="AG50" s="31"/>
    </row>
    <row r="51" spans="1:33" s="39" customFormat="1" ht="12.75" customHeight="1" x14ac:dyDescent="0.2">
      <c r="A51" s="1071"/>
      <c r="B51" s="1077"/>
      <c r="C51" s="90"/>
      <c r="D51" s="92"/>
      <c r="E51" s="93"/>
      <c r="F51" s="101" t="s">
        <v>119</v>
      </c>
      <c r="G51" s="126">
        <v>0</v>
      </c>
      <c r="H51" s="126">
        <v>0</v>
      </c>
      <c r="I51" s="139">
        <v>0</v>
      </c>
      <c r="J51" s="145">
        <f t="shared" si="9"/>
        <v>0</v>
      </c>
      <c r="K51" s="147">
        <f t="shared" si="0"/>
        <v>0</v>
      </c>
      <c r="L51" s="37"/>
      <c r="M51" s="182">
        <v>0</v>
      </c>
      <c r="N51" s="185">
        <f t="shared" si="1"/>
        <v>0</v>
      </c>
      <c r="O51" s="182">
        <v>0</v>
      </c>
      <c r="P51" s="183">
        <f t="shared" si="2"/>
        <v>0</v>
      </c>
      <c r="Q51" s="195">
        <v>0</v>
      </c>
      <c r="R51" s="185">
        <f t="shared" si="3"/>
        <v>0</v>
      </c>
      <c r="S51" s="188">
        <f t="shared" si="6"/>
        <v>0</v>
      </c>
      <c r="U51" s="155">
        <v>53204010000000</v>
      </c>
      <c r="V51" s="152" t="s">
        <v>47</v>
      </c>
      <c r="W51" s="882">
        <v>3042902</v>
      </c>
      <c r="AG51" s="31"/>
    </row>
    <row r="52" spans="1:33" s="39" customFormat="1" ht="12.75" customHeight="1" x14ac:dyDescent="0.2">
      <c r="A52" s="1071"/>
      <c r="B52" s="1077"/>
      <c r="C52" s="90"/>
      <c r="D52" s="92"/>
      <c r="E52" s="93"/>
      <c r="F52" s="101" t="s">
        <v>119</v>
      </c>
      <c r="G52" s="126">
        <v>0</v>
      </c>
      <c r="H52" s="126">
        <v>0</v>
      </c>
      <c r="I52" s="139">
        <v>0</v>
      </c>
      <c r="J52" s="145">
        <f t="shared" si="9"/>
        <v>0</v>
      </c>
      <c r="K52" s="147">
        <f t="shared" si="0"/>
        <v>0</v>
      </c>
      <c r="L52" s="37"/>
      <c r="M52" s="182">
        <v>0</v>
      </c>
      <c r="N52" s="185">
        <f t="shared" si="1"/>
        <v>0</v>
      </c>
      <c r="O52" s="182">
        <v>0</v>
      </c>
      <c r="P52" s="183">
        <f t="shared" si="2"/>
        <v>0</v>
      </c>
      <c r="Q52" s="195">
        <v>0</v>
      </c>
      <c r="R52" s="185">
        <f t="shared" si="3"/>
        <v>0</v>
      </c>
      <c r="S52" s="188">
        <f t="shared" si="6"/>
        <v>0</v>
      </c>
      <c r="U52" s="155">
        <v>53204040200000</v>
      </c>
      <c r="V52" s="152" t="s">
        <v>48</v>
      </c>
      <c r="W52" s="882">
        <v>0</v>
      </c>
      <c r="AG52" s="31"/>
    </row>
    <row r="53" spans="1:33" s="39" customFormat="1" ht="12.75" customHeight="1" x14ac:dyDescent="0.2">
      <c r="A53" s="1071"/>
      <c r="B53" s="1077"/>
      <c r="C53" s="90"/>
      <c r="D53" s="92"/>
      <c r="E53" s="93"/>
      <c r="F53" s="101" t="s">
        <v>119</v>
      </c>
      <c r="G53" s="126">
        <v>0</v>
      </c>
      <c r="H53" s="126">
        <v>0</v>
      </c>
      <c r="I53" s="139">
        <v>0</v>
      </c>
      <c r="J53" s="145">
        <f t="shared" si="9"/>
        <v>0</v>
      </c>
      <c r="K53" s="147">
        <f t="shared" si="0"/>
        <v>0</v>
      </c>
      <c r="L53" s="37"/>
      <c r="M53" s="182">
        <v>0</v>
      </c>
      <c r="N53" s="185">
        <f t="shared" si="1"/>
        <v>0</v>
      </c>
      <c r="O53" s="182">
        <v>0</v>
      </c>
      <c r="P53" s="183">
        <f t="shared" si="2"/>
        <v>0</v>
      </c>
      <c r="Q53" s="195">
        <v>0</v>
      </c>
      <c r="R53" s="185">
        <f t="shared" si="3"/>
        <v>0</v>
      </c>
      <c r="S53" s="188">
        <f t="shared" si="6"/>
        <v>0</v>
      </c>
      <c r="U53" s="155">
        <v>53204060000000</v>
      </c>
      <c r="V53" s="152" t="s">
        <v>49</v>
      </c>
      <c r="W53" s="882">
        <v>0</v>
      </c>
      <c r="AG53" s="31"/>
    </row>
    <row r="54" spans="1:33" s="39" customFormat="1" ht="12.75" customHeight="1" x14ac:dyDescent="0.2">
      <c r="A54" s="1071"/>
      <c r="B54" s="1078"/>
      <c r="C54" s="90"/>
      <c r="D54" s="92"/>
      <c r="E54" s="93"/>
      <c r="F54" s="101" t="s">
        <v>119</v>
      </c>
      <c r="G54" s="126">
        <v>0</v>
      </c>
      <c r="H54" s="126">
        <v>0</v>
      </c>
      <c r="I54" s="139">
        <v>0</v>
      </c>
      <c r="J54" s="145">
        <f t="shared" si="7"/>
        <v>0</v>
      </c>
      <c r="K54" s="147">
        <f t="shared" si="0"/>
        <v>0</v>
      </c>
      <c r="L54" s="37"/>
      <c r="M54" s="182">
        <v>0</v>
      </c>
      <c r="N54" s="185">
        <f t="shared" si="1"/>
        <v>0</v>
      </c>
      <c r="O54" s="182">
        <v>0</v>
      </c>
      <c r="P54" s="183">
        <f t="shared" si="2"/>
        <v>0</v>
      </c>
      <c r="Q54" s="195">
        <v>0</v>
      </c>
      <c r="R54" s="185">
        <f t="shared" si="3"/>
        <v>0</v>
      </c>
      <c r="S54" s="188">
        <f t="shared" si="6"/>
        <v>0</v>
      </c>
      <c r="U54" s="155">
        <v>53204070000000</v>
      </c>
      <c r="V54" s="152" t="s">
        <v>50</v>
      </c>
      <c r="W54" s="882">
        <f>3869006.6*1.03+1992538</f>
        <v>5977614.7980000004</v>
      </c>
      <c r="X54" s="824" t="s">
        <v>437</v>
      </c>
      <c r="AG54" s="31"/>
    </row>
    <row r="55" spans="1:33" s="39" customFormat="1" ht="12.75" customHeight="1" x14ac:dyDescent="0.2">
      <c r="A55" s="1071"/>
      <c r="B55" s="1078"/>
      <c r="C55" s="90"/>
      <c r="D55" s="92"/>
      <c r="E55" s="93"/>
      <c r="F55" s="101" t="s">
        <v>119</v>
      </c>
      <c r="G55" s="126">
        <v>0</v>
      </c>
      <c r="H55" s="126">
        <v>0</v>
      </c>
      <c r="I55" s="139">
        <v>0</v>
      </c>
      <c r="J55" s="145">
        <f t="shared" si="7"/>
        <v>0</v>
      </c>
      <c r="K55" s="147">
        <f t="shared" si="0"/>
        <v>0</v>
      </c>
      <c r="L55" s="37"/>
      <c r="M55" s="182">
        <v>0</v>
      </c>
      <c r="N55" s="185">
        <f t="shared" si="1"/>
        <v>0</v>
      </c>
      <c r="O55" s="182">
        <v>0</v>
      </c>
      <c r="P55" s="183">
        <f t="shared" si="2"/>
        <v>0</v>
      </c>
      <c r="Q55" s="195">
        <v>0</v>
      </c>
      <c r="R55" s="185">
        <f t="shared" si="3"/>
        <v>0</v>
      </c>
      <c r="S55" s="188">
        <f t="shared" si="6"/>
        <v>0</v>
      </c>
      <c r="U55" s="155">
        <v>53204080000000</v>
      </c>
      <c r="V55" s="152" t="s">
        <v>51</v>
      </c>
      <c r="W55" s="882">
        <f>2732064.8*1.03</f>
        <v>2814026.7439999999</v>
      </c>
      <c r="X55" s="39" t="s">
        <v>435</v>
      </c>
      <c r="AG55" s="31"/>
    </row>
    <row r="56" spans="1:33" s="39" customFormat="1" ht="12.75" customHeight="1" x14ac:dyDescent="0.2">
      <c r="A56" s="1071"/>
      <c r="B56" s="1078"/>
      <c r="C56" s="90"/>
      <c r="D56" s="92"/>
      <c r="E56" s="93"/>
      <c r="F56" s="101" t="s">
        <v>119</v>
      </c>
      <c r="G56" s="126">
        <v>0</v>
      </c>
      <c r="H56" s="126">
        <v>0</v>
      </c>
      <c r="I56" s="139">
        <v>0</v>
      </c>
      <c r="J56" s="145">
        <f t="shared" si="7"/>
        <v>0</v>
      </c>
      <c r="K56" s="147">
        <f t="shared" si="0"/>
        <v>0</v>
      </c>
      <c r="L56" s="37"/>
      <c r="M56" s="182">
        <v>0</v>
      </c>
      <c r="N56" s="185">
        <f t="shared" si="1"/>
        <v>0</v>
      </c>
      <c r="O56" s="182">
        <v>0</v>
      </c>
      <c r="P56" s="183">
        <f t="shared" si="2"/>
        <v>0</v>
      </c>
      <c r="Q56" s="195">
        <v>0</v>
      </c>
      <c r="R56" s="185">
        <f t="shared" si="3"/>
        <v>0</v>
      </c>
      <c r="S56" s="188">
        <f t="shared" si="6"/>
        <v>0</v>
      </c>
      <c r="U56" s="155">
        <v>53214010000000</v>
      </c>
      <c r="V56" s="152" t="s">
        <v>52</v>
      </c>
      <c r="W56" s="882">
        <v>0</v>
      </c>
      <c r="AG56" s="31"/>
    </row>
    <row r="57" spans="1:33" s="39" customFormat="1" ht="12.75" customHeight="1" x14ac:dyDescent="0.2">
      <c r="A57" s="1071"/>
      <c r="B57" s="1078"/>
      <c r="C57" s="90"/>
      <c r="D57" s="92"/>
      <c r="E57" s="93"/>
      <c r="F57" s="101" t="s">
        <v>119</v>
      </c>
      <c r="G57" s="126">
        <v>0</v>
      </c>
      <c r="H57" s="126">
        <v>0</v>
      </c>
      <c r="I57" s="139">
        <v>0</v>
      </c>
      <c r="J57" s="145">
        <f t="shared" si="7"/>
        <v>0</v>
      </c>
      <c r="K57" s="147">
        <f t="shared" si="0"/>
        <v>0</v>
      </c>
      <c r="L57" s="37"/>
      <c r="M57" s="182">
        <v>0</v>
      </c>
      <c r="N57" s="185">
        <f t="shared" si="1"/>
        <v>0</v>
      </c>
      <c r="O57" s="182">
        <v>0</v>
      </c>
      <c r="P57" s="183">
        <f t="shared" si="2"/>
        <v>0</v>
      </c>
      <c r="Q57" s="195">
        <v>0</v>
      </c>
      <c r="R57" s="185">
        <f t="shared" si="3"/>
        <v>0</v>
      </c>
      <c r="S57" s="188">
        <f t="shared" si="6"/>
        <v>0</v>
      </c>
      <c r="U57" s="155">
        <v>53214040000000</v>
      </c>
      <c r="V57" s="152" t="s">
        <v>132</v>
      </c>
      <c r="W57" s="882">
        <v>0</v>
      </c>
      <c r="AG57" s="31"/>
    </row>
    <row r="58" spans="1:33" s="39" customFormat="1" ht="12.75" customHeight="1" x14ac:dyDescent="0.2">
      <c r="A58" s="1071"/>
      <c r="B58" s="1078"/>
      <c r="C58" s="90"/>
      <c r="D58" s="92"/>
      <c r="E58" s="93"/>
      <c r="F58" s="101" t="s">
        <v>119</v>
      </c>
      <c r="G58" s="126">
        <v>0</v>
      </c>
      <c r="H58" s="126">
        <v>0</v>
      </c>
      <c r="I58" s="139">
        <v>0</v>
      </c>
      <c r="J58" s="145">
        <f t="shared" si="7"/>
        <v>0</v>
      </c>
      <c r="K58" s="147">
        <f t="shared" si="0"/>
        <v>0</v>
      </c>
      <c r="L58" s="37"/>
      <c r="M58" s="182">
        <v>0</v>
      </c>
      <c r="N58" s="185">
        <f t="shared" si="1"/>
        <v>0</v>
      </c>
      <c r="O58" s="182">
        <v>0</v>
      </c>
      <c r="P58" s="183">
        <f t="shared" si="2"/>
        <v>0</v>
      </c>
      <c r="Q58" s="195">
        <v>0</v>
      </c>
      <c r="R58" s="185">
        <f t="shared" si="3"/>
        <v>0</v>
      </c>
      <c r="S58" s="188">
        <f t="shared" si="6"/>
        <v>0</v>
      </c>
      <c r="U58" s="155">
        <v>55201010100004</v>
      </c>
      <c r="V58" s="152" t="s">
        <v>53</v>
      </c>
      <c r="W58" s="882">
        <v>0</v>
      </c>
      <c r="AG58" s="31"/>
    </row>
    <row r="59" spans="1:33" s="39" customFormat="1" ht="12.75" customHeight="1" x14ac:dyDescent="0.2">
      <c r="A59" s="1071"/>
      <c r="B59" s="1078"/>
      <c r="C59" s="90"/>
      <c r="D59" s="92"/>
      <c r="E59" s="93"/>
      <c r="F59" s="101" t="s">
        <v>119</v>
      </c>
      <c r="G59" s="126">
        <v>0</v>
      </c>
      <c r="H59" s="126">
        <v>0</v>
      </c>
      <c r="I59" s="139">
        <v>0</v>
      </c>
      <c r="J59" s="145">
        <f t="shared" si="7"/>
        <v>0</v>
      </c>
      <c r="K59" s="147">
        <f t="shared" si="0"/>
        <v>0</v>
      </c>
      <c r="L59" s="37"/>
      <c r="M59" s="182">
        <v>0</v>
      </c>
      <c r="N59" s="185">
        <f t="shared" si="1"/>
        <v>0</v>
      </c>
      <c r="O59" s="182">
        <v>0</v>
      </c>
      <c r="P59" s="183">
        <f t="shared" si="2"/>
        <v>0</v>
      </c>
      <c r="Q59" s="195">
        <v>0</v>
      </c>
      <c r="R59" s="185">
        <f t="shared" si="3"/>
        <v>0</v>
      </c>
      <c r="S59" s="188">
        <f t="shared" si="6"/>
        <v>0</v>
      </c>
      <c r="U59" s="155">
        <v>55201010100005</v>
      </c>
      <c r="V59" s="152" t="s">
        <v>54</v>
      </c>
      <c r="W59" s="882">
        <v>0</v>
      </c>
      <c r="AG59" s="31"/>
    </row>
    <row r="60" spans="1:33" s="39" customFormat="1" ht="12.75" customHeight="1" x14ac:dyDescent="0.2">
      <c r="A60" s="1071"/>
      <c r="B60" s="1078"/>
      <c r="C60" s="90"/>
      <c r="D60" s="92"/>
      <c r="E60" s="93"/>
      <c r="F60" s="101" t="s">
        <v>119</v>
      </c>
      <c r="G60" s="126">
        <v>0</v>
      </c>
      <c r="H60" s="126">
        <v>0</v>
      </c>
      <c r="I60" s="139">
        <v>0</v>
      </c>
      <c r="J60" s="145">
        <f t="shared" si="7"/>
        <v>0</v>
      </c>
      <c r="K60" s="147">
        <f t="shared" si="0"/>
        <v>0</v>
      </c>
      <c r="L60" s="37"/>
      <c r="M60" s="182">
        <v>0</v>
      </c>
      <c r="N60" s="185">
        <f t="shared" si="1"/>
        <v>0</v>
      </c>
      <c r="O60" s="182">
        <v>0</v>
      </c>
      <c r="P60" s="183">
        <f t="shared" si="2"/>
        <v>0</v>
      </c>
      <c r="Q60" s="195">
        <v>0</v>
      </c>
      <c r="R60" s="185">
        <f t="shared" si="3"/>
        <v>0</v>
      </c>
      <c r="S60" s="188">
        <f t="shared" si="6"/>
        <v>0</v>
      </c>
      <c r="U60" s="154"/>
      <c r="V60" s="151" t="s">
        <v>55</v>
      </c>
      <c r="W60" s="536">
        <f>SUM(W61:W69)</f>
        <v>10237914.23886</v>
      </c>
      <c r="AG60" s="31"/>
    </row>
    <row r="61" spans="1:33" s="39" customFormat="1" ht="12.75" customHeight="1" thickBot="1" x14ac:dyDescent="0.25">
      <c r="A61" s="1072"/>
      <c r="B61" s="1079"/>
      <c r="C61" s="148"/>
      <c r="D61" s="127"/>
      <c r="E61" s="128"/>
      <c r="F61" s="129" t="s">
        <v>119</v>
      </c>
      <c r="G61" s="130">
        <v>0</v>
      </c>
      <c r="H61" s="130">
        <v>0</v>
      </c>
      <c r="I61" s="140">
        <v>0</v>
      </c>
      <c r="J61" s="143">
        <f t="shared" si="7"/>
        <v>0</v>
      </c>
      <c r="K61" s="135">
        <f t="shared" si="0"/>
        <v>0</v>
      </c>
      <c r="L61" s="37"/>
      <c r="M61" s="189">
        <v>0</v>
      </c>
      <c r="N61" s="186">
        <f t="shared" si="1"/>
        <v>0</v>
      </c>
      <c r="O61" s="189">
        <v>0</v>
      </c>
      <c r="P61" s="198">
        <f t="shared" si="2"/>
        <v>0</v>
      </c>
      <c r="Q61" s="196">
        <v>0</v>
      </c>
      <c r="R61" s="186">
        <f t="shared" si="3"/>
        <v>0</v>
      </c>
      <c r="S61" s="190">
        <f t="shared" si="6"/>
        <v>0</v>
      </c>
      <c r="U61" s="155">
        <v>53207010000000</v>
      </c>
      <c r="V61" s="152" t="s">
        <v>56</v>
      </c>
      <c r="W61" s="882">
        <v>0</v>
      </c>
      <c r="AG61" s="31"/>
    </row>
    <row r="62" spans="1:33" s="39" customFormat="1" ht="12.75" customHeight="1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273">
        <f>SUM(K15:K61)</f>
        <v>227692359.49599999</v>
      </c>
      <c r="L62" s="31"/>
      <c r="M62" s="881">
        <f>+N62/$K$62</f>
        <v>0.36570956942984667</v>
      </c>
      <c r="N62" s="274">
        <f>SUM(N15:N61)</f>
        <v>83269274.753748015</v>
      </c>
      <c r="O62" s="881">
        <f>+P62/$K$62</f>
        <v>9.4795356438805697E-2</v>
      </c>
      <c r="P62" s="274">
        <f>SUM(P15:P61)</f>
        <v>21584178.376816005</v>
      </c>
      <c r="Q62" s="881">
        <f>+R62/$K$62</f>
        <v>0.53949507413134778</v>
      </c>
      <c r="R62" s="274">
        <f>SUM(R15:R61)</f>
        <v>122838906.365436</v>
      </c>
      <c r="S62" s="31"/>
      <c r="U62" s="155">
        <v>53207020000000</v>
      </c>
      <c r="V62" s="152" t="s">
        <v>57</v>
      </c>
      <c r="W62" s="882">
        <f>593573*1.03</f>
        <v>611380.19000000006</v>
      </c>
      <c r="AG62" s="31"/>
    </row>
    <row r="63" spans="1:33" s="39" customFormat="1" ht="12.7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81">
        <v>1</v>
      </c>
      <c r="L63" s="31"/>
      <c r="M63" s="31"/>
      <c r="O63" s="31"/>
      <c r="P63" s="31"/>
      <c r="Q63" s="31"/>
      <c r="R63" s="828"/>
      <c r="S63" s="31"/>
      <c r="U63" s="155">
        <v>53208020000000</v>
      </c>
      <c r="V63" s="152" t="s">
        <v>58</v>
      </c>
      <c r="W63" s="882">
        <v>0</v>
      </c>
      <c r="AG63" s="31"/>
    </row>
    <row r="64" spans="1:33" s="39" customFormat="1" ht="12.75" customHeight="1" thickBo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828"/>
      <c r="S64" s="31"/>
      <c r="U64" s="155">
        <v>53208990000000</v>
      </c>
      <c r="V64" s="152" t="s">
        <v>59</v>
      </c>
      <c r="W64" s="882">
        <f>5309796.878*1.03</f>
        <v>5469090.7843399998</v>
      </c>
      <c r="AG64" s="31"/>
    </row>
    <row r="65" spans="1:33" s="39" customFormat="1" ht="12.75" customHeight="1" x14ac:dyDescent="0.2">
      <c r="A65" s="1040" t="s">
        <v>141</v>
      </c>
      <c r="B65" s="1043" t="s">
        <v>122</v>
      </c>
      <c r="C65" s="275"/>
      <c r="D65" s="225"/>
      <c r="E65" s="276"/>
      <c r="F65" s="131" t="s">
        <v>121</v>
      </c>
      <c r="G65" s="226">
        <v>0</v>
      </c>
      <c r="H65" s="226">
        <v>0</v>
      </c>
      <c r="I65" s="138">
        <v>0</v>
      </c>
      <c r="J65" s="277">
        <f t="shared" ref="J65:J69" si="10">SUM(G65:I65)</f>
        <v>0</v>
      </c>
      <c r="K65" s="278">
        <f t="shared" ref="K65:K69" si="11">+J65*(1+$K$11)</f>
        <v>0</v>
      </c>
      <c r="L65" s="37"/>
      <c r="M65" s="31"/>
      <c r="N65" s="31"/>
      <c r="O65" s="31"/>
      <c r="P65" s="31"/>
      <c r="Q65" s="31"/>
      <c r="R65" s="31"/>
      <c r="S65" s="31"/>
      <c r="U65" s="155">
        <v>53209010000000</v>
      </c>
      <c r="V65" s="152" t="s">
        <v>60</v>
      </c>
      <c r="W65" s="882">
        <v>0</v>
      </c>
      <c r="AG65" s="31"/>
    </row>
    <row r="66" spans="1:33" s="39" customFormat="1" ht="12.75" customHeight="1" x14ac:dyDescent="0.2">
      <c r="A66" s="1041"/>
      <c r="B66" s="1044"/>
      <c r="C66" s="91"/>
      <c r="D66" s="279"/>
      <c r="E66" s="280"/>
      <c r="F66" s="281" t="s">
        <v>121</v>
      </c>
      <c r="G66" s="181">
        <v>0</v>
      </c>
      <c r="H66" s="181">
        <v>0</v>
      </c>
      <c r="I66" s="282">
        <v>0</v>
      </c>
      <c r="J66" s="283">
        <f t="shared" si="10"/>
        <v>0</v>
      </c>
      <c r="K66" s="284">
        <f t="shared" si="11"/>
        <v>0</v>
      </c>
      <c r="L66" s="37"/>
      <c r="M66" s="828"/>
      <c r="N66" s="31"/>
      <c r="O66" s="31"/>
      <c r="P66" s="31"/>
      <c r="Q66" s="31"/>
      <c r="R66" s="31"/>
      <c r="S66" s="31"/>
      <c r="U66" s="155">
        <v>53209040000000</v>
      </c>
      <c r="V66" s="152" t="s">
        <v>61</v>
      </c>
      <c r="W66" s="882">
        <v>0</v>
      </c>
      <c r="AG66" s="31"/>
    </row>
    <row r="67" spans="1:33" x14ac:dyDescent="0.2">
      <c r="A67" s="1041"/>
      <c r="B67" s="1044"/>
      <c r="C67" s="91"/>
      <c r="D67" s="279"/>
      <c r="E67" s="280"/>
      <c r="F67" s="281" t="s">
        <v>121</v>
      </c>
      <c r="G67" s="181">
        <v>0</v>
      </c>
      <c r="H67" s="181">
        <v>0</v>
      </c>
      <c r="I67" s="282">
        <v>0</v>
      </c>
      <c r="J67" s="283">
        <f t="shared" si="10"/>
        <v>0</v>
      </c>
      <c r="K67" s="284">
        <f t="shared" si="11"/>
        <v>0</v>
      </c>
      <c r="L67" s="37"/>
      <c r="U67" s="155">
        <v>53209050000000</v>
      </c>
      <c r="V67" s="152" t="s">
        <v>62</v>
      </c>
      <c r="W67" s="882">
        <f>2736774.684*1.03</f>
        <v>2818877.9245199999</v>
      </c>
    </row>
    <row r="68" spans="1:33" x14ac:dyDescent="0.2">
      <c r="A68" s="1041"/>
      <c r="B68" s="1044"/>
      <c r="C68" s="285"/>
      <c r="D68" s="224"/>
      <c r="E68" s="286"/>
      <c r="F68" s="287" t="s">
        <v>121</v>
      </c>
      <c r="G68" s="181">
        <v>0</v>
      </c>
      <c r="H68" s="181">
        <v>0</v>
      </c>
      <c r="I68" s="282">
        <v>0</v>
      </c>
      <c r="J68" s="283">
        <f t="shared" si="10"/>
        <v>0</v>
      </c>
      <c r="K68" s="284">
        <f t="shared" si="11"/>
        <v>0</v>
      </c>
      <c r="L68" s="37"/>
      <c r="U68" s="155">
        <v>53209990000000</v>
      </c>
      <c r="V68" s="152" t="s">
        <v>63</v>
      </c>
      <c r="W68" s="882">
        <v>0</v>
      </c>
    </row>
    <row r="69" spans="1:33" ht="13.5" thickBot="1" x14ac:dyDescent="0.25">
      <c r="A69" s="1042"/>
      <c r="B69" s="1045"/>
      <c r="C69" s="244"/>
      <c r="D69" s="227"/>
      <c r="E69" s="288"/>
      <c r="F69" s="289" t="s">
        <v>121</v>
      </c>
      <c r="G69" s="228">
        <v>0</v>
      </c>
      <c r="H69" s="228">
        <v>0</v>
      </c>
      <c r="I69" s="290">
        <v>0</v>
      </c>
      <c r="J69" s="291">
        <f t="shared" si="10"/>
        <v>0</v>
      </c>
      <c r="K69" s="292">
        <f t="shared" si="11"/>
        <v>0</v>
      </c>
      <c r="L69" s="37"/>
      <c r="U69" s="155">
        <v>53210020100000</v>
      </c>
      <c r="V69" s="152" t="s">
        <v>64</v>
      </c>
      <c r="W69" s="882">
        <f>1299578*1.03</f>
        <v>1338565.3400000001</v>
      </c>
    </row>
    <row r="70" spans="1:33" ht="16.5" thickBot="1" x14ac:dyDescent="0.25">
      <c r="C70" s="29"/>
      <c r="D70" s="29"/>
      <c r="E70" s="41"/>
      <c r="F70" s="41"/>
      <c r="G70" s="41"/>
      <c r="H70" s="41"/>
      <c r="I70" s="41"/>
      <c r="K70" s="273">
        <f>SUM(K65:K69)</f>
        <v>0</v>
      </c>
      <c r="L70" s="37"/>
      <c r="U70" s="154"/>
      <c r="V70" s="151" t="s">
        <v>65</v>
      </c>
      <c r="W70" s="536">
        <f>SUM(W71:W77)</f>
        <v>3421238</v>
      </c>
    </row>
    <row r="71" spans="1:33" x14ac:dyDescent="0.2">
      <c r="K71" s="81">
        <v>1</v>
      </c>
      <c r="L71" s="37"/>
      <c r="M71" s="42"/>
      <c r="O71" s="42"/>
      <c r="Q71" s="42"/>
      <c r="U71" s="155">
        <v>53206030000000</v>
      </c>
      <c r="V71" s="152" t="s">
        <v>99</v>
      </c>
      <c r="W71" s="882">
        <v>0</v>
      </c>
    </row>
    <row r="72" spans="1:33" ht="15.75" customHeight="1" x14ac:dyDescent="0.2">
      <c r="H72" s="149"/>
      <c r="U72" s="155">
        <v>53206040000000</v>
      </c>
      <c r="V72" s="152" t="s">
        <v>100</v>
      </c>
      <c r="W72" s="882">
        <v>0</v>
      </c>
    </row>
    <row r="73" spans="1:33" x14ac:dyDescent="0.2">
      <c r="U73" s="155">
        <v>53206060000000</v>
      </c>
      <c r="V73" s="152" t="s">
        <v>101</v>
      </c>
      <c r="W73" s="882">
        <v>0</v>
      </c>
    </row>
    <row r="74" spans="1:33" x14ac:dyDescent="0.2">
      <c r="U74" s="155">
        <v>53206070000000</v>
      </c>
      <c r="V74" s="152" t="s">
        <v>102</v>
      </c>
      <c r="W74" s="882">
        <v>0</v>
      </c>
    </row>
    <row r="75" spans="1:33" x14ac:dyDescent="0.2">
      <c r="U75" s="155">
        <v>53206990000000</v>
      </c>
      <c r="V75" s="152" t="s">
        <v>103</v>
      </c>
      <c r="W75" s="882">
        <v>461112</v>
      </c>
    </row>
    <row r="76" spans="1:33" x14ac:dyDescent="0.2">
      <c r="U76" s="155">
        <v>53208030000000</v>
      </c>
      <c r="V76" s="152" t="s">
        <v>104</v>
      </c>
      <c r="W76" s="882">
        <v>0</v>
      </c>
    </row>
    <row r="77" spans="1:33" x14ac:dyDescent="0.2">
      <c r="U77" s="155">
        <v>53212060000000</v>
      </c>
      <c r="V77" s="152" t="s">
        <v>97</v>
      </c>
      <c r="W77" s="882">
        <v>2960126</v>
      </c>
      <c r="X77" s="31" t="s">
        <v>436</v>
      </c>
    </row>
    <row r="78" spans="1:33" x14ac:dyDescent="0.2">
      <c r="U78" s="154"/>
      <c r="V78" s="151" t="s">
        <v>66</v>
      </c>
      <c r="W78" s="536">
        <f>SUM(W79:W79)</f>
        <v>6259111.0039999997</v>
      </c>
    </row>
    <row r="79" spans="1:33" x14ac:dyDescent="0.2">
      <c r="U79" s="155">
        <v>53204999000000</v>
      </c>
      <c r="V79" s="152" t="s">
        <v>96</v>
      </c>
      <c r="W79" s="882">
        <f>6076806.8*1.03</f>
        <v>6259111.0039999997</v>
      </c>
      <c r="X79" s="31" t="s">
        <v>434</v>
      </c>
    </row>
    <row r="80" spans="1:33" ht="15.75" customHeight="1" x14ac:dyDescent="0.2">
      <c r="U80" s="156"/>
      <c r="V80" s="157" t="s">
        <v>144</v>
      </c>
      <c r="W80" s="884">
        <f>+W40+W15</f>
        <v>84258887.094859987</v>
      </c>
    </row>
    <row r="94" spans="11:12" x14ac:dyDescent="0.2">
      <c r="L94" s="159"/>
    </row>
    <row r="96" spans="11:12" x14ac:dyDescent="0.2">
      <c r="K96" s="179"/>
    </row>
    <row r="98" spans="11:11" x14ac:dyDescent="0.2">
      <c r="K98" s="160"/>
    </row>
  </sheetData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G13:J13"/>
    <mergeCell ref="A15:A61"/>
    <mergeCell ref="B15:B24"/>
    <mergeCell ref="B25:B34"/>
    <mergeCell ref="B35:B39"/>
    <mergeCell ref="B40:B61"/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6"/>
  <sheetViews>
    <sheetView showGridLines="0" topLeftCell="A10" zoomScale="80" zoomScaleNormal="80" workbookViewId="0">
      <selection activeCell="H14" sqref="H14:H16"/>
    </sheetView>
  </sheetViews>
  <sheetFormatPr baseColWidth="10" defaultColWidth="11.42578125" defaultRowHeight="12.75" x14ac:dyDescent="0.2"/>
  <cols>
    <col min="1" max="1" width="43.5703125" style="4" customWidth="1"/>
    <col min="2" max="2" width="23.42578125" style="4" bestFit="1" customWidth="1"/>
    <col min="3" max="3" width="14.140625" style="25" customWidth="1"/>
    <col min="4" max="4" width="14.140625" style="25" bestFit="1" customWidth="1"/>
    <col min="5" max="17" width="14.140625" style="25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209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201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5"/>
      <c r="C4" s="119"/>
      <c r="F4" s="119" t="s">
        <v>0</v>
      </c>
      <c r="G4" s="1105" t="str">
        <f>+'B) Reajuste Tarifas y Ocupación'!F5</f>
        <v>(DEPTO./DELEG.)</v>
      </c>
      <c r="H4" s="1106"/>
      <c r="I4" s="119"/>
      <c r="J4" s="119"/>
      <c r="K4" s="119"/>
      <c r="L4" s="119"/>
      <c r="M4" s="119"/>
      <c r="N4" s="119"/>
      <c r="O4" s="119"/>
      <c r="P4" s="119"/>
      <c r="Q4" s="119"/>
      <c r="IA4" s="4"/>
      <c r="IB4" s="4"/>
      <c r="IC4" s="4"/>
      <c r="ID4" s="4"/>
      <c r="IE4" s="4"/>
      <c r="IF4" s="4"/>
    </row>
    <row r="5" spans="1:245" s="6" customFormat="1" x14ac:dyDescent="0.2">
      <c r="B5" s="25"/>
      <c r="C5" s="119"/>
      <c r="F5" s="119"/>
      <c r="G5" s="122"/>
      <c r="H5" s="122"/>
      <c r="I5" s="119"/>
      <c r="J5" s="119"/>
      <c r="K5" s="119"/>
      <c r="L5" s="119"/>
      <c r="M5" s="119"/>
      <c r="N5" s="119"/>
      <c r="O5" s="119"/>
      <c r="P5" s="119"/>
      <c r="Q5" s="119"/>
      <c r="IA5" s="4"/>
      <c r="IB5" s="4"/>
      <c r="IC5" s="4"/>
      <c r="ID5" s="4"/>
      <c r="IE5" s="4"/>
      <c r="IF5" s="4"/>
    </row>
    <row r="6" spans="1:245" s="6" customFormat="1" ht="15.75" x14ac:dyDescent="0.2">
      <c r="A6" s="1112" t="s">
        <v>162</v>
      </c>
      <c r="B6" s="1112"/>
      <c r="C6" s="1112"/>
      <c r="D6" s="1112"/>
      <c r="E6" s="121"/>
      <c r="F6" s="119"/>
      <c r="G6" s="122"/>
      <c r="H6" s="122"/>
      <c r="I6" s="119"/>
      <c r="J6" s="119"/>
      <c r="K6" s="119"/>
      <c r="L6" s="119"/>
      <c r="M6" s="119"/>
      <c r="N6" s="119"/>
      <c r="O6" s="119"/>
      <c r="P6" s="119"/>
      <c r="Q6" s="119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1113" t="s">
        <v>114</v>
      </c>
      <c r="B8" s="1115" t="s">
        <v>5</v>
      </c>
      <c r="C8" s="966" t="s">
        <v>219</v>
      </c>
      <c r="D8" s="1110"/>
      <c r="E8" s="1110"/>
      <c r="F8" s="1110"/>
      <c r="G8" s="1111"/>
      <c r="H8" s="1107" t="s">
        <v>140</v>
      </c>
      <c r="I8" s="1108"/>
      <c r="J8" s="1108"/>
      <c r="K8" s="1108"/>
      <c r="L8" s="1109"/>
      <c r="M8" s="1101" t="s">
        <v>125</v>
      </c>
      <c r="N8" s="1102"/>
      <c r="O8" s="1102"/>
      <c r="P8" s="1102"/>
      <c r="Q8" s="1103"/>
      <c r="R8" s="1101" t="s">
        <v>126</v>
      </c>
      <c r="S8" s="1102"/>
      <c r="T8" s="1102"/>
      <c r="U8" s="1102"/>
      <c r="V8" s="1103"/>
    </row>
    <row r="9" spans="1:245" ht="64.5" thickBot="1" x14ac:dyDescent="0.25">
      <c r="A9" s="1114" t="e">
        <f>NA()</f>
        <v>#N/A</v>
      </c>
      <c r="B9" s="1116" t="e">
        <f>NA()</f>
        <v>#N/A</v>
      </c>
      <c r="C9" s="602" t="s">
        <v>86</v>
      </c>
      <c r="D9" s="595" t="s">
        <v>137</v>
      </c>
      <c r="E9" s="595" t="s">
        <v>138</v>
      </c>
      <c r="F9" s="595" t="s">
        <v>87</v>
      </c>
      <c r="G9" s="603" t="s">
        <v>88</v>
      </c>
      <c r="H9" s="610" t="s">
        <v>86</v>
      </c>
      <c r="I9" s="596" t="s">
        <v>137</v>
      </c>
      <c r="J9" s="596" t="s">
        <v>138</v>
      </c>
      <c r="K9" s="596" t="s">
        <v>87</v>
      </c>
      <c r="L9" s="597" t="s">
        <v>88</v>
      </c>
      <c r="M9" s="610" t="s">
        <v>86</v>
      </c>
      <c r="N9" s="596" t="s">
        <v>137</v>
      </c>
      <c r="O9" s="596" t="s">
        <v>138</v>
      </c>
      <c r="P9" s="596" t="s">
        <v>87</v>
      </c>
      <c r="Q9" s="597" t="s">
        <v>88</v>
      </c>
      <c r="R9" s="610" t="s">
        <v>86</v>
      </c>
      <c r="S9" s="596" t="s">
        <v>137</v>
      </c>
      <c r="T9" s="596" t="s">
        <v>138</v>
      </c>
      <c r="U9" s="596" t="s">
        <v>87</v>
      </c>
      <c r="V9" s="597" t="s">
        <v>88</v>
      </c>
    </row>
    <row r="10" spans="1:245" s="10" customFormat="1" ht="19.5" customHeight="1" x14ac:dyDescent="0.2">
      <c r="A10" s="1099" t="str">
        <f>+'B) Reajuste Tarifas y Ocupación'!A12</f>
        <v>Jardín Infantil Tortuguita Marina</v>
      </c>
      <c r="B10" s="599" t="str">
        <f>+'B) Reajuste Tarifas y Ocupación'!B12</f>
        <v>Media jornada</v>
      </c>
      <c r="C10" s="161">
        <f>+'B) Reajuste Tarifas y Ocupación'!M12</f>
        <v>57900</v>
      </c>
      <c r="D10" s="575">
        <f>+'B) Reajuste Tarifas y Ocupación'!N12</f>
        <v>69500</v>
      </c>
      <c r="E10" s="575">
        <f>+'B) Reajuste Tarifas y Ocupación'!O12</f>
        <v>69500</v>
      </c>
      <c r="F10" s="575">
        <f>+'B) Reajuste Tarifas y Ocupación'!P12</f>
        <v>79100</v>
      </c>
      <c r="G10" s="604">
        <f>+'B) Reajuste Tarifas y Ocupación'!Q12</f>
        <v>100700</v>
      </c>
      <c r="H10" s="611">
        <f>+'B) Reajuste Tarifas y Ocupación'!C12</f>
        <v>57900</v>
      </c>
      <c r="I10" s="576">
        <f>+'B) Reajuste Tarifas y Ocupación'!D12</f>
        <v>69500</v>
      </c>
      <c r="J10" s="576">
        <f>+'B) Reajuste Tarifas y Ocupación'!E12</f>
        <v>69500</v>
      </c>
      <c r="K10" s="576">
        <f>+'B) Reajuste Tarifas y Ocupación'!F12</f>
        <v>79100</v>
      </c>
      <c r="L10" s="612">
        <f>+'B) Reajuste Tarifas y Ocupación'!G12</f>
        <v>100700</v>
      </c>
      <c r="M10" s="162">
        <f>C10-H10</f>
        <v>0</v>
      </c>
      <c r="N10" s="577">
        <f>D10-I10</f>
        <v>0</v>
      </c>
      <c r="O10" s="577">
        <f>E10-J10</f>
        <v>0</v>
      </c>
      <c r="P10" s="577">
        <f>F10-K10</f>
        <v>0</v>
      </c>
      <c r="Q10" s="617">
        <f>G10-L10</f>
        <v>0</v>
      </c>
      <c r="R10" s="163">
        <f>+'B) Reajuste Tarifas y Ocupación'!H12</f>
        <v>0</v>
      </c>
      <c r="S10" s="578">
        <f>+'B) Reajuste Tarifas y Ocupación'!I12</f>
        <v>0</v>
      </c>
      <c r="T10" s="578">
        <f>+'B) Reajuste Tarifas y Ocupación'!J12</f>
        <v>0</v>
      </c>
      <c r="U10" s="578">
        <f>+'B) Reajuste Tarifas y Ocupación'!K12</f>
        <v>0</v>
      </c>
      <c r="V10" s="579">
        <f>+'B) Reajuste Tarifas y Ocupación'!L12</f>
        <v>0</v>
      </c>
    </row>
    <row r="11" spans="1:245" s="10" customFormat="1" ht="19.5" customHeight="1" thickBot="1" x14ac:dyDescent="0.25">
      <c r="A11" s="1100"/>
      <c r="B11" s="600" t="str">
        <f>+'B) Reajuste Tarifas y Ocupación'!B13</f>
        <v xml:space="preserve">Doble Jornada </v>
      </c>
      <c r="C11" s="605">
        <f>+'B) Reajuste Tarifas y Ocupación'!M13</f>
        <v>73700</v>
      </c>
      <c r="D11" s="588"/>
      <c r="E11" s="588"/>
      <c r="F11" s="588"/>
      <c r="G11" s="606"/>
      <c r="H11" s="613">
        <f>+'B) Reajuste Tarifas y Ocupación'!C13</f>
        <v>73700</v>
      </c>
      <c r="I11" s="581"/>
      <c r="J11" s="581"/>
      <c r="K11" s="581"/>
      <c r="L11" s="591"/>
      <c r="M11" s="618">
        <f>C11-H11</f>
        <v>0</v>
      </c>
      <c r="N11" s="582"/>
      <c r="O11" s="582"/>
      <c r="P11" s="582"/>
      <c r="Q11" s="619"/>
      <c r="R11" s="622">
        <f>+'B) Reajuste Tarifas y Ocupación'!H13</f>
        <v>0</v>
      </c>
      <c r="S11" s="583"/>
      <c r="T11" s="583"/>
      <c r="U11" s="583"/>
      <c r="V11" s="584"/>
    </row>
    <row r="12" spans="1:245" s="10" customFormat="1" ht="19.5" customHeight="1" x14ac:dyDescent="0.2">
      <c r="A12" s="1099" t="str">
        <f>+'B) Reajuste Tarifas y Ocupación'!A14</f>
        <v>Jardín Infantil Burbujitas de Mar</v>
      </c>
      <c r="B12" s="599" t="str">
        <f>+'B) Reajuste Tarifas y Ocupación'!B14</f>
        <v>Media jornada</v>
      </c>
      <c r="C12" s="161">
        <f>+'B) Reajuste Tarifas y Ocupación'!M14</f>
        <v>81600</v>
      </c>
      <c r="D12" s="575">
        <f>+'B) Reajuste Tarifas y Ocupación'!N14</f>
        <v>98000</v>
      </c>
      <c r="E12" s="575">
        <f>+'B) Reajuste Tarifas y Ocupación'!O14</f>
        <v>98000</v>
      </c>
      <c r="F12" s="575">
        <f>+'B) Reajuste Tarifas y Ocupación'!P14</f>
        <v>102000</v>
      </c>
      <c r="G12" s="604">
        <f>+'B) Reajuste Tarifas y Ocupación'!Q14</f>
        <v>122400</v>
      </c>
      <c r="H12" s="614"/>
      <c r="I12" s="589"/>
      <c r="J12" s="589"/>
      <c r="K12" s="589"/>
      <c r="L12" s="590"/>
      <c r="M12" s="614"/>
      <c r="N12" s="589"/>
      <c r="O12" s="589"/>
      <c r="P12" s="589"/>
      <c r="Q12" s="590"/>
      <c r="R12" s="614"/>
      <c r="S12" s="589"/>
      <c r="T12" s="589"/>
      <c r="U12" s="589"/>
      <c r="V12" s="590"/>
    </row>
    <row r="13" spans="1:245" s="10" customFormat="1" ht="19.5" customHeight="1" thickBot="1" x14ac:dyDescent="0.25">
      <c r="A13" s="1100"/>
      <c r="B13" s="600" t="str">
        <f>+'B) Reajuste Tarifas y Ocupación'!B15</f>
        <v>Jornada  Completa</v>
      </c>
      <c r="C13" s="605">
        <f>+'B) Reajuste Tarifas y Ocupación'!M15</f>
        <v>129200</v>
      </c>
      <c r="D13" s="580">
        <f>+'B) Reajuste Tarifas y Ocupación'!N15</f>
        <v>155100</v>
      </c>
      <c r="E13" s="580">
        <f>+'B) Reajuste Tarifas y Ocupación'!O15</f>
        <v>155100</v>
      </c>
      <c r="F13" s="580">
        <f>+'B) Reajuste Tarifas y Ocupación'!P15</f>
        <v>161500</v>
      </c>
      <c r="G13" s="607">
        <f>+'B) Reajuste Tarifas y Ocupación'!Q15</f>
        <v>193800</v>
      </c>
      <c r="H13" s="615"/>
      <c r="I13" s="581"/>
      <c r="J13" s="581"/>
      <c r="K13" s="581"/>
      <c r="L13" s="591"/>
      <c r="M13" s="615"/>
      <c r="N13" s="581"/>
      <c r="O13" s="581"/>
      <c r="P13" s="581"/>
      <c r="Q13" s="591"/>
      <c r="R13" s="615"/>
      <c r="S13" s="581"/>
      <c r="T13" s="581"/>
      <c r="U13" s="581"/>
      <c r="V13" s="591"/>
    </row>
    <row r="14" spans="1:245" s="10" customFormat="1" ht="19.5" customHeight="1" x14ac:dyDescent="0.2">
      <c r="A14" s="1099" t="str">
        <f>+'B) Reajuste Tarifas y Ocupación'!A19</f>
        <v>Sala Cuna Burbujitas de Mar</v>
      </c>
      <c r="B14" s="599" t="str">
        <f>+'B) Reajuste Tarifas y Ocupación'!B19</f>
        <v>Jornada Completa Diurna</v>
      </c>
      <c r="C14" s="161">
        <f>+'B) Reajuste Tarifas y Ocupación'!M19</f>
        <v>310000</v>
      </c>
      <c r="D14" s="575">
        <f>+'B) Reajuste Tarifas y Ocupación'!N19</f>
        <v>372000</v>
      </c>
      <c r="E14" s="575">
        <f>+'B) Reajuste Tarifas y Ocupación'!O19</f>
        <v>372000</v>
      </c>
      <c r="F14" s="575">
        <f>+'B) Reajuste Tarifas y Ocupación'!P19</f>
        <v>387500</v>
      </c>
      <c r="G14" s="604">
        <f>+'B) Reajuste Tarifas y Ocupación'!Q19</f>
        <v>465000</v>
      </c>
      <c r="H14" s="611">
        <f>+'B) Reajuste Tarifas y Ocupación'!C19</f>
        <v>267600</v>
      </c>
      <c r="I14" s="576">
        <f>+'B) Reajuste Tarifas y Ocupación'!D19</f>
        <v>321100</v>
      </c>
      <c r="J14" s="576">
        <f>+'B) Reajuste Tarifas y Ocupación'!E19</f>
        <v>321100</v>
      </c>
      <c r="K14" s="576">
        <f>+'B) Reajuste Tarifas y Ocupación'!F19</f>
        <v>292600</v>
      </c>
      <c r="L14" s="612">
        <f>+'B) Reajuste Tarifas y Ocupación'!G19</f>
        <v>341600</v>
      </c>
      <c r="M14" s="162">
        <f t="shared" ref="M14:M16" si="0">C14-H14</f>
        <v>42400</v>
      </c>
      <c r="N14" s="577">
        <f t="shared" ref="N14:N16" si="1">D14-I14</f>
        <v>50900</v>
      </c>
      <c r="O14" s="577">
        <f t="shared" ref="O14:O16" si="2">E14-J14</f>
        <v>50900</v>
      </c>
      <c r="P14" s="577">
        <f t="shared" ref="P14:P16" si="3">F14-K14</f>
        <v>94900</v>
      </c>
      <c r="Q14" s="617">
        <f t="shared" ref="Q14:Q16" si="4">G14-L14</f>
        <v>123400</v>
      </c>
      <c r="R14" s="163">
        <f>+'B) Reajuste Tarifas y Ocupación'!H19</f>
        <v>0.03</v>
      </c>
      <c r="S14" s="578">
        <f>+'B) Reajuste Tarifas y Ocupación'!I19</f>
        <v>0.03</v>
      </c>
      <c r="T14" s="578">
        <f>+'B) Reajuste Tarifas y Ocupación'!J19</f>
        <v>0.03</v>
      </c>
      <c r="U14" s="578">
        <f>+'B) Reajuste Tarifas y Ocupación'!K19</f>
        <v>0.03</v>
      </c>
      <c r="V14" s="579">
        <f>+'B) Reajuste Tarifas y Ocupación'!L19</f>
        <v>0.03</v>
      </c>
    </row>
    <row r="15" spans="1:245" s="10" customFormat="1" ht="19.5" customHeight="1" x14ac:dyDescent="0.2">
      <c r="A15" s="1104"/>
      <c r="B15" s="601" t="str">
        <f>+'B) Reajuste Tarifas y Ocupación'!B20</f>
        <v>Nocturna</v>
      </c>
      <c r="C15" s="608">
        <f>+'B) Reajuste Tarifas y Ocupación'!M20</f>
        <v>250000</v>
      </c>
      <c r="D15" s="594"/>
      <c r="E15" s="594"/>
      <c r="F15" s="594"/>
      <c r="G15" s="609"/>
      <c r="H15" s="616">
        <f>+'B) Reajuste Tarifas y Ocupación'!C20</f>
        <v>219000</v>
      </c>
      <c r="I15" s="574"/>
      <c r="J15" s="574"/>
      <c r="K15" s="574"/>
      <c r="L15" s="598"/>
      <c r="M15" s="620">
        <f t="shared" si="0"/>
        <v>31000</v>
      </c>
      <c r="N15" s="574"/>
      <c r="O15" s="574"/>
      <c r="P15" s="574"/>
      <c r="Q15" s="598"/>
      <c r="R15" s="623">
        <f>+'B) Reajuste Tarifas y Ocupación'!H20</f>
        <v>0.03</v>
      </c>
      <c r="S15" s="574"/>
      <c r="T15" s="574"/>
      <c r="U15" s="574"/>
      <c r="V15" s="598"/>
    </row>
    <row r="16" spans="1:245" s="10" customFormat="1" ht="19.5" customHeight="1" thickBot="1" x14ac:dyDescent="0.25">
      <c r="A16" s="1100"/>
      <c r="B16" s="600" t="str">
        <f>+'B) Reajuste Tarifas y Ocupación'!B21</f>
        <v>Media Jornada</v>
      </c>
      <c r="C16" s="605">
        <f>+'B) Reajuste Tarifas y Ocupación'!M21</f>
        <v>165400</v>
      </c>
      <c r="D16" s="580">
        <f>+'B) Reajuste Tarifas y Ocupación'!N21</f>
        <v>0</v>
      </c>
      <c r="E16" s="580">
        <f>+'B) Reajuste Tarifas y Ocupación'!O21</f>
        <v>0</v>
      </c>
      <c r="F16" s="580">
        <f>+'B) Reajuste Tarifas y Ocupación'!P21</f>
        <v>0</v>
      </c>
      <c r="G16" s="607">
        <f>+'B) Reajuste Tarifas y Ocupación'!Q21</f>
        <v>0</v>
      </c>
      <c r="H16" s="613">
        <f>+'B) Reajuste Tarifas y Ocupación'!C21</f>
        <v>160500</v>
      </c>
      <c r="I16" s="581"/>
      <c r="J16" s="581"/>
      <c r="K16" s="581"/>
      <c r="L16" s="591"/>
      <c r="M16" s="618">
        <f t="shared" si="0"/>
        <v>4900</v>
      </c>
      <c r="N16" s="585">
        <f t="shared" si="1"/>
        <v>0</v>
      </c>
      <c r="O16" s="585">
        <f t="shared" si="2"/>
        <v>0</v>
      </c>
      <c r="P16" s="585">
        <f t="shared" si="3"/>
        <v>0</v>
      </c>
      <c r="Q16" s="621">
        <f t="shared" si="4"/>
        <v>0</v>
      </c>
      <c r="R16" s="622">
        <f>+'B) Reajuste Tarifas y Ocupación'!H21</f>
        <v>0.03</v>
      </c>
      <c r="S16" s="586">
        <f>+'B) Reajuste Tarifas y Ocupación'!I21</f>
        <v>0.03</v>
      </c>
      <c r="T16" s="586">
        <f>+'B) Reajuste Tarifas y Ocupación'!J21</f>
        <v>0.03</v>
      </c>
      <c r="U16" s="586">
        <f>+'B) Reajuste Tarifas y Ocupación'!K21</f>
        <v>0.03</v>
      </c>
      <c r="V16" s="587">
        <f>+'B) Reajuste Tarifas y Ocupación'!L21</f>
        <v>0.03</v>
      </c>
    </row>
  </sheetData>
  <mergeCells count="11"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  <mergeCell ref="A12:A13"/>
  </mergeCells>
  <conditionalFormatting sqref="M10:Q11 M14:Q14 M16:Q16 M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62"/>
  <sheetViews>
    <sheetView showGridLines="0" topLeftCell="D44" zoomScaleNormal="100" workbookViewId="0">
      <selection activeCell="G6" sqref="G6"/>
    </sheetView>
  </sheetViews>
  <sheetFormatPr baseColWidth="10" defaultColWidth="11.42578125" defaultRowHeight="12.75" x14ac:dyDescent="0.2"/>
  <cols>
    <col min="1" max="1" width="7.140625" style="31" customWidth="1"/>
    <col min="2" max="2" width="37.28515625" style="31" customWidth="1"/>
    <col min="3" max="3" width="28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2" width="19.140625" style="31" customWidth="1"/>
    <col min="13" max="13" width="16.140625" style="31" customWidth="1"/>
    <col min="14" max="14" width="17.140625" style="31" customWidth="1"/>
    <col min="15" max="15" width="14.85546875" style="31" customWidth="1"/>
    <col min="16" max="16" width="17.7109375" style="31" customWidth="1"/>
    <col min="17" max="17" width="17.140625" style="31" customWidth="1"/>
    <col min="18" max="18" width="18.140625" style="43" customWidth="1"/>
    <col min="19" max="19" width="16.28515625" style="31" customWidth="1"/>
    <col min="20" max="20" width="15.85546875" style="31" customWidth="1"/>
    <col min="21" max="21" width="14.85546875" style="31" customWidth="1"/>
    <col min="22" max="22" width="15.85546875" style="31" customWidth="1"/>
    <col min="23" max="23" width="14.28515625" style="31" customWidth="1"/>
    <col min="24" max="24" width="14.85546875" style="31" customWidth="1"/>
    <col min="25" max="25" width="14.140625" style="31" customWidth="1"/>
    <col min="26" max="26" width="16.85546875" style="31" customWidth="1"/>
    <col min="27" max="27" width="17.5703125" style="31" customWidth="1"/>
    <col min="28" max="28" width="15.28515625" style="31" customWidth="1"/>
    <col min="29" max="29" width="19.7109375" style="31" customWidth="1"/>
    <col min="30" max="30" width="17.42578125" style="31" customWidth="1"/>
    <col min="31" max="31" width="12" style="31" customWidth="1"/>
    <col min="32" max="16384" width="11.42578125" style="31"/>
  </cols>
  <sheetData>
    <row r="1" spans="2:248" s="6" customFormat="1" x14ac:dyDescent="0.2">
      <c r="C1" s="7"/>
      <c r="D1" s="7"/>
      <c r="E1" s="44" t="s">
        <v>210</v>
      </c>
      <c r="F1" s="44"/>
      <c r="G1" s="44"/>
      <c r="H1" s="44"/>
      <c r="I1" s="44"/>
      <c r="J1" s="7"/>
      <c r="K1" s="7"/>
      <c r="IM1" s="4"/>
      <c r="IN1" s="4"/>
    </row>
    <row r="2" spans="2:248" s="6" customFormat="1" x14ac:dyDescent="0.2">
      <c r="E2" s="44" t="s">
        <v>202</v>
      </c>
      <c r="F2" s="44"/>
      <c r="G2" s="44"/>
      <c r="H2" s="44"/>
      <c r="I2" s="44"/>
      <c r="IM2" s="4"/>
      <c r="IN2" s="4"/>
    </row>
    <row r="3" spans="2:248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48" s="6" customFormat="1" ht="18.75" customHeight="1" x14ac:dyDescent="0.2">
      <c r="B4" s="26"/>
      <c r="D4" s="118" t="s">
        <v>0</v>
      </c>
      <c r="E4" s="180" t="str">
        <f>+'B) Reajuste Tarifas y Ocupación'!F5</f>
        <v>(DEPTO./DELEG.)</v>
      </c>
      <c r="F4" s="73"/>
      <c r="G4" s="74"/>
      <c r="H4" s="74"/>
      <c r="I4" s="74"/>
      <c r="J4" s="74"/>
      <c r="N4" s="3"/>
      <c r="ID4" s="4"/>
      <c r="IE4" s="4"/>
      <c r="IF4" s="4"/>
      <c r="IG4" s="4"/>
      <c r="IH4" s="4"/>
      <c r="II4" s="4"/>
    </row>
    <row r="5" spans="2:248" s="6" customFormat="1" x14ac:dyDescent="0.2">
      <c r="B5" s="26"/>
      <c r="D5" s="119"/>
      <c r="E5" s="122"/>
      <c r="F5" s="122"/>
      <c r="G5" s="122"/>
      <c r="H5" s="122"/>
      <c r="I5" s="122"/>
      <c r="J5" s="122"/>
      <c r="N5" s="3"/>
      <c r="ID5" s="4"/>
      <c r="IE5" s="4"/>
      <c r="IF5" s="4"/>
      <c r="IG5" s="4"/>
      <c r="IH5" s="4"/>
      <c r="II5" s="4"/>
    </row>
    <row r="6" spans="2:248" s="6" customFormat="1" x14ac:dyDescent="0.2">
      <c r="B6" s="26"/>
      <c r="D6" s="119"/>
      <c r="E6" s="122"/>
      <c r="F6" s="122"/>
      <c r="G6" s="122"/>
      <c r="H6" s="122"/>
      <c r="I6" s="122"/>
      <c r="J6" s="122"/>
      <c r="N6" s="3"/>
      <c r="ID6" s="4"/>
      <c r="IE6" s="4"/>
      <c r="IF6" s="4"/>
      <c r="IG6" s="4"/>
      <c r="IH6" s="4"/>
      <c r="II6" s="4"/>
    </row>
    <row r="7" spans="2:248" s="17" customFormat="1" ht="15.75" x14ac:dyDescent="0.2">
      <c r="B7" s="950" t="s">
        <v>163</v>
      </c>
      <c r="C7" s="950"/>
      <c r="D7" s="950"/>
      <c r="E7" s="950"/>
      <c r="F7" s="120"/>
      <c r="G7" s="120"/>
      <c r="H7" s="120"/>
      <c r="I7" s="120"/>
      <c r="J7" s="122"/>
      <c r="K7" s="75" t="s">
        <v>4</v>
      </c>
      <c r="L7" s="76">
        <v>0.03</v>
      </c>
      <c r="N7" s="28"/>
      <c r="ID7" s="10"/>
      <c r="IE7" s="10"/>
      <c r="IF7" s="10"/>
      <c r="IG7" s="10"/>
      <c r="IH7" s="10"/>
      <c r="II7" s="10"/>
    </row>
    <row r="8" spans="2:248" ht="13.5" thickBot="1" x14ac:dyDescent="0.25"/>
    <row r="9" spans="2:248" ht="15" customHeight="1" x14ac:dyDescent="0.2">
      <c r="B9" s="1124" t="s">
        <v>114</v>
      </c>
      <c r="C9" s="1126" t="s">
        <v>73</v>
      </c>
      <c r="D9" s="1126" t="s">
        <v>74</v>
      </c>
      <c r="E9" s="1128" t="s">
        <v>3</v>
      </c>
      <c r="F9" s="1134" t="s">
        <v>81</v>
      </c>
      <c r="G9" s="1068" t="s">
        <v>226</v>
      </c>
      <c r="H9" s="1069"/>
      <c r="I9" s="1069"/>
      <c r="J9" s="1069"/>
      <c r="K9" s="1052" t="s">
        <v>227</v>
      </c>
      <c r="L9" s="1130" t="s">
        <v>115</v>
      </c>
      <c r="O9" s="30"/>
      <c r="P9" s="30"/>
      <c r="Q9" s="30"/>
      <c r="R9" s="30"/>
      <c r="S9" s="30"/>
      <c r="T9" s="30"/>
    </row>
    <row r="10" spans="2:248" ht="39" thickBot="1" x14ac:dyDescent="0.25">
      <c r="B10" s="1125"/>
      <c r="C10" s="1127"/>
      <c r="D10" s="1127"/>
      <c r="E10" s="1129"/>
      <c r="F10" s="1135"/>
      <c r="G10" s="865" t="s">
        <v>228</v>
      </c>
      <c r="H10" s="866" t="s">
        <v>116</v>
      </c>
      <c r="I10" s="867" t="s">
        <v>117</v>
      </c>
      <c r="J10" s="352" t="s">
        <v>229</v>
      </c>
      <c r="K10" s="1053"/>
      <c r="L10" s="1131"/>
      <c r="M10" s="32"/>
      <c r="N10" s="60"/>
      <c r="O10" s="60"/>
      <c r="P10" s="23"/>
      <c r="Q10" s="23"/>
      <c r="R10" s="23"/>
      <c r="S10" s="32"/>
      <c r="T10" s="1123"/>
      <c r="U10" s="1123"/>
      <c r="V10" s="1123"/>
      <c r="W10" s="1123"/>
      <c r="X10" s="32"/>
    </row>
    <row r="11" spans="2:248" x14ac:dyDescent="0.2">
      <c r="B11" s="1132" t="str">
        <f>+'B) Reajuste Tarifas y Ocupación'!A12</f>
        <v>Jardín Infantil Tortuguita Marina</v>
      </c>
      <c r="C11" s="796" t="s">
        <v>413</v>
      </c>
      <c r="D11" s="796" t="s">
        <v>380</v>
      </c>
      <c r="E11" s="796" t="s">
        <v>376</v>
      </c>
      <c r="F11" s="375" t="s">
        <v>301</v>
      </c>
      <c r="G11" s="797">
        <v>8314200</v>
      </c>
      <c r="H11" s="798">
        <v>328000</v>
      </c>
      <c r="I11" s="798">
        <v>125150</v>
      </c>
      <c r="J11" s="233">
        <f t="shared" ref="J11" si="0">SUM(G11:I11)</f>
        <v>8767350</v>
      </c>
      <c r="K11" s="237">
        <f t="shared" ref="K11" si="1">+J11*(1+$L$7)</f>
        <v>9030370.5</v>
      </c>
      <c r="L11" s="1120">
        <f>SUM(K11:K18)</f>
        <v>29175471.000000004</v>
      </c>
      <c r="M11" s="32"/>
      <c r="N11" s="60"/>
      <c r="O11" s="60"/>
      <c r="P11" s="23"/>
      <c r="Q11" s="23"/>
      <c r="R11" s="23"/>
      <c r="S11" s="32"/>
      <c r="T11" s="349"/>
      <c r="U11" s="349"/>
      <c r="V11" s="349"/>
      <c r="W11" s="349"/>
      <c r="X11" s="32"/>
    </row>
    <row r="12" spans="2:248" x14ac:dyDescent="0.2">
      <c r="B12" s="1133"/>
      <c r="C12" s="851" t="s">
        <v>402</v>
      </c>
      <c r="D12" s="851" t="s">
        <v>367</v>
      </c>
      <c r="E12" s="851" t="s">
        <v>368</v>
      </c>
      <c r="F12" s="852" t="s">
        <v>301</v>
      </c>
      <c r="G12" s="861">
        <v>6539424</v>
      </c>
      <c r="H12" s="862">
        <v>328000</v>
      </c>
      <c r="I12" s="853">
        <v>127536</v>
      </c>
      <c r="J12" s="233">
        <f t="shared" ref="J12:J17" si="2">SUM(G12:I12)</f>
        <v>6994960</v>
      </c>
      <c r="K12" s="237">
        <f t="shared" ref="K12:K17" si="3">+J12*(1+$L$7)</f>
        <v>7204808.7999999998</v>
      </c>
      <c r="L12" s="1121"/>
      <c r="M12" s="32"/>
      <c r="N12" s="60"/>
      <c r="O12" s="60"/>
      <c r="P12" s="23"/>
      <c r="Q12" s="23"/>
      <c r="R12" s="23"/>
      <c r="S12" s="32"/>
      <c r="T12" s="349"/>
      <c r="U12" s="349"/>
      <c r="V12" s="349"/>
      <c r="W12" s="349"/>
      <c r="X12" s="32"/>
    </row>
    <row r="13" spans="2:248" x14ac:dyDescent="0.2">
      <c r="B13" s="1133"/>
      <c r="C13" s="796" t="s">
        <v>372</v>
      </c>
      <c r="D13" s="796" t="s">
        <v>373</v>
      </c>
      <c r="E13" s="796" t="s">
        <v>374</v>
      </c>
      <c r="F13" s="375" t="s">
        <v>301</v>
      </c>
      <c r="G13" s="809">
        <v>1958832</v>
      </c>
      <c r="H13" s="807">
        <v>328000</v>
      </c>
      <c r="I13" s="798">
        <v>124504</v>
      </c>
      <c r="J13" s="233">
        <f t="shared" si="2"/>
        <v>2411336</v>
      </c>
      <c r="K13" s="237">
        <f t="shared" si="3"/>
        <v>2483676.08</v>
      </c>
      <c r="L13" s="1121"/>
      <c r="M13" s="32"/>
      <c r="N13" s="60"/>
      <c r="O13" s="60"/>
      <c r="P13" s="23"/>
      <c r="Q13" s="23"/>
      <c r="R13" s="23"/>
      <c r="S13" s="32"/>
      <c r="T13" s="349"/>
      <c r="U13" s="349"/>
      <c r="V13" s="349"/>
      <c r="W13" s="349"/>
      <c r="X13" s="32"/>
    </row>
    <row r="14" spans="2:248" x14ac:dyDescent="0.2">
      <c r="B14" s="1133"/>
      <c r="C14" s="796" t="s">
        <v>412</v>
      </c>
      <c r="D14" s="796" t="s">
        <v>377</v>
      </c>
      <c r="E14" s="796" t="s">
        <v>376</v>
      </c>
      <c r="F14" s="375" t="s">
        <v>301</v>
      </c>
      <c r="G14" s="797">
        <v>9698904</v>
      </c>
      <c r="H14" s="798">
        <v>328000</v>
      </c>
      <c r="I14" s="798">
        <v>125150</v>
      </c>
      <c r="J14" s="233">
        <f t="shared" si="2"/>
        <v>10152054</v>
      </c>
      <c r="K14" s="237">
        <f t="shared" si="3"/>
        <v>10456615.620000001</v>
      </c>
      <c r="L14" s="1121"/>
      <c r="M14" s="32"/>
      <c r="N14" s="60"/>
      <c r="O14" s="60"/>
      <c r="P14" s="23"/>
      <c r="Q14" s="23"/>
      <c r="R14" s="23"/>
      <c r="S14" s="32"/>
      <c r="T14" s="349"/>
      <c r="U14" s="349"/>
      <c r="V14" s="349"/>
      <c r="W14" s="349"/>
      <c r="X14" s="32"/>
    </row>
    <row r="15" spans="2:248" x14ac:dyDescent="0.2">
      <c r="B15" s="1133"/>
      <c r="C15" s="855"/>
      <c r="D15" s="855"/>
      <c r="E15" s="855"/>
      <c r="F15" s="856"/>
      <c r="G15" s="797">
        <v>0</v>
      </c>
      <c r="H15" s="798">
        <v>0</v>
      </c>
      <c r="I15" s="798">
        <v>0</v>
      </c>
      <c r="J15" s="233">
        <f t="shared" si="2"/>
        <v>0</v>
      </c>
      <c r="K15" s="237">
        <f t="shared" si="3"/>
        <v>0</v>
      </c>
      <c r="L15" s="1121"/>
      <c r="M15" s="32"/>
      <c r="N15" s="60"/>
      <c r="O15" s="60"/>
      <c r="P15" s="23"/>
      <c r="Q15" s="23"/>
      <c r="R15" s="23"/>
      <c r="S15" s="32"/>
      <c r="T15" s="349"/>
      <c r="U15" s="349"/>
      <c r="V15" s="349"/>
      <c r="W15" s="349"/>
      <c r="X15" s="32"/>
    </row>
    <row r="16" spans="2:248" x14ac:dyDescent="0.2">
      <c r="B16" s="1133"/>
      <c r="C16" s="224"/>
      <c r="D16" s="224"/>
      <c r="E16" s="224"/>
      <c r="F16" s="229"/>
      <c r="G16" s="810">
        <v>0</v>
      </c>
      <c r="H16" s="808">
        <v>0</v>
      </c>
      <c r="I16" s="181">
        <v>0</v>
      </c>
      <c r="J16" s="233">
        <f t="shared" si="2"/>
        <v>0</v>
      </c>
      <c r="K16" s="237">
        <f t="shared" si="3"/>
        <v>0</v>
      </c>
      <c r="L16" s="1121"/>
      <c r="M16" s="32"/>
      <c r="N16" s="60"/>
      <c r="O16" s="60"/>
      <c r="P16" s="23"/>
      <c r="Q16" s="23"/>
      <c r="R16" s="23"/>
      <c r="S16" s="32"/>
      <c r="T16" s="349"/>
      <c r="U16" s="349"/>
      <c r="V16" s="349"/>
      <c r="W16" s="349"/>
      <c r="X16" s="32"/>
    </row>
    <row r="17" spans="2:259" x14ac:dyDescent="0.2">
      <c r="B17" s="1133"/>
      <c r="C17" s="224"/>
      <c r="D17" s="224"/>
      <c r="E17" s="224"/>
      <c r="F17" s="229"/>
      <c r="G17" s="810">
        <v>0</v>
      </c>
      <c r="H17" s="808">
        <v>0</v>
      </c>
      <c r="I17" s="181">
        <v>0</v>
      </c>
      <c r="J17" s="233">
        <f t="shared" si="2"/>
        <v>0</v>
      </c>
      <c r="K17" s="237">
        <f t="shared" si="3"/>
        <v>0</v>
      </c>
      <c r="L17" s="1121"/>
      <c r="M17" s="32"/>
      <c r="N17" s="60"/>
      <c r="O17" s="60"/>
      <c r="P17" s="23"/>
      <c r="Q17" s="23"/>
      <c r="R17" s="23"/>
      <c r="S17" s="32"/>
      <c r="T17" s="349"/>
      <c r="U17" s="349"/>
      <c r="V17" s="349"/>
      <c r="W17" s="349"/>
      <c r="X17" s="32"/>
    </row>
    <row r="18" spans="2:259" ht="13.5" thickBot="1" x14ac:dyDescent="0.25">
      <c r="B18" s="1133"/>
      <c r="C18" s="380"/>
      <c r="D18" s="380"/>
      <c r="E18" s="380"/>
      <c r="F18" s="381"/>
      <c r="G18" s="811">
        <v>0</v>
      </c>
      <c r="H18" s="854">
        <v>0</v>
      </c>
      <c r="I18" s="383">
        <v>0</v>
      </c>
      <c r="J18" s="233">
        <f>SUM(G18:I18)</f>
        <v>0</v>
      </c>
      <c r="K18" s="237">
        <f>+J18*(1+$L$7)</f>
        <v>0</v>
      </c>
      <c r="L18" s="1121"/>
      <c r="M18" s="32"/>
      <c r="N18" s="60"/>
      <c r="O18" s="60"/>
      <c r="P18" s="23"/>
      <c r="Q18" s="23"/>
      <c r="R18" s="23"/>
      <c r="S18" s="32"/>
      <c r="T18" s="349"/>
      <c r="U18" s="349"/>
      <c r="V18" s="349"/>
      <c r="W18" s="349"/>
      <c r="X18" s="32"/>
    </row>
    <row r="19" spans="2:259" s="2" customFormat="1" ht="12.75" customHeight="1" x14ac:dyDescent="0.2">
      <c r="B19" s="1132" t="str">
        <f>'B) Reajuste Tarifas y Ocupación'!A29</f>
        <v>Jardín Infantil Burbujitas de Mar</v>
      </c>
      <c r="C19" s="855" t="s">
        <v>369</v>
      </c>
      <c r="D19" s="855" t="s">
        <v>370</v>
      </c>
      <c r="E19" s="855" t="s">
        <v>368</v>
      </c>
      <c r="F19" s="856" t="s">
        <v>371</v>
      </c>
      <c r="G19" s="857">
        <v>5577972</v>
      </c>
      <c r="H19" s="858">
        <v>328000</v>
      </c>
      <c r="I19" s="859">
        <v>124504</v>
      </c>
      <c r="J19" s="372">
        <f>SUM(G19:I19)</f>
        <v>6030476</v>
      </c>
      <c r="K19" s="373">
        <f>+J19*(1+$L$7)</f>
        <v>6211390.2800000003</v>
      </c>
      <c r="L19" s="1137">
        <f>SUM(K19:K26)</f>
        <v>18255340.960000001</v>
      </c>
      <c r="M19" s="32"/>
      <c r="N19" s="36"/>
      <c r="O19" s="36"/>
      <c r="P19" s="61"/>
      <c r="Q19" s="61"/>
      <c r="R19" s="61"/>
      <c r="S19" s="34"/>
      <c r="T19" s="33"/>
      <c r="U19" s="33"/>
      <c r="V19" s="33"/>
      <c r="W19" s="33"/>
      <c r="X19" s="35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ht="12.75" customHeight="1" x14ac:dyDescent="0.2">
      <c r="B20" s="1133"/>
      <c r="C20" s="796" t="s">
        <v>406</v>
      </c>
      <c r="D20" s="796" t="s">
        <v>387</v>
      </c>
      <c r="E20" s="796" t="s">
        <v>368</v>
      </c>
      <c r="F20" s="375" t="s">
        <v>301</v>
      </c>
      <c r="G20" s="797">
        <v>5176860</v>
      </c>
      <c r="H20" s="798">
        <v>328000</v>
      </c>
      <c r="I20" s="798">
        <v>127536</v>
      </c>
      <c r="J20" s="233">
        <f t="shared" ref="J20" si="4">SUM(G20:I20)</f>
        <v>5632396</v>
      </c>
      <c r="K20" s="237">
        <f t="shared" ref="K20" si="5">+J20*(1+$L$7)</f>
        <v>5801367.8799999999</v>
      </c>
      <c r="L20" s="1138"/>
      <c r="M20" s="32"/>
      <c r="N20" s="36"/>
      <c r="O20" s="36"/>
      <c r="P20" s="23"/>
      <c r="Q20" s="23"/>
      <c r="R20" s="23"/>
      <c r="S20" s="34"/>
      <c r="T20" s="33"/>
      <c r="U20" s="33"/>
      <c r="V20" s="33"/>
      <c r="W20" s="33"/>
      <c r="X20" s="3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2.75" customHeight="1" x14ac:dyDescent="0.2">
      <c r="B21" s="1133"/>
      <c r="C21" s="796" t="s">
        <v>396</v>
      </c>
      <c r="D21" s="796" t="s">
        <v>381</v>
      </c>
      <c r="E21" s="796" t="s">
        <v>389</v>
      </c>
      <c r="F21" s="375" t="s">
        <v>301</v>
      </c>
      <c r="G21" s="797">
        <v>5605224</v>
      </c>
      <c r="H21" s="798">
        <v>328000</v>
      </c>
      <c r="I21" s="798">
        <v>127536</v>
      </c>
      <c r="J21" s="378">
        <f t="shared" ref="J21:J25" si="6">SUM(G21:I21)</f>
        <v>6060760</v>
      </c>
      <c r="K21" s="379">
        <f t="shared" ref="K21:K25" si="7">+J21*(1+$L$7)</f>
        <v>6242582.7999999998</v>
      </c>
      <c r="L21" s="1138"/>
      <c r="M21" s="32"/>
      <c r="N21" s="36"/>
      <c r="O21" s="36"/>
      <c r="P21" s="23"/>
      <c r="Q21" s="23"/>
      <c r="R21" s="23"/>
      <c r="S21" s="34"/>
      <c r="T21" s="33"/>
      <c r="U21" s="33"/>
      <c r="V21" s="33"/>
      <c r="W21" s="33"/>
      <c r="X21" s="35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2.75" customHeight="1" x14ac:dyDescent="0.2">
      <c r="B22" s="1133"/>
      <c r="C22" s="796"/>
      <c r="D22" s="796"/>
      <c r="E22" s="796"/>
      <c r="F22" s="375"/>
      <c r="G22" s="797">
        <v>0</v>
      </c>
      <c r="H22" s="798">
        <v>0</v>
      </c>
      <c r="I22" s="798">
        <v>0</v>
      </c>
      <c r="J22" s="378">
        <f t="shared" si="6"/>
        <v>0</v>
      </c>
      <c r="K22" s="379">
        <f t="shared" si="7"/>
        <v>0</v>
      </c>
      <c r="L22" s="1138"/>
      <c r="M22" s="32"/>
      <c r="N22" s="36"/>
      <c r="O22" s="36"/>
      <c r="P22" s="23"/>
      <c r="Q22" s="23"/>
      <c r="R22" s="23"/>
      <c r="S22" s="34"/>
      <c r="T22" s="33"/>
      <c r="U22" s="33"/>
      <c r="V22" s="33"/>
      <c r="W22" s="33"/>
      <c r="X22" s="35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ht="12.75" customHeight="1" x14ac:dyDescent="0.2">
      <c r="B23" s="1133"/>
      <c r="C23" s="374"/>
      <c r="D23" s="374"/>
      <c r="E23" s="374"/>
      <c r="F23" s="375"/>
      <c r="G23" s="376">
        <v>0</v>
      </c>
      <c r="H23" s="377">
        <v>0</v>
      </c>
      <c r="I23" s="377">
        <v>0</v>
      </c>
      <c r="J23" s="378">
        <f t="shared" si="6"/>
        <v>0</v>
      </c>
      <c r="K23" s="379">
        <f t="shared" si="7"/>
        <v>0</v>
      </c>
      <c r="L23" s="1138"/>
      <c r="M23" s="32"/>
      <c r="N23" s="36"/>
      <c r="O23" s="36"/>
      <c r="P23" s="23"/>
      <c r="Q23" s="23"/>
      <c r="R23" s="23"/>
      <c r="S23" s="34"/>
      <c r="T23" s="33"/>
      <c r="U23" s="33"/>
      <c r="V23" s="33"/>
      <c r="W23" s="33"/>
      <c r="X23" s="3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ht="12.75" customHeight="1" x14ac:dyDescent="0.2">
      <c r="B24" s="1133"/>
      <c r="C24" s="374"/>
      <c r="D24" s="374"/>
      <c r="E24" s="374"/>
      <c r="F24" s="375"/>
      <c r="G24" s="376">
        <v>0</v>
      </c>
      <c r="H24" s="377">
        <v>0</v>
      </c>
      <c r="I24" s="377">
        <v>0</v>
      </c>
      <c r="J24" s="378">
        <f t="shared" si="6"/>
        <v>0</v>
      </c>
      <c r="K24" s="379">
        <f t="shared" si="7"/>
        <v>0</v>
      </c>
      <c r="L24" s="1138"/>
      <c r="M24" s="32"/>
      <c r="N24" s="36"/>
      <c r="O24" s="36"/>
      <c r="P24" s="23"/>
      <c r="Q24" s="23"/>
      <c r="R24" s="23"/>
      <c r="S24" s="34"/>
      <c r="T24" s="33"/>
      <c r="U24" s="33"/>
      <c r="V24" s="33"/>
      <c r="W24" s="33"/>
      <c r="X24" s="35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ht="12.75" customHeight="1" x14ac:dyDescent="0.2">
      <c r="B25" s="1133"/>
      <c r="C25" s="374"/>
      <c r="D25" s="374"/>
      <c r="E25" s="374"/>
      <c r="F25" s="375"/>
      <c r="G25" s="376">
        <v>0</v>
      </c>
      <c r="H25" s="377">
        <v>0</v>
      </c>
      <c r="I25" s="377">
        <v>0</v>
      </c>
      <c r="J25" s="378">
        <f t="shared" si="6"/>
        <v>0</v>
      </c>
      <c r="K25" s="379">
        <f t="shared" si="7"/>
        <v>0</v>
      </c>
      <c r="L25" s="1138"/>
      <c r="M25" s="32"/>
      <c r="N25" s="36"/>
      <c r="O25" s="36"/>
      <c r="P25" s="23"/>
      <c r="Q25" s="23"/>
      <c r="R25" s="23"/>
      <c r="S25" s="34"/>
      <c r="T25" s="33"/>
      <c r="U25" s="33"/>
      <c r="V25" s="33"/>
      <c r="W25" s="33"/>
      <c r="X25" s="35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ht="12.75" customHeight="1" thickBot="1" x14ac:dyDescent="0.25">
      <c r="B26" s="1136"/>
      <c r="C26" s="380"/>
      <c r="D26" s="380"/>
      <c r="E26" s="380"/>
      <c r="F26" s="381"/>
      <c r="G26" s="382">
        <v>0</v>
      </c>
      <c r="H26" s="383">
        <v>0</v>
      </c>
      <c r="I26" s="383">
        <v>0</v>
      </c>
      <c r="J26" s="384">
        <f>SUM(G26:I26)</f>
        <v>0</v>
      </c>
      <c r="K26" s="385">
        <f>+J26*(1+$L$7)</f>
        <v>0</v>
      </c>
      <c r="L26" s="1122"/>
      <c r="M26" s="32"/>
      <c r="N26" s="36"/>
      <c r="O26" s="36"/>
      <c r="P26" s="23"/>
      <c r="Q26" s="23"/>
      <c r="R26" s="23"/>
      <c r="S26" s="34"/>
      <c r="T26" s="33"/>
      <c r="U26" s="33"/>
      <c r="V26" s="33"/>
      <c r="W26" s="33"/>
      <c r="X26" s="35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ht="15" customHeight="1" x14ac:dyDescent="0.2">
      <c r="B27" s="1139" t="s">
        <v>114</v>
      </c>
      <c r="C27" s="1140" t="s">
        <v>73</v>
      </c>
      <c r="D27" s="1140" t="s">
        <v>74</v>
      </c>
      <c r="E27" s="1142" t="s">
        <v>3</v>
      </c>
      <c r="F27" s="1144" t="s">
        <v>81</v>
      </c>
      <c r="G27" s="1068" t="s">
        <v>226</v>
      </c>
      <c r="H27" s="1069"/>
      <c r="I27" s="1069"/>
      <c r="J27" s="1069"/>
      <c r="K27" s="1052" t="s">
        <v>227</v>
      </c>
      <c r="L27" s="1130" t="s">
        <v>115</v>
      </c>
      <c r="O27" s="30"/>
      <c r="P27" s="30"/>
      <c r="Q27" s="30"/>
      <c r="R27" s="30"/>
      <c r="S27" s="30"/>
      <c r="T27" s="30"/>
    </row>
    <row r="28" spans="2:259" ht="39" thickBot="1" x14ac:dyDescent="0.25">
      <c r="B28" s="1139"/>
      <c r="C28" s="1141"/>
      <c r="D28" s="1141"/>
      <c r="E28" s="1143"/>
      <c r="F28" s="1145"/>
      <c r="G28" s="350" t="s">
        <v>228</v>
      </c>
      <c r="H28" s="351" t="s">
        <v>116</v>
      </c>
      <c r="I28" s="351" t="s">
        <v>117</v>
      </c>
      <c r="J28" s="352" t="s">
        <v>229</v>
      </c>
      <c r="K28" s="1053"/>
      <c r="L28" s="1131"/>
      <c r="M28" s="32"/>
      <c r="N28" s="60"/>
      <c r="O28" s="60"/>
      <c r="P28" s="23"/>
      <c r="Q28" s="23"/>
      <c r="R28" s="23"/>
      <c r="S28" s="32"/>
      <c r="T28" s="1123"/>
      <c r="U28" s="1123"/>
      <c r="V28" s="1123"/>
      <c r="W28" s="1123"/>
      <c r="X28" s="32"/>
    </row>
    <row r="29" spans="2:259" ht="13.5" thickBot="1" x14ac:dyDescent="0.25">
      <c r="B29" s="1117" t="str">
        <f>+'A) Resumen Ingresos y Egresos'!A11</f>
        <v>Sala Cuna Burbujitas de Mar Diurna</v>
      </c>
      <c r="C29" s="780" t="s">
        <v>417</v>
      </c>
      <c r="D29" s="780" t="s">
        <v>375</v>
      </c>
      <c r="E29" s="780" t="s">
        <v>376</v>
      </c>
      <c r="F29" s="793" t="s">
        <v>302</v>
      </c>
      <c r="G29" s="794">
        <v>8760816</v>
      </c>
      <c r="H29" s="795">
        <v>328000</v>
      </c>
      <c r="I29" s="795">
        <v>125150</v>
      </c>
      <c r="J29" s="231">
        <f t="shared" ref="J29:J39" si="8">SUM(G29:I29)</f>
        <v>9213966</v>
      </c>
      <c r="K29" s="236">
        <f t="shared" ref="K29:K39" si="9">+J29*(1+$L$7)</f>
        <v>9490384.9800000004</v>
      </c>
      <c r="L29" s="1120">
        <f>SUM(K29:K39)</f>
        <v>74086188.140000015</v>
      </c>
      <c r="M29" s="32"/>
      <c r="N29" s="36"/>
      <c r="O29" s="36"/>
      <c r="P29" s="23"/>
      <c r="Q29" s="23"/>
      <c r="R29" s="23"/>
      <c r="S29" s="37"/>
      <c r="T29" s="37"/>
      <c r="U29" s="38"/>
      <c r="V29" s="38"/>
      <c r="W29" s="39"/>
      <c r="X29" s="39"/>
    </row>
    <row r="30" spans="2:259" x14ac:dyDescent="0.2">
      <c r="B30" s="1118"/>
      <c r="C30" s="863" t="s">
        <v>378</v>
      </c>
      <c r="D30" s="863" t="s">
        <v>379</v>
      </c>
      <c r="E30" s="863" t="s">
        <v>376</v>
      </c>
      <c r="F30" s="864" t="s">
        <v>302</v>
      </c>
      <c r="G30" s="873">
        <v>9410688</v>
      </c>
      <c r="H30" s="874">
        <v>328000</v>
      </c>
      <c r="I30" s="874">
        <v>125150</v>
      </c>
      <c r="J30" s="875">
        <f>SUM(G30:I30)</f>
        <v>9863838</v>
      </c>
      <c r="K30" s="876">
        <f>+J30*(1+$L$7)</f>
        <v>10159753.140000001</v>
      </c>
      <c r="L30" s="1121"/>
      <c r="M30" s="32"/>
      <c r="N30" s="36"/>
      <c r="O30" s="36"/>
      <c r="P30" s="36"/>
      <c r="Q30" s="36"/>
      <c r="R30" s="36"/>
      <c r="S30" s="37"/>
      <c r="T30" s="37"/>
      <c r="U30" s="38"/>
      <c r="V30" s="38"/>
      <c r="W30" s="39"/>
      <c r="X30" s="39"/>
    </row>
    <row r="31" spans="2:259" x14ac:dyDescent="0.2">
      <c r="B31" s="1118"/>
      <c r="C31" s="796" t="s">
        <v>411</v>
      </c>
      <c r="D31" s="796" t="s">
        <v>382</v>
      </c>
      <c r="E31" s="796" t="s">
        <v>368</v>
      </c>
      <c r="F31" s="375" t="s">
        <v>302</v>
      </c>
      <c r="G31" s="797">
        <v>6848664</v>
      </c>
      <c r="H31" s="798">
        <v>328000</v>
      </c>
      <c r="I31" s="798">
        <v>128066</v>
      </c>
      <c r="J31" s="233">
        <f t="shared" si="8"/>
        <v>7304730</v>
      </c>
      <c r="K31" s="237">
        <f t="shared" si="9"/>
        <v>7523871.9000000004</v>
      </c>
      <c r="L31" s="1121"/>
      <c r="M31" s="32"/>
      <c r="N31" s="36"/>
      <c r="O31" s="36"/>
      <c r="P31" s="23"/>
      <c r="Q31" s="23"/>
      <c r="R31" s="23"/>
      <c r="S31" s="37"/>
      <c r="T31" s="37"/>
      <c r="U31" s="38"/>
      <c r="V31" s="38"/>
      <c r="W31" s="39"/>
      <c r="X31" s="39"/>
    </row>
    <row r="32" spans="2:259" x14ac:dyDescent="0.2">
      <c r="B32" s="1118"/>
      <c r="C32" s="796" t="s">
        <v>399</v>
      </c>
      <c r="D32" s="796" t="s">
        <v>383</v>
      </c>
      <c r="E32" s="796" t="s">
        <v>368</v>
      </c>
      <c r="F32" s="375" t="s">
        <v>302</v>
      </c>
      <c r="G32" s="797">
        <v>6797124</v>
      </c>
      <c r="H32" s="798">
        <v>328000</v>
      </c>
      <c r="I32" s="798">
        <v>128066</v>
      </c>
      <c r="J32" s="233">
        <f t="shared" si="8"/>
        <v>7253190</v>
      </c>
      <c r="K32" s="237">
        <f t="shared" si="9"/>
        <v>7470785.7000000002</v>
      </c>
      <c r="L32" s="1121"/>
      <c r="M32" s="32"/>
      <c r="N32" s="36"/>
      <c r="O32" s="36"/>
      <c r="P32" s="23"/>
      <c r="Q32" s="23"/>
      <c r="R32" s="23"/>
      <c r="S32" s="37"/>
      <c r="T32" s="37"/>
      <c r="U32" s="38"/>
      <c r="V32" s="38"/>
      <c r="W32" s="39"/>
      <c r="X32" s="39"/>
    </row>
    <row r="33" spans="2:24" x14ac:dyDescent="0.2">
      <c r="B33" s="1118"/>
      <c r="C33" s="796" t="s">
        <v>410</v>
      </c>
      <c r="D33" s="796" t="s">
        <v>384</v>
      </c>
      <c r="E33" s="796" t="s">
        <v>368</v>
      </c>
      <c r="F33" s="375" t="s">
        <v>302</v>
      </c>
      <c r="G33" s="797">
        <v>6105624</v>
      </c>
      <c r="H33" s="798">
        <v>328000</v>
      </c>
      <c r="I33" s="798">
        <v>127536</v>
      </c>
      <c r="J33" s="233">
        <f t="shared" si="8"/>
        <v>6561160</v>
      </c>
      <c r="K33" s="237">
        <f t="shared" si="9"/>
        <v>6757994.7999999998</v>
      </c>
      <c r="L33" s="1121"/>
      <c r="M33" s="32"/>
      <c r="N33" s="36"/>
      <c r="O33" s="36"/>
      <c r="P33" s="23"/>
      <c r="Q33" s="23"/>
      <c r="R33" s="23"/>
      <c r="S33" s="37"/>
      <c r="T33" s="37"/>
      <c r="U33" s="38"/>
      <c r="V33" s="38"/>
      <c r="W33" s="39"/>
      <c r="X33" s="39"/>
    </row>
    <row r="34" spans="2:24" x14ac:dyDescent="0.2">
      <c r="B34" s="1118"/>
      <c r="C34" s="796" t="s">
        <v>385</v>
      </c>
      <c r="D34" s="796" t="s">
        <v>386</v>
      </c>
      <c r="E34" s="796" t="s">
        <v>368</v>
      </c>
      <c r="F34" s="375" t="s">
        <v>302</v>
      </c>
      <c r="G34" s="797">
        <v>5444268</v>
      </c>
      <c r="H34" s="798">
        <v>328000</v>
      </c>
      <c r="I34" s="798">
        <v>124504</v>
      </c>
      <c r="J34" s="233">
        <f t="shared" si="8"/>
        <v>5896772</v>
      </c>
      <c r="K34" s="237">
        <f t="shared" si="9"/>
        <v>6073675.1600000001</v>
      </c>
      <c r="L34" s="1121"/>
      <c r="M34" s="32"/>
      <c r="N34" s="36"/>
      <c r="O34" s="36"/>
      <c r="P34" s="23"/>
      <c r="Q34" s="23"/>
      <c r="R34" s="23"/>
      <c r="S34" s="37"/>
      <c r="T34" s="37"/>
      <c r="U34" s="38"/>
      <c r="V34" s="38"/>
      <c r="W34" s="39"/>
      <c r="X34" s="39"/>
    </row>
    <row r="35" spans="2:24" x14ac:dyDescent="0.2">
      <c r="B35" s="1118"/>
      <c r="C35" s="796" t="s">
        <v>409</v>
      </c>
      <c r="D35" s="796" t="s">
        <v>388</v>
      </c>
      <c r="E35" s="796" t="s">
        <v>389</v>
      </c>
      <c r="F35" s="375" t="s">
        <v>302</v>
      </c>
      <c r="G35" s="797">
        <v>5605224</v>
      </c>
      <c r="H35" s="798">
        <v>328000</v>
      </c>
      <c r="I35" s="798">
        <v>127536</v>
      </c>
      <c r="J35" s="233">
        <f t="shared" si="8"/>
        <v>6060760</v>
      </c>
      <c r="K35" s="237">
        <f t="shared" si="9"/>
        <v>6242582.7999999998</v>
      </c>
      <c r="L35" s="1121"/>
      <c r="M35" s="32"/>
      <c r="N35" s="36"/>
      <c r="O35" s="36"/>
      <c r="P35" s="23"/>
      <c r="Q35" s="23"/>
      <c r="R35" s="23"/>
      <c r="S35" s="37"/>
      <c r="T35" s="37"/>
      <c r="U35" s="38"/>
      <c r="V35" s="38"/>
      <c r="W35" s="39"/>
      <c r="X35" s="39"/>
    </row>
    <row r="36" spans="2:24" x14ac:dyDescent="0.2">
      <c r="B36" s="1118"/>
      <c r="C36" s="796" t="s">
        <v>408</v>
      </c>
      <c r="D36" s="796" t="s">
        <v>388</v>
      </c>
      <c r="E36" s="796" t="s">
        <v>374</v>
      </c>
      <c r="F36" s="375" t="s">
        <v>302</v>
      </c>
      <c r="G36" s="877">
        <v>4924704</v>
      </c>
      <c r="H36" s="878">
        <v>328000</v>
      </c>
      <c r="I36" s="878">
        <v>124504</v>
      </c>
      <c r="J36" s="879">
        <f t="shared" si="8"/>
        <v>5377208</v>
      </c>
      <c r="K36" s="880">
        <f t="shared" si="9"/>
        <v>5538524.2400000002</v>
      </c>
      <c r="L36" s="1121"/>
      <c r="M36" s="32"/>
      <c r="N36" s="36"/>
      <c r="O36" s="36"/>
      <c r="P36" s="23"/>
      <c r="Q36" s="23"/>
      <c r="R36" s="23"/>
      <c r="S36" s="37"/>
      <c r="T36" s="37"/>
      <c r="U36" s="38"/>
      <c r="V36" s="38"/>
      <c r="W36" s="39"/>
      <c r="X36" s="39"/>
    </row>
    <row r="37" spans="2:24" x14ac:dyDescent="0.2">
      <c r="B37" s="1118"/>
      <c r="C37" s="796" t="s">
        <v>396</v>
      </c>
      <c r="D37" s="796" t="s">
        <v>396</v>
      </c>
      <c r="E37" s="796" t="s">
        <v>368</v>
      </c>
      <c r="F37" s="375" t="s">
        <v>302</v>
      </c>
      <c r="G37" s="797">
        <v>5176860</v>
      </c>
      <c r="H37" s="798">
        <v>328000</v>
      </c>
      <c r="I37" s="798">
        <v>124504</v>
      </c>
      <c r="J37" s="879">
        <f t="shared" si="8"/>
        <v>5629364</v>
      </c>
      <c r="K37" s="237">
        <f t="shared" ref="K37:K38" si="10">+J37*(1+$L$7)</f>
        <v>5798244.9199999999</v>
      </c>
      <c r="L37" s="1121"/>
      <c r="M37" s="32"/>
      <c r="N37" s="36"/>
      <c r="O37" s="36"/>
      <c r="P37" s="23"/>
      <c r="Q37" s="23"/>
      <c r="R37" s="23"/>
      <c r="S37" s="37"/>
      <c r="T37" s="37"/>
      <c r="U37" s="38"/>
      <c r="V37" s="38"/>
      <c r="W37" s="39"/>
      <c r="X37" s="39"/>
    </row>
    <row r="38" spans="2:24" x14ac:dyDescent="0.2">
      <c r="B38" s="1118"/>
      <c r="C38" s="863" t="s">
        <v>396</v>
      </c>
      <c r="D38" s="863" t="s">
        <v>458</v>
      </c>
      <c r="E38" s="863" t="s">
        <v>376</v>
      </c>
      <c r="F38" s="864" t="s">
        <v>302</v>
      </c>
      <c r="G38" s="797">
        <v>8314200</v>
      </c>
      <c r="H38" s="798">
        <v>328000</v>
      </c>
      <c r="I38" s="798">
        <v>125150</v>
      </c>
      <c r="J38" s="233">
        <f t="shared" ref="J38" si="11">SUM(G38:I38)</f>
        <v>8767350</v>
      </c>
      <c r="K38" s="237">
        <f t="shared" si="10"/>
        <v>9030370.5</v>
      </c>
      <c r="L38" s="1121"/>
      <c r="M38" s="32"/>
      <c r="N38" s="36"/>
      <c r="O38" s="36"/>
      <c r="P38" s="23"/>
      <c r="Q38" s="23"/>
      <c r="R38" s="23"/>
      <c r="S38" s="37"/>
      <c r="T38" s="37"/>
      <c r="U38" s="38"/>
      <c r="V38" s="38"/>
      <c r="W38" s="39"/>
      <c r="X38" s="39"/>
    </row>
    <row r="39" spans="2:24" ht="13.5" thickBot="1" x14ac:dyDescent="0.25">
      <c r="B39" s="1119"/>
      <c r="C39" s="227"/>
      <c r="D39" s="227"/>
      <c r="E39" s="227"/>
      <c r="F39" s="230"/>
      <c r="G39" s="234">
        <v>0</v>
      </c>
      <c r="H39" s="228">
        <v>0</v>
      </c>
      <c r="I39" s="228">
        <v>0</v>
      </c>
      <c r="J39" s="235">
        <f t="shared" si="8"/>
        <v>0</v>
      </c>
      <c r="K39" s="238">
        <f t="shared" si="9"/>
        <v>0</v>
      </c>
      <c r="L39" s="1122"/>
      <c r="M39" s="32"/>
      <c r="N39" s="36"/>
      <c r="O39" s="36"/>
      <c r="P39" s="23"/>
      <c r="Q39" s="23"/>
      <c r="R39" s="23"/>
      <c r="S39" s="37"/>
      <c r="T39" s="37"/>
      <c r="U39" s="38"/>
      <c r="V39" s="38"/>
      <c r="W39" s="39"/>
      <c r="X39" s="39"/>
    </row>
    <row r="40" spans="2:24" x14ac:dyDescent="0.2">
      <c r="B40" s="1117" t="str">
        <f>+'A) Resumen Ingresos y Egresos'!A12</f>
        <v>Sala Cuna Burbujitas de Mar Nocturna</v>
      </c>
      <c r="C40" s="780" t="s">
        <v>407</v>
      </c>
      <c r="D40" s="780" t="s">
        <v>390</v>
      </c>
      <c r="E40" s="780" t="s">
        <v>376</v>
      </c>
      <c r="F40" s="793" t="s">
        <v>302</v>
      </c>
      <c r="G40" s="794">
        <v>7236684</v>
      </c>
      <c r="H40" s="795">
        <v>328000</v>
      </c>
      <c r="I40" s="795">
        <v>125150</v>
      </c>
      <c r="J40" s="231">
        <f t="shared" ref="J40:J54" si="12">SUM(G40:I40)</f>
        <v>7689834</v>
      </c>
      <c r="K40" s="236">
        <f t="shared" ref="K40:K54" si="13">+J40*(1+$L$7)</f>
        <v>7920529.0200000005</v>
      </c>
      <c r="L40" s="1120">
        <f>SUM(K40:K54)</f>
        <v>50286198.560000002</v>
      </c>
      <c r="M40" s="32"/>
      <c r="N40" s="36"/>
      <c r="O40" s="36"/>
      <c r="P40" s="23"/>
      <c r="Q40" s="23"/>
      <c r="R40" s="23"/>
      <c r="S40" s="37"/>
      <c r="T40" s="37"/>
      <c r="U40" s="38"/>
      <c r="V40" s="38"/>
      <c r="W40" s="39"/>
      <c r="X40" s="39"/>
    </row>
    <row r="41" spans="2:24" ht="12.75" customHeight="1" x14ac:dyDescent="0.2">
      <c r="B41" s="1118"/>
      <c r="C41" s="796" t="s">
        <v>414</v>
      </c>
      <c r="D41" s="796" t="s">
        <v>391</v>
      </c>
      <c r="E41" s="796" t="s">
        <v>376</v>
      </c>
      <c r="F41" s="375" t="s">
        <v>302</v>
      </c>
      <c r="G41" s="797">
        <v>7236684</v>
      </c>
      <c r="H41" s="798">
        <v>328000</v>
      </c>
      <c r="I41" s="798">
        <v>125150</v>
      </c>
      <c r="J41" s="233">
        <f t="shared" si="12"/>
        <v>7689834</v>
      </c>
      <c r="K41" s="237">
        <f t="shared" si="13"/>
        <v>7920529.0200000005</v>
      </c>
      <c r="L41" s="1121"/>
      <c r="M41" s="32"/>
      <c r="N41" s="36"/>
      <c r="O41" s="36"/>
      <c r="P41" s="36"/>
      <c r="Q41" s="36"/>
      <c r="R41" s="36"/>
      <c r="S41" s="37"/>
      <c r="T41" s="37"/>
      <c r="U41" s="38"/>
      <c r="V41" s="38"/>
      <c r="W41" s="39"/>
      <c r="X41" s="39"/>
    </row>
    <row r="42" spans="2:24" ht="12.75" customHeight="1" x14ac:dyDescent="0.2">
      <c r="B42" s="1118"/>
      <c r="C42" s="796" t="s">
        <v>404</v>
      </c>
      <c r="D42" s="796" t="s">
        <v>405</v>
      </c>
      <c r="E42" s="796" t="s">
        <v>376</v>
      </c>
      <c r="F42" s="375" t="s">
        <v>302</v>
      </c>
      <c r="G42" s="797">
        <v>7236684</v>
      </c>
      <c r="H42" s="798">
        <v>328000</v>
      </c>
      <c r="I42" s="798">
        <v>125150</v>
      </c>
      <c r="J42" s="233">
        <f t="shared" si="12"/>
        <v>7689834</v>
      </c>
      <c r="K42" s="237">
        <f t="shared" si="13"/>
        <v>7920529.0200000005</v>
      </c>
      <c r="L42" s="1121"/>
      <c r="M42" s="32"/>
      <c r="N42" s="36"/>
      <c r="O42" s="36"/>
      <c r="P42" s="61"/>
      <c r="Q42" s="61"/>
      <c r="R42" s="61"/>
      <c r="T42" s="123"/>
      <c r="U42" s="123"/>
      <c r="V42" s="123"/>
      <c r="W42" s="123"/>
    </row>
    <row r="43" spans="2:24" ht="12.75" customHeight="1" x14ac:dyDescent="0.2">
      <c r="B43" s="1118"/>
      <c r="C43" s="796" t="s">
        <v>416</v>
      </c>
      <c r="D43" s="796" t="s">
        <v>392</v>
      </c>
      <c r="E43" s="796" t="s">
        <v>376</v>
      </c>
      <c r="F43" s="375" t="s">
        <v>302</v>
      </c>
      <c r="G43" s="797">
        <v>6159984</v>
      </c>
      <c r="H43" s="798">
        <v>328000</v>
      </c>
      <c r="I43" s="798">
        <v>125150</v>
      </c>
      <c r="J43" s="233">
        <f t="shared" si="12"/>
        <v>6613134</v>
      </c>
      <c r="K43" s="237">
        <f t="shared" si="13"/>
        <v>6811528.0200000005</v>
      </c>
      <c r="L43" s="1121"/>
      <c r="M43" s="32"/>
      <c r="N43" s="36"/>
      <c r="O43" s="36"/>
      <c r="P43" s="23"/>
      <c r="Q43" s="23"/>
      <c r="R43" s="23"/>
      <c r="S43" s="37"/>
      <c r="T43" s="37"/>
      <c r="U43" s="38"/>
      <c r="V43" s="38"/>
      <c r="W43" s="39"/>
      <c r="X43" s="39"/>
    </row>
    <row r="44" spans="2:24" ht="12.75" customHeight="1" x14ac:dyDescent="0.2">
      <c r="B44" s="1118"/>
      <c r="C44" s="796" t="s">
        <v>415</v>
      </c>
      <c r="D44" s="796" t="s">
        <v>393</v>
      </c>
      <c r="E44" s="796" t="s">
        <v>368</v>
      </c>
      <c r="F44" s="375" t="s">
        <v>302</v>
      </c>
      <c r="G44" s="797">
        <v>5089476</v>
      </c>
      <c r="H44" s="798">
        <v>328000</v>
      </c>
      <c r="I44" s="798">
        <v>124504</v>
      </c>
      <c r="J44" s="233">
        <f t="shared" si="12"/>
        <v>5541980</v>
      </c>
      <c r="K44" s="237">
        <f t="shared" si="13"/>
        <v>5708239.4000000004</v>
      </c>
      <c r="L44" s="1121"/>
      <c r="M44" s="32"/>
      <c r="N44" s="36"/>
      <c r="O44" s="36"/>
      <c r="P44" s="23"/>
      <c r="Q44" s="23"/>
      <c r="R44" s="23"/>
      <c r="S44" s="37"/>
      <c r="T44" s="37"/>
      <c r="U44" s="38"/>
      <c r="V44" s="38"/>
      <c r="W44" s="39"/>
      <c r="X44" s="39"/>
    </row>
    <row r="45" spans="2:24" ht="12.75" customHeight="1" x14ac:dyDescent="0.2">
      <c r="B45" s="1118"/>
      <c r="C45" s="796" t="s">
        <v>394</v>
      </c>
      <c r="D45" s="796" t="s">
        <v>395</v>
      </c>
      <c r="E45" s="796" t="s">
        <v>368</v>
      </c>
      <c r="F45" s="375" t="s">
        <v>302</v>
      </c>
      <c r="G45" s="797">
        <v>4079808</v>
      </c>
      <c r="H45" s="798">
        <v>328000</v>
      </c>
      <c r="I45" s="798">
        <v>124504</v>
      </c>
      <c r="J45" s="233">
        <f t="shared" si="12"/>
        <v>4532312</v>
      </c>
      <c r="K45" s="237">
        <f t="shared" si="13"/>
        <v>4668281.3600000003</v>
      </c>
      <c r="L45" s="1121"/>
      <c r="M45" s="32"/>
      <c r="N45" s="36"/>
      <c r="O45" s="36"/>
      <c r="P45" s="23"/>
      <c r="Q45" s="23"/>
      <c r="R45" s="23"/>
      <c r="S45" s="37"/>
      <c r="T45" s="37"/>
      <c r="U45" s="38"/>
      <c r="V45" s="38"/>
      <c r="W45" s="39"/>
      <c r="X45" s="39"/>
    </row>
    <row r="46" spans="2:24" ht="12.75" customHeight="1" x14ac:dyDescent="0.2">
      <c r="B46" s="1118"/>
      <c r="C46" s="796" t="s">
        <v>400</v>
      </c>
      <c r="D46" s="796" t="s">
        <v>401</v>
      </c>
      <c r="E46" s="796" t="s">
        <v>368</v>
      </c>
      <c r="F46" s="375" t="s">
        <v>302</v>
      </c>
      <c r="G46" s="797">
        <v>4079808</v>
      </c>
      <c r="H46" s="802">
        <v>328000</v>
      </c>
      <c r="I46" s="802">
        <v>124504</v>
      </c>
      <c r="J46" s="233">
        <f>SUM(G46:I46)</f>
        <v>4532312</v>
      </c>
      <c r="K46" s="237">
        <f>+J46*(1+$L$7)</f>
        <v>4668281.3600000003</v>
      </c>
      <c r="L46" s="1121"/>
      <c r="M46" s="32"/>
      <c r="N46" s="36"/>
      <c r="O46" s="36"/>
      <c r="P46" s="23"/>
      <c r="Q46" s="23"/>
      <c r="R46" s="23"/>
      <c r="S46" s="37"/>
      <c r="T46" s="37"/>
      <c r="U46" s="38"/>
      <c r="V46" s="38"/>
      <c r="W46" s="39"/>
      <c r="X46" s="39"/>
    </row>
    <row r="47" spans="2:24" ht="12.75" customHeight="1" x14ac:dyDescent="0.2">
      <c r="B47" s="1118"/>
      <c r="C47" s="796" t="s">
        <v>396</v>
      </c>
      <c r="D47" s="796" t="s">
        <v>396</v>
      </c>
      <c r="E47" s="796" t="s">
        <v>368</v>
      </c>
      <c r="F47" s="375" t="s">
        <v>302</v>
      </c>
      <c r="G47" s="797">
        <v>4079808</v>
      </c>
      <c r="H47" s="798">
        <v>328000</v>
      </c>
      <c r="I47" s="798">
        <v>124504</v>
      </c>
      <c r="J47" s="233">
        <f>SUM(G47:I47)</f>
        <v>4532312</v>
      </c>
      <c r="K47" s="237">
        <f>+J47*(1+$L$7)</f>
        <v>4668281.3600000003</v>
      </c>
      <c r="L47" s="1121"/>
      <c r="M47" s="32"/>
      <c r="N47" s="36"/>
      <c r="O47" s="36"/>
      <c r="P47" s="23"/>
      <c r="Q47" s="23"/>
      <c r="R47" s="23"/>
      <c r="S47" s="37"/>
      <c r="T47" s="37"/>
      <c r="U47" s="38"/>
      <c r="V47" s="38"/>
      <c r="W47" s="39"/>
      <c r="X47" s="39"/>
    </row>
    <row r="48" spans="2:24" x14ac:dyDescent="0.2">
      <c r="B48" s="1118"/>
      <c r="C48" s="796"/>
      <c r="D48" s="796"/>
      <c r="E48" s="796"/>
      <c r="F48" s="375"/>
      <c r="G48" s="797">
        <v>0</v>
      </c>
      <c r="H48" s="798">
        <v>0</v>
      </c>
      <c r="I48" s="798">
        <v>0</v>
      </c>
      <c r="J48" s="233">
        <f t="shared" si="12"/>
        <v>0</v>
      </c>
      <c r="K48" s="237">
        <f t="shared" si="13"/>
        <v>0</v>
      </c>
      <c r="L48" s="1121"/>
      <c r="M48" s="32"/>
      <c r="N48" s="36"/>
      <c r="O48" s="36"/>
      <c r="P48" s="23"/>
      <c r="Q48" s="23"/>
      <c r="R48" s="23"/>
      <c r="S48" s="37"/>
      <c r="T48" s="37"/>
      <c r="U48" s="38"/>
      <c r="V48" s="38"/>
      <c r="W48" s="39"/>
      <c r="X48" s="39"/>
    </row>
    <row r="49" spans="2:24" ht="12.75" customHeight="1" x14ac:dyDescent="0.2">
      <c r="B49" s="1118"/>
      <c r="C49" s="224"/>
      <c r="D49" s="224"/>
      <c r="E49" s="224"/>
      <c r="F49" s="229"/>
      <c r="G49" s="797"/>
      <c r="H49" s="181">
        <v>0</v>
      </c>
      <c r="I49" s="181">
        <v>0</v>
      </c>
      <c r="J49" s="233">
        <f t="shared" si="12"/>
        <v>0</v>
      </c>
      <c r="K49" s="237">
        <f t="shared" si="13"/>
        <v>0</v>
      </c>
      <c r="L49" s="1121"/>
      <c r="M49" s="32"/>
      <c r="N49" s="36"/>
      <c r="O49" s="36"/>
      <c r="P49" s="23"/>
      <c r="Q49" s="23"/>
      <c r="R49" s="23"/>
      <c r="S49" s="37"/>
      <c r="T49" s="37"/>
      <c r="U49" s="38"/>
      <c r="V49" s="38"/>
      <c r="W49" s="39"/>
      <c r="X49" s="39"/>
    </row>
    <row r="50" spans="2:24" ht="12.75" customHeight="1" x14ac:dyDescent="0.2">
      <c r="B50" s="1118"/>
      <c r="C50" s="224"/>
      <c r="D50" s="224"/>
      <c r="E50" s="224"/>
      <c r="F50" s="229"/>
      <c r="G50" s="232">
        <v>0</v>
      </c>
      <c r="H50" s="181">
        <v>0</v>
      </c>
      <c r="I50" s="181">
        <v>0</v>
      </c>
      <c r="J50" s="233">
        <f t="shared" si="12"/>
        <v>0</v>
      </c>
      <c r="K50" s="237">
        <f t="shared" si="13"/>
        <v>0</v>
      </c>
      <c r="L50" s="1121"/>
      <c r="M50" s="32"/>
      <c r="N50" s="36"/>
      <c r="O50" s="36"/>
      <c r="P50" s="23"/>
      <c r="Q50" s="23"/>
      <c r="R50" s="23"/>
      <c r="S50" s="37"/>
      <c r="T50" s="37"/>
      <c r="U50" s="38"/>
      <c r="V50" s="38"/>
      <c r="W50" s="39"/>
      <c r="X50" s="39"/>
    </row>
    <row r="51" spans="2:24" ht="13.5" customHeight="1" x14ac:dyDescent="0.2">
      <c r="B51" s="1118"/>
      <c r="C51" s="224"/>
      <c r="D51" s="224"/>
      <c r="E51" s="224"/>
      <c r="F51" s="229"/>
      <c r="G51" s="232">
        <v>0</v>
      </c>
      <c r="H51" s="181">
        <v>0</v>
      </c>
      <c r="I51" s="181">
        <v>0</v>
      </c>
      <c r="J51" s="233">
        <f t="shared" si="12"/>
        <v>0</v>
      </c>
      <c r="K51" s="237">
        <f t="shared" si="13"/>
        <v>0</v>
      </c>
      <c r="L51" s="1121"/>
      <c r="M51" s="32"/>
      <c r="N51" s="36"/>
      <c r="O51" s="36"/>
      <c r="P51" s="23"/>
      <c r="Q51" s="23"/>
      <c r="R51" s="23"/>
      <c r="S51" s="37"/>
      <c r="T51" s="37"/>
      <c r="U51" s="38"/>
      <c r="V51" s="38"/>
      <c r="W51" s="39"/>
      <c r="X51" s="39"/>
    </row>
    <row r="52" spans="2:24" ht="12.75" customHeight="1" x14ac:dyDescent="0.2">
      <c r="B52" s="1118"/>
      <c r="C52" s="224"/>
      <c r="D52" s="224"/>
      <c r="E52" s="224"/>
      <c r="F52" s="229"/>
      <c r="G52" s="232">
        <v>0</v>
      </c>
      <c r="H52" s="181">
        <v>0</v>
      </c>
      <c r="I52" s="181">
        <v>0</v>
      </c>
      <c r="J52" s="233">
        <f t="shared" si="12"/>
        <v>0</v>
      </c>
      <c r="K52" s="237">
        <f t="shared" si="13"/>
        <v>0</v>
      </c>
      <c r="L52" s="1121"/>
      <c r="M52" s="32"/>
      <c r="N52" s="36"/>
      <c r="O52" s="36"/>
      <c r="P52" s="23"/>
      <c r="Q52" s="23"/>
      <c r="R52" s="23"/>
      <c r="S52" s="37"/>
      <c r="T52" s="37"/>
      <c r="U52" s="38"/>
      <c r="V52" s="38"/>
      <c r="W52" s="39"/>
      <c r="X52" s="39"/>
    </row>
    <row r="53" spans="2:24" ht="13.5" customHeight="1" x14ac:dyDescent="0.2">
      <c r="B53" s="1118"/>
      <c r="C53" s="224"/>
      <c r="D53" s="224"/>
      <c r="E53" s="224"/>
      <c r="F53" s="229"/>
      <c r="G53" s="232">
        <v>0</v>
      </c>
      <c r="H53" s="181">
        <v>0</v>
      </c>
      <c r="I53" s="181">
        <v>0</v>
      </c>
      <c r="J53" s="233">
        <f t="shared" si="12"/>
        <v>0</v>
      </c>
      <c r="K53" s="237">
        <f t="shared" si="13"/>
        <v>0</v>
      </c>
      <c r="L53" s="1121"/>
      <c r="M53" s="32"/>
      <c r="N53" s="36"/>
      <c r="O53" s="36"/>
      <c r="P53" s="23"/>
      <c r="Q53" s="23"/>
      <c r="R53" s="23"/>
      <c r="S53" s="37"/>
      <c r="T53" s="37"/>
      <c r="U53" s="38"/>
      <c r="V53" s="38"/>
      <c r="W53" s="39"/>
      <c r="X53" s="39"/>
    </row>
    <row r="54" spans="2:24" ht="13.5" customHeight="1" thickBot="1" x14ac:dyDescent="0.25">
      <c r="B54" s="1119"/>
      <c r="C54" s="227"/>
      <c r="D54" s="227"/>
      <c r="E54" s="227"/>
      <c r="F54" s="230"/>
      <c r="G54" s="234">
        <v>0</v>
      </c>
      <c r="H54" s="228">
        <v>0</v>
      </c>
      <c r="I54" s="228">
        <v>0</v>
      </c>
      <c r="J54" s="235">
        <f t="shared" si="12"/>
        <v>0</v>
      </c>
      <c r="K54" s="238">
        <f t="shared" si="13"/>
        <v>0</v>
      </c>
      <c r="L54" s="1122"/>
      <c r="M54" s="32"/>
      <c r="N54" s="36"/>
      <c r="O54" s="36"/>
      <c r="P54" s="23"/>
      <c r="Q54" s="23"/>
      <c r="R54" s="23"/>
      <c r="S54" s="37"/>
      <c r="T54" s="37"/>
      <c r="U54" s="38"/>
      <c r="V54" s="38"/>
      <c r="W54" s="39"/>
      <c r="X54" s="39"/>
    </row>
    <row r="55" spans="2:24" ht="16.5" thickBot="1" x14ac:dyDescent="0.25">
      <c r="B55" s="29"/>
      <c r="C55" s="45"/>
      <c r="D55" s="45"/>
      <c r="E55" s="46"/>
      <c r="F55" s="46"/>
      <c r="G55" s="46"/>
      <c r="H55" s="46"/>
      <c r="I55" s="46"/>
      <c r="J55" s="40"/>
      <c r="K55" s="624" t="s">
        <v>94</v>
      </c>
      <c r="L55" s="239">
        <f>SUM(L11:L54)</f>
        <v>171803198.66000003</v>
      </c>
      <c r="M55" s="30"/>
      <c r="N55" s="30"/>
      <c r="O55" s="30"/>
      <c r="P55" s="36"/>
      <c r="Q55" s="36"/>
      <c r="R55" s="36"/>
      <c r="S55" s="37"/>
      <c r="T55" s="37"/>
      <c r="U55" s="38"/>
      <c r="V55" s="38"/>
      <c r="W55" s="39"/>
      <c r="X55" s="39"/>
    </row>
    <row r="56" spans="2:24" x14ac:dyDescent="0.2">
      <c r="B56" s="29"/>
      <c r="C56" s="45"/>
      <c r="D56" s="45"/>
      <c r="E56" s="46"/>
      <c r="F56" s="46"/>
      <c r="G56" s="46"/>
      <c r="H56" s="46"/>
      <c r="I56" s="46"/>
      <c r="J56" s="40"/>
      <c r="K56" s="40"/>
      <c r="L56" s="40"/>
      <c r="M56" s="30"/>
      <c r="N56" s="30"/>
      <c r="O56" s="30"/>
      <c r="P56" s="36"/>
      <c r="Q56" s="36"/>
      <c r="R56" s="36"/>
      <c r="S56" s="37"/>
      <c r="T56" s="37"/>
      <c r="U56" s="38"/>
      <c r="V56" s="38"/>
      <c r="W56" s="39"/>
      <c r="X56" s="39"/>
    </row>
    <row r="57" spans="2:24" x14ac:dyDescent="0.2">
      <c r="B57" s="29"/>
      <c r="C57" s="29"/>
      <c r="D57" s="29"/>
      <c r="E57" s="29"/>
      <c r="F57" s="29"/>
      <c r="G57" s="29"/>
      <c r="H57" s="29"/>
      <c r="I57" s="29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8"/>
      <c r="V57" s="38"/>
      <c r="W57" s="39"/>
      <c r="X57" s="39"/>
    </row>
    <row r="58" spans="2:24" x14ac:dyDescent="0.2">
      <c r="B58" s="29"/>
      <c r="C58" s="29"/>
      <c r="D58" s="29"/>
      <c r="E58" s="29"/>
      <c r="F58" s="29"/>
      <c r="G58" s="29"/>
      <c r="H58" s="29"/>
      <c r="I58" s="29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8"/>
      <c r="V58" s="38"/>
      <c r="W58" s="39"/>
      <c r="X58" s="39"/>
    </row>
    <row r="59" spans="2:24" x14ac:dyDescent="0.2">
      <c r="B59" s="29"/>
      <c r="C59" s="29"/>
      <c r="D59" s="29"/>
      <c r="E59" s="29"/>
      <c r="F59" s="29"/>
      <c r="G59" s="29"/>
      <c r="H59" s="29"/>
      <c r="I59" s="29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8"/>
      <c r="V59" s="38"/>
      <c r="W59" s="39"/>
      <c r="X59" s="39"/>
    </row>
    <row r="60" spans="2:24" x14ac:dyDescent="0.2">
      <c r="B60" s="29"/>
      <c r="C60" s="29"/>
      <c r="D60" s="29"/>
      <c r="E60" s="29"/>
      <c r="F60" s="29"/>
      <c r="G60" s="29"/>
      <c r="H60" s="29"/>
      <c r="I60" s="29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8"/>
      <c r="V60" s="38"/>
      <c r="W60" s="39"/>
      <c r="X60" s="39"/>
    </row>
    <row r="61" spans="2:24" x14ac:dyDescent="0.2">
      <c r="B61" s="29"/>
      <c r="C61" s="29"/>
      <c r="D61" s="29"/>
      <c r="E61" s="29"/>
      <c r="F61" s="29"/>
      <c r="G61" s="29"/>
      <c r="H61" s="29"/>
      <c r="I61" s="29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8"/>
      <c r="W61" s="39"/>
      <c r="X61" s="39"/>
    </row>
    <row r="62" spans="2:24" x14ac:dyDescent="0.2">
      <c r="B62" s="29"/>
      <c r="C62" s="29"/>
      <c r="D62" s="29"/>
      <c r="E62" s="29"/>
      <c r="F62" s="29"/>
      <c r="G62" s="29"/>
      <c r="H62" s="29"/>
      <c r="I62" s="29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8"/>
      <c r="W62" s="39"/>
      <c r="X62" s="39"/>
    </row>
  </sheetData>
  <mergeCells count="27">
    <mergeCell ref="B19:B26"/>
    <mergeCell ref="L19:L26"/>
    <mergeCell ref="G27:J27"/>
    <mergeCell ref="K27:K28"/>
    <mergeCell ref="L27:L28"/>
    <mergeCell ref="B27:B28"/>
    <mergeCell ref="C27:C28"/>
    <mergeCell ref="D27:D28"/>
    <mergeCell ref="E27:E28"/>
    <mergeCell ref="F27:F28"/>
    <mergeCell ref="G9:J9"/>
    <mergeCell ref="K9:K10"/>
    <mergeCell ref="L9:L10"/>
    <mergeCell ref="T10:W10"/>
    <mergeCell ref="B11:B18"/>
    <mergeCell ref="L11:L18"/>
    <mergeCell ref="F9:F10"/>
    <mergeCell ref="B7:E7"/>
    <mergeCell ref="B9:B10"/>
    <mergeCell ref="C9:C10"/>
    <mergeCell ref="D9:D10"/>
    <mergeCell ref="E9:E10"/>
    <mergeCell ref="B40:B54"/>
    <mergeCell ref="L40:L54"/>
    <mergeCell ref="T28:W28"/>
    <mergeCell ref="B29:B39"/>
    <mergeCell ref="L29:L39"/>
  </mergeCells>
  <pageMargins left="0.31496062992125984" right="0.70866141732283472" top="0.74803149606299213" bottom="0.74803149606299213" header="0.31496062992125984" footer="0.31496062992125984"/>
  <pageSetup paperSize="5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5"/>
  <sheetViews>
    <sheetView showGridLines="0" topLeftCell="D1" zoomScale="80" zoomScaleNormal="80" workbookViewId="0">
      <selection activeCell="M31" sqref="M31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211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203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1" t="s">
        <v>0</v>
      </c>
      <c r="D4" s="1165" t="str">
        <f>+'B) Reajuste Tarifas y Ocupación'!F5</f>
        <v>(DEPTO./DELEG.)</v>
      </c>
      <c r="E4" s="916"/>
      <c r="F4" s="1166"/>
      <c r="G4" s="262"/>
      <c r="H4" s="262"/>
      <c r="I4" s="262"/>
      <c r="J4" s="262"/>
      <c r="K4" s="262"/>
      <c r="L4" s="262"/>
      <c r="N4" s="262"/>
      <c r="P4" s="262"/>
    </row>
    <row r="5" spans="1:19" x14ac:dyDescent="0.2">
      <c r="A5" s="9"/>
      <c r="B5" s="2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P5" s="262"/>
    </row>
    <row r="6" spans="1:19" x14ac:dyDescent="0.2">
      <c r="A6" s="9"/>
      <c r="B6" s="2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P6" s="262"/>
    </row>
    <row r="7" spans="1:19" ht="12.75" customHeight="1" x14ac:dyDescent="0.2">
      <c r="A7" s="1169" t="s">
        <v>129</v>
      </c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1"/>
      <c r="P7" s="68"/>
    </row>
    <row r="8" spans="1:19" x14ac:dyDescent="0.2">
      <c r="A8" s="1172"/>
      <c r="B8" s="1173"/>
      <c r="C8" s="1173"/>
      <c r="D8" s="1173"/>
      <c r="E8" s="1173"/>
      <c r="F8" s="1173"/>
      <c r="G8" s="1173"/>
      <c r="H8" s="1173"/>
      <c r="I8" s="1173"/>
      <c r="J8" s="1173"/>
      <c r="K8" s="1173"/>
      <c r="L8" s="1173"/>
      <c r="M8" s="1173"/>
      <c r="N8" s="1173"/>
      <c r="O8" s="1174"/>
      <c r="P8" s="68"/>
    </row>
    <row r="9" spans="1:19" x14ac:dyDescent="0.2">
      <c r="A9" s="1175"/>
      <c r="B9" s="1176"/>
      <c r="C9" s="1176"/>
      <c r="D9" s="1176"/>
      <c r="E9" s="1176"/>
      <c r="F9" s="1176"/>
      <c r="G9" s="1176"/>
      <c r="H9" s="1176"/>
      <c r="I9" s="1176"/>
      <c r="J9" s="1176"/>
      <c r="K9" s="1176"/>
      <c r="L9" s="1176"/>
      <c r="M9" s="1176"/>
      <c r="N9" s="1176"/>
      <c r="O9" s="1177"/>
      <c r="P9" s="68"/>
    </row>
    <row r="10" spans="1:19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1112" t="s">
        <v>164</v>
      </c>
      <c r="B12" s="1112"/>
      <c r="C12" s="1112"/>
      <c r="D12" s="1112"/>
      <c r="E12" s="263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P13" s="262"/>
    </row>
    <row r="14" spans="1:19" ht="20.25" customHeight="1" x14ac:dyDescent="0.2">
      <c r="A14" s="1149" t="s">
        <v>135</v>
      </c>
      <c r="B14" s="1151" t="s">
        <v>5</v>
      </c>
      <c r="C14" s="1155" t="s">
        <v>219</v>
      </c>
      <c r="D14" s="1156"/>
      <c r="E14" s="1156"/>
      <c r="F14" s="1156"/>
      <c r="G14" s="1157"/>
      <c r="H14" s="1158" t="s">
        <v>145</v>
      </c>
      <c r="I14" s="1159"/>
      <c r="J14" s="1159"/>
      <c r="K14" s="1159"/>
      <c r="L14" s="1160"/>
      <c r="M14" s="1153" t="s">
        <v>110</v>
      </c>
      <c r="N14" s="1154"/>
      <c r="O14" s="1167" t="s">
        <v>111</v>
      </c>
      <c r="P14" s="1168"/>
      <c r="Q14" s="1163" t="s">
        <v>130</v>
      </c>
    </row>
    <row r="15" spans="1:19" ht="51.75" thickBot="1" x14ac:dyDescent="0.25">
      <c r="A15" s="1150"/>
      <c r="B15" s="1152"/>
      <c r="C15" s="298" t="s">
        <v>86</v>
      </c>
      <c r="D15" s="299" t="s">
        <v>137</v>
      </c>
      <c r="E15" s="299" t="s">
        <v>138</v>
      </c>
      <c r="F15" s="299" t="s">
        <v>87</v>
      </c>
      <c r="G15" s="300" t="s">
        <v>88</v>
      </c>
      <c r="H15" s="167" t="s">
        <v>86</v>
      </c>
      <c r="I15" s="328" t="s">
        <v>137</v>
      </c>
      <c r="J15" s="328" t="s">
        <v>138</v>
      </c>
      <c r="K15" s="328" t="s">
        <v>87</v>
      </c>
      <c r="L15" s="329" t="s">
        <v>88</v>
      </c>
      <c r="M15" s="330" t="s">
        <v>72</v>
      </c>
      <c r="N15" s="246" t="s">
        <v>85</v>
      </c>
      <c r="O15" s="331" t="s">
        <v>72</v>
      </c>
      <c r="P15" s="246" t="s">
        <v>85</v>
      </c>
      <c r="Q15" s="1164"/>
    </row>
    <row r="16" spans="1:19" ht="12.75" customHeight="1" x14ac:dyDescent="0.2">
      <c r="A16" s="1147" t="str">
        <f>'B) Reajuste Tarifas y Ocupación'!A12</f>
        <v>Jardín Infantil Tortuguita Marina</v>
      </c>
      <c r="B16" s="332" t="str">
        <f>+'B) Reajuste Tarifas y Ocupación'!B12</f>
        <v>Media jornada</v>
      </c>
      <c r="C16" s="161">
        <f>+'B) Reajuste Tarifas y Ocupación'!M12</f>
        <v>57900</v>
      </c>
      <c r="D16" s="333">
        <f>+'B) Reajuste Tarifas y Ocupación'!N12</f>
        <v>69500</v>
      </c>
      <c r="E16" s="333">
        <f>+'B) Reajuste Tarifas y Ocupación'!O12</f>
        <v>69500</v>
      </c>
      <c r="F16" s="333">
        <f>+'B) Reajuste Tarifas y Ocupación'!P12</f>
        <v>79100</v>
      </c>
      <c r="G16" s="334">
        <f>+'B) Reajuste Tarifas y Ocupación'!Q12</f>
        <v>100700</v>
      </c>
      <c r="H16" s="168">
        <f>IFERROR(C16/$Q16,0)</f>
        <v>0.379672131147541</v>
      </c>
      <c r="I16" s="335">
        <f>IFERROR(D16/$Q16,0)</f>
        <v>0.45573770491803278</v>
      </c>
      <c r="J16" s="335">
        <f>IFERROR(E16/$Q16,0)</f>
        <v>0.45573770491803278</v>
      </c>
      <c r="K16" s="335">
        <f>IFERROR(F16/$Q16,0)</f>
        <v>0.5186885245901639</v>
      </c>
      <c r="L16" s="336">
        <f t="shared" ref="L16" si="0">IFERROR(G16/$Q16,0)</f>
        <v>0.66032786885245898</v>
      </c>
      <c r="M16" s="868" t="s">
        <v>452</v>
      </c>
      <c r="N16" s="869">
        <v>160000</v>
      </c>
      <c r="O16" s="868" t="s">
        <v>453</v>
      </c>
      <c r="P16" s="869">
        <v>145000</v>
      </c>
      <c r="Q16" s="164">
        <f>AVERAGE(N16,P16)</f>
        <v>152500</v>
      </c>
      <c r="R16" s="23"/>
      <c r="S16" s="24"/>
    </row>
    <row r="17" spans="1:19" ht="13.5" thickBot="1" x14ac:dyDescent="0.25">
      <c r="A17" s="1148"/>
      <c r="B17" s="165" t="str">
        <f>+'B) Reajuste Tarifas y Ocupación'!B13</f>
        <v xml:space="preserve">Doble Jornada </v>
      </c>
      <c r="C17" s="630">
        <f>+'B) Reajuste Tarifas y Ocupación'!M13</f>
        <v>73700</v>
      </c>
      <c r="D17" s="631">
        <f>+'B) Reajuste Tarifas y Ocupación'!N13</f>
        <v>0</v>
      </c>
      <c r="E17" s="631">
        <f>+'B) Reajuste Tarifas y Ocupación'!O13</f>
        <v>0</v>
      </c>
      <c r="F17" s="631">
        <f>+'B) Reajuste Tarifas y Ocupación'!P13</f>
        <v>0</v>
      </c>
      <c r="G17" s="632">
        <f>+'B) Reajuste Tarifas y Ocupación'!Q13</f>
        <v>0</v>
      </c>
      <c r="H17" s="247">
        <f t="shared" ref="H17" si="1">IFERROR(C17/$Q17,0)</f>
        <v>0.33123595505617975</v>
      </c>
      <c r="I17" s="248">
        <f t="shared" ref="I17" si="2">IFERROR(D17/$Q17,0)</f>
        <v>0</v>
      </c>
      <c r="J17" s="248">
        <f t="shared" ref="J17" si="3">IFERROR(E17/$Q17,0)</f>
        <v>0</v>
      </c>
      <c r="K17" s="248">
        <f t="shared" ref="K17" si="4">IFERROR(F17/$Q17,0)</f>
        <v>0</v>
      </c>
      <c r="L17" s="249">
        <f t="shared" ref="L17:L18" si="5">IFERROR(G17/$Q17,0)</f>
        <v>0</v>
      </c>
      <c r="M17" s="244" t="s">
        <v>452</v>
      </c>
      <c r="N17" s="870">
        <v>215000</v>
      </c>
      <c r="O17" s="244" t="s">
        <v>453</v>
      </c>
      <c r="P17" s="870">
        <v>230000</v>
      </c>
      <c r="Q17" s="270">
        <f>AVERAGE(N17,P17)</f>
        <v>222500</v>
      </c>
      <c r="R17" s="23"/>
      <c r="S17" s="24"/>
    </row>
    <row r="18" spans="1:19" x14ac:dyDescent="0.2">
      <c r="A18" s="1147" t="str">
        <f>'B) Reajuste Tarifas y Ocupación'!A14</f>
        <v>Jardín Infantil Burbujitas de Mar</v>
      </c>
      <c r="B18" s="332" t="str">
        <f>+'B) Reajuste Tarifas y Ocupación'!B14</f>
        <v>Media jornada</v>
      </c>
      <c r="C18" s="161">
        <f>+'B) Reajuste Tarifas y Ocupación'!M14</f>
        <v>81600</v>
      </c>
      <c r="D18" s="333">
        <f>+'B) Reajuste Tarifas y Ocupación'!N14</f>
        <v>98000</v>
      </c>
      <c r="E18" s="333">
        <f>+'B) Reajuste Tarifas y Ocupación'!O14</f>
        <v>98000</v>
      </c>
      <c r="F18" s="333">
        <f>+'B) Reajuste Tarifas y Ocupación'!P14</f>
        <v>102000</v>
      </c>
      <c r="G18" s="633">
        <f>+'B) Reajuste Tarifas y Ocupación'!Q14</f>
        <v>122400</v>
      </c>
      <c r="H18" s="628">
        <f>IFERROR(C18/$Q18,0)</f>
        <v>0.53508196721311474</v>
      </c>
      <c r="I18" s="335">
        <f>IFERROR(D18/$Q18,0)</f>
        <v>0.64262295081967213</v>
      </c>
      <c r="J18" s="335">
        <f>IFERROR(E18/$Q18,0)</f>
        <v>0.64262295081967213</v>
      </c>
      <c r="K18" s="335">
        <f>IFERROR(F18/$Q18,0)</f>
        <v>0.66885245901639345</v>
      </c>
      <c r="L18" s="336">
        <f t="shared" si="5"/>
        <v>0.80262295081967217</v>
      </c>
      <c r="M18" s="868" t="s">
        <v>452</v>
      </c>
      <c r="N18" s="869">
        <v>160000</v>
      </c>
      <c r="O18" s="868" t="s">
        <v>453</v>
      </c>
      <c r="P18" s="869">
        <v>145000</v>
      </c>
      <c r="Q18" s="164">
        <f>AVERAGE(N18,P18)</f>
        <v>152500</v>
      </c>
      <c r="R18" s="23"/>
      <c r="S18" s="24"/>
    </row>
    <row r="19" spans="1:19" ht="13.5" thickBot="1" x14ac:dyDescent="0.25">
      <c r="A19" s="1148"/>
      <c r="B19" s="165" t="str">
        <f>+'B) Reajuste Tarifas y Ocupación'!B15</f>
        <v>Jornada  Completa</v>
      </c>
      <c r="C19" s="605">
        <f>+'B) Reajuste Tarifas y Ocupación'!M15</f>
        <v>129200</v>
      </c>
      <c r="D19" s="580">
        <f>+'B) Reajuste Tarifas y Ocupación'!N15</f>
        <v>155100</v>
      </c>
      <c r="E19" s="580">
        <f>+'B) Reajuste Tarifas y Ocupación'!O15</f>
        <v>155100</v>
      </c>
      <c r="F19" s="580">
        <f>+'B) Reajuste Tarifas y Ocupación'!P15</f>
        <v>161500</v>
      </c>
      <c r="G19" s="607">
        <f>+'B) Reajuste Tarifas y Ocupación'!Q15</f>
        <v>193800</v>
      </c>
      <c r="H19" s="629">
        <f t="shared" ref="H19" si="6">IFERROR(C19/$Q19,0)</f>
        <v>0.5806741573033708</v>
      </c>
      <c r="I19" s="248">
        <f t="shared" ref="I19" si="7">IFERROR(D19/$Q19,0)</f>
        <v>0.69707865168539329</v>
      </c>
      <c r="J19" s="248">
        <f t="shared" ref="J19" si="8">IFERROR(E19/$Q19,0)</f>
        <v>0.69707865168539329</v>
      </c>
      <c r="K19" s="248">
        <f t="shared" ref="K19" si="9">IFERROR(F19/$Q19,0)</f>
        <v>0.72584269662921352</v>
      </c>
      <c r="L19" s="249">
        <f t="shared" ref="L19" si="10">IFERROR(G19/$Q19,0)</f>
        <v>0.87101123595505614</v>
      </c>
      <c r="M19" s="244" t="s">
        <v>452</v>
      </c>
      <c r="N19" s="870">
        <v>215000</v>
      </c>
      <c r="O19" s="244" t="s">
        <v>453</v>
      </c>
      <c r="P19" s="870">
        <v>230000</v>
      </c>
      <c r="Q19" s="270">
        <f>AVERAGE(N19,P19)</f>
        <v>222500</v>
      </c>
      <c r="R19" s="23"/>
      <c r="S19" s="24"/>
    </row>
    <row r="20" spans="1:19" ht="12.75" customHeight="1" thickBot="1" x14ac:dyDescent="0.25">
      <c r="A20" s="10"/>
      <c r="M20" s="10"/>
      <c r="O20" s="10"/>
      <c r="Q20" s="10"/>
    </row>
    <row r="21" spans="1:19" ht="20.25" customHeight="1" x14ac:dyDescent="0.2">
      <c r="A21" s="1149" t="s">
        <v>136</v>
      </c>
      <c r="B21" s="1151" t="s">
        <v>5</v>
      </c>
      <c r="C21" s="1155" t="s">
        <v>139</v>
      </c>
      <c r="D21" s="1156"/>
      <c r="E21" s="1156"/>
      <c r="F21" s="1156"/>
      <c r="G21" s="1157"/>
      <c r="H21" s="1158" t="s">
        <v>145</v>
      </c>
      <c r="I21" s="1159"/>
      <c r="J21" s="1159"/>
      <c r="K21" s="1159"/>
      <c r="L21" s="1160"/>
      <c r="M21" s="1178" t="s">
        <v>110</v>
      </c>
      <c r="N21" s="1179"/>
      <c r="O21" s="1180" t="s">
        <v>111</v>
      </c>
      <c r="P21" s="1179"/>
      <c r="Q21" s="1161" t="s">
        <v>130</v>
      </c>
    </row>
    <row r="22" spans="1:19" ht="51.75" thickBot="1" x14ac:dyDescent="0.25">
      <c r="A22" s="1150"/>
      <c r="B22" s="1152"/>
      <c r="C22" s="298" t="s">
        <v>86</v>
      </c>
      <c r="D22" s="299" t="s">
        <v>137</v>
      </c>
      <c r="E22" s="299" t="s">
        <v>138</v>
      </c>
      <c r="F22" s="299" t="s">
        <v>87</v>
      </c>
      <c r="G22" s="300" t="s">
        <v>88</v>
      </c>
      <c r="H22" s="171" t="s">
        <v>86</v>
      </c>
      <c r="I22" s="339" t="s">
        <v>137</v>
      </c>
      <c r="J22" s="328" t="s">
        <v>138</v>
      </c>
      <c r="K22" s="339" t="s">
        <v>87</v>
      </c>
      <c r="L22" s="340" t="s">
        <v>88</v>
      </c>
      <c r="M22" s="271" t="s">
        <v>72</v>
      </c>
      <c r="N22" s="223" t="s">
        <v>85</v>
      </c>
      <c r="O22" s="272" t="s">
        <v>72</v>
      </c>
      <c r="P22" s="223" t="s">
        <v>85</v>
      </c>
      <c r="Q22" s="1162"/>
    </row>
    <row r="23" spans="1:19" ht="12.75" customHeight="1" x14ac:dyDescent="0.2">
      <c r="A23" s="1146" t="str">
        <f>'B) Reajuste Tarifas y Ocupación'!A19</f>
        <v>Sala Cuna Burbujitas de Mar</v>
      </c>
      <c r="B23" s="341" t="str">
        <f>+'B) Reajuste Tarifas y Ocupación'!B19</f>
        <v>Jornada Completa Diurna</v>
      </c>
      <c r="C23" s="161">
        <f>+'B) Reajuste Tarifas y Ocupación'!M19</f>
        <v>310000</v>
      </c>
      <c r="D23" s="333">
        <f>+'B) Reajuste Tarifas y Ocupación'!N19</f>
        <v>372000</v>
      </c>
      <c r="E23" s="333">
        <f>+'B) Reajuste Tarifas y Ocupación'!O19</f>
        <v>372000</v>
      </c>
      <c r="F23" s="333">
        <f>+'B) Reajuste Tarifas y Ocupación'!P19</f>
        <v>387500</v>
      </c>
      <c r="G23" s="334">
        <f>+'B) Reajuste Tarifas y Ocupación'!Q19</f>
        <v>465000</v>
      </c>
      <c r="H23" s="168">
        <f>IFERROR(C23/$Q23,0)</f>
        <v>0.93233082706766912</v>
      </c>
      <c r="I23" s="342">
        <f t="shared" ref="I23:L23" si="11">IFERROR(D23/$Q23,0)</f>
        <v>1.1187969924812029</v>
      </c>
      <c r="J23" s="342">
        <f t="shared" si="11"/>
        <v>1.1187969924812029</v>
      </c>
      <c r="K23" s="342">
        <f t="shared" si="11"/>
        <v>1.1654135338345866</v>
      </c>
      <c r="L23" s="343">
        <f t="shared" si="11"/>
        <v>1.3984962406015038</v>
      </c>
      <c r="M23" s="871" t="s">
        <v>454</v>
      </c>
      <c r="N23" s="869">
        <v>330000</v>
      </c>
      <c r="O23" s="868" t="s">
        <v>455</v>
      </c>
      <c r="P23" s="869">
        <v>335000</v>
      </c>
      <c r="Q23" s="344">
        <f t="shared" ref="Q23:Q25" si="12">AVERAGE(N23,P23)</f>
        <v>332500</v>
      </c>
    </row>
    <row r="24" spans="1:19" ht="12.75" customHeight="1" x14ac:dyDescent="0.2">
      <c r="A24" s="1147"/>
      <c r="B24" s="332" t="str">
        <f>+'B) Reajuste Tarifas y Ocupación'!B20</f>
        <v>Nocturna</v>
      </c>
      <c r="C24" s="345">
        <f>+'B) Reajuste Tarifas y Ocupación'!M20</f>
        <v>250000</v>
      </c>
      <c r="D24" s="346">
        <f>+'B) Reajuste Tarifas y Ocupación'!N20</f>
        <v>0</v>
      </c>
      <c r="E24" s="346">
        <f>+'B) Reajuste Tarifas y Ocupación'!O20</f>
        <v>0</v>
      </c>
      <c r="F24" s="346">
        <f>+'B) Reajuste Tarifas y Ocupación'!P20</f>
        <v>0</v>
      </c>
      <c r="G24" s="347">
        <f>+'B) Reajuste Tarifas y Ocupación'!Q20</f>
        <v>0</v>
      </c>
      <c r="H24" s="170">
        <f t="shared" ref="H24:H25" si="13">IFERROR(C24/$Q24,0)</f>
        <v>0</v>
      </c>
      <c r="I24" s="169">
        <f t="shared" ref="I24:I25" si="14">IFERROR(D24/$Q24,0)</f>
        <v>0</v>
      </c>
      <c r="J24" s="169">
        <f t="shared" ref="J24:J25" si="15">IFERROR(E24/$Q24,0)</f>
        <v>0</v>
      </c>
      <c r="K24" s="169">
        <f t="shared" ref="K24:K25" si="16">IFERROR(F24/$Q24,0)</f>
        <v>0</v>
      </c>
      <c r="L24" s="245">
        <f t="shared" ref="L24:L25" si="17">IFERROR(G24/$Q24,0)</f>
        <v>0</v>
      </c>
      <c r="M24" s="241"/>
      <c r="N24" s="242">
        <v>0</v>
      </c>
      <c r="O24" s="243"/>
      <c r="P24" s="242">
        <v>0</v>
      </c>
      <c r="Q24" s="348">
        <f t="shared" si="12"/>
        <v>0</v>
      </c>
    </row>
    <row r="25" spans="1:19" ht="12.75" customHeight="1" thickBot="1" x14ac:dyDescent="0.25">
      <c r="A25" s="1148"/>
      <c r="B25" s="165" t="str">
        <f>+'B) Reajuste Tarifas y Ocupación'!B21</f>
        <v>Media Jornada</v>
      </c>
      <c r="C25" s="337">
        <f>+'B) Reajuste Tarifas y Ocupación'!M21</f>
        <v>165400</v>
      </c>
      <c r="D25" s="338">
        <f>+'B) Reajuste Tarifas y Ocupación'!N21</f>
        <v>0</v>
      </c>
      <c r="E25" s="338">
        <f>+'B) Reajuste Tarifas y Ocupación'!O21</f>
        <v>0</v>
      </c>
      <c r="F25" s="338">
        <f>+'B) Reajuste Tarifas y Ocupación'!P21</f>
        <v>0</v>
      </c>
      <c r="G25" s="166">
        <f>+'B) Reajuste Tarifas y Ocupación'!Q21</f>
        <v>0</v>
      </c>
      <c r="H25" s="247">
        <f t="shared" si="13"/>
        <v>0.91888888888888887</v>
      </c>
      <c r="I25" s="248">
        <f t="shared" si="14"/>
        <v>0</v>
      </c>
      <c r="J25" s="248">
        <f t="shared" si="15"/>
        <v>0</v>
      </c>
      <c r="K25" s="248">
        <f t="shared" si="16"/>
        <v>0</v>
      </c>
      <c r="L25" s="240">
        <f t="shared" si="17"/>
        <v>0</v>
      </c>
      <c r="M25" s="872" t="s">
        <v>454</v>
      </c>
      <c r="N25" s="870">
        <v>180000</v>
      </c>
      <c r="O25" s="244" t="s">
        <v>455</v>
      </c>
      <c r="P25" s="870">
        <v>180000</v>
      </c>
      <c r="Q25" s="270">
        <f t="shared" si="12"/>
        <v>180000</v>
      </c>
    </row>
  </sheetData>
  <mergeCells count="20"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  <mergeCell ref="A23:A25"/>
    <mergeCell ref="A21:A22"/>
    <mergeCell ref="A14:A15"/>
    <mergeCell ref="B14:B15"/>
    <mergeCell ref="M14:N14"/>
    <mergeCell ref="C14:G14"/>
    <mergeCell ref="H14:L14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2020-10-09T17:57:04Z</cp:lastPrinted>
  <dcterms:created xsi:type="dcterms:W3CDTF">2017-05-11T00:45:10Z</dcterms:created>
  <dcterms:modified xsi:type="dcterms:W3CDTF">2020-12-15T20:04:09Z</dcterms:modified>
</cp:coreProperties>
</file>