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Documentos\2020\TARIFAS 2021\SIMULACION TARIFAS SC\"/>
    </mc:Choice>
  </mc:AlternateContent>
  <xr:revisionPtr revIDLastSave="0" documentId="13_ncr:1_{EDCF8325-364E-4BB2-B5CA-74B3D0A9D9C8}" xr6:coauthVersionLast="45" xr6:coauthVersionMax="45" xr10:uidLastSave="{00000000-0000-0000-0000-000000000000}"/>
  <bookViews>
    <workbookView xWindow="135" yWindow="7605" windowWidth="28830" windowHeight="7800" tabRatio="929" firstSheet="1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3" l="1"/>
  <c r="C33" i="9" l="1"/>
  <c r="C22" i="9"/>
  <c r="C21" i="9"/>
  <c r="C18" i="9"/>
  <c r="C17" i="9"/>
  <c r="C16" i="9"/>
  <c r="D71" i="3"/>
  <c r="D65" i="3" s="1"/>
  <c r="D22" i="3"/>
  <c r="H22" i="3" s="1"/>
  <c r="G11" i="12"/>
  <c r="D16" i="3"/>
  <c r="G14" i="12"/>
  <c r="G13" i="12"/>
  <c r="J13" i="12" s="1"/>
  <c r="K13" i="12" s="1"/>
  <c r="I11" i="12"/>
  <c r="J11" i="12"/>
  <c r="K11" i="12" s="1"/>
  <c r="I13" i="12"/>
  <c r="J14" i="12"/>
  <c r="K14" i="12" s="1"/>
  <c r="G12" i="12"/>
  <c r="I12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F5" i="7"/>
  <c r="D4" i="3"/>
  <c r="J15" i="13"/>
  <c r="K15" i="13" s="1"/>
  <c r="D73" i="3"/>
  <c r="D56" i="3"/>
  <c r="D47" i="3"/>
  <c r="D45" i="3"/>
  <c r="D40" i="3"/>
  <c r="I13" i="7"/>
  <c r="I12" i="7"/>
  <c r="N12" i="7"/>
  <c r="D10" i="5" s="1"/>
  <c r="N10" i="5" s="1"/>
  <c r="J13" i="7"/>
  <c r="J12" i="7"/>
  <c r="O12" i="7" s="1"/>
  <c r="H22" i="7"/>
  <c r="I11" i="5"/>
  <c r="J11" i="5"/>
  <c r="K11" i="5"/>
  <c r="L11" i="5"/>
  <c r="J10" i="5"/>
  <c r="K10" i="5"/>
  <c r="L10" i="5"/>
  <c r="M13" i="7"/>
  <c r="M12" i="7"/>
  <c r="I19" i="2" s="1"/>
  <c r="B22" i="2"/>
  <c r="J23" i="2"/>
  <c r="E23" i="2" s="1"/>
  <c r="K23" i="2"/>
  <c r="L23" i="2"/>
  <c r="M23" i="2"/>
  <c r="I23" i="2"/>
  <c r="Q17" i="1"/>
  <c r="B17" i="1"/>
  <c r="R11" i="5"/>
  <c r="H11" i="5"/>
  <c r="B11" i="5"/>
  <c r="P22" i="2"/>
  <c r="P24" i="2" s="1"/>
  <c r="P25" i="2" s="1"/>
  <c r="H23" i="7"/>
  <c r="L13" i="7"/>
  <c r="V11" i="5" s="1"/>
  <c r="K13" i="7"/>
  <c r="P13" i="7" s="1"/>
  <c r="U11" i="5"/>
  <c r="B23" i="7"/>
  <c r="G23" i="2"/>
  <c r="D23" i="2"/>
  <c r="H23" i="2"/>
  <c r="G20" i="3"/>
  <c r="H20" i="3" s="1"/>
  <c r="G21" i="3"/>
  <c r="H21" i="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P46" i="13" s="1"/>
  <c r="J45" i="13"/>
  <c r="K45" i="13"/>
  <c r="J44" i="13"/>
  <c r="K44" i="13" s="1"/>
  <c r="J43" i="13"/>
  <c r="K43" i="13"/>
  <c r="J42" i="13"/>
  <c r="K42" i="13" s="1"/>
  <c r="J41" i="13"/>
  <c r="K41" i="13" s="1"/>
  <c r="R41" i="13" s="1"/>
  <c r="J53" i="13"/>
  <c r="K53" i="13" s="1"/>
  <c r="R53" i="13"/>
  <c r="J52" i="13"/>
  <c r="K52" i="13"/>
  <c r="P52" i="13" s="1"/>
  <c r="J51" i="13"/>
  <c r="K51" i="13"/>
  <c r="J50" i="13"/>
  <c r="K50" i="13"/>
  <c r="R50" i="13" s="1"/>
  <c r="P45" i="13"/>
  <c r="P48" i="13"/>
  <c r="R47" i="13"/>
  <c r="R52" i="13"/>
  <c r="N52" i="13"/>
  <c r="P50" i="13"/>
  <c r="Q16" i="1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R58" i="13" s="1"/>
  <c r="J57" i="13"/>
  <c r="K57" i="13" s="1"/>
  <c r="J56" i="13"/>
  <c r="K56" i="13" s="1"/>
  <c r="J55" i="13"/>
  <c r="K55" i="13" s="1"/>
  <c r="J54" i="13"/>
  <c r="K54" i="13" s="1"/>
  <c r="J49" i="13"/>
  <c r="K49" i="13" s="1"/>
  <c r="J40" i="13"/>
  <c r="K40" i="13"/>
  <c r="J39" i="13"/>
  <c r="K39" i="13" s="1"/>
  <c r="J38" i="13"/>
  <c r="K38" i="13"/>
  <c r="J37" i="13"/>
  <c r="K37" i="13" s="1"/>
  <c r="P37" i="13" s="1"/>
  <c r="J36" i="13"/>
  <c r="K36" i="13" s="1"/>
  <c r="J35" i="13"/>
  <c r="K35" i="13" s="1"/>
  <c r="J34" i="13"/>
  <c r="K34" i="13" s="1"/>
  <c r="N34" i="13" s="1"/>
  <c r="J33" i="13"/>
  <c r="K33" i="13" s="1"/>
  <c r="J32" i="13"/>
  <c r="K32" i="13" s="1"/>
  <c r="J31" i="13"/>
  <c r="K31" i="13" s="1"/>
  <c r="J30" i="13"/>
  <c r="K30" i="13" s="1"/>
  <c r="J29" i="13"/>
  <c r="K29" i="13" s="1"/>
  <c r="N29" i="13" s="1"/>
  <c r="J28" i="13"/>
  <c r="K28" i="13" s="1"/>
  <c r="N28" i="13" s="1"/>
  <c r="J27" i="13"/>
  <c r="K27" i="13" s="1"/>
  <c r="J26" i="13"/>
  <c r="K26" i="13" s="1"/>
  <c r="J25" i="13"/>
  <c r="K25" i="13" s="1"/>
  <c r="R25" i="13" s="1"/>
  <c r="J24" i="13"/>
  <c r="K24" i="13" s="1"/>
  <c r="J23" i="13"/>
  <c r="K23" i="13" s="1"/>
  <c r="P23" i="13" s="1"/>
  <c r="J22" i="13"/>
  <c r="K22" i="13" s="1"/>
  <c r="J21" i="13"/>
  <c r="K21" i="13" s="1"/>
  <c r="N21" i="13" s="1"/>
  <c r="J20" i="13"/>
  <c r="K20" i="13" s="1"/>
  <c r="N20" i="13" s="1"/>
  <c r="J19" i="13"/>
  <c r="K19" i="13" s="1"/>
  <c r="J18" i="13"/>
  <c r="K18" i="13" s="1"/>
  <c r="J17" i="13"/>
  <c r="K17" i="13" s="1"/>
  <c r="N17" i="13" s="1"/>
  <c r="J16" i="13"/>
  <c r="K16" i="13" s="1"/>
  <c r="N16" i="13" s="1"/>
  <c r="E4" i="13"/>
  <c r="P57" i="13"/>
  <c r="P28" i="13"/>
  <c r="R29" i="13"/>
  <c r="N30" i="13"/>
  <c r="N54" i="13"/>
  <c r="P32" i="13"/>
  <c r="R36" i="13"/>
  <c r="R28" i="13"/>
  <c r="I20" i="2"/>
  <c r="D20" i="2" s="1"/>
  <c r="S10" i="5"/>
  <c r="L12" i="7"/>
  <c r="Q12" i="7" s="1"/>
  <c r="K12" i="7"/>
  <c r="P12" i="7" s="1"/>
  <c r="P19" i="2"/>
  <c r="P21" i="2"/>
  <c r="K20" i="2"/>
  <c r="T10" i="5"/>
  <c r="E4" i="12"/>
  <c r="B11" i="12"/>
  <c r="J20" i="2"/>
  <c r="E20" i="2" s="1"/>
  <c r="L20" i="2"/>
  <c r="G20" i="2"/>
  <c r="M20" i="2"/>
  <c r="H20" i="2" s="1"/>
  <c r="B19" i="2"/>
  <c r="I10" i="5"/>
  <c r="H10" i="5"/>
  <c r="G74" i="3"/>
  <c r="H74" i="3"/>
  <c r="G72" i="3"/>
  <c r="H72" i="3"/>
  <c r="G71" i="3"/>
  <c r="G70" i="3"/>
  <c r="H70" i="3"/>
  <c r="G69" i="3"/>
  <c r="H69" i="3"/>
  <c r="G68" i="3"/>
  <c r="H68" i="3"/>
  <c r="G67" i="3"/>
  <c r="H67" i="3"/>
  <c r="G66" i="3"/>
  <c r="H66" i="3"/>
  <c r="G64" i="3"/>
  <c r="H64" i="3"/>
  <c r="G63" i="3"/>
  <c r="H63" i="3"/>
  <c r="G62" i="3"/>
  <c r="H62" i="3"/>
  <c r="G61" i="3"/>
  <c r="H61" i="3"/>
  <c r="G60" i="3"/>
  <c r="H60" i="3"/>
  <c r="G59" i="3"/>
  <c r="H59" i="3"/>
  <c r="G58" i="3"/>
  <c r="H58" i="3"/>
  <c r="G57" i="3"/>
  <c r="H57" i="3"/>
  <c r="H56" i="3" s="1"/>
  <c r="G55" i="3"/>
  <c r="H55" i="3"/>
  <c r="G54" i="3"/>
  <c r="H54" i="3"/>
  <c r="G53" i="3"/>
  <c r="H53" i="3"/>
  <c r="G52" i="3"/>
  <c r="H52" i="3"/>
  <c r="G51" i="3"/>
  <c r="H51" i="3"/>
  <c r="G50" i="3"/>
  <c r="H50" i="3"/>
  <c r="G49" i="3"/>
  <c r="H49" i="3"/>
  <c r="G48" i="3"/>
  <c r="G47" i="3" s="1"/>
  <c r="H48" i="3"/>
  <c r="H47" i="3" s="1"/>
  <c r="B16" i="1"/>
  <c r="A22" i="7"/>
  <c r="B22" i="7"/>
  <c r="A16" i="1"/>
  <c r="C8" i="2"/>
  <c r="B8" i="2"/>
  <c r="J4" i="9"/>
  <c r="G4" i="5"/>
  <c r="D4" i="1"/>
  <c r="B10" i="5"/>
  <c r="A10" i="5"/>
  <c r="A19" i="2"/>
  <c r="A9" i="2"/>
  <c r="A12" i="3"/>
  <c r="G65" i="3"/>
  <c r="G46" i="3"/>
  <c r="G45" i="3" s="1"/>
  <c r="H46" i="3"/>
  <c r="H45" i="3" s="1"/>
  <c r="H73" i="3"/>
  <c r="G73" i="3"/>
  <c r="G43" i="3"/>
  <c r="H43" i="3"/>
  <c r="G44" i="3"/>
  <c r="H44" i="3" s="1"/>
  <c r="G42" i="3"/>
  <c r="H42" i="3"/>
  <c r="G41" i="3"/>
  <c r="H41" i="3" s="1"/>
  <c r="G16" i="3"/>
  <c r="H16" i="3"/>
  <c r="G17" i="3"/>
  <c r="H17" i="3"/>
  <c r="G19" i="3"/>
  <c r="G22" i="3"/>
  <c r="G23" i="3"/>
  <c r="H23" i="3" s="1"/>
  <c r="G24" i="3"/>
  <c r="H24" i="3" s="1"/>
  <c r="G25" i="3"/>
  <c r="H25" i="3" s="1"/>
  <c r="G26" i="3"/>
  <c r="H26" i="3"/>
  <c r="G27" i="3"/>
  <c r="H27" i="3" s="1"/>
  <c r="G28" i="3"/>
  <c r="H28" i="3"/>
  <c r="G29" i="3"/>
  <c r="H29" i="3" s="1"/>
  <c r="G30" i="3"/>
  <c r="H30" i="3"/>
  <c r="G31" i="3"/>
  <c r="H31" i="3" s="1"/>
  <c r="G32" i="3"/>
  <c r="H32" i="3" s="1"/>
  <c r="G33" i="3"/>
  <c r="H33" i="3" s="1"/>
  <c r="G34" i="3"/>
  <c r="H34" i="3"/>
  <c r="G35" i="3"/>
  <c r="H35" i="3" s="1"/>
  <c r="G36" i="3"/>
  <c r="H36" i="3"/>
  <c r="G37" i="3"/>
  <c r="H37" i="3" s="1"/>
  <c r="G38" i="3"/>
  <c r="H38" i="3"/>
  <c r="H19" i="3"/>
  <c r="G14" i="3"/>
  <c r="G15" i="3"/>
  <c r="H15" i="3" s="1"/>
  <c r="A9" i="5"/>
  <c r="B9" i="5"/>
  <c r="G56" i="3"/>
  <c r="P39" i="13" l="1"/>
  <c r="R39" i="13"/>
  <c r="N39" i="13"/>
  <c r="N42" i="13"/>
  <c r="P42" i="13"/>
  <c r="P44" i="13"/>
  <c r="R44" i="13"/>
  <c r="N44" i="13"/>
  <c r="G18" i="3"/>
  <c r="P29" i="13"/>
  <c r="D16" i="1"/>
  <c r="I16" i="1" s="1"/>
  <c r="W15" i="13"/>
  <c r="W40" i="13"/>
  <c r="J12" i="12"/>
  <c r="K12" i="12" s="1"/>
  <c r="H65" i="3"/>
  <c r="C10" i="5"/>
  <c r="M10" i="5" s="1"/>
  <c r="J19" i="2"/>
  <c r="J21" i="2" s="1"/>
  <c r="H71" i="3"/>
  <c r="C16" i="1"/>
  <c r="H16" i="1" s="1"/>
  <c r="N50" i="13"/>
  <c r="Q13" i="7"/>
  <c r="M22" i="2" s="1"/>
  <c r="H22" i="2" s="1"/>
  <c r="H24" i="2" s="1"/>
  <c r="F17" i="1"/>
  <c r="K17" i="1" s="1"/>
  <c r="L22" i="2"/>
  <c r="F11" i="5"/>
  <c r="P11" i="5" s="1"/>
  <c r="G17" i="1"/>
  <c r="L17" i="1" s="1"/>
  <c r="G11" i="5"/>
  <c r="Q11" i="5"/>
  <c r="K19" i="2"/>
  <c r="F19" i="2" s="1"/>
  <c r="E16" i="1"/>
  <c r="J16" i="1" s="1"/>
  <c r="E10" i="5"/>
  <c r="O10" i="5" s="1"/>
  <c r="F16" i="1"/>
  <c r="K16" i="1" s="1"/>
  <c r="L19" i="2"/>
  <c r="G19" i="2" s="1"/>
  <c r="G21" i="2" s="1"/>
  <c r="F10" i="5"/>
  <c r="P10" i="5" s="1"/>
  <c r="G16" i="1"/>
  <c r="G10" i="5"/>
  <c r="Q10" i="5" s="1"/>
  <c r="M19" i="2"/>
  <c r="I21" i="2"/>
  <c r="D19" i="2"/>
  <c r="V10" i="5"/>
  <c r="U10" i="5"/>
  <c r="D21" i="2"/>
  <c r="J74" i="3"/>
  <c r="H18" i="3"/>
  <c r="H40" i="3"/>
  <c r="F20" i="2"/>
  <c r="F21" i="2" s="1"/>
  <c r="N18" i="13"/>
  <c r="R18" i="13"/>
  <c r="P18" i="13"/>
  <c r="R30" i="13"/>
  <c r="P30" i="13"/>
  <c r="R38" i="13"/>
  <c r="P38" i="13"/>
  <c r="N38" i="13"/>
  <c r="P26" i="2"/>
  <c r="D9" i="2"/>
  <c r="D10" i="2" s="1"/>
  <c r="R19" i="13"/>
  <c r="P19" i="13"/>
  <c r="N31" i="13"/>
  <c r="P31" i="13"/>
  <c r="N60" i="13"/>
  <c r="R60" i="13"/>
  <c r="N53" i="13"/>
  <c r="P53" i="13"/>
  <c r="N45" i="13"/>
  <c r="R45" i="13"/>
  <c r="L16" i="1"/>
  <c r="P60" i="13"/>
  <c r="R16" i="13"/>
  <c r="P16" i="13"/>
  <c r="R20" i="13"/>
  <c r="P20" i="13"/>
  <c r="R24" i="13"/>
  <c r="N24" i="13"/>
  <c r="P24" i="13"/>
  <c r="R32" i="13"/>
  <c r="N32" i="13"/>
  <c r="P36" i="13"/>
  <c r="N36" i="13"/>
  <c r="P49" i="13"/>
  <c r="N49" i="13"/>
  <c r="R49" i="13"/>
  <c r="N57" i="13"/>
  <c r="R57" i="13"/>
  <c r="P61" i="13"/>
  <c r="R61" i="13"/>
  <c r="N61" i="13"/>
  <c r="P41" i="13"/>
  <c r="N41" i="13"/>
  <c r="M24" i="2"/>
  <c r="O13" i="7"/>
  <c r="T11" i="5"/>
  <c r="D18" i="3"/>
  <c r="L11" i="12"/>
  <c r="E19" i="2"/>
  <c r="E21" i="2" s="1"/>
  <c r="N22" i="13"/>
  <c r="P22" i="13"/>
  <c r="R22" i="13"/>
  <c r="N26" i="13"/>
  <c r="P26" i="13"/>
  <c r="R26" i="13"/>
  <c r="P34" i="13"/>
  <c r="R34" i="13"/>
  <c r="R40" i="13"/>
  <c r="P40" i="13"/>
  <c r="N40" i="13"/>
  <c r="R55" i="13"/>
  <c r="P55" i="13"/>
  <c r="P59" i="13"/>
  <c r="R59" i="13"/>
  <c r="N51" i="13"/>
  <c r="R51" i="13"/>
  <c r="P51" i="13"/>
  <c r="P47" i="13"/>
  <c r="N47" i="13"/>
  <c r="G13" i="3"/>
  <c r="G12" i="3" s="1"/>
  <c r="G40" i="3"/>
  <c r="G39" i="3" s="1"/>
  <c r="N59" i="13"/>
  <c r="P15" i="13"/>
  <c r="R15" i="13"/>
  <c r="K62" i="13"/>
  <c r="N15" i="13"/>
  <c r="N23" i="13"/>
  <c r="R23" i="13"/>
  <c r="P27" i="13"/>
  <c r="N27" i="13"/>
  <c r="R27" i="13"/>
  <c r="N35" i="13"/>
  <c r="P35" i="13"/>
  <c r="R35" i="13"/>
  <c r="P56" i="13"/>
  <c r="R56" i="13"/>
  <c r="N56" i="13"/>
  <c r="P43" i="13"/>
  <c r="N43" i="13"/>
  <c r="R43" i="13"/>
  <c r="N48" i="13"/>
  <c r="R48" i="13"/>
  <c r="N13" i="7"/>
  <c r="S11" i="5"/>
  <c r="N19" i="13"/>
  <c r="R31" i="13"/>
  <c r="N55" i="13"/>
  <c r="R17" i="13"/>
  <c r="P17" i="13"/>
  <c r="P21" i="13"/>
  <c r="R21" i="13"/>
  <c r="N25" i="13"/>
  <c r="P25" i="13"/>
  <c r="R33" i="13"/>
  <c r="P33" i="13"/>
  <c r="N33" i="13"/>
  <c r="N37" i="13"/>
  <c r="R37" i="13"/>
  <c r="P54" i="13"/>
  <c r="R54" i="13"/>
  <c r="P58" i="13"/>
  <c r="N58" i="13"/>
  <c r="K70" i="13"/>
  <c r="R46" i="13"/>
  <c r="N46" i="13"/>
  <c r="F23" i="2"/>
  <c r="C17" i="1"/>
  <c r="H17" i="1" s="1"/>
  <c r="I22" i="2"/>
  <c r="C11" i="5"/>
  <c r="M11" i="5" s="1"/>
  <c r="R42" i="13"/>
  <c r="H39" i="3" l="1"/>
  <c r="K21" i="2"/>
  <c r="L21" i="2"/>
  <c r="O21" i="2" s="1"/>
  <c r="W80" i="13"/>
  <c r="L24" i="2"/>
  <c r="G22" i="2"/>
  <c r="G24" i="2" s="1"/>
  <c r="G25" i="2" s="1"/>
  <c r="G26" i="2" s="1"/>
  <c r="L25" i="2"/>
  <c r="L26" i="2" s="1"/>
  <c r="H19" i="2"/>
  <c r="H21" i="2" s="1"/>
  <c r="H25" i="2" s="1"/>
  <c r="H26" i="2" s="1"/>
  <c r="M21" i="2"/>
  <c r="M25" i="2" s="1"/>
  <c r="M26" i="2" s="1"/>
  <c r="G75" i="3"/>
  <c r="P62" i="13"/>
  <c r="E11" i="5"/>
  <c r="O11" i="5" s="1"/>
  <c r="E17" i="1"/>
  <c r="J17" i="1" s="1"/>
  <c r="K22" i="2"/>
  <c r="I24" i="2"/>
  <c r="D22" i="2"/>
  <c r="D24" i="2" s="1"/>
  <c r="R62" i="13"/>
  <c r="D17" i="1"/>
  <c r="I17" i="1" s="1"/>
  <c r="D11" i="5"/>
  <c r="N11" i="5" s="1"/>
  <c r="J22" i="2"/>
  <c r="N62" i="13"/>
  <c r="L23" i="12"/>
  <c r="D14" i="3"/>
  <c r="N21" i="2" l="1"/>
  <c r="Q21" i="2" s="1"/>
  <c r="D25" i="2"/>
  <c r="D26" i="2" s="1"/>
  <c r="J24" i="2"/>
  <c r="J25" i="2" s="1"/>
  <c r="J26" i="2" s="1"/>
  <c r="E22" i="2"/>
  <c r="E24" i="2" s="1"/>
  <c r="E25" i="2" s="1"/>
  <c r="E26" i="2" s="1"/>
  <c r="O62" i="13"/>
  <c r="AB15" i="13" s="1"/>
  <c r="AI15" i="13" s="1"/>
  <c r="AJ15" i="13" s="1"/>
  <c r="AC15" i="13"/>
  <c r="D13" i="3"/>
  <c r="D12" i="3" s="1"/>
  <c r="D75" i="3" s="1"/>
  <c r="H14" i="3"/>
  <c r="H13" i="3" s="1"/>
  <c r="H12" i="3" s="1"/>
  <c r="H75" i="3" s="1"/>
  <c r="I25" i="2"/>
  <c r="I26" i="2" s="1"/>
  <c r="M62" i="13"/>
  <c r="Z15" i="13" s="1"/>
  <c r="AG15" i="13" s="1"/>
  <c r="AH15" i="13" s="1"/>
  <c r="AA15" i="13"/>
  <c r="Q62" i="13"/>
  <c r="AD15" i="13" s="1"/>
  <c r="AK15" i="13" s="1"/>
  <c r="AL15" i="13" s="1"/>
  <c r="AE15" i="13"/>
  <c r="F22" i="2"/>
  <c r="F24" i="2" s="1"/>
  <c r="F25" i="2" s="1"/>
  <c r="F26" i="2" s="1"/>
  <c r="K24" i="2"/>
  <c r="K25" i="2" s="1"/>
  <c r="K26" i="2" s="1"/>
  <c r="AN15" i="13" l="1"/>
  <c r="O24" i="2"/>
  <c r="O25" i="2" s="1"/>
  <c r="AR15" i="13"/>
  <c r="AP15" i="13"/>
  <c r="H76" i="3"/>
  <c r="J75" i="3" s="1"/>
  <c r="F9" i="2"/>
  <c r="N24" i="2"/>
  <c r="F10" i="2" l="1"/>
  <c r="G9" i="2"/>
  <c r="Q24" i="2"/>
  <c r="Q25" i="2" s="1"/>
  <c r="Q26" i="2" s="1"/>
  <c r="N25" i="2"/>
  <c r="C9" i="2"/>
  <c r="C10" i="2" s="1"/>
  <c r="O26" i="2"/>
  <c r="G10" i="2" l="1"/>
  <c r="L9" i="2" s="1"/>
  <c r="L10" i="2" s="1"/>
  <c r="H9" i="2"/>
  <c r="H10" i="2" s="1"/>
  <c r="N26" i="2"/>
  <c r="B9" i="2"/>
  <c r="E9" i="2" l="1"/>
  <c r="B10" i="2"/>
  <c r="E10" i="2" l="1"/>
  <c r="I9" i="2"/>
  <c r="I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</authors>
  <commentList>
    <comment ref="N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<sst xmlns="http://schemas.openxmlformats.org/spreadsheetml/2006/main" count="539" uniqueCount="287">
  <si>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</si>
  <si>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</si>
  <si>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</si>
  <si>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</si>
  <si>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</si>
  <si>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</si>
  <si>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</si>
  <si>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</si>
  <si>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</si>
  <si>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</si>
  <si>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</si>
  <si>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</si>
  <si>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</si>
  <si>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</si>
  <si>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</si>
  <si>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</si>
  <si>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</si>
  <si>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</si>
  <si>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</si>
  <si>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</si>
  <si>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</si>
  <si>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</si>
  <si>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</si>
  <si>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</si>
  <si>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</si>
  <si>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</si>
  <si>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</si>
  <si>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</si>
  <si>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</si>
  <si>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</si>
  <si>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</si>
  <si>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</si>
  <si>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</si>
  <si>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</si>
  <si>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</si>
  <si>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</si>
  <si>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</si>
  <si>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</si>
  <si>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</si>
  <si>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</si>
  <si>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</si>
  <si>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</si>
  <si>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</si>
  <si>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</si>
  <si>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</si>
  <si>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</si>
  <si>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</si>
  <si>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</si>
  <si>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</si>
  <si>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</si>
  <si>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</si>
  <si>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</si>
  <si>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</si>
  <si>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</si>
  <si>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</si>
  <si>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</si>
  <si>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</si>
  <si>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</si>
  <si>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</si>
  <si>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</si>
  <si>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</si>
  <si>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</si>
  <si>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</si>
  <si>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</si>
  <si>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</si>
  <si>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</si>
  <si>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</si>
  <si>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</si>
  <si>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</si>
  <si>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</si>
  <si>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</si>
  <si>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</si>
  <si>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</si>
  <si>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</si>
  <si>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</si>
  <si>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</si>
  <si>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</si>
  <si>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</si>
  <si>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</si>
  <si>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</si>
  <si>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</si>
  <si>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</si>
  <si>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</si>
  <si>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</si>
  <si>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</si>
  <si>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</si>
  <si>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</si>
  <si>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</si>
  <si>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</si>
  <si>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</si>
  <si>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</si>
  <si>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</si>
  <si>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</si>
  <si>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</si>
  <si>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</si>
  <si>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</si>
  <si>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</si>
  <si>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</si>
  <si>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</si>
  <si>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</si>
  <si>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</si>
  <si>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</si>
  <si>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</si>
  <si>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</si>
  <si>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</si>
  <si>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</si>
  <si>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</si>
  <si>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</si>
  <si>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</si>
  <si>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</si>
  <si>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</si>
  <si>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</si>
  <si>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</si>
  <si>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</si>
  <si>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</si>
  <si>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</si>
  <si>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</si>
  <si>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</si>
  <si>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</si>
  <si>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</si>
  <si>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</si>
  <si>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</si>
  <si>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</si>
  <si>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</si>
  <si>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</si>
  <si>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</si>
  <si>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</si>
  <si>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</si>
  <si>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</si>
  <si>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</si>
  <si>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</si>
  <si>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</si>
  <si>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</si>
  <si>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</si>
  <si>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</si>
  <si>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Encargado Informática</t>
  </si>
  <si>
    <t>Ej: Encargado RR.HH.</t>
  </si>
  <si>
    <t>PDI</t>
  </si>
  <si>
    <t>GENDARMERIA</t>
  </si>
  <si>
    <t>Mensualidad 2020</t>
  </si>
  <si>
    <t>COSTO DIRECTO ESTIMADO 2020</t>
  </si>
  <si>
    <t>ÁREA APOYO A. EDUCACIONAL</t>
  </si>
  <si>
    <t>ADMINISTRACIÓN CENTRAL</t>
  </si>
  <si>
    <t>COSTO INDIRECTO ESTIMADO 2020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</si>
  <si>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</si>
  <si>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</si>
  <si>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</si>
  <si>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</si>
  <si>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</si>
  <si>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</si>
  <si>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</si>
  <si>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</si>
  <si>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</si>
  <si>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</si>
  <si>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</si>
  <si>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</si>
  <si>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</si>
  <si>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</si>
  <si>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</si>
  <si>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</si>
  <si>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</si>
  <si>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</si>
  <si>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</si>
  <si>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</si>
  <si>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</si>
  <si>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</si>
  <si>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</si>
  <si>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</si>
  <si>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</si>
  <si>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</si>
  <si>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</si>
  <si>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</si>
  <si>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</si>
  <si>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</si>
  <si>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</si>
  <si>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</si>
  <si>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</si>
  <si>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</si>
  <si>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</si>
  <si>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</si>
  <si>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</si>
  <si>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</si>
  <si>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</si>
  <si>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</si>
  <si>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</si>
  <si>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</si>
  <si>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</si>
  <si>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</si>
  <si>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</si>
  <si>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</si>
  <si>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</si>
  <si>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</si>
  <si>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</si>
  <si>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</si>
  <si>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</si>
  <si>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</si>
  <si>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</si>
  <si>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</si>
  <si>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</si>
  <si>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</si>
  <si>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</si>
  <si>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</si>
  <si>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</si>
  <si>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</si>
  <si>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</si>
  <si>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</si>
  <si>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</si>
  <si>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</si>
  <si>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</si>
  <si>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</si>
  <si>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</si>
  <si>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</si>
  <si>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</si>
  <si>
    <t>Matrícula 2021</t>
  </si>
  <si>
    <t>Mensualidad 2021</t>
  </si>
  <si>
    <t>Tarifa 2021</t>
  </si>
  <si>
    <t>Propuesta Mensualidad 2021</t>
  </si>
  <si>
    <t>Meta Ocupación niños 2021</t>
  </si>
  <si>
    <t>AFL</t>
  </si>
  <si>
    <t>PAF</t>
  </si>
  <si>
    <t>REMUNERACIONES 2020</t>
  </si>
  <si>
    <t>Gasto Total Empresa</t>
  </si>
  <si>
    <t>Costo Total anual por Servidor 2020</t>
  </si>
  <si>
    <t>Costo Total por Servidor Reajustado 2021</t>
  </si>
  <si>
    <t>PRODUCTOS QUIMICOS (EXTINTOR)</t>
  </si>
  <si>
    <t>PROD.QUIMIC,FARMACEUTICOS IND. (BOTIQUIN)</t>
  </si>
  <si>
    <t>OTROS MANTEN. Y REP.MENORES</t>
  </si>
  <si>
    <t>CUOTA DE PADRES</t>
  </si>
  <si>
    <t xml:space="preserve">Brenda Xiomara </t>
  </si>
  <si>
    <t>Saavedra Carvajal</t>
  </si>
  <si>
    <t>Contador general</t>
  </si>
  <si>
    <t xml:space="preserve">Marcela Andrea </t>
  </si>
  <si>
    <t>Vergara Orellana</t>
  </si>
  <si>
    <t>Operador contable y administrativo</t>
  </si>
  <si>
    <t xml:space="preserve">Eleni Katina </t>
  </si>
  <si>
    <t>Ordenes Ramis</t>
  </si>
  <si>
    <t>Secretaria - rendicuenta</t>
  </si>
  <si>
    <t xml:space="preserve">Daniel Sady </t>
  </si>
  <si>
    <t>Asún Méndez</t>
  </si>
  <si>
    <t>Encargado de bienes de uso y control de existencias</t>
  </si>
  <si>
    <t xml:space="preserve">Vanessa </t>
  </si>
  <si>
    <t>Hincapie Valencia</t>
  </si>
  <si>
    <t>Encargado ciclo de ingresos y facturación</t>
  </si>
  <si>
    <t>NN</t>
  </si>
  <si>
    <t>Enc. de certificación</t>
  </si>
  <si>
    <t>Aporte Operacional DBSA</t>
  </si>
  <si>
    <t>DELBIENWILL</t>
  </si>
  <si>
    <t>Eva</t>
  </si>
  <si>
    <t>Osorio</t>
  </si>
  <si>
    <t>Marcela</t>
  </si>
  <si>
    <t>Garces</t>
  </si>
  <si>
    <t>María</t>
  </si>
  <si>
    <t>Balboa</t>
  </si>
  <si>
    <t>Johana</t>
  </si>
  <si>
    <t>Rosas</t>
  </si>
  <si>
    <t>Educadora</t>
  </si>
  <si>
    <t>Jardín Infantil pequeños colonos</t>
  </si>
  <si>
    <t>Tecnico</t>
  </si>
  <si>
    <t>Servicios Generales</t>
  </si>
  <si>
    <t>Servicios Generales (Post Natal)</t>
  </si>
  <si>
    <t>DETALLE / OBSERVACIONES</t>
  </si>
  <si>
    <t>Compra de telas para escenografías y trabajos manuales</t>
  </si>
  <si>
    <t>Promedio 3 ultimos años</t>
  </si>
  <si>
    <t>Insumos para implementar botiquin de primeros auxilios</t>
  </si>
  <si>
    <t>Valor anual del contrato con Comunicaciones Austral Ltda.</t>
  </si>
  <si>
    <t>Mantenimiento y respaldo del sistema cerrado de camaras</t>
  </si>
  <si>
    <t>Cambio de maderas reparación de acceso de emergencia</t>
  </si>
  <si>
    <t>Costo del personal (1 Ed.+1Tec.+1Serv.) considerando dejar con contrato indefinido a 2 personas el 2021 (educadora)</t>
  </si>
  <si>
    <t>Provision de feriado anual conforme a DIREBIEN R-141155 SEP 2020</t>
  </si>
  <si>
    <t>Cofee break reuniones</t>
  </si>
  <si>
    <t>Financiar viveres para uso de celebraciones de parvulos (Aniv.Jardín - Pascua - Mes del mar - Dia de la mama - Dia del papa - fiesta fin de semestre - dia del niño - fista patrias - semana del niño - graduación - navidad)</t>
  </si>
  <si>
    <t>Materiales para mantención de caldera, gasfitería, electricidad, alcantarillado, vanitorios.</t>
  </si>
  <si>
    <t>Promedio de maximo consumo ultimo año por 12 meses</t>
  </si>
  <si>
    <t>Promedio 6 ultimos meses en que asistieron alumnos</t>
  </si>
  <si>
    <t>4 cargas de 45KL a valor $37.000 C/U</t>
  </si>
  <si>
    <t>Gastos menores del año en librerías locales</t>
  </si>
  <si>
    <t>Adquisición de delantales uniformes para el personal educativo. (1 delantal directora, 8 pecheras, 4 pantalones)</t>
  </si>
  <si>
    <t>Adquisición de zuecos antideslizantes para recambio personal protocolo COVID</t>
  </si>
  <si>
    <t>Materiales e insumos para fumigación 1 vez al año</t>
  </si>
  <si>
    <t>Estimación de costo basado en comportamiento 2019 y aplicación de protocolos CODIV</t>
  </si>
  <si>
    <t>Reemplazo de menaje por desgaste</t>
  </si>
  <si>
    <t>Implementacion de material de acuerdo a priorización curricular MINEDUC (Titeres, teatro de títeres, juegos de representación, cuentos, musica,etc)</t>
  </si>
  <si>
    <t>Servicio de desratizado</t>
  </si>
  <si>
    <t>Seguro para 19 parvulos a $7.581</t>
  </si>
  <si>
    <t>Seguro de las instalaciones</t>
  </si>
  <si>
    <t>Plan anual de mantenimiento, pintado exterior fachada, reparacion del techo.</t>
  </si>
  <si>
    <t>APORTE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</si>
</sst>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688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5" fontId="24" fillId="30" borderId="27" xfId="0" applyNumberFormat="1" applyFont="1" applyFill="1" applyBorder="1" applyAlignment="1" applyProtection="1">
      <alignment vertical="center"/>
    </xf>
    <xf numFmtId="165" fontId="12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0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0" xfId="0" applyNumberFormat="1" applyFont="1" applyFill="1" applyBorder="1" applyAlignment="1" applyProtection="1">
      <alignment horizontal="center" vertical="center"/>
    </xf>
    <xf numFmtId="168" fontId="12" fillId="19" borderId="20" xfId="16" applyNumberFormat="1" applyFont="1" applyFill="1" applyBorder="1" applyAlignment="1" applyProtection="1">
      <alignment horizontal="center" vertical="center"/>
    </xf>
    <xf numFmtId="0" fontId="12" fillId="16" borderId="29" xfId="0" applyFont="1" applyFill="1" applyBorder="1" applyAlignment="1" applyProtection="1">
      <alignment horizontal="center" vertical="center" wrapText="1"/>
    </xf>
    <xf numFmtId="175" fontId="0" fillId="26" borderId="20" xfId="0" applyNumberFormat="1" applyFont="1" applyFill="1" applyBorder="1" applyAlignment="1" applyProtection="1">
      <alignment horizontal="center" vertical="center"/>
    </xf>
    <xf numFmtId="175" fontId="23" fillId="26" borderId="16" xfId="0" applyNumberFormat="1" applyFont="1" applyFill="1" applyBorder="1" applyAlignment="1" applyProtection="1">
      <alignment horizontal="right" vertical="center"/>
    </xf>
    <xf numFmtId="167" fontId="14" fillId="19" borderId="6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7" fontId="13" fillId="0" borderId="20" xfId="16" applyBorder="1" applyAlignment="1" applyProtection="1">
      <alignment horizontal="center" vertical="center"/>
    </xf>
    <xf numFmtId="167" fontId="12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35" borderId="56" xfId="0" applyNumberFormat="1" applyFont="1" applyFill="1" applyBorder="1" applyAlignment="1" applyProtection="1">
      <alignment horizontal="center" vertical="center" wrapText="1"/>
    </xf>
    <xf numFmtId="166" fontId="12" fillId="35" borderId="57" xfId="0" applyNumberFormat="1" applyFont="1" applyFill="1" applyBorder="1" applyAlignment="1" applyProtection="1">
      <alignment horizontal="center" vertical="center" wrapText="1"/>
    </xf>
    <xf numFmtId="0" fontId="0" fillId="12" borderId="59" xfId="0" applyFont="1" applyFill="1" applyBorder="1" applyProtection="1">
      <protection locked="0"/>
    </xf>
    <xf numFmtId="166" fontId="12" fillId="35" borderId="70" xfId="0" applyNumberFormat="1" applyFont="1" applyFill="1" applyBorder="1" applyAlignment="1" applyProtection="1">
      <alignment horizontal="center" vertical="center" wrapText="1"/>
    </xf>
    <xf numFmtId="166" fontId="12" fillId="35" borderId="71" xfId="0" applyNumberFormat="1" applyFont="1" applyFill="1" applyBorder="1" applyAlignment="1" applyProtection="1">
      <alignment horizontal="center" vertical="center" wrapText="1"/>
    </xf>
    <xf numFmtId="166" fontId="12" fillId="35" borderId="72" xfId="0" applyNumberFormat="1" applyFont="1" applyFill="1" applyBorder="1" applyAlignment="1" applyProtection="1">
      <alignment horizontal="center" vertical="center" wrapText="1"/>
    </xf>
    <xf numFmtId="166" fontId="12" fillId="35" borderId="64" xfId="0" applyNumberFormat="1" applyFont="1" applyFill="1" applyBorder="1" applyAlignment="1" applyProtection="1">
      <alignment horizontal="center" vertical="center" wrapText="1"/>
    </xf>
    <xf numFmtId="166" fontId="12" fillId="15" borderId="77" xfId="0" applyNumberFormat="1" applyFont="1" applyFill="1" applyBorder="1" applyAlignment="1" applyProtection="1">
      <alignment horizontal="center" vertical="center" wrapText="1"/>
    </xf>
    <xf numFmtId="166" fontId="12" fillId="15" borderId="78" xfId="0" applyNumberFormat="1" applyFont="1" applyFill="1" applyBorder="1" applyAlignment="1" applyProtection="1">
      <alignment horizontal="center" vertical="center" wrapText="1"/>
    </xf>
    <xf numFmtId="166" fontId="12" fillId="15" borderId="79" xfId="0" applyNumberFormat="1" applyFont="1" applyFill="1" applyBorder="1" applyAlignment="1" applyProtection="1">
      <alignment horizontal="center" vertical="center" wrapText="1"/>
    </xf>
    <xf numFmtId="166" fontId="12" fillId="15" borderId="72" xfId="0" applyNumberFormat="1" applyFont="1" applyFill="1" applyBorder="1" applyAlignment="1" applyProtection="1">
      <alignment horizontal="center" vertical="center" wrapText="1"/>
    </xf>
    <xf numFmtId="166" fontId="12" fillId="35" borderId="80" xfId="0" applyNumberFormat="1" applyFont="1" applyFill="1" applyBorder="1" applyAlignment="1" applyProtection="1">
      <alignment horizontal="center" vertical="center" wrapText="1"/>
    </xf>
    <xf numFmtId="166" fontId="12" fillId="35" borderId="81" xfId="0" applyNumberFormat="1" applyFont="1" applyFill="1" applyBorder="1" applyAlignment="1" applyProtection="1">
      <alignment horizontal="center" vertical="center" wrapText="1"/>
    </xf>
    <xf numFmtId="166" fontId="12" fillId="35" borderId="82" xfId="0" applyNumberFormat="1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91" xfId="0" applyFont="1" applyFill="1" applyBorder="1" applyAlignment="1" applyProtection="1">
      <alignment horizontal="left" vertical="center"/>
      <protection locked="0"/>
    </xf>
    <xf numFmtId="0" fontId="0" fillId="12" borderId="91" xfId="0" applyFont="1" applyFill="1" applyBorder="1" applyProtection="1">
      <protection locked="0"/>
    </xf>
    <xf numFmtId="0" fontId="0" fillId="12" borderId="92" xfId="0" applyFont="1" applyFill="1" applyBorder="1" applyProtection="1">
      <protection locked="0"/>
    </xf>
    <xf numFmtId="176" fontId="0" fillId="12" borderId="93" xfId="13" applyNumberFormat="1" applyFont="1" applyFill="1" applyBorder="1" applyAlignment="1" applyProtection="1">
      <alignment vertical="center"/>
      <protection locked="0"/>
    </xf>
    <xf numFmtId="176" fontId="0" fillId="12" borderId="94" xfId="13" applyNumberFormat="1" applyFont="1" applyFill="1" applyBorder="1" applyAlignment="1" applyProtection="1">
      <alignment vertical="center"/>
      <protection locked="0"/>
    </xf>
    <xf numFmtId="0" fontId="0" fillId="12" borderId="95" xfId="0" applyFont="1" applyFill="1" applyBorder="1" applyAlignment="1" applyProtection="1">
      <alignment horizontal="left" vertical="center"/>
      <protection locked="0"/>
    </xf>
    <xf numFmtId="0" fontId="0" fillId="12" borderId="95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6" fontId="0" fillId="12" borderId="95" xfId="13" applyNumberFormat="1" applyFont="1" applyFill="1" applyBorder="1" applyAlignment="1" applyProtection="1">
      <alignment vertical="center"/>
      <protection locked="0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8" xfId="0" applyFont="1" applyFill="1" applyBorder="1" applyProtection="1">
      <protection locked="0"/>
    </xf>
    <xf numFmtId="0" fontId="0" fillId="12" borderId="89" xfId="0" applyFont="1" applyFill="1" applyBorder="1" applyAlignment="1" applyProtection="1">
      <alignment horizontal="left" vertical="center"/>
      <protection locked="0"/>
    </xf>
    <xf numFmtId="0" fontId="0" fillId="12" borderId="89" xfId="0" applyFont="1" applyFill="1" applyBorder="1" applyProtection="1">
      <protection locked="0"/>
    </xf>
    <xf numFmtId="0" fontId="0" fillId="12" borderId="94" xfId="0" applyFont="1" applyFill="1" applyBorder="1" applyAlignment="1" applyProtection="1">
      <alignment horizontal="left" vertical="center"/>
      <protection locked="0"/>
    </xf>
    <xf numFmtId="0" fontId="0" fillId="12" borderId="94" xfId="0" applyFont="1" applyFill="1" applyBorder="1" applyProtection="1">
      <protection locked="0"/>
    </xf>
    <xf numFmtId="0" fontId="0" fillId="12" borderId="100" xfId="0" applyFont="1" applyFill="1" applyBorder="1" applyProtection="1">
      <protection locked="0"/>
    </xf>
    <xf numFmtId="175" fontId="0" fillId="0" borderId="101" xfId="0" applyNumberFormat="1" applyFont="1" applyFill="1" applyBorder="1" applyAlignment="1" applyProtection="1">
      <alignment horizontal="right" vertical="center"/>
    </xf>
    <xf numFmtId="175" fontId="0" fillId="0" borderId="103" xfId="0" applyNumberFormat="1" applyFont="1" applyFill="1" applyBorder="1" applyAlignment="1" applyProtection="1">
      <alignment horizontal="right" vertical="center"/>
    </xf>
    <xf numFmtId="175" fontId="0" fillId="0" borderId="104" xfId="0" applyNumberFormat="1" applyFont="1" applyFill="1" applyBorder="1" applyAlignment="1" applyProtection="1">
      <alignment horizontal="right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21" xfId="0" applyFont="1" applyFill="1" applyBorder="1" applyAlignment="1" applyProtection="1">
      <alignment horizontal="center" vertical="center" wrapText="1"/>
    </xf>
    <xf numFmtId="0" fontId="12" fillId="16" borderId="39" xfId="0" applyFont="1" applyFill="1" applyBorder="1" applyAlignment="1" applyProtection="1">
      <alignment horizontal="center" vertical="center" wrapText="1"/>
    </xf>
    <xf numFmtId="176" fontId="0" fillId="12" borderId="98" xfId="13" applyNumberFormat="1" applyFont="1" applyFill="1" applyBorder="1" applyAlignment="1" applyProtection="1">
      <alignment vertical="center"/>
      <protection locked="0"/>
    </xf>
    <xf numFmtId="176" fontId="0" fillId="12" borderId="100" xfId="13" applyNumberFormat="1" applyFont="1" applyFill="1" applyBorder="1" applyAlignment="1" applyProtection="1">
      <alignment vertical="center"/>
      <protection locked="0"/>
    </xf>
    <xf numFmtId="176" fontId="0" fillId="12" borderId="96" xfId="13" applyNumberFormat="1" applyFont="1" applyFill="1" applyBorder="1" applyAlignment="1" applyProtection="1">
      <alignment vertical="center"/>
      <protection locked="0"/>
    </xf>
    <xf numFmtId="175" fontId="0" fillId="29" borderId="103" xfId="0" applyNumberFormat="1" applyFont="1" applyFill="1" applyBorder="1" applyAlignment="1" applyProtection="1">
      <alignment horizontal="right" vertical="center"/>
    </xf>
    <xf numFmtId="175" fontId="0" fillId="29" borderId="104" xfId="0" applyNumberFormat="1" applyFont="1" applyFill="1" applyBorder="1" applyAlignment="1" applyProtection="1">
      <alignment horizontal="right" vertical="center"/>
    </xf>
    <xf numFmtId="175" fontId="0" fillId="29" borderId="101" xfId="0" applyNumberFormat="1" applyFont="1" applyFill="1" applyBorder="1" applyAlignment="1" applyProtection="1">
      <alignment horizontal="right" vertical="center"/>
    </xf>
    <xf numFmtId="175" fontId="0" fillId="29" borderId="97" xfId="0" applyNumberFormat="1" applyFont="1" applyFill="1" applyBorder="1" applyAlignment="1" applyProtection="1">
      <alignment horizontal="right" vertical="center"/>
    </xf>
    <xf numFmtId="175" fontId="0" fillId="29" borderId="105" xfId="0" applyNumberFormat="1" applyFont="1" applyFill="1" applyBorder="1" applyAlignment="1" applyProtection="1">
      <alignment horizontal="right" vertical="center"/>
    </xf>
    <xf numFmtId="175" fontId="0" fillId="0" borderId="97" xfId="0" applyNumberFormat="1" applyFont="1" applyFill="1" applyBorder="1" applyAlignment="1" applyProtection="1">
      <alignment horizontal="right" vertical="center"/>
    </xf>
    <xf numFmtId="175" fontId="0" fillId="0" borderId="105" xfId="0" applyNumberFormat="1" applyFont="1" applyFill="1" applyBorder="1" applyAlignment="1" applyProtection="1">
      <alignment horizontal="right" vertical="center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94" xfId="0" applyFont="1" applyFill="1" applyBorder="1" applyAlignment="1" applyProtection="1">
      <alignment horizontal="left" vertical="center"/>
    </xf>
    <xf numFmtId="0" fontId="10" fillId="20" borderId="94" xfId="0" applyFont="1" applyFill="1" applyBorder="1" applyAlignment="1" applyProtection="1">
      <alignment horizontal="left" vertical="center"/>
    </xf>
    <xf numFmtId="173" fontId="18" fillId="0" borderId="94" xfId="0" applyNumberFormat="1" applyFont="1" applyFill="1" applyBorder="1" applyAlignment="1" applyProtection="1">
      <alignment horizontal="left"/>
    </xf>
    <xf numFmtId="0" fontId="12" fillId="21" borderId="94" xfId="0" applyFont="1" applyFill="1" applyBorder="1" applyAlignment="1" applyProtection="1">
      <alignment horizontal="center" vertical="center"/>
    </xf>
    <xf numFmtId="0" fontId="12" fillId="20" borderId="94" xfId="0" applyFont="1" applyFill="1" applyBorder="1" applyAlignment="1" applyProtection="1">
      <alignment horizontal="center" vertical="center" wrapText="1"/>
    </xf>
    <xf numFmtId="1" fontId="0" fillId="0" borderId="94" xfId="0" applyNumberFormat="1" applyFont="1" applyFill="1" applyBorder="1" applyAlignment="1" applyProtection="1">
      <alignment horizontal="center" vertical="center" wrapText="1"/>
    </xf>
    <xf numFmtId="166" fontId="10" fillId="23" borderId="94" xfId="13" applyNumberFormat="1" applyFont="1" applyFill="1" applyBorder="1" applyAlignment="1" applyProtection="1">
      <alignment horizontal="center" vertical="center"/>
    </xf>
    <xf numFmtId="166" fontId="10" fillId="20" borderId="94" xfId="13" applyNumberFormat="1" applyFont="1" applyFill="1" applyBorder="1" applyAlignment="1" applyProtection="1">
      <alignment horizontal="center" vertical="center"/>
    </xf>
    <xf numFmtId="166" fontId="0" fillId="12" borderId="94" xfId="13" applyNumberFormat="1" applyFont="1" applyFill="1" applyBorder="1" applyAlignment="1" applyProtection="1">
      <alignment vertical="center"/>
      <protection locked="0"/>
    </xf>
    <xf numFmtId="0" fontId="12" fillId="31" borderId="94" xfId="0" applyFont="1" applyFill="1" applyBorder="1" applyAlignment="1" applyProtection="1">
      <alignment horizontal="center" vertical="center" wrapText="1"/>
    </xf>
    <xf numFmtId="0" fontId="12" fillId="32" borderId="94" xfId="0" applyFont="1" applyFill="1" applyBorder="1" applyAlignment="1" applyProtection="1">
      <alignment horizontal="left" vertical="center"/>
    </xf>
    <xf numFmtId="166" fontId="12" fillId="31" borderId="94" xfId="0" applyNumberFormat="1" applyFont="1" applyFill="1" applyBorder="1" applyAlignment="1" applyProtection="1">
      <alignment horizontal="center" vertical="center" wrapText="1"/>
    </xf>
    <xf numFmtId="9" fontId="0" fillId="12" borderId="109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27" xfId="13" applyNumberFormat="1" applyFont="1" applyFill="1" applyBorder="1" applyAlignment="1" applyProtection="1">
      <alignment vertical="center"/>
    </xf>
    <xf numFmtId="178" fontId="13" fillId="37" borderId="129" xfId="16" applyNumberFormat="1" applyFill="1" applyBorder="1" applyAlignment="1" applyProtection="1">
      <alignment horizontal="center" vertical="center"/>
    </xf>
    <xf numFmtId="178" fontId="13" fillId="37" borderId="130" xfId="16" applyNumberFormat="1" applyFill="1" applyBorder="1" applyAlignment="1" applyProtection="1">
      <alignment horizontal="center" vertical="center"/>
    </xf>
    <xf numFmtId="177" fontId="0" fillId="12" borderId="129" xfId="13" applyNumberFormat="1" applyFont="1" applyFill="1" applyBorder="1" applyAlignment="1" applyProtection="1">
      <alignment horizontal="center" vertical="center"/>
      <protection locked="0"/>
    </xf>
    <xf numFmtId="177" fontId="12" fillId="29" borderId="130" xfId="0" applyNumberFormat="1" applyFont="1" applyFill="1" applyBorder="1" applyAlignment="1" applyProtection="1">
      <alignment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41" xfId="0" applyFont="1" applyFill="1" applyBorder="1" applyAlignment="1" applyProtection="1">
      <alignment horizontal="center" vertical="center"/>
      <protection locked="0"/>
    </xf>
    <xf numFmtId="176" fontId="0" fillId="12" borderId="131" xfId="13" applyNumberFormat="1" applyFont="1" applyFill="1" applyBorder="1" applyAlignment="1" applyProtection="1">
      <alignment vertical="center"/>
      <protection locked="0"/>
    </xf>
    <xf numFmtId="9" fontId="0" fillId="12" borderId="132" xfId="0" applyNumberFormat="1" applyFont="1" applyFill="1" applyBorder="1" applyAlignment="1" applyProtection="1">
      <alignment horizontal="center" vertical="center"/>
      <protection locked="0"/>
    </xf>
    <xf numFmtId="175" fontId="0" fillId="0" borderId="133" xfId="0" applyNumberFormat="1" applyFont="1" applyFill="1" applyBorder="1" applyAlignment="1" applyProtection="1">
      <alignment horizontal="right" vertical="center"/>
    </xf>
    <xf numFmtId="175" fontId="0" fillId="0" borderId="98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127" xfId="0" applyNumberFormat="1" applyFont="1" applyFill="1" applyBorder="1" applyAlignment="1" applyProtection="1">
      <alignment horizontal="right" vertical="center"/>
    </xf>
    <xf numFmtId="9" fontId="0" fillId="11" borderId="130" xfId="0" applyNumberFormat="1" applyFont="1" applyFill="1" applyBorder="1" applyAlignment="1" applyProtection="1">
      <alignment horizontal="center" vertical="center"/>
    </xf>
    <xf numFmtId="9" fontId="0" fillId="11" borderId="133" xfId="0" applyNumberFormat="1" applyFont="1" applyFill="1" applyBorder="1" applyAlignment="1" applyProtection="1">
      <alignment horizontal="center" vertical="center"/>
    </xf>
    <xf numFmtId="9" fontId="0" fillId="12" borderId="136" xfId="0" applyNumberFormat="1" applyFont="1" applyFill="1" applyBorder="1" applyAlignment="1" applyProtection="1">
      <alignment horizontal="center" vertical="center"/>
      <protection locked="0"/>
    </xf>
    <xf numFmtId="9" fontId="0" fillId="11" borderId="135" xfId="0" applyNumberFormat="1" applyFont="1" applyFill="1" applyBorder="1" applyAlignment="1" applyProtection="1">
      <alignment horizontal="center" vertical="center"/>
    </xf>
    <xf numFmtId="0" fontId="12" fillId="16" borderId="144" xfId="0" applyFont="1" applyFill="1" applyBorder="1" applyAlignment="1" applyProtection="1">
      <alignment horizontal="center" vertical="center" wrapText="1"/>
    </xf>
    <xf numFmtId="0" fontId="9" fillId="14" borderId="136" xfId="0" applyFont="1" applyFill="1" applyBorder="1" applyAlignment="1" applyProtection="1">
      <alignment horizontal="center" vertical="center"/>
    </xf>
    <xf numFmtId="0" fontId="9" fillId="47" borderId="135" xfId="0" applyFont="1" applyFill="1" applyBorder="1" applyAlignment="1" applyProtection="1">
      <alignment horizontal="center" vertical="center"/>
    </xf>
    <xf numFmtId="0" fontId="9" fillId="14" borderId="127" xfId="0" applyFont="1" applyFill="1" applyBorder="1" applyAlignment="1" applyProtection="1">
      <alignment horizontal="center" vertical="center"/>
    </xf>
    <xf numFmtId="0" fontId="9" fillId="47" borderId="148" xfId="0" applyFont="1" applyFill="1" applyBorder="1" applyAlignment="1" applyProtection="1">
      <alignment horizontal="center" vertical="center"/>
    </xf>
    <xf numFmtId="167" fontId="0" fillId="12" borderId="111" xfId="16" applyFont="1" applyFill="1" applyBorder="1" applyAlignment="1" applyProtection="1">
      <alignment horizontal="center" vertical="center"/>
      <protection locked="0"/>
    </xf>
    <xf numFmtId="167" fontId="0" fillId="12" borderId="149" xfId="16" applyFont="1" applyFill="1" applyBorder="1" applyAlignment="1" applyProtection="1">
      <alignment horizontal="center" vertical="center"/>
      <protection locked="0"/>
    </xf>
    <xf numFmtId="167" fontId="0" fillId="12" borderId="148" xfId="16" applyFont="1" applyFill="1" applyBorder="1" applyAlignment="1" applyProtection="1">
      <alignment horizontal="center" vertical="center"/>
      <protection locked="0"/>
    </xf>
    <xf numFmtId="175" fontId="0" fillId="0" borderId="130" xfId="0" applyNumberFormat="1" applyFont="1" applyFill="1" applyBorder="1" applyAlignment="1" applyProtection="1">
      <alignment horizontal="right" vertical="center"/>
    </xf>
    <xf numFmtId="175" fontId="0" fillId="0" borderId="135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36" xfId="0" applyFont="1" applyFill="1" applyBorder="1" applyAlignment="1" applyProtection="1">
      <alignment horizontal="center" vertical="center"/>
    </xf>
    <xf numFmtId="0" fontId="9" fillId="48" borderId="135" xfId="0" applyFont="1" applyFill="1" applyBorder="1" applyAlignment="1" applyProtection="1">
      <alignment horizontal="center" vertical="center"/>
    </xf>
    <xf numFmtId="167" fontId="32" fillId="0" borderId="112" xfId="16" applyFont="1" applyFill="1" applyBorder="1" applyAlignment="1" applyProtection="1">
      <alignment horizontal="center" vertical="center"/>
    </xf>
    <xf numFmtId="167" fontId="32" fillId="0" borderId="115" xfId="16" applyFont="1" applyFill="1" applyBorder="1" applyAlignment="1" applyProtection="1">
      <alignment horizontal="center" vertical="center"/>
    </xf>
    <xf numFmtId="175" fontId="0" fillId="27" borderId="114" xfId="0" applyNumberFormat="1" applyFont="1" applyFill="1" applyBorder="1" applyAlignment="1" applyProtection="1">
      <alignment horizontal="right" vertical="center"/>
    </xf>
    <xf numFmtId="175" fontId="0" fillId="27" borderId="152" xfId="0" applyNumberFormat="1" applyFont="1" applyFill="1" applyBorder="1" applyAlignment="1" applyProtection="1">
      <alignment horizontal="right" vertical="center"/>
    </xf>
    <xf numFmtId="0" fontId="0" fillId="11" borderId="154" xfId="0" applyFont="1" applyFill="1" applyBorder="1" applyProtection="1"/>
    <xf numFmtId="0" fontId="0" fillId="11" borderId="155" xfId="0" applyFont="1" applyFill="1" applyBorder="1" applyProtection="1"/>
    <xf numFmtId="0" fontId="0" fillId="11" borderId="156" xfId="0" applyFont="1" applyFill="1" applyBorder="1" applyProtection="1"/>
    <xf numFmtId="0" fontId="0" fillId="11" borderId="144" xfId="0" applyFont="1" applyFill="1" applyBorder="1" applyProtection="1"/>
    <xf numFmtId="0" fontId="0" fillId="11" borderId="88" xfId="0" applyFont="1" applyFill="1" applyBorder="1" applyProtection="1"/>
    <xf numFmtId="0" fontId="25" fillId="0" borderId="144" xfId="0" applyFont="1" applyBorder="1" applyAlignment="1" applyProtection="1">
      <alignment vertical="center"/>
    </xf>
    <xf numFmtId="0" fontId="9" fillId="14" borderId="137" xfId="0" applyFont="1" applyFill="1" applyBorder="1" applyAlignment="1" applyProtection="1">
      <alignment horizontal="center" vertical="center"/>
    </xf>
    <xf numFmtId="0" fontId="9" fillId="14" borderId="153" xfId="0" applyFont="1" applyFill="1" applyBorder="1" applyAlignment="1" applyProtection="1">
      <alignment horizontal="center" vertical="center"/>
    </xf>
    <xf numFmtId="0" fontId="9" fillId="48" borderId="137" xfId="0" applyFont="1" applyFill="1" applyBorder="1" applyAlignment="1" applyProtection="1">
      <alignment horizontal="center" vertical="center"/>
    </xf>
    <xf numFmtId="0" fontId="9" fillId="48" borderId="153" xfId="0" applyFont="1" applyFill="1" applyBorder="1" applyAlignment="1" applyProtection="1">
      <alignment horizontal="center" vertical="center"/>
    </xf>
    <xf numFmtId="0" fontId="9" fillId="47" borderId="137" xfId="0" applyFont="1" applyFill="1" applyBorder="1" applyAlignment="1" applyProtection="1">
      <alignment horizontal="center" vertical="center"/>
    </xf>
    <xf numFmtId="0" fontId="9" fillId="47" borderId="153" xfId="0" applyFont="1" applyFill="1" applyBorder="1" applyAlignment="1" applyProtection="1">
      <alignment horizontal="center" vertical="center"/>
    </xf>
    <xf numFmtId="175" fontId="0" fillId="26" borderId="129" xfId="0" applyNumberFormat="1" applyFont="1" applyFill="1" applyBorder="1" applyAlignment="1" applyProtection="1">
      <alignment horizontal="right" vertical="center"/>
    </xf>
    <xf numFmtId="175" fontId="0" fillId="26" borderId="130" xfId="0" applyNumberFormat="1" applyFont="1" applyFill="1" applyBorder="1" applyAlignment="1" applyProtection="1">
      <alignment horizontal="right" vertical="center"/>
    </xf>
    <xf numFmtId="0" fontId="0" fillId="11" borderId="145" xfId="0" applyFont="1" applyFill="1" applyBorder="1" applyProtection="1"/>
    <xf numFmtId="0" fontId="0" fillId="11" borderId="151" xfId="0" applyFont="1" applyFill="1" applyBorder="1" applyProtection="1"/>
    <xf numFmtId="0" fontId="0" fillId="11" borderId="84" xfId="0" applyFont="1" applyFill="1" applyBorder="1" applyProtection="1"/>
    <xf numFmtId="166" fontId="10" fillId="20" borderId="94" xfId="13" applyNumberFormat="1" applyFont="1" applyFill="1" applyBorder="1" applyAlignment="1" applyProtection="1">
      <alignment horizontal="center" vertical="center"/>
      <protection locked="0"/>
    </xf>
    <xf numFmtId="9" fontId="0" fillId="44" borderId="109" xfId="0" applyNumberFormat="1" applyFont="1" applyFill="1" applyBorder="1" applyAlignment="1" applyProtection="1">
      <alignment horizontal="center" vertical="center"/>
    </xf>
    <xf numFmtId="9" fontId="0" fillId="44" borderId="129" xfId="0" applyNumberFormat="1" applyFont="1" applyFill="1" applyBorder="1" applyAlignment="1" applyProtection="1">
      <alignment horizontal="center" vertical="center"/>
    </xf>
    <xf numFmtId="167" fontId="0" fillId="44" borderId="129" xfId="16" applyFont="1" applyFill="1" applyBorder="1" applyAlignment="1" applyProtection="1">
      <alignment horizontal="center" vertical="center"/>
    </xf>
    <xf numFmtId="0" fontId="12" fillId="16" borderId="153" xfId="0" applyFont="1" applyFill="1" applyBorder="1" applyAlignment="1" applyProtection="1">
      <alignment horizontal="center" vertical="center" wrapText="1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0" fontId="0" fillId="12" borderId="129" xfId="0" applyFont="1" applyFill="1" applyBorder="1" applyAlignment="1" applyProtection="1">
      <alignment horizontal="left" vertical="center"/>
      <protection locked="0"/>
    </xf>
    <xf numFmtId="176" fontId="0" fillId="12" borderId="129" xfId="13" applyNumberFormat="1" applyFont="1" applyFill="1" applyBorder="1" applyAlignment="1" applyProtection="1">
      <alignment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76" fontId="0" fillId="12" borderId="134" xfId="13" applyNumberFormat="1" applyFont="1" applyFill="1" applyBorder="1" applyAlignment="1" applyProtection="1">
      <alignment vertical="center"/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0" fontId="0" fillId="12" borderId="127" xfId="0" applyFont="1" applyFill="1" applyBorder="1" applyAlignment="1" applyProtection="1">
      <alignment horizontal="left" vertical="center"/>
      <protection locked="0"/>
    </xf>
    <xf numFmtId="176" fontId="0" fillId="12" borderId="109" xfId="13" applyNumberFormat="1" applyFont="1" applyFill="1" applyBorder="1" applyAlignment="1" applyProtection="1">
      <alignment vertical="center"/>
      <protection locked="0"/>
    </xf>
    <xf numFmtId="175" fontId="0" fillId="29" borderId="130" xfId="0" applyNumberFormat="1" applyFont="1" applyFill="1" applyBorder="1" applyAlignment="1" applyProtection="1">
      <alignment vertical="center"/>
    </xf>
    <xf numFmtId="176" fontId="0" fillId="12" borderId="132" xfId="13" applyNumberFormat="1" applyFont="1" applyFill="1" applyBorder="1" applyAlignment="1" applyProtection="1">
      <alignment vertical="center"/>
      <protection locked="0"/>
    </xf>
    <xf numFmtId="175" fontId="0" fillId="29" borderId="133" xfId="0" applyNumberFormat="1" applyFont="1" applyFill="1" applyBorder="1" applyAlignment="1" applyProtection="1">
      <alignment vertical="center"/>
    </xf>
    <xf numFmtId="176" fontId="0" fillId="12" borderId="136" xfId="13" applyNumberFormat="1" applyFont="1" applyFill="1" applyBorder="1" applyAlignment="1" applyProtection="1">
      <alignment vertical="center"/>
      <protection locked="0"/>
    </xf>
    <xf numFmtId="175" fontId="0" fillId="29" borderId="135" xfId="0" applyNumberFormat="1" applyFont="1" applyFill="1" applyBorder="1" applyAlignment="1" applyProtection="1">
      <alignment vertical="center"/>
    </xf>
    <xf numFmtId="175" fontId="0" fillId="29" borderId="147" xfId="0" applyNumberFormat="1" applyFont="1" applyFill="1" applyBorder="1" applyAlignment="1" applyProtection="1">
      <alignment horizontal="right" vertical="center"/>
    </xf>
    <xf numFmtId="175" fontId="0" fillId="29" borderId="167" xfId="0" applyNumberFormat="1" applyFont="1" applyFill="1" applyBorder="1" applyAlignment="1" applyProtection="1">
      <alignment horizontal="right" vertical="center"/>
    </xf>
    <xf numFmtId="175" fontId="0" fillId="29" borderId="168" xfId="0" applyNumberFormat="1" applyFont="1" applyFill="1" applyBorder="1" applyAlignment="1" applyProtection="1">
      <alignment horizontal="right" vertical="center"/>
    </xf>
    <xf numFmtId="175" fontId="22" fillId="28" borderId="143" xfId="0" applyNumberFormat="1" applyFont="1" applyFill="1" applyBorder="1" applyAlignment="1" applyProtection="1">
      <alignment horizontal="center" vertical="center"/>
    </xf>
    <xf numFmtId="175" fontId="23" fillId="28" borderId="58" xfId="0" applyNumberFormat="1" applyFont="1" applyFill="1" applyBorder="1" applyAlignment="1" applyProtection="1">
      <alignment vertical="center"/>
    </xf>
    <xf numFmtId="166" fontId="0" fillId="12" borderId="130" xfId="13" applyNumberFormat="1" applyFont="1" applyFill="1" applyBorder="1" applyAlignment="1" applyProtection="1">
      <alignment vertical="center"/>
      <protection locked="0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166" fontId="0" fillId="12" borderId="135" xfId="13" applyNumberFormat="1" applyFont="1" applyFill="1" applyBorder="1" applyAlignment="1" applyProtection="1">
      <alignment vertical="center"/>
      <protection locked="0"/>
    </xf>
    <xf numFmtId="178" fontId="13" fillId="37" borderId="136" xfId="16" applyNumberFormat="1" applyFill="1" applyBorder="1" applyAlignment="1" applyProtection="1">
      <alignment horizontal="center" vertical="center"/>
    </xf>
    <xf numFmtId="178" fontId="13" fillId="37" borderId="134" xfId="16" applyNumberFormat="1" applyFill="1" applyBorder="1" applyAlignment="1" applyProtection="1">
      <alignment horizontal="center" vertical="center"/>
    </xf>
    <xf numFmtId="178" fontId="13" fillId="37" borderId="13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166" fontId="0" fillId="12" borderId="131" xfId="13" applyNumberFormat="1" applyFont="1" applyFill="1" applyBorder="1" applyAlignment="1" applyProtection="1">
      <alignment vertical="center"/>
      <protection locked="0"/>
    </xf>
    <xf numFmtId="174" fontId="18" fillId="12" borderId="131" xfId="12" applyNumberFormat="1" applyFont="1" applyFill="1" applyBorder="1" applyAlignment="1" applyProtection="1">
      <alignment vertical="center"/>
      <protection locked="0"/>
    </xf>
    <xf numFmtId="166" fontId="18" fillId="12" borderId="131" xfId="13" applyNumberFormat="1" applyFont="1" applyFill="1" applyBorder="1" applyAlignment="1" applyProtection="1">
      <alignment vertical="center"/>
      <protection locked="0"/>
    </xf>
    <xf numFmtId="166" fontId="10" fillId="20" borderId="131" xfId="13" applyNumberFormat="1" applyFont="1" applyFill="1" applyBorder="1" applyAlignment="1" applyProtection="1">
      <alignment horizontal="center" vertical="center"/>
    </xf>
    <xf numFmtId="166" fontId="10" fillId="28" borderId="175" xfId="13" applyNumberFormat="1" applyFont="1" applyFill="1" applyBorder="1" applyAlignment="1" applyProtection="1">
      <alignment vertical="center"/>
    </xf>
    <xf numFmtId="166" fontId="10" fillId="20" borderId="174" xfId="13" applyNumberFormat="1" applyFont="1" applyFill="1" applyBorder="1" applyAlignment="1" applyProtection="1">
      <alignment horizontal="center" vertical="center"/>
    </xf>
    <xf numFmtId="166" fontId="10" fillId="23" borderId="174" xfId="13" applyNumberFormat="1" applyFont="1" applyFill="1" applyBorder="1" applyAlignment="1" applyProtection="1">
      <alignment horizontal="center" vertical="center"/>
    </xf>
    <xf numFmtId="166" fontId="10" fillId="20" borderId="175" xfId="13" applyNumberFormat="1" applyFont="1" applyFill="1" applyBorder="1" applyAlignment="1" applyProtection="1">
      <alignment vertical="center"/>
    </xf>
    <xf numFmtId="166" fontId="10" fillId="28" borderId="170" xfId="13" applyNumberFormat="1" applyFont="1" applyFill="1" applyBorder="1" applyAlignment="1" applyProtection="1">
      <alignment vertical="center"/>
    </xf>
    <xf numFmtId="166" fontId="10" fillId="23" borderId="175" xfId="13" applyNumberFormat="1" applyFont="1" applyFill="1" applyBorder="1" applyAlignment="1" applyProtection="1">
      <alignment horizontal="center" vertical="center"/>
    </xf>
    <xf numFmtId="166" fontId="18" fillId="29" borderId="131" xfId="13" applyNumberFormat="1" applyFont="1" applyFill="1" applyBorder="1" applyAlignment="1" applyProtection="1">
      <alignment vertical="center"/>
    </xf>
    <xf numFmtId="166" fontId="10" fillId="23" borderId="131" xfId="13" applyNumberFormat="1" applyFont="1" applyFill="1" applyBorder="1" applyAlignment="1" applyProtection="1">
      <alignment horizontal="center" vertical="center"/>
    </xf>
    <xf numFmtId="166" fontId="10" fillId="20" borderId="131" xfId="13" applyNumberFormat="1" applyFont="1" applyFill="1" applyBorder="1" applyAlignment="1" applyProtection="1">
      <alignment vertical="center"/>
    </xf>
    <xf numFmtId="165" fontId="12" fillId="32" borderId="131" xfId="13" applyNumberFormat="1" applyFont="1" applyFill="1" applyBorder="1" applyAlignment="1" applyProtection="1">
      <alignment vertical="center"/>
    </xf>
    <xf numFmtId="0" fontId="12" fillId="17" borderId="131" xfId="0" applyFont="1" applyFill="1" applyBorder="1" applyAlignment="1" applyProtection="1">
      <alignment horizontal="center" vertical="center" wrapText="1"/>
    </xf>
    <xf numFmtId="172" fontId="12" fillId="17" borderId="131" xfId="12" applyNumberFormat="1" applyFont="1" applyFill="1" applyBorder="1" applyAlignment="1" applyProtection="1">
      <alignment horizontal="center" vertical="center" wrapText="1"/>
    </xf>
    <xf numFmtId="0" fontId="10" fillId="17" borderId="131" xfId="0" applyFont="1" applyFill="1" applyBorder="1" applyAlignment="1" applyProtection="1">
      <alignment horizontal="center" vertical="center"/>
    </xf>
    <xf numFmtId="166" fontId="12" fillId="41" borderId="131" xfId="13" applyNumberFormat="1" applyFont="1" applyFill="1" applyBorder="1" applyAlignment="1" applyProtection="1">
      <alignment vertical="center"/>
    </xf>
    <xf numFmtId="166" fontId="12" fillId="42" borderId="131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30" xfId="13" applyNumberFormat="1" applyFont="1" applyFill="1" applyBorder="1" applyAlignment="1" applyProtection="1">
      <alignment vertical="center"/>
    </xf>
    <xf numFmtId="176" fontId="0" fillId="29" borderId="136" xfId="13" applyNumberFormat="1" applyFont="1" applyFill="1" applyBorder="1" applyAlignment="1" applyProtection="1">
      <alignment vertical="center"/>
    </xf>
    <xf numFmtId="176" fontId="0" fillId="29" borderId="134" xfId="13" applyNumberFormat="1" applyFont="1" applyFill="1" applyBorder="1" applyAlignment="1" applyProtection="1">
      <alignment vertical="center"/>
    </xf>
    <xf numFmtId="176" fontId="0" fillId="29" borderId="135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166" fontId="0" fillId="0" borderId="181" xfId="0" applyNumberFormat="1" applyFont="1" applyFill="1" applyBorder="1" applyAlignment="1" applyProtection="1">
      <alignment vertical="center"/>
    </xf>
    <xf numFmtId="166" fontId="12" fillId="35" borderId="182" xfId="0" applyNumberFormat="1" applyFont="1" applyFill="1" applyBorder="1" applyAlignment="1" applyProtection="1">
      <alignment horizontal="center" vertical="center" wrapText="1"/>
    </xf>
    <xf numFmtId="166" fontId="12" fillId="35" borderId="183" xfId="0" applyNumberFormat="1" applyFont="1" applyFill="1" applyBorder="1" applyAlignment="1" applyProtection="1">
      <alignment horizontal="center" vertical="center" wrapText="1"/>
    </xf>
    <xf numFmtId="166" fontId="12" fillId="35" borderId="184" xfId="0" applyNumberFormat="1" applyFont="1" applyFill="1" applyBorder="1" applyAlignment="1" applyProtection="1">
      <alignment horizontal="center" vertical="center" wrapText="1"/>
    </xf>
    <xf numFmtId="166" fontId="0" fillId="10" borderId="131" xfId="13" applyNumberFormat="1" applyFont="1" applyFill="1" applyBorder="1" applyAlignment="1" applyProtection="1">
      <alignment horizontal="right" vertical="center"/>
    </xf>
    <xf numFmtId="171" fontId="0" fillId="0" borderId="131" xfId="12" applyNumberFormat="1" applyFont="1" applyFill="1" applyBorder="1" applyAlignment="1" applyProtection="1">
      <alignment vertical="center"/>
    </xf>
    <xf numFmtId="166" fontId="0" fillId="0" borderId="118" xfId="0" applyNumberFormat="1" applyFont="1" applyFill="1" applyBorder="1" applyAlignment="1" applyProtection="1">
      <alignment vertical="center"/>
    </xf>
    <xf numFmtId="166" fontId="13" fillId="0" borderId="129" xfId="13" applyNumberFormat="1" applyFont="1" applyFill="1" applyBorder="1" applyAlignment="1" applyProtection="1">
      <alignment vertical="center"/>
    </xf>
    <xf numFmtId="166" fontId="0" fillId="10" borderId="129" xfId="13" applyNumberFormat="1" applyFont="1" applyFill="1" applyBorder="1" applyAlignment="1" applyProtection="1">
      <alignment horizontal="right" vertical="center"/>
    </xf>
    <xf numFmtId="166" fontId="12" fillId="40" borderId="186" xfId="0" applyNumberFormat="1" applyFont="1" applyFill="1" applyBorder="1" applyAlignment="1" applyProtection="1">
      <alignment vertical="center"/>
    </xf>
    <xf numFmtId="166" fontId="12" fillId="40" borderId="134" xfId="13" applyNumberFormat="1" applyFont="1" applyFill="1" applyBorder="1" applyAlignment="1" applyProtection="1">
      <alignment vertical="center"/>
    </xf>
    <xf numFmtId="166" fontId="12" fillId="40" borderId="134" xfId="13" applyNumberFormat="1" applyFont="1" applyFill="1" applyBorder="1" applyAlignment="1" applyProtection="1">
      <alignment horizontal="right" vertical="center"/>
    </xf>
    <xf numFmtId="166" fontId="0" fillId="0" borderId="129" xfId="13" applyNumberFormat="1" applyFont="1" applyFill="1" applyBorder="1" applyAlignment="1" applyProtection="1">
      <alignment vertical="center"/>
    </xf>
    <xf numFmtId="166" fontId="13" fillId="0" borderId="60" xfId="13" applyNumberFormat="1" applyFont="1" applyFill="1" applyBorder="1" applyAlignment="1" applyProtection="1">
      <alignment vertical="center"/>
    </xf>
    <xf numFmtId="166" fontId="13" fillId="0" borderId="130" xfId="13" applyNumberFormat="1" applyFont="1" applyFill="1" applyBorder="1" applyAlignment="1" applyProtection="1">
      <alignment vertical="center"/>
    </xf>
    <xf numFmtId="171" fontId="0" fillId="0" borderId="132" xfId="12" applyNumberFormat="1" applyFont="1" applyFill="1" applyBorder="1" applyAlignment="1" applyProtection="1">
      <alignment vertical="center"/>
    </xf>
    <xf numFmtId="171" fontId="0" fillId="0" borderId="133" xfId="12" applyNumberFormat="1" applyFont="1" applyFill="1" applyBorder="1" applyAlignment="1" applyProtection="1">
      <alignment vertical="center"/>
    </xf>
    <xf numFmtId="166" fontId="12" fillId="40" borderId="136" xfId="13" applyNumberFormat="1" applyFont="1" applyFill="1" applyBorder="1" applyAlignment="1" applyProtection="1">
      <alignment vertical="center"/>
    </xf>
    <xf numFmtId="166" fontId="12" fillId="40" borderId="135" xfId="13" applyNumberFormat="1" applyFont="1" applyFill="1" applyBorder="1" applyAlignment="1" applyProtection="1">
      <alignment vertical="center"/>
    </xf>
    <xf numFmtId="166" fontId="0" fillId="10" borderId="172" xfId="13" applyNumberFormat="1" applyFont="1" applyFill="1" applyBorder="1" applyAlignment="1" applyProtection="1">
      <alignment horizontal="right" vertical="center"/>
    </xf>
    <xf numFmtId="166" fontId="0" fillId="10" borderId="149" xfId="13" applyNumberFormat="1" applyFont="1" applyFill="1" applyBorder="1" applyAlignment="1" applyProtection="1">
      <alignment horizontal="right" vertical="center"/>
    </xf>
    <xf numFmtId="166" fontId="12" fillId="40" borderId="148" xfId="13" applyNumberFormat="1" applyFont="1" applyFill="1" applyBorder="1" applyAlignment="1" applyProtection="1">
      <alignment horizontal="right" vertical="center"/>
    </xf>
    <xf numFmtId="166" fontId="13" fillId="44" borderId="65" xfId="13" applyNumberFormat="1" applyFont="1" applyFill="1" applyBorder="1" applyAlignment="1" applyProtection="1">
      <alignment vertical="center"/>
    </xf>
    <xf numFmtId="171" fontId="0" fillId="12" borderId="141" xfId="12" applyNumberFormat="1" applyFont="1" applyFill="1" applyBorder="1" applyAlignment="1" applyProtection="1">
      <alignment vertical="center"/>
      <protection locked="0"/>
    </xf>
    <xf numFmtId="166" fontId="12" fillId="40" borderId="127" xfId="13" applyNumberFormat="1" applyFont="1" applyFill="1" applyBorder="1" applyAlignment="1" applyProtection="1">
      <alignment vertical="center"/>
    </xf>
    <xf numFmtId="166" fontId="12" fillId="40" borderId="161" xfId="13" applyNumberFormat="1" applyFont="1" applyFill="1" applyBorder="1" applyAlignment="1" applyProtection="1">
      <alignment horizontal="right" vertical="center"/>
    </xf>
    <xf numFmtId="0" fontId="12" fillId="15" borderId="171" xfId="0" applyFont="1" applyFill="1" applyBorder="1" applyAlignment="1" applyProtection="1">
      <alignment horizontal="center" vertical="center" wrapText="1"/>
    </xf>
    <xf numFmtId="166" fontId="17" fillId="36" borderId="119" xfId="0" applyNumberFormat="1" applyFont="1" applyFill="1" applyBorder="1" applyAlignment="1" applyProtection="1">
      <alignment horizontal="center" vertical="center" wrapText="1"/>
    </xf>
    <xf numFmtId="166" fontId="17" fillId="36" borderId="196" xfId="0" applyNumberFormat="1" applyFont="1" applyFill="1" applyBorder="1" applyAlignment="1" applyProtection="1">
      <alignment horizontal="center" vertical="center" wrapText="1"/>
    </xf>
    <xf numFmtId="0" fontId="17" fillId="36" borderId="118" xfId="0" applyFont="1" applyFill="1" applyBorder="1" applyAlignment="1" applyProtection="1">
      <alignment horizontal="center" vertical="center" wrapText="1"/>
    </xf>
    <xf numFmtId="0" fontId="17" fillId="25" borderId="197" xfId="0" applyFont="1" applyFill="1" applyBorder="1" applyAlignment="1" applyProtection="1">
      <alignment horizontal="center" vertical="center" wrapText="1"/>
    </xf>
    <xf numFmtId="0" fontId="17" fillId="25" borderId="194" xfId="0" applyFont="1" applyFill="1" applyBorder="1" applyAlignment="1" applyProtection="1">
      <alignment horizontal="center" vertical="center" wrapText="1"/>
    </xf>
    <xf numFmtId="0" fontId="17" fillId="25" borderId="119" xfId="0" applyFont="1" applyFill="1" applyBorder="1" applyAlignment="1" applyProtection="1">
      <alignment horizontal="center" vertical="center" wrapText="1"/>
    </xf>
    <xf numFmtId="0" fontId="12" fillId="15" borderId="122" xfId="0" applyFont="1" applyFill="1" applyBorder="1" applyAlignment="1" applyProtection="1">
      <alignment horizontal="center" vertical="center" wrapText="1"/>
    </xf>
    <xf numFmtId="0" fontId="12" fillId="0" borderId="198" xfId="0" applyFont="1" applyFill="1" applyBorder="1" applyAlignment="1" applyProtection="1">
      <alignment horizontal="left" vertical="center"/>
    </xf>
    <xf numFmtId="166" fontId="0" fillId="29" borderId="178" xfId="13" applyNumberFormat="1" applyFont="1" applyFill="1" applyBorder="1" applyAlignment="1" applyProtection="1">
      <alignment vertical="center"/>
    </xf>
    <xf numFmtId="166" fontId="0" fillId="29" borderId="181" xfId="13" applyNumberFormat="1" applyFont="1" applyFill="1" applyBorder="1" applyAlignment="1" applyProtection="1">
      <alignment vertical="center"/>
    </xf>
    <xf numFmtId="166" fontId="12" fillId="29" borderId="199" xfId="13" applyNumberFormat="1" applyFont="1" applyFill="1" applyBorder="1" applyAlignment="1" applyProtection="1">
      <alignment vertical="center"/>
    </xf>
    <xf numFmtId="166" fontId="0" fillId="19" borderId="200" xfId="13" applyNumberFormat="1" applyFont="1" applyFill="1" applyBorder="1" applyAlignment="1" applyProtection="1">
      <alignment vertical="center"/>
    </xf>
    <xf numFmtId="166" fontId="0" fillId="19" borderId="201" xfId="13" applyNumberFormat="1" applyFont="1" applyFill="1" applyBorder="1" applyAlignment="1" applyProtection="1">
      <alignment vertical="center"/>
    </xf>
    <xf numFmtId="166" fontId="12" fillId="19" borderId="178" xfId="13" applyNumberFormat="1" applyFont="1" applyFill="1" applyBorder="1" applyAlignment="1" applyProtection="1">
      <alignment vertical="center"/>
    </xf>
    <xf numFmtId="166" fontId="12" fillId="0" borderId="202" xfId="13" applyNumberFormat="1" applyFont="1" applyFill="1" applyBorder="1" applyAlignment="1" applyProtection="1">
      <alignment vertical="center"/>
    </xf>
    <xf numFmtId="0" fontId="12" fillId="15" borderId="203" xfId="0" applyFont="1" applyFill="1" applyBorder="1" applyAlignment="1" applyProtection="1">
      <alignment horizontal="center" vertical="center"/>
    </xf>
    <xf numFmtId="166" fontId="22" fillId="15" borderId="204" xfId="13" applyNumberFormat="1" applyFont="1" applyFill="1" applyBorder="1" applyAlignment="1" applyProtection="1">
      <alignment vertical="center"/>
    </xf>
    <xf numFmtId="166" fontId="22" fillId="15" borderId="205" xfId="13" applyNumberFormat="1" applyFont="1" applyFill="1" applyBorder="1" applyAlignment="1" applyProtection="1">
      <alignment vertical="center"/>
    </xf>
    <xf numFmtId="166" fontId="22" fillId="15" borderId="206" xfId="13" applyNumberFormat="1" applyFont="1" applyFill="1" applyBorder="1" applyAlignment="1" applyProtection="1">
      <alignment vertical="center"/>
    </xf>
    <xf numFmtId="166" fontId="12" fillId="40" borderId="207" xfId="13" applyNumberFormat="1" applyFont="1" applyFill="1" applyBorder="1" applyAlignment="1" applyProtection="1">
      <alignment horizontal="right" vertical="center"/>
    </xf>
    <xf numFmtId="166" fontId="12" fillId="40" borderId="208" xfId="13" applyNumberFormat="1" applyFont="1" applyFill="1" applyBorder="1" applyAlignment="1" applyProtection="1">
      <alignment vertical="center"/>
    </xf>
    <xf numFmtId="166" fontId="12" fillId="40" borderId="142" xfId="13" applyNumberFormat="1" applyFont="1" applyFill="1" applyBorder="1" applyAlignment="1" applyProtection="1">
      <alignment horizontal="right" vertical="center"/>
    </xf>
    <xf numFmtId="177" fontId="0" fillId="12" borderId="209" xfId="13" applyNumberFormat="1" applyFont="1" applyFill="1" applyBorder="1" applyAlignment="1" applyProtection="1">
      <alignment horizontal="center" vertical="center"/>
      <protection locked="0"/>
    </xf>
    <xf numFmtId="0" fontId="0" fillId="0" borderId="159" xfId="0" applyFont="1" applyFill="1" applyBorder="1" applyAlignment="1" applyProtection="1">
      <alignment horizontal="left" vertical="center"/>
    </xf>
    <xf numFmtId="0" fontId="0" fillId="0" borderId="161" xfId="0" applyFont="1" applyFill="1" applyBorder="1" applyAlignment="1" applyProtection="1">
      <alignment horizontal="left" vertical="center"/>
    </xf>
    <xf numFmtId="168" fontId="0" fillId="46" borderId="129" xfId="13" applyNumberFormat="1" applyFont="1" applyFill="1" applyBorder="1" applyAlignment="1" applyProtection="1">
      <alignment horizontal="center" vertical="center"/>
    </xf>
    <xf numFmtId="168" fontId="0" fillId="12" borderId="136" xfId="13" applyNumberFormat="1" applyFont="1" applyFill="1" applyBorder="1" applyAlignment="1" applyProtection="1">
      <alignment horizontal="center" vertical="center"/>
      <protection locked="0"/>
    </xf>
    <xf numFmtId="168" fontId="0" fillId="46" borderId="134" xfId="13" applyNumberFormat="1" applyFont="1" applyFill="1" applyBorder="1" applyAlignment="1" applyProtection="1">
      <alignment horizontal="center" vertical="center"/>
    </xf>
    <xf numFmtId="168" fontId="0" fillId="46" borderId="127" xfId="13" applyNumberFormat="1" applyFont="1" applyFill="1" applyBorder="1" applyAlignment="1" applyProtection="1">
      <alignment horizontal="center" vertical="center"/>
    </xf>
    <xf numFmtId="176" fontId="0" fillId="29" borderId="129" xfId="13" applyNumberFormat="1" applyFont="1" applyFill="1" applyBorder="1" applyAlignment="1" applyProtection="1">
      <alignment vertical="center"/>
    </xf>
    <xf numFmtId="165" fontId="0" fillId="0" borderId="138" xfId="13" applyNumberFormat="1" applyFont="1" applyFill="1" applyBorder="1" applyAlignment="1" applyProtection="1">
      <alignment vertical="center"/>
    </xf>
    <xf numFmtId="165" fontId="0" fillId="0" borderId="139" xfId="13" applyNumberFormat="1" applyFont="1" applyFill="1" applyBorder="1" applyAlignment="1" applyProtection="1">
      <alignment vertical="center"/>
    </xf>
    <xf numFmtId="166" fontId="0" fillId="29" borderId="129" xfId="13" applyNumberFormat="1" applyFont="1" applyFill="1" applyBorder="1" applyAlignment="1" applyProtection="1">
      <alignment vertical="center"/>
    </xf>
    <xf numFmtId="166" fontId="0" fillId="29" borderId="130" xfId="13" applyNumberFormat="1" applyFont="1" applyFill="1" applyBorder="1" applyAlignment="1" applyProtection="1">
      <alignment vertical="center"/>
    </xf>
    <xf numFmtId="166" fontId="0" fillId="29" borderId="136" xfId="13" applyNumberFormat="1" applyFont="1" applyFill="1" applyBorder="1" applyAlignment="1" applyProtection="1">
      <alignment vertical="center"/>
    </xf>
    <xf numFmtId="166" fontId="0" fillId="29" borderId="134" xfId="13" applyNumberFormat="1" applyFont="1" applyFill="1" applyBorder="1" applyAlignment="1" applyProtection="1">
      <alignment vertical="center"/>
    </xf>
    <xf numFmtId="166" fontId="0" fillId="29" borderId="135" xfId="13" applyNumberFormat="1" applyFont="1" applyFill="1" applyBorder="1" applyAlignment="1" applyProtection="1">
      <alignment vertical="center"/>
    </xf>
    <xf numFmtId="166" fontId="0" fillId="37" borderId="129" xfId="13" applyNumberFormat="1" applyFont="1" applyFill="1" applyBorder="1" applyAlignment="1" applyProtection="1">
      <alignment vertical="center"/>
    </xf>
    <xf numFmtId="166" fontId="0" fillId="37" borderId="136" xfId="13" applyNumberFormat="1" applyFont="1" applyFill="1" applyBorder="1" applyAlignment="1" applyProtection="1">
      <alignment vertical="center"/>
    </xf>
    <xf numFmtId="166" fontId="0" fillId="37" borderId="134" xfId="13" applyNumberFormat="1" applyFont="1" applyFill="1" applyBorder="1" applyAlignment="1" applyProtection="1">
      <alignment vertical="center"/>
    </xf>
    <xf numFmtId="166" fontId="0" fillId="0" borderId="134" xfId="13" applyNumberFormat="1" applyFont="1" applyFill="1" applyBorder="1" applyAlignment="1" applyProtection="1">
      <alignment vertical="center"/>
    </xf>
    <xf numFmtId="166" fontId="0" fillId="0" borderId="127" xfId="13" applyNumberFormat="1" applyFont="1" applyFill="1" applyBorder="1" applyAlignment="1" applyProtection="1">
      <alignment vertical="center"/>
    </xf>
    <xf numFmtId="168" fontId="0" fillId="0" borderId="129" xfId="0" applyNumberFormat="1" applyFont="1" applyFill="1" applyBorder="1" applyAlignment="1" applyProtection="1">
      <alignment horizontal="center" vertical="center"/>
    </xf>
    <xf numFmtId="168" fontId="0" fillId="0" borderId="130" xfId="0" applyNumberFormat="1" applyFont="1" applyFill="1" applyBorder="1" applyAlignment="1" applyProtection="1">
      <alignment horizontal="center" vertical="center"/>
    </xf>
    <xf numFmtId="168" fontId="0" fillId="0" borderId="136" xfId="0" applyNumberFormat="1" applyFont="1" applyFill="1" applyBorder="1" applyAlignment="1" applyProtection="1">
      <alignment horizontal="center" vertical="center"/>
    </xf>
    <xf numFmtId="168" fontId="0" fillId="0" borderId="134" xfId="0" applyNumberFormat="1" applyFont="1" applyFill="1" applyBorder="1" applyAlignment="1" applyProtection="1">
      <alignment horizontal="center" vertical="center"/>
    </xf>
    <xf numFmtId="168" fontId="0" fillId="0" borderId="135" xfId="0" applyNumberFormat="1" applyFont="1" applyFill="1" applyBorder="1" applyAlignment="1" applyProtection="1">
      <alignment horizontal="center" vertical="center"/>
    </xf>
    <xf numFmtId="166" fontId="12" fillId="35" borderId="212" xfId="0" applyNumberFormat="1" applyFont="1" applyFill="1" applyBorder="1" applyAlignment="1" applyProtection="1">
      <alignment horizontal="center" vertical="center" wrapText="1"/>
    </xf>
    <xf numFmtId="166" fontId="12" fillId="35" borderId="213" xfId="0" applyNumberFormat="1" applyFont="1" applyFill="1" applyBorder="1" applyAlignment="1" applyProtection="1">
      <alignment horizontal="center" vertical="center" wrapText="1"/>
    </xf>
    <xf numFmtId="166" fontId="12" fillId="35" borderId="214" xfId="0" applyNumberFormat="1" applyFont="1" applyFill="1" applyBorder="1" applyAlignment="1" applyProtection="1">
      <alignment horizontal="center" vertical="center" wrapText="1"/>
    </xf>
    <xf numFmtId="166" fontId="12" fillId="15" borderId="215" xfId="0" applyNumberFormat="1" applyFont="1" applyFill="1" applyBorder="1" applyAlignment="1" applyProtection="1">
      <alignment horizontal="center" vertical="center" wrapText="1"/>
    </xf>
    <xf numFmtId="166" fontId="12" fillId="15" borderId="213" xfId="0" applyNumberFormat="1" applyFont="1" applyFill="1" applyBorder="1" applyAlignment="1" applyProtection="1">
      <alignment horizontal="center" vertical="center" wrapText="1"/>
    </xf>
    <xf numFmtId="166" fontId="12" fillId="15" borderId="216" xfId="0" applyNumberFormat="1" applyFont="1" applyFill="1" applyBorder="1" applyAlignment="1" applyProtection="1">
      <alignment horizontal="center" vertical="center" wrapText="1"/>
    </xf>
    <xf numFmtId="0" fontId="12" fillId="15" borderId="212" xfId="0" applyFont="1" applyFill="1" applyBorder="1" applyAlignment="1" applyProtection="1">
      <alignment horizontal="center" vertical="center"/>
    </xf>
    <xf numFmtId="0" fontId="12" fillId="15" borderId="217" xfId="0" applyFont="1" applyFill="1" applyBorder="1" applyAlignment="1" applyProtection="1">
      <alignment horizontal="center" vertical="center"/>
    </xf>
    <xf numFmtId="166" fontId="0" fillId="29" borderId="159" xfId="13" applyNumberFormat="1" applyFont="1" applyFill="1" applyBorder="1" applyAlignment="1" applyProtection="1">
      <alignment vertical="center"/>
    </xf>
    <xf numFmtId="166" fontId="0" fillId="29" borderId="161" xfId="13" applyNumberFormat="1" applyFont="1" applyFill="1" applyBorder="1" applyAlignment="1" applyProtection="1">
      <alignment vertical="center"/>
    </xf>
    <xf numFmtId="166" fontId="13" fillId="0" borderId="65" xfId="13" applyNumberFormat="1" applyFont="1" applyFill="1" applyBorder="1" applyAlignment="1" applyProtection="1">
      <alignment vertical="center"/>
    </xf>
    <xf numFmtId="166" fontId="12" fillId="40" borderId="137" xfId="13" applyNumberFormat="1" applyFont="1" applyFill="1" applyBorder="1" applyAlignment="1" applyProtection="1">
      <alignment vertical="center"/>
    </xf>
    <xf numFmtId="166" fontId="12" fillId="40" borderId="207" xfId="13" applyNumberFormat="1" applyFont="1" applyFill="1" applyBorder="1" applyAlignment="1" applyProtection="1">
      <alignment vertical="center"/>
    </xf>
    <xf numFmtId="166" fontId="12" fillId="40" borderId="153" xfId="13" applyNumberFormat="1" applyFont="1" applyFill="1" applyBorder="1" applyAlignment="1" applyProtection="1">
      <alignment vertical="center"/>
    </xf>
    <xf numFmtId="171" fontId="0" fillId="0" borderId="141" xfId="12" applyNumberFormat="1" applyFont="1" applyFill="1" applyBorder="1" applyAlignment="1" applyProtection="1">
      <alignment vertical="center"/>
    </xf>
    <xf numFmtId="166" fontId="22" fillId="32" borderId="219" xfId="13" applyNumberFormat="1" applyFont="1" applyFill="1" applyBorder="1" applyAlignment="1" applyProtection="1">
      <alignment vertical="center" wrapText="1"/>
    </xf>
    <xf numFmtId="166" fontId="22" fillId="32" borderId="220" xfId="13" applyNumberFormat="1" applyFont="1" applyFill="1" applyBorder="1" applyAlignment="1" applyProtection="1">
      <alignment vertical="center" wrapText="1"/>
    </xf>
    <xf numFmtId="166" fontId="22" fillId="32" borderId="221" xfId="13" applyNumberFormat="1" applyFont="1" applyFill="1" applyBorder="1" applyAlignment="1" applyProtection="1">
      <alignment vertical="center" wrapText="1"/>
    </xf>
    <xf numFmtId="166" fontId="22" fillId="32" borderId="61" xfId="13" applyNumberFormat="1" applyFont="1" applyFill="1" applyBorder="1" applyAlignment="1" applyProtection="1">
      <alignment vertical="center" wrapText="1"/>
    </xf>
    <xf numFmtId="166" fontId="22" fillId="32" borderId="62" xfId="13" applyNumberFormat="1" applyFont="1" applyFill="1" applyBorder="1" applyAlignment="1" applyProtection="1">
      <alignment vertical="center" wrapText="1"/>
    </xf>
    <xf numFmtId="166" fontId="22" fillId="32" borderId="66" xfId="13" applyNumberFormat="1" applyFont="1" applyFill="1" applyBorder="1" applyAlignment="1" applyProtection="1">
      <alignment vertical="center" wrapText="1"/>
    </xf>
    <xf numFmtId="175" fontId="23" fillId="26" borderId="90" xfId="0" applyNumberFormat="1" applyFont="1" applyFill="1" applyBorder="1" applyAlignment="1" applyProtection="1">
      <alignment horizontal="right" vertical="center"/>
    </xf>
    <xf numFmtId="9" fontId="0" fillId="12" borderId="137" xfId="0" applyNumberFormat="1" applyFont="1" applyFill="1" applyBorder="1" applyAlignment="1" applyProtection="1">
      <alignment horizontal="center" vertical="center"/>
      <protection locked="0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153" xfId="0" applyNumberFormat="1" applyFont="1" applyFill="1" applyBorder="1" applyAlignment="1" applyProtection="1">
      <alignment horizontal="right" vertical="center"/>
    </xf>
    <xf numFmtId="167" fontId="0" fillId="12" borderId="222" xfId="16" applyFont="1" applyFill="1" applyBorder="1" applyAlignment="1" applyProtection="1">
      <alignment horizontal="center" vertical="center"/>
      <protection locked="0"/>
    </xf>
    <xf numFmtId="167" fontId="14" fillId="19" borderId="61" xfId="16" applyFont="1" applyFill="1" applyBorder="1" applyAlignment="1" applyProtection="1">
      <alignment horizontal="center" vertical="center"/>
    </xf>
    <xf numFmtId="175" fontId="23" fillId="26" borderId="63" xfId="0" applyNumberFormat="1" applyFont="1" applyFill="1" applyBorder="1" applyAlignment="1" applyProtection="1">
      <alignment horizontal="right" vertical="center"/>
    </xf>
    <xf numFmtId="0" fontId="0" fillId="46" borderId="129" xfId="0" applyFont="1" applyFill="1" applyBorder="1" applyAlignment="1" applyProtection="1">
      <alignment horizontal="left" vertical="center"/>
    </xf>
    <xf numFmtId="176" fontId="0" fillId="46" borderId="129" xfId="13" applyNumberFormat="1" applyFont="1" applyFill="1" applyBorder="1" applyAlignment="1" applyProtection="1">
      <alignment vertical="center"/>
    </xf>
    <xf numFmtId="168" fontId="0" fillId="12" borderId="109" xfId="13" applyNumberFormat="1" applyFont="1" applyFill="1" applyBorder="1" applyAlignment="1" applyProtection="1">
      <alignment horizontal="center" vertical="center"/>
      <protection locked="0"/>
    </xf>
    <xf numFmtId="168" fontId="0" fillId="46" borderId="223" xfId="13" applyNumberFormat="1" applyFont="1" applyFill="1" applyBorder="1" applyAlignment="1" applyProtection="1">
      <alignment horizontal="center" vertical="center"/>
    </xf>
    <xf numFmtId="176" fontId="0" fillId="29" borderId="109" xfId="13" applyNumberFormat="1" applyFont="1" applyFill="1" applyBorder="1" applyAlignment="1" applyProtection="1">
      <alignment vertical="center"/>
    </xf>
    <xf numFmtId="0" fontId="0" fillId="46" borderId="224" xfId="0" applyFont="1" applyFill="1" applyBorder="1" applyAlignment="1" applyProtection="1">
      <alignment horizontal="left" vertical="center"/>
    </xf>
    <xf numFmtId="176" fontId="0" fillId="46" borderId="224" xfId="13" applyNumberFormat="1" applyFont="1" applyFill="1" applyBorder="1" applyAlignment="1" applyProtection="1">
      <alignment vertical="center"/>
    </xf>
    <xf numFmtId="177" fontId="0" fillId="12" borderId="115" xfId="13" applyNumberFormat="1" applyFont="1" applyFill="1" applyBorder="1" applyAlignment="1" applyProtection="1">
      <alignment horizontal="center" vertical="center"/>
      <protection locked="0"/>
    </xf>
    <xf numFmtId="177" fontId="0" fillId="12" borderId="224" xfId="13" applyNumberFormat="1" applyFont="1" applyFill="1" applyBorder="1" applyAlignment="1" applyProtection="1">
      <alignment horizontal="center" vertical="center"/>
      <protection locked="0"/>
    </xf>
    <xf numFmtId="177" fontId="12" fillId="29" borderId="152" xfId="0" applyNumberFormat="1" applyFont="1" applyFill="1" applyBorder="1" applyAlignment="1" applyProtection="1">
      <alignment vertical="center"/>
    </xf>
    <xf numFmtId="166" fontId="22" fillId="32" borderId="63" xfId="13" applyNumberFormat="1" applyFont="1" applyFill="1" applyBorder="1" applyAlignment="1" applyProtection="1">
      <alignment vertical="center" wrapText="1"/>
    </xf>
    <xf numFmtId="166" fontId="12" fillId="40" borderId="222" xfId="13" applyNumberFormat="1" applyFont="1" applyFill="1" applyBorder="1" applyAlignment="1" applyProtection="1">
      <alignment horizontal="right" vertical="center"/>
    </xf>
    <xf numFmtId="166" fontId="22" fillId="32" borderId="225" xfId="13" applyNumberFormat="1" applyFont="1" applyFill="1" applyBorder="1" applyAlignment="1" applyProtection="1">
      <alignment vertical="center" wrapText="1"/>
    </xf>
    <xf numFmtId="166" fontId="12" fillId="35" borderId="233" xfId="0" applyNumberFormat="1" applyFont="1" applyFill="1" applyBorder="1" applyAlignment="1" applyProtection="1">
      <alignment horizontal="center" vertical="center" wrapText="1"/>
    </xf>
    <xf numFmtId="166" fontId="12" fillId="35" borderId="234" xfId="0" applyNumberFormat="1" applyFont="1" applyFill="1" applyBorder="1" applyAlignment="1" applyProtection="1">
      <alignment horizontal="center" vertical="center" wrapText="1"/>
    </xf>
    <xf numFmtId="166" fontId="12" fillId="35" borderId="235" xfId="0" applyNumberFormat="1" applyFont="1" applyFill="1" applyBorder="1" applyAlignment="1" applyProtection="1">
      <alignment horizontal="center" vertical="center" wrapText="1"/>
    </xf>
    <xf numFmtId="166" fontId="12" fillId="15" borderId="233" xfId="0" applyNumberFormat="1" applyFont="1" applyFill="1" applyBorder="1" applyAlignment="1" applyProtection="1">
      <alignment horizontal="center" vertical="center" wrapText="1"/>
    </xf>
    <xf numFmtId="166" fontId="12" fillId="15" borderId="234" xfId="0" applyNumberFormat="1" applyFont="1" applyFill="1" applyBorder="1" applyAlignment="1" applyProtection="1">
      <alignment horizontal="center" vertical="center" wrapText="1"/>
    </xf>
    <xf numFmtId="166" fontId="12" fillId="15" borderId="235" xfId="0" applyNumberFormat="1" applyFont="1" applyFill="1" applyBorder="1" applyAlignment="1" applyProtection="1">
      <alignment horizontal="center" vertical="center" wrapText="1"/>
    </xf>
    <xf numFmtId="166" fontId="12" fillId="15" borderId="236" xfId="0" applyNumberFormat="1" applyFont="1" applyFill="1" applyBorder="1" applyAlignment="1" applyProtection="1">
      <alignment horizontal="center" vertical="center" wrapText="1"/>
    </xf>
    <xf numFmtId="166" fontId="12" fillId="15" borderId="237" xfId="0" applyNumberFormat="1" applyFont="1" applyFill="1" applyBorder="1" applyAlignment="1" applyProtection="1">
      <alignment horizontal="center" vertical="center" wrapText="1"/>
    </xf>
    <xf numFmtId="166" fontId="12" fillId="15" borderId="238" xfId="0" applyNumberFormat="1" applyFont="1" applyFill="1" applyBorder="1" applyAlignment="1" applyProtection="1">
      <alignment horizontal="center" vertical="center" wrapText="1"/>
    </xf>
    <xf numFmtId="166" fontId="0" fillId="29" borderId="109" xfId="13" applyNumberFormat="1" applyFont="1" applyFill="1" applyBorder="1" applyAlignment="1" applyProtection="1">
      <alignment vertical="center"/>
    </xf>
    <xf numFmtId="166" fontId="0" fillId="29" borderId="223" xfId="13" applyNumberFormat="1" applyFont="1" applyFill="1" applyBorder="1" applyAlignment="1" applyProtection="1">
      <alignment vertical="center"/>
    </xf>
    <xf numFmtId="166" fontId="0" fillId="37" borderId="109" xfId="13" applyNumberFormat="1" applyFont="1" applyFill="1" applyBorder="1" applyAlignment="1" applyProtection="1">
      <alignment vertical="center"/>
    </xf>
    <xf numFmtId="166" fontId="0" fillId="0" borderId="223" xfId="13" applyNumberFormat="1" applyFont="1" applyFill="1" applyBorder="1" applyAlignment="1" applyProtection="1">
      <alignment vertical="center"/>
    </xf>
    <xf numFmtId="168" fontId="0" fillId="0" borderId="109" xfId="0" applyNumberFormat="1" applyFont="1" applyFill="1" applyBorder="1" applyAlignment="1" applyProtection="1">
      <alignment horizontal="center" vertical="center"/>
    </xf>
    <xf numFmtId="166" fontId="0" fillId="0" borderId="239" xfId="13" applyNumberFormat="1" applyFont="1" applyFill="1" applyBorder="1" applyAlignment="1" applyProtection="1">
      <alignment vertical="center"/>
    </xf>
    <xf numFmtId="166" fontId="0" fillId="0" borderId="148" xfId="13" applyNumberFormat="1" applyFont="1" applyFill="1" applyBorder="1" applyAlignment="1" applyProtection="1">
      <alignment vertical="center"/>
    </xf>
    <xf numFmtId="166" fontId="0" fillId="37" borderId="130" xfId="13" applyNumberFormat="1" applyFont="1" applyFill="1" applyBorder="1" applyAlignment="1" applyProtection="1">
      <alignment vertical="center"/>
    </xf>
    <xf numFmtId="166" fontId="0" fillId="37" borderId="135" xfId="13" applyNumberFormat="1" applyFont="1" applyFill="1" applyBorder="1" applyAlignment="1" applyProtection="1">
      <alignment vertical="center"/>
    </xf>
    <xf numFmtId="165" fontId="0" fillId="0" borderId="240" xfId="13" applyNumberFormat="1" applyFont="1" applyFill="1" applyBorder="1" applyAlignment="1" applyProtection="1">
      <alignment vertical="center"/>
    </xf>
    <xf numFmtId="178" fontId="13" fillId="37" borderId="109" xfId="16" applyNumberFormat="1" applyFill="1" applyBorder="1" applyAlignment="1" applyProtection="1">
      <alignment horizontal="center" vertical="center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165" fontId="0" fillId="0" borderId="241" xfId="13" applyNumberFormat="1" applyFont="1" applyFill="1" applyBorder="1" applyAlignment="1" applyProtection="1">
      <alignment vertical="center"/>
    </xf>
    <xf numFmtId="166" fontId="0" fillId="49" borderId="131" xfId="13" applyNumberFormat="1" applyFont="1" applyFill="1" applyBorder="1" applyAlignment="1" applyProtection="1">
      <alignment vertical="center"/>
      <protection locked="0"/>
    </xf>
    <xf numFmtId="166" fontId="18" fillId="49" borderId="131" xfId="13" applyNumberFormat="1" applyFont="1" applyFill="1" applyBorder="1" applyAlignment="1" applyProtection="1">
      <alignment vertical="center"/>
      <protection locked="0"/>
    </xf>
    <xf numFmtId="174" fontId="18" fillId="49" borderId="131" xfId="12" applyNumberFormat="1" applyFont="1" applyFill="1" applyBorder="1" applyAlignment="1" applyProtection="1">
      <alignment vertical="center"/>
      <protection locked="0"/>
    </xf>
    <xf numFmtId="166" fontId="10" fillId="23" borderId="131" xfId="13" applyNumberFormat="1" applyFont="1" applyFill="1" applyBorder="1" applyAlignment="1">
      <alignment horizontal="center" vertical="center"/>
    </xf>
    <xf numFmtId="166" fontId="10" fillId="24" borderId="131" xfId="13" applyNumberFormat="1" applyFont="1" applyFill="1" applyBorder="1" applyAlignment="1">
      <alignment vertical="center"/>
    </xf>
    <xf numFmtId="166" fontId="10" fillId="20" borderId="131" xfId="13" applyNumberFormat="1" applyFont="1" applyFill="1" applyBorder="1" applyAlignment="1">
      <alignment horizontal="center" vertical="center"/>
    </xf>
    <xf numFmtId="166" fontId="10" fillId="22" borderId="131" xfId="13" applyNumberFormat="1" applyFont="1" applyFill="1" applyBorder="1" applyAlignment="1">
      <alignment vertical="center"/>
    </xf>
    <xf numFmtId="166" fontId="12" fillId="44" borderId="131" xfId="13" applyNumberFormat="1" applyFont="1" applyFill="1" applyBorder="1" applyAlignment="1" applyProtection="1">
      <alignment horizontal="center" vertical="center"/>
    </xf>
    <xf numFmtId="166" fontId="0" fillId="47" borderId="131" xfId="13" applyNumberFormat="1" applyFont="1" applyFill="1" applyBorder="1" applyAlignment="1" applyProtection="1">
      <alignment vertical="center"/>
    </xf>
    <xf numFmtId="0" fontId="12" fillId="44" borderId="131" xfId="0" applyFont="1" applyFill="1" applyBorder="1" applyAlignment="1" applyProtection="1">
      <alignment horizontal="center" vertical="center"/>
    </xf>
    <xf numFmtId="179" fontId="13" fillId="47" borderId="131" xfId="13" applyNumberFormat="1" applyFill="1" applyBorder="1" applyProtection="1"/>
    <xf numFmtId="0" fontId="12" fillId="21" borderId="242" xfId="0" applyFont="1" applyFill="1" applyBorder="1" applyAlignment="1">
      <alignment horizontal="center" vertical="center"/>
    </xf>
    <xf numFmtId="0" fontId="10" fillId="23" borderId="243" xfId="0" applyFont="1" applyFill="1" applyBorder="1" applyAlignment="1">
      <alignment horizontal="left" vertical="center"/>
    </xf>
    <xf numFmtId="0" fontId="12" fillId="20" borderId="174" xfId="0" applyFont="1" applyFill="1" applyBorder="1" applyAlignment="1">
      <alignment horizontal="center" vertical="center" wrapText="1"/>
    </xf>
    <xf numFmtId="0" fontId="10" fillId="20" borderId="243" xfId="0" applyFont="1" applyFill="1" applyBorder="1" applyAlignment="1">
      <alignment horizontal="left" vertical="center"/>
    </xf>
    <xf numFmtId="1" fontId="0" fillId="0" borderId="174" xfId="0" applyNumberFormat="1" applyBorder="1" applyAlignment="1">
      <alignment horizontal="center" vertical="center" wrapText="1"/>
    </xf>
    <xf numFmtId="173" fontId="18" fillId="0" borderId="243" xfId="0" applyNumberFormat="1" applyFont="1" applyBorder="1" applyAlignment="1">
      <alignment horizontal="left"/>
    </xf>
    <xf numFmtId="166" fontId="0" fillId="46" borderId="131" xfId="13" applyNumberFormat="1" applyFont="1" applyFill="1" applyBorder="1" applyAlignment="1">
      <alignment vertical="center"/>
    </xf>
    <xf numFmtId="166" fontId="18" fillId="1" borderId="131" xfId="13" applyNumberFormat="1" applyFont="1" applyFill="1" applyBorder="1" applyAlignment="1">
      <alignment vertical="center"/>
    </xf>
    <xf numFmtId="174" fontId="18" fillId="1" borderId="131" xfId="12" applyNumberFormat="1" applyFont="1" applyFill="1" applyBorder="1" applyAlignment="1">
      <alignment vertical="center"/>
    </xf>
    <xf numFmtId="1" fontId="0" fillId="0" borderId="173" xfId="0" applyNumberFormat="1" applyBorder="1" applyAlignment="1">
      <alignment horizontal="center"/>
    </xf>
    <xf numFmtId="1" fontId="0" fillId="0" borderId="177" xfId="0" applyNumberFormat="1" applyBorder="1"/>
    <xf numFmtId="173" fontId="32" fillId="0" borderId="243" xfId="0" applyNumberFormat="1" applyFont="1" applyBorder="1" applyAlignment="1">
      <alignment horizontal="left"/>
    </xf>
    <xf numFmtId="1" fontId="0" fillId="44" borderId="174" xfId="0" applyNumberFormat="1" applyFill="1" applyBorder="1" applyAlignment="1">
      <alignment horizontal="center" vertical="center" wrapText="1"/>
    </xf>
    <xf numFmtId="1" fontId="0" fillId="0" borderId="86" xfId="0" applyNumberFormat="1" applyBorder="1" applyAlignment="1">
      <alignment horizontal="center" vertical="center" wrapText="1"/>
    </xf>
    <xf numFmtId="173" fontId="18" fillId="0" borderId="244" xfId="0" applyNumberFormat="1" applyFont="1" applyBorder="1" applyAlignment="1">
      <alignment horizontal="left"/>
    </xf>
    <xf numFmtId="0" fontId="12" fillId="31" borderId="245" xfId="0" applyFont="1" applyFill="1" applyBorder="1" applyAlignment="1">
      <alignment horizontal="center" vertical="center" wrapText="1"/>
    </xf>
    <xf numFmtId="0" fontId="12" fillId="32" borderId="246" xfId="0" applyFont="1" applyFill="1" applyBorder="1" applyAlignment="1">
      <alignment vertical="center"/>
    </xf>
    <xf numFmtId="165" fontId="12" fillId="32" borderId="131" xfId="13" applyNumberFormat="1" applyFont="1" applyFill="1" applyBorder="1" applyAlignment="1">
      <alignment vertical="center"/>
    </xf>
    <xf numFmtId="165" fontId="12" fillId="33" borderId="131" xfId="13" applyNumberFormat="1" applyFont="1" applyFill="1" applyBorder="1" applyAlignment="1">
      <alignment vertical="center"/>
    </xf>
    <xf numFmtId="0" fontId="0" fillId="12" borderId="209" xfId="0" applyFont="1" applyFill="1" applyBorder="1" applyAlignment="1" applyProtection="1">
      <alignment horizontal="left" vertical="center"/>
      <protection locked="0"/>
    </xf>
    <xf numFmtId="0" fontId="0" fillId="12" borderId="247" xfId="0" applyFont="1" applyFill="1" applyBorder="1" applyAlignment="1" applyProtection="1">
      <alignment horizontal="left" vertical="center"/>
      <protection locked="0"/>
    </xf>
    <xf numFmtId="0" fontId="0" fillId="12" borderId="247" xfId="0" applyFont="1" applyFill="1" applyBorder="1" applyProtection="1">
      <protection locked="0"/>
    </xf>
    <xf numFmtId="0" fontId="0" fillId="12" borderId="248" xfId="0" applyFont="1" applyFill="1" applyBorder="1" applyProtection="1">
      <protection locked="0"/>
    </xf>
    <xf numFmtId="0" fontId="0" fillId="12" borderId="131" xfId="0" applyFont="1" applyFill="1" applyBorder="1" applyProtection="1">
      <protection locked="0"/>
    </xf>
    <xf numFmtId="0" fontId="0" fillId="12" borderId="141" xfId="0" applyFont="1" applyFill="1" applyBorder="1" applyProtection="1">
      <protection locked="0"/>
    </xf>
    <xf numFmtId="0" fontId="0" fillId="12" borderId="148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Protection="1">
      <protection locked="0"/>
    </xf>
    <xf numFmtId="0" fontId="0" fillId="12" borderId="127" xfId="0" applyFont="1" applyFill="1" applyBorder="1" applyProtection="1">
      <protection locked="0"/>
    </xf>
    <xf numFmtId="0" fontId="0" fillId="12" borderId="248" xfId="0" applyFont="1" applyFill="1" applyBorder="1" applyAlignment="1" applyProtection="1">
      <alignment horizontal="left" vertical="center"/>
      <protection locked="0"/>
    </xf>
    <xf numFmtId="0" fontId="12" fillId="17" borderId="249" xfId="0" applyFont="1" applyFill="1" applyBorder="1" applyAlignment="1" applyProtection="1">
      <alignment horizontal="center" vertical="center"/>
      <protection locked="0"/>
    </xf>
    <xf numFmtId="1" fontId="0" fillId="0" borderId="250" xfId="0" applyNumberFormat="1" applyFont="1" applyFill="1" applyBorder="1" applyAlignment="1" applyProtection="1">
      <alignment horizontal="center" vertical="center" wrapText="1"/>
      <protection locked="0"/>
    </xf>
    <xf numFmtId="0" fontId="10" fillId="15" borderId="249" xfId="0" applyFont="1" applyFill="1" applyBorder="1" applyAlignment="1" applyProtection="1">
      <alignment horizontal="center" vertical="center"/>
      <protection locked="0"/>
    </xf>
    <xf numFmtId="164" fontId="12" fillId="18" borderId="249" xfId="13" applyFont="1" applyFill="1" applyBorder="1" applyAlignment="1" applyProtection="1">
      <alignment horizontal="center" vertical="center" wrapText="1"/>
      <protection locked="0"/>
    </xf>
    <xf numFmtId="0" fontId="10" fillId="17" borderId="251" xfId="0" applyFont="1" applyFill="1" applyBorder="1" applyAlignment="1" applyProtection="1">
      <alignment horizontal="left" vertical="center"/>
      <protection locked="0"/>
    </xf>
    <xf numFmtId="173" fontId="18" fillId="0" borderId="250" xfId="0" applyNumberFormat="1" applyFont="1" applyFill="1" applyBorder="1" applyAlignment="1" applyProtection="1">
      <alignment horizontal="left"/>
      <protection locked="0"/>
    </xf>
    <xf numFmtId="166" fontId="18" fillId="44" borderId="250" xfId="13" applyNumberFormat="1" applyFont="1" applyFill="1" applyBorder="1" applyAlignment="1" applyProtection="1">
      <alignment vertical="center"/>
      <protection locked="0"/>
    </xf>
    <xf numFmtId="0" fontId="0" fillId="0" borderId="253" xfId="0" applyFill="1" applyBorder="1" applyAlignment="1" applyProtection="1">
      <alignment vertical="center"/>
      <protection locked="0"/>
    </xf>
    <xf numFmtId="173" fontId="18" fillId="0" borderId="191" xfId="0" applyNumberFormat="1" applyFont="1" applyFill="1" applyBorder="1" applyAlignment="1" applyProtection="1">
      <alignment horizontal="left"/>
      <protection locked="0"/>
    </xf>
    <xf numFmtId="166" fontId="18" fillId="44" borderId="191" xfId="13" applyNumberFormat="1" applyFont="1" applyFill="1" applyBorder="1" applyAlignment="1" applyProtection="1">
      <alignment vertical="center"/>
      <protection locked="0"/>
    </xf>
    <xf numFmtId="0" fontId="0" fillId="0" borderId="252" xfId="0" applyFont="1" applyFill="1" applyBorder="1" applyAlignment="1" applyProtection="1">
      <alignment vertical="center"/>
      <protection locked="0"/>
    </xf>
    <xf numFmtId="0" fontId="0" fillId="0" borderId="88" xfId="0" applyBorder="1" applyProtection="1">
      <protection locked="0"/>
    </xf>
    <xf numFmtId="173" fontId="18" fillId="0" borderId="241" xfId="0" applyNumberFormat="1" applyFont="1" applyFill="1" applyBorder="1" applyAlignment="1" applyProtection="1">
      <alignment horizontal="left"/>
      <protection locked="0"/>
    </xf>
    <xf numFmtId="166" fontId="18" fillId="44" borderId="241" xfId="13" applyNumberFormat="1" applyFont="1" applyFill="1" applyBorder="1" applyAlignment="1" applyProtection="1">
      <alignment vertical="center"/>
      <protection locked="0"/>
    </xf>
    <xf numFmtId="0" fontId="0" fillId="0" borderId="254" xfId="0" applyFont="1" applyFill="1" applyBorder="1" applyAlignment="1" applyProtection="1">
      <alignment vertical="center"/>
      <protection locked="0"/>
    </xf>
    <xf numFmtId="0" fontId="21" fillId="0" borderId="0" xfId="20"/>
    <xf numFmtId="0" fontId="0" fillId="0" borderId="0" xfId="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ont="1"/>
    <xf numFmtId="0" fontId="0" fillId="0" borderId="189" xfId="0" applyFont="1" applyFill="1" applyBorder="1" applyAlignment="1" applyProtection="1">
      <alignment horizontal="center" vertical="center" wrapText="1"/>
    </xf>
    <xf numFmtId="0" fontId="0" fillId="0" borderId="86" xfId="0" applyFont="1" applyFill="1" applyBorder="1" applyAlignment="1" applyProtection="1">
      <alignment horizontal="center" vertical="center" wrapText="1"/>
    </xf>
    <xf numFmtId="0" fontId="0" fillId="0" borderId="185" xfId="0" applyFont="1" applyFill="1" applyBorder="1" applyAlignment="1" applyProtection="1">
      <alignment horizontal="center" vertical="center" wrapText="1"/>
    </xf>
    <xf numFmtId="166" fontId="22" fillId="32" borderId="180" xfId="0" applyNumberFormat="1" applyFont="1" applyFill="1" applyBorder="1" applyAlignment="1" applyProtection="1">
      <alignment horizontal="center" vertical="center"/>
    </xf>
    <xf numFmtId="0" fontId="23" fillId="0" borderId="192" xfId="0" applyFont="1" applyFill="1" applyBorder="1" applyAlignment="1" applyProtection="1">
      <alignment horizontal="center" vertical="center" wrapText="1"/>
    </xf>
    <xf numFmtId="0" fontId="23" fillId="0" borderId="140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166" fontId="22" fillId="32" borderId="116" xfId="0" applyNumberFormat="1" applyFont="1" applyFill="1" applyBorder="1" applyAlignment="1" applyProtection="1">
      <alignment horizontal="right" vertical="center"/>
    </xf>
    <xf numFmtId="166" fontId="22" fillId="32" borderId="180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53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193" xfId="0" applyNumberFormat="1" applyFont="1" applyFill="1" applyBorder="1" applyAlignment="1" applyProtection="1">
      <alignment horizontal="center" vertical="center"/>
    </xf>
    <xf numFmtId="166" fontId="12" fillId="15" borderId="179" xfId="0" applyNumberFormat="1" applyFont="1" applyFill="1" applyBorder="1" applyAlignment="1" applyProtection="1">
      <alignment horizontal="center" vertical="center"/>
    </xf>
    <xf numFmtId="166" fontId="23" fillId="39" borderId="117" xfId="0" applyNumberFormat="1" applyFont="1" applyFill="1" applyBorder="1" applyAlignment="1" applyProtection="1">
      <alignment horizontal="center" vertical="center" wrapText="1"/>
    </xf>
    <xf numFmtId="166" fontId="23" fillId="39" borderId="119" xfId="0" applyNumberFormat="1" applyFont="1" applyFill="1" applyBorder="1" applyAlignment="1" applyProtection="1">
      <alignment horizontal="center" vertical="center" wrapText="1"/>
    </xf>
    <xf numFmtId="166" fontId="23" fillId="39" borderId="122" xfId="0" applyNumberFormat="1" applyFont="1" applyFill="1" applyBorder="1" applyAlignment="1" applyProtection="1">
      <alignment horizontal="center" vertical="center" wrapText="1"/>
    </xf>
    <xf numFmtId="166" fontId="24" fillId="34" borderId="117" xfId="0" applyNumberFormat="1" applyFont="1" applyFill="1" applyBorder="1" applyAlignment="1" applyProtection="1">
      <alignment horizontal="center" vertical="center" wrapText="1"/>
    </xf>
    <xf numFmtId="166" fontId="24" fillId="34" borderId="119" xfId="0" applyNumberFormat="1" applyFont="1" applyFill="1" applyBorder="1" applyAlignment="1" applyProtection="1">
      <alignment horizontal="center" vertical="center" wrapText="1"/>
    </xf>
    <xf numFmtId="166" fontId="24" fillId="34" borderId="122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190" xfId="0" applyFont="1" applyFill="1" applyBorder="1" applyAlignment="1" applyProtection="1">
      <alignment horizontal="center" vertical="center" wrapText="1"/>
    </xf>
    <xf numFmtId="0" fontId="12" fillId="15" borderId="191" xfId="0" applyFont="1" applyFill="1" applyBorder="1" applyAlignment="1" applyProtection="1">
      <alignment horizontal="center" vertical="center" wrapText="1"/>
    </xf>
    <xf numFmtId="0" fontId="12" fillId="15" borderId="187" xfId="0" applyFont="1" applyFill="1" applyBorder="1" applyAlignment="1" applyProtection="1">
      <alignment horizontal="center" vertical="center" wrapText="1"/>
    </xf>
    <xf numFmtId="0" fontId="12" fillId="15" borderId="188" xfId="0" applyFont="1" applyFill="1" applyBorder="1" applyAlignment="1" applyProtection="1">
      <alignment horizontal="center" vertical="center" wrapText="1"/>
    </xf>
    <xf numFmtId="166" fontId="0" fillId="9" borderId="159" xfId="13" applyNumberFormat="1" applyFont="1" applyFill="1" applyBorder="1" applyAlignment="1" applyProtection="1">
      <alignment horizontal="right" vertical="center"/>
    </xf>
    <xf numFmtId="166" fontId="0" fillId="9" borderId="160" xfId="13" applyNumberFormat="1" applyFont="1" applyFill="1" applyBorder="1" applyAlignment="1" applyProtection="1">
      <alignment horizontal="right" vertical="center"/>
    </xf>
    <xf numFmtId="166" fontId="29" fillId="45" borderId="195" xfId="0" applyNumberFormat="1" applyFont="1" applyFill="1" applyBorder="1" applyAlignment="1" applyProtection="1">
      <alignment horizontal="center" vertical="center" wrapText="1"/>
    </xf>
    <xf numFmtId="166" fontId="29" fillId="45" borderId="85" xfId="0" applyNumberFormat="1" applyFont="1" applyFill="1" applyBorder="1" applyAlignment="1" applyProtection="1">
      <alignment horizontal="center" vertical="center" wrapText="1"/>
    </xf>
    <xf numFmtId="166" fontId="17" fillId="34" borderId="87" xfId="0" applyNumberFormat="1" applyFont="1" applyFill="1" applyBorder="1" applyAlignment="1" applyProtection="1">
      <alignment horizontal="center" vertical="center" wrapText="1"/>
    </xf>
    <xf numFmtId="166" fontId="17" fillId="34" borderId="86" xfId="0" applyNumberFormat="1" applyFont="1" applyFill="1" applyBorder="1" applyAlignment="1" applyProtection="1">
      <alignment horizontal="center" vertical="center" wrapText="1"/>
    </xf>
    <xf numFmtId="166" fontId="17" fillId="34" borderId="24" xfId="0" applyNumberFormat="1" applyFont="1" applyFill="1" applyBorder="1" applyAlignment="1" applyProtection="1">
      <alignment horizontal="center" vertical="center" wrapText="1"/>
    </xf>
    <xf numFmtId="166" fontId="17" fillId="34" borderId="81" xfId="0" applyNumberFormat="1" applyFont="1" applyFill="1" applyBorder="1" applyAlignment="1" applyProtection="1">
      <alignment horizontal="center" vertical="center" wrapText="1"/>
    </xf>
    <xf numFmtId="166" fontId="17" fillId="34" borderId="146" xfId="0" applyNumberFormat="1" applyFont="1" applyFill="1" applyBorder="1" applyAlignment="1" applyProtection="1">
      <alignment horizontal="center" vertical="center" wrapText="1"/>
    </xf>
    <xf numFmtId="166" fontId="17" fillId="34" borderId="140" xfId="0" applyNumberFormat="1" applyFont="1" applyFill="1" applyBorder="1" applyAlignment="1" applyProtection="1">
      <alignment horizontal="center" vertical="center" wrapText="1"/>
    </xf>
    <xf numFmtId="0" fontId="22" fillId="0" borderId="138" xfId="0" applyFont="1" applyFill="1" applyBorder="1" applyAlignment="1" applyProtection="1">
      <alignment horizontal="center" vertical="center" wrapText="1"/>
    </xf>
    <xf numFmtId="0" fontId="22" fillId="0" borderId="211" xfId="0" applyFont="1" applyFill="1" applyBorder="1" applyAlignment="1" applyProtection="1">
      <alignment horizontal="center" vertical="center" wrapText="1"/>
    </xf>
    <xf numFmtId="0" fontId="23" fillId="13" borderId="157" xfId="0" applyFont="1" applyFill="1" applyBorder="1" applyAlignment="1" applyProtection="1">
      <alignment horizontal="center" vertical="center"/>
      <protection locked="0"/>
    </xf>
    <xf numFmtId="0" fontId="23" fillId="13" borderId="158" xfId="0" applyFont="1" applyFill="1" applyBorder="1" applyAlignment="1" applyProtection="1">
      <alignment horizontal="center" vertical="center"/>
      <protection locked="0"/>
    </xf>
    <xf numFmtId="166" fontId="24" fillId="34" borderId="50" xfId="0" applyNumberFormat="1" applyFont="1" applyFill="1" applyBorder="1" applyAlignment="1" applyProtection="1">
      <alignment horizontal="center" vertical="center" wrapText="1"/>
    </xf>
    <xf numFmtId="166" fontId="24" fillId="34" borderId="51" xfId="0" applyNumberFormat="1" applyFont="1" applyFill="1" applyBorder="1" applyAlignment="1" applyProtection="1">
      <alignment horizontal="center" vertical="center" wrapText="1"/>
    </xf>
    <xf numFmtId="166" fontId="24" fillId="34" borderId="52" xfId="0" applyNumberFormat="1" applyFont="1" applyFill="1" applyBorder="1" applyAlignment="1" applyProtection="1">
      <alignment horizontal="center" vertical="center" wrapText="1"/>
    </xf>
    <xf numFmtId="0" fontId="23" fillId="16" borderId="35" xfId="0" applyFont="1" applyFill="1" applyBorder="1" applyAlignment="1" applyProtection="1">
      <alignment horizontal="center" vertical="center" wrapText="1"/>
    </xf>
    <xf numFmtId="0" fontId="23" fillId="16" borderId="55" xfId="0" applyFont="1" applyFill="1" applyBorder="1" applyAlignment="1" applyProtection="1">
      <alignment horizontal="center" vertical="center" wrapText="1"/>
    </xf>
    <xf numFmtId="166" fontId="24" fillId="34" borderId="22" xfId="0" applyNumberFormat="1" applyFont="1" applyFill="1" applyBorder="1" applyAlignment="1" applyProtection="1">
      <alignment horizontal="center" vertical="center" wrapText="1"/>
    </xf>
    <xf numFmtId="166" fontId="24" fillId="34" borderId="23" xfId="0" applyNumberFormat="1" applyFont="1" applyFill="1" applyBorder="1" applyAlignment="1" applyProtection="1">
      <alignment horizontal="center" vertical="center" wrapText="1"/>
    </xf>
    <xf numFmtId="166" fontId="24" fillId="34" borderId="73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26" xfId="0" applyFont="1" applyFill="1" applyBorder="1" applyAlignment="1" applyProtection="1">
      <alignment horizontal="center" vertical="center" wrapText="1"/>
    </xf>
    <xf numFmtId="0" fontId="23" fillId="15" borderId="54" xfId="0" applyFont="1" applyFill="1" applyBorder="1" applyAlignment="1" applyProtection="1">
      <alignment horizontal="center" vertical="center" wrapText="1"/>
    </xf>
    <xf numFmtId="0" fontId="23" fillId="16" borderId="162" xfId="0" applyFont="1" applyFill="1" applyBorder="1" applyAlignment="1" applyProtection="1">
      <alignment horizontal="center" vertical="center" wrapText="1"/>
    </xf>
    <xf numFmtId="0" fontId="23" fillId="16" borderId="163" xfId="0" applyFont="1" applyFill="1" applyBorder="1" applyAlignment="1" applyProtection="1">
      <alignment horizontal="center" vertical="center" wrapText="1"/>
    </xf>
    <xf numFmtId="0" fontId="23" fillId="15" borderId="159" xfId="0" applyFont="1" applyFill="1" applyBorder="1" applyAlignment="1" applyProtection="1">
      <alignment horizontal="center" vertical="center" wrapText="1"/>
    </xf>
    <xf numFmtId="0" fontId="23" fillId="15" borderId="142" xfId="0" applyFont="1" applyFill="1" applyBorder="1" applyAlignment="1" applyProtection="1">
      <alignment horizontal="center" vertical="center" wrapText="1"/>
    </xf>
    <xf numFmtId="166" fontId="24" fillId="34" borderId="67" xfId="0" applyNumberFormat="1" applyFont="1" applyFill="1" applyBorder="1" applyAlignment="1" applyProtection="1">
      <alignment horizontal="center" vertical="center" wrapText="1"/>
    </xf>
    <xf numFmtId="166" fontId="24" fillId="34" borderId="68" xfId="0" applyNumberFormat="1" applyFont="1" applyFill="1" applyBorder="1" applyAlignment="1" applyProtection="1">
      <alignment horizontal="center" vertical="center" wrapText="1"/>
    </xf>
    <xf numFmtId="166" fontId="24" fillId="34" borderId="69" xfId="0" applyNumberFormat="1" applyFont="1" applyFill="1" applyBorder="1" applyAlignment="1" applyProtection="1">
      <alignment horizontal="center" vertical="center" wrapText="1"/>
    </xf>
    <xf numFmtId="166" fontId="12" fillId="15" borderId="74" xfId="0" applyNumberFormat="1" applyFont="1" applyFill="1" applyBorder="1" applyAlignment="1" applyProtection="1">
      <alignment horizontal="center" vertical="center" wrapText="1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6" fontId="12" fillId="15" borderId="76" xfId="0" applyNumberFormat="1" applyFont="1" applyFill="1" applyBorder="1" applyAlignment="1" applyProtection="1">
      <alignment horizontal="center" vertical="center" wrapText="1"/>
    </xf>
    <xf numFmtId="0" fontId="22" fillId="46" borderId="109" xfId="0" applyFont="1" applyFill="1" applyBorder="1" applyAlignment="1" applyProtection="1">
      <alignment horizontal="center" vertical="center" wrapText="1"/>
    </xf>
    <xf numFmtId="0" fontId="22" fillId="46" borderId="11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64" fontId="12" fillId="18" borderId="170" xfId="13" applyFont="1" applyFill="1" applyBorder="1" applyAlignment="1" applyProtection="1">
      <alignment horizontal="center" vertical="center" wrapText="1"/>
    </xf>
    <xf numFmtId="164" fontId="12" fillId="18" borderId="86" xfId="13" applyFont="1" applyFill="1" applyBorder="1" applyAlignment="1" applyProtection="1">
      <alignment horizontal="center" vertical="center" wrapText="1"/>
    </xf>
    <xf numFmtId="0" fontId="10" fillId="15" borderId="128" xfId="0" applyFont="1" applyFill="1" applyBorder="1" applyAlignment="1" applyProtection="1">
      <alignment horizontal="center" vertical="center"/>
    </xf>
    <xf numFmtId="0" fontId="10" fillId="15" borderId="176" xfId="0" applyFont="1" applyFill="1" applyBorder="1" applyAlignment="1" applyProtection="1">
      <alignment horizontal="center" vertical="center"/>
    </xf>
    <xf numFmtId="0" fontId="12" fillId="17" borderId="8" xfId="0" applyFont="1" applyFill="1" applyBorder="1" applyAlignment="1" applyProtection="1">
      <alignment horizontal="center" vertical="center"/>
    </xf>
    <xf numFmtId="0" fontId="12" fillId="17" borderId="13" xfId="0" applyFont="1" applyFill="1" applyBorder="1" applyAlignment="1" applyProtection="1">
      <alignment horizontal="center" vertical="center"/>
    </xf>
    <xf numFmtId="172" fontId="24" fillId="30" borderId="17" xfId="12" applyNumberFormat="1" applyFont="1" applyFill="1" applyBorder="1" applyAlignment="1" applyProtection="1">
      <alignment horizontal="right" vertical="center" wrapText="1"/>
    </xf>
    <xf numFmtId="172" fontId="24" fillId="30" borderId="25" xfId="12" applyNumberFormat="1" applyFont="1" applyFill="1" applyBorder="1" applyAlignment="1" applyProtection="1">
      <alignment horizontal="right" vertical="center" wrapText="1"/>
    </xf>
    <xf numFmtId="0" fontId="23" fillId="0" borderId="21" xfId="0" applyFont="1" applyFill="1" applyBorder="1" applyAlignment="1" applyProtection="1">
      <alignment horizontal="center" vertical="top" wrapText="1"/>
    </xf>
    <xf numFmtId="0" fontId="23" fillId="0" borderId="7" xfId="0" applyFont="1" applyFill="1" applyBorder="1" applyAlignment="1" applyProtection="1">
      <alignment horizontal="center" vertical="top" wrapText="1"/>
    </xf>
    <xf numFmtId="0" fontId="23" fillId="0" borderId="49" xfId="0" applyFont="1" applyFill="1" applyBorder="1" applyAlignment="1" applyProtection="1">
      <alignment horizontal="center" vertical="top" wrapText="1"/>
    </xf>
    <xf numFmtId="0" fontId="23" fillId="12" borderId="31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0" fillId="16" borderId="8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31" xfId="0" applyFont="1" applyFill="1" applyBorder="1" applyAlignment="1" applyProtection="1">
      <alignment horizontal="center" vertical="center"/>
    </xf>
    <xf numFmtId="0" fontId="10" fillId="16" borderId="131" xfId="0" applyFont="1" applyFill="1" applyBorder="1" applyAlignment="1" applyProtection="1">
      <alignment horizontal="center" vertical="center" wrapText="1"/>
    </xf>
    <xf numFmtId="175" fontId="0" fillId="26" borderId="138" xfId="0" applyNumberFormat="1" applyFont="1" applyFill="1" applyBorder="1" applyAlignment="1" applyProtection="1">
      <alignment horizontal="center" vertical="center"/>
    </xf>
    <xf numFmtId="175" fontId="0" fillId="26" borderId="110" xfId="0" applyNumberFormat="1" applyFont="1" applyFill="1" applyBorder="1" applyAlignment="1" applyProtection="1">
      <alignment horizontal="center" vertical="center"/>
    </xf>
    <xf numFmtId="0" fontId="9" fillId="48" borderId="139" xfId="0" applyFont="1" applyFill="1" applyBorder="1" applyAlignment="1" applyProtection="1">
      <alignment horizontal="center" vertical="center"/>
    </xf>
    <xf numFmtId="0" fontId="9" fillId="48" borderId="150" xfId="0" applyFont="1" applyFill="1" applyBorder="1" applyAlignment="1" applyProtection="1">
      <alignment horizontal="center" vertical="center"/>
    </xf>
    <xf numFmtId="0" fontId="9" fillId="47" borderId="139" xfId="0" applyFont="1" applyFill="1" applyBorder="1" applyAlignment="1" applyProtection="1">
      <alignment horizontal="center" vertical="center"/>
    </xf>
    <xf numFmtId="0" fontId="9" fillId="47" borderId="150" xfId="0" applyFont="1" applyFill="1" applyBorder="1" applyAlignment="1" applyProtection="1">
      <alignment horizontal="center" vertical="center"/>
    </xf>
    <xf numFmtId="175" fontId="0" fillId="26" borderId="111" xfId="0" applyNumberFormat="1" applyFont="1" applyFill="1" applyBorder="1" applyAlignment="1" applyProtection="1">
      <alignment horizontal="center" vertical="center"/>
    </xf>
    <xf numFmtId="0" fontId="12" fillId="16" borderId="146" xfId="0" applyFont="1" applyFill="1" applyBorder="1" applyAlignment="1" applyProtection="1">
      <alignment horizontal="center" vertical="center" wrapText="1"/>
    </xf>
    <xf numFmtId="0" fontId="12" fillId="16" borderId="58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0" fillId="16" borderId="94" xfId="0" applyFont="1" applyFill="1" applyBorder="1" applyAlignment="1" applyProtection="1">
      <alignment horizontal="center" vertical="center" wrapText="1"/>
    </xf>
    <xf numFmtId="0" fontId="17" fillId="48" borderId="138" xfId="0" applyFont="1" applyFill="1" applyBorder="1" applyAlignment="1" applyProtection="1">
      <alignment horizontal="center" vertical="center"/>
    </xf>
    <xf numFmtId="0" fontId="17" fillId="48" borderId="110" xfId="0" applyFont="1" applyFill="1" applyBorder="1" applyAlignment="1" applyProtection="1">
      <alignment horizontal="center" vertical="center"/>
    </xf>
    <xf numFmtId="0" fontId="17" fillId="47" borderId="138" xfId="0" applyFont="1" applyFill="1" applyBorder="1" applyAlignment="1" applyProtection="1">
      <alignment horizontal="center" vertical="center"/>
    </xf>
    <xf numFmtId="0" fontId="17" fillId="47" borderId="110" xfId="0" applyFont="1" applyFill="1" applyBorder="1" applyAlignment="1" applyProtection="1">
      <alignment horizontal="center" vertical="center"/>
    </xf>
    <xf numFmtId="0" fontId="9" fillId="14" borderId="139" xfId="0" applyFont="1" applyFill="1" applyBorder="1" applyAlignment="1" applyProtection="1">
      <alignment horizontal="center" vertical="center"/>
    </xf>
    <xf numFmtId="0" fontId="9" fillId="14" borderId="150" xfId="0" applyFont="1" applyFill="1" applyBorder="1" applyAlignment="1" applyProtection="1">
      <alignment horizontal="center" vertical="center"/>
    </xf>
    <xf numFmtId="0" fontId="17" fillId="14" borderId="109" xfId="0" applyFont="1" applyFill="1" applyBorder="1" applyAlignment="1" applyProtection="1">
      <alignment horizontal="center" vertical="center"/>
    </xf>
    <xf numFmtId="0" fontId="17" fillId="14" borderId="98" xfId="0" applyFont="1" applyFill="1" applyBorder="1" applyAlignment="1" applyProtection="1">
      <alignment horizontal="center" vertical="center"/>
    </xf>
    <xf numFmtId="0" fontId="17" fillId="48" borderId="109" xfId="0" applyFont="1" applyFill="1" applyBorder="1" applyAlignment="1" applyProtection="1">
      <alignment horizontal="center" vertical="center"/>
    </xf>
    <xf numFmtId="0" fontId="17" fillId="48" borderId="130" xfId="0" applyFont="1" applyFill="1" applyBorder="1" applyAlignment="1" applyProtection="1">
      <alignment horizontal="center" vertical="center"/>
    </xf>
    <xf numFmtId="0" fontId="17" fillId="47" borderId="111" xfId="0" applyFont="1" applyFill="1" applyBorder="1" applyAlignment="1" applyProtection="1">
      <alignment horizontal="center" vertical="center"/>
    </xf>
    <xf numFmtId="0" fontId="17" fillId="47" borderId="130" xfId="0" applyFont="1" applyFill="1" applyBorder="1" applyAlignment="1" applyProtection="1">
      <alignment horizontal="center" vertical="center"/>
    </xf>
    <xf numFmtId="0" fontId="17" fillId="14" borderId="138" xfId="0" applyFont="1" applyFill="1" applyBorder="1" applyAlignment="1" applyProtection="1">
      <alignment horizontal="center" vertical="center"/>
    </xf>
    <xf numFmtId="0" fontId="17" fillId="14" borderId="110" xfId="0" applyFont="1" applyFill="1" applyBorder="1" applyAlignment="1" applyProtection="1">
      <alignment horizontal="center" vertical="center"/>
    </xf>
    <xf numFmtId="0" fontId="23" fillId="47" borderId="97" xfId="0" applyFont="1" applyFill="1" applyBorder="1" applyAlignment="1" applyProtection="1">
      <alignment horizontal="center" vertical="center" textRotation="90" wrapText="1"/>
    </xf>
    <xf numFmtId="0" fontId="23" fillId="47" borderId="99" xfId="0" applyFont="1" applyFill="1" applyBorder="1" applyAlignment="1" applyProtection="1">
      <alignment horizontal="center" vertical="center" textRotation="90" wrapText="1"/>
    </xf>
    <xf numFmtId="0" fontId="23" fillId="47" borderId="58" xfId="0" applyFont="1" applyFill="1" applyBorder="1" applyAlignment="1" applyProtection="1">
      <alignment horizontal="center" vertical="center" textRotation="90" wrapText="1"/>
    </xf>
    <xf numFmtId="0" fontId="23" fillId="47" borderId="97" xfId="0" applyFont="1" applyFill="1" applyBorder="1" applyAlignment="1" applyProtection="1">
      <alignment horizontal="left" vertical="center" wrapText="1"/>
    </xf>
    <xf numFmtId="0" fontId="23" fillId="47" borderId="99" xfId="0" applyFont="1" applyFill="1" applyBorder="1" applyAlignment="1" applyProtection="1">
      <alignment horizontal="left" vertical="center" wrapText="1"/>
    </xf>
    <xf numFmtId="0" fontId="23" fillId="47" borderId="58" xfId="0" applyFont="1" applyFill="1" applyBorder="1" applyAlignment="1" applyProtection="1">
      <alignment horizontal="left" vertical="center" wrapText="1"/>
    </xf>
    <xf numFmtId="0" fontId="26" fillId="47" borderId="102" xfId="0" applyFont="1" applyFill="1" applyBorder="1" applyAlignment="1" applyProtection="1">
      <alignment horizontal="center" vertical="center" textRotation="90" wrapText="1"/>
    </xf>
    <xf numFmtId="0" fontId="26" fillId="47" borderId="88" xfId="0" applyFont="1" applyFill="1" applyBorder="1" applyAlignment="1" applyProtection="1">
      <alignment horizontal="center" vertical="center" textRotation="90" wrapText="1"/>
    </xf>
    <xf numFmtId="0" fontId="26" fillId="47" borderId="84" xfId="0" applyFont="1" applyFill="1" applyBorder="1" applyAlignment="1" applyProtection="1">
      <alignment horizontal="center" vertical="center" textRotation="90" wrapText="1"/>
    </xf>
    <xf numFmtId="0" fontId="23" fillId="12" borderId="103" xfId="0" applyFont="1" applyFill="1" applyBorder="1" applyAlignment="1" applyProtection="1">
      <alignment horizontal="left" vertical="center" wrapText="1"/>
      <protection locked="0"/>
    </xf>
    <xf numFmtId="0" fontId="23" fillId="12" borderId="104" xfId="0" applyFont="1" applyFill="1" applyBorder="1" applyAlignment="1" applyProtection="1">
      <alignment horizontal="left" vertical="center" wrapText="1"/>
      <protection locked="0"/>
    </xf>
    <xf numFmtId="0" fontId="23" fillId="12" borderId="101" xfId="0" applyFont="1" applyFill="1" applyBorder="1" applyAlignment="1" applyProtection="1">
      <alignment horizontal="left" vertical="center" wrapText="1"/>
      <protection locked="0"/>
    </xf>
    <xf numFmtId="0" fontId="23" fillId="12" borderId="97" xfId="0" applyFont="1" applyFill="1" applyBorder="1" applyAlignment="1" applyProtection="1">
      <alignment horizontal="left" vertical="center" wrapText="1"/>
      <protection locked="0"/>
    </xf>
    <xf numFmtId="0" fontId="23" fillId="12" borderId="140" xfId="0" applyFont="1" applyFill="1" applyBorder="1" applyAlignment="1" applyProtection="1">
      <alignment horizontal="left" vertical="center" wrapText="1"/>
      <protection locked="0"/>
    </xf>
    <xf numFmtId="0" fontId="23" fillId="12" borderId="99" xfId="0" applyFont="1" applyFill="1" applyBorder="1" applyAlignment="1" applyProtection="1">
      <alignment horizontal="left" vertical="center" wrapText="1"/>
      <protection locked="0"/>
    </xf>
    <xf numFmtId="0" fontId="23" fillId="12" borderId="58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12" fillId="17" borderId="21" xfId="0" applyFont="1" applyFill="1" applyBorder="1" applyAlignment="1" applyProtection="1">
      <alignment horizontal="center" vertical="center" wrapText="1"/>
    </xf>
    <xf numFmtId="0" fontId="12" fillId="17" borderId="113" xfId="0" applyFont="1" applyFill="1" applyBorder="1" applyAlignment="1" applyProtection="1">
      <alignment horizontal="center" vertical="center" wrapText="1"/>
    </xf>
    <xf numFmtId="0" fontId="10" fillId="15" borderId="21" xfId="0" applyFont="1" applyFill="1" applyBorder="1" applyAlignment="1" applyProtection="1">
      <alignment horizontal="center" vertical="center" wrapText="1"/>
    </xf>
    <xf numFmtId="0" fontId="10" fillId="15" borderId="113" xfId="0" applyFont="1" applyFill="1" applyBorder="1" applyAlignment="1" applyProtection="1">
      <alignment horizontal="center" vertical="center" wrapText="1"/>
    </xf>
    <xf numFmtId="0" fontId="12" fillId="26" borderId="46" xfId="0" applyFont="1" applyFill="1" applyBorder="1" applyAlignment="1" applyProtection="1">
      <alignment horizontal="center" vertical="center" wrapText="1"/>
    </xf>
    <xf numFmtId="0" fontId="12" fillId="26" borderId="99" xfId="0" applyFont="1" applyFill="1" applyBorder="1" applyAlignment="1" applyProtection="1">
      <alignment horizontal="center" vertical="center" wrapText="1"/>
    </xf>
    <xf numFmtId="0" fontId="17" fillId="14" borderId="147" xfId="0" applyFont="1" applyFill="1" applyBorder="1" applyAlignment="1" applyProtection="1">
      <alignment horizontal="center" vertical="center"/>
    </xf>
    <xf numFmtId="0" fontId="17" fillId="47" borderId="147" xfId="0" applyFont="1" applyFill="1" applyBorder="1" applyAlignment="1" applyProtection="1">
      <alignment horizontal="center" vertical="center"/>
    </xf>
    <xf numFmtId="0" fontId="12" fillId="16" borderId="40" xfId="0" applyFont="1" applyFill="1" applyBorder="1" applyAlignment="1" applyProtection="1">
      <alignment horizontal="center" vertical="center" wrapText="1"/>
    </xf>
    <xf numFmtId="0" fontId="12" fillId="16" borderId="43" xfId="0" applyFont="1" applyFill="1" applyBorder="1" applyAlignment="1" applyProtection="1">
      <alignment horizontal="center" vertical="center" wrapText="1"/>
    </xf>
    <xf numFmtId="0" fontId="12" fillId="16" borderId="47" xfId="0" applyFont="1" applyFill="1" applyBorder="1" applyAlignment="1" applyProtection="1">
      <alignment horizontal="center" vertical="center" wrapText="1"/>
    </xf>
    <xf numFmtId="0" fontId="12" fillId="16" borderId="48" xfId="0" applyFont="1" applyFill="1" applyBorder="1" applyAlignment="1" applyProtection="1">
      <alignment horizontal="center" vertical="center" wrapText="1"/>
    </xf>
    <xf numFmtId="0" fontId="12" fillId="16" borderId="37" xfId="0" applyFont="1" applyFill="1" applyBorder="1" applyAlignment="1" applyProtection="1">
      <alignment horizontal="center" vertical="center"/>
    </xf>
    <xf numFmtId="0" fontId="12" fillId="16" borderId="7" xfId="0" applyFont="1" applyFill="1" applyBorder="1" applyAlignment="1" applyProtection="1">
      <alignment horizontal="center" vertical="center"/>
    </xf>
    <xf numFmtId="0" fontId="12" fillId="16" borderId="37" xfId="0" applyFont="1" applyFill="1" applyBorder="1" applyAlignment="1" applyProtection="1">
      <alignment horizontal="center" vertical="center" wrapText="1"/>
    </xf>
    <xf numFmtId="0" fontId="12" fillId="16" borderId="7" xfId="0" applyFont="1" applyFill="1" applyBorder="1" applyAlignment="1" applyProtection="1">
      <alignment horizontal="center" vertical="center" wrapText="1"/>
    </xf>
    <xf numFmtId="0" fontId="22" fillId="16" borderId="38" xfId="0" applyFont="1" applyFill="1" applyBorder="1" applyAlignment="1" applyProtection="1">
      <alignment horizontal="center" vertical="center" wrapText="1"/>
    </xf>
    <xf numFmtId="0" fontId="22" fillId="16" borderId="44" xfId="0" applyFont="1" applyFill="1" applyBorder="1" applyAlignment="1" applyProtection="1">
      <alignment horizontal="center" vertical="center" wrapText="1"/>
    </xf>
    <xf numFmtId="0" fontId="22" fillId="16" borderId="4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0" borderId="210" xfId="0" applyFont="1" applyFill="1" applyBorder="1" applyAlignment="1" applyProtection="1">
      <alignment horizontal="left" vertical="center" wrapText="1"/>
    </xf>
    <xf numFmtId="0" fontId="23" fillId="0" borderId="211" xfId="0" applyFont="1" applyFill="1" applyBorder="1" applyAlignment="1" applyProtection="1">
      <alignment horizontal="left" vertical="center" wrapText="1"/>
    </xf>
    <xf numFmtId="0" fontId="23" fillId="16" borderId="230" xfId="0" applyFont="1" applyFill="1" applyBorder="1" applyAlignment="1" applyProtection="1">
      <alignment horizontal="center" vertical="center"/>
    </xf>
    <xf numFmtId="0" fontId="23" fillId="16" borderId="231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6" fontId="23" fillId="17" borderId="227" xfId="0" applyNumberFormat="1" applyFont="1" applyFill="1" applyBorder="1" applyAlignment="1" applyProtection="1">
      <alignment horizontal="center" vertical="center" wrapText="1"/>
    </xf>
    <xf numFmtId="166" fontId="23" fillId="17" borderId="228" xfId="0" applyNumberFormat="1" applyFont="1" applyFill="1" applyBorder="1" applyAlignment="1" applyProtection="1">
      <alignment horizontal="center" vertical="center" wrapText="1"/>
    </xf>
    <xf numFmtId="166" fontId="23" fillId="17" borderId="229" xfId="0" applyNumberFormat="1" applyFont="1" applyFill="1" applyBorder="1" applyAlignment="1" applyProtection="1">
      <alignment horizontal="center" vertical="center" wrapText="1"/>
    </xf>
    <xf numFmtId="166" fontId="24" fillId="34" borderId="227" xfId="0" applyNumberFormat="1" applyFont="1" applyFill="1" applyBorder="1" applyAlignment="1" applyProtection="1">
      <alignment horizontal="center" vertical="center" wrapText="1"/>
    </xf>
    <xf numFmtId="166" fontId="24" fillId="34" borderId="228" xfId="0" applyNumberFormat="1" applyFont="1" applyFill="1" applyBorder="1" applyAlignment="1" applyProtection="1">
      <alignment horizontal="center" vertical="center" wrapText="1"/>
    </xf>
    <xf numFmtId="166" fontId="24" fillId="34" borderId="229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59" xfId="0" applyFont="1" applyFill="1" applyBorder="1" applyAlignment="1" applyProtection="1">
      <alignment horizontal="center" vertical="center" wrapText="1"/>
    </xf>
    <xf numFmtId="0" fontId="12" fillId="15" borderId="142" xfId="0" applyFont="1" applyFill="1" applyBorder="1" applyAlignment="1" applyProtection="1">
      <alignment horizontal="center" vertical="center" wrapText="1"/>
    </xf>
    <xf numFmtId="0" fontId="12" fillId="15" borderId="226" xfId="0" applyFont="1" applyFill="1" applyBorder="1" applyAlignment="1" applyProtection="1">
      <alignment horizontal="center" vertical="center" wrapText="1"/>
    </xf>
    <xf numFmtId="0" fontId="12" fillId="15" borderId="232" xfId="0" applyFont="1" applyFill="1" applyBorder="1" applyAlignment="1" applyProtection="1">
      <alignment horizontal="center" vertical="center" wrapText="1"/>
    </xf>
    <xf numFmtId="0" fontId="22" fillId="16" borderId="138" xfId="0" applyFont="1" applyFill="1" applyBorder="1" applyAlignment="1" applyProtection="1">
      <alignment horizontal="center" vertical="center"/>
    </xf>
    <xf numFmtId="0" fontId="22" fillId="16" borderId="147" xfId="0" applyFont="1" applyFill="1" applyBorder="1" applyAlignment="1" applyProtection="1">
      <alignment horizontal="center" vertical="center"/>
    </xf>
    <xf numFmtId="0" fontId="22" fillId="16" borderId="166" xfId="0" applyFont="1" applyFill="1" applyBorder="1" applyAlignment="1" applyProtection="1">
      <alignment horizontal="center" vertical="center"/>
    </xf>
    <xf numFmtId="0" fontId="12" fillId="27" borderId="4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46" xfId="0" applyFont="1" applyFill="1" applyBorder="1" applyAlignment="1" applyProtection="1">
      <alignment horizontal="center" vertical="center" wrapText="1"/>
    </xf>
    <xf numFmtId="0" fontId="12" fillId="27" borderId="9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54" xfId="0" applyFont="1" applyFill="1" applyBorder="1" applyAlignment="1" applyProtection="1">
      <alignment horizontal="center" vertical="center" wrapText="1"/>
    </xf>
    <xf numFmtId="0" fontId="23" fillId="11" borderId="144" xfId="0" applyFont="1" applyFill="1" applyBorder="1" applyAlignment="1" applyProtection="1">
      <alignment horizontal="center" vertical="center" wrapText="1"/>
    </xf>
    <xf numFmtId="0" fontId="23" fillId="11" borderId="145" xfId="0" applyFont="1" applyFill="1" applyBorder="1" applyAlignment="1" applyProtection="1">
      <alignment horizontal="center" vertical="center" wrapText="1"/>
    </xf>
    <xf numFmtId="175" fontId="23" fillId="29" borderId="146" xfId="0" applyNumberFormat="1" applyFont="1" applyFill="1" applyBorder="1" applyAlignment="1" applyProtection="1">
      <alignment horizontal="right" vertical="center"/>
    </xf>
    <xf numFmtId="175" fontId="23" fillId="29" borderId="99" xfId="0" applyNumberFormat="1" applyFont="1" applyFill="1" applyBorder="1" applyAlignment="1" applyProtection="1">
      <alignment horizontal="right" vertical="center"/>
    </xf>
    <xf numFmtId="175" fontId="23" fillId="29" borderId="58" xfId="0" applyNumberFormat="1" applyFont="1" applyFill="1" applyBorder="1" applyAlignment="1" applyProtection="1">
      <alignment horizontal="right" vertical="center"/>
    </xf>
    <xf numFmtId="0" fontId="12" fillId="16" borderId="165" xfId="0" applyFont="1" applyFill="1" applyBorder="1" applyAlignment="1" applyProtection="1">
      <alignment horizontal="center" vertical="center" wrapText="1"/>
    </xf>
    <xf numFmtId="0" fontId="12" fillId="16" borderId="29" xfId="0" applyFont="1" applyFill="1" applyBorder="1" applyAlignment="1" applyProtection="1">
      <alignment horizontal="center" vertical="center" wrapText="1"/>
    </xf>
    <xf numFmtId="0" fontId="12" fillId="16" borderId="36" xfId="0" applyFont="1" applyFill="1" applyBorder="1" applyAlignment="1" applyProtection="1">
      <alignment horizontal="center" vertical="center" wrapText="1"/>
    </xf>
    <xf numFmtId="0" fontId="12" fillId="16" borderId="164" xfId="0" applyFont="1" applyFill="1" applyBorder="1" applyAlignment="1" applyProtection="1">
      <alignment horizontal="center" vertical="center" wrapText="1"/>
    </xf>
    <xf numFmtId="0" fontId="22" fillId="0" borderId="240" xfId="0" applyFont="1" applyFill="1" applyBorder="1" applyAlignment="1" applyProtection="1">
      <alignment horizontal="center" vertical="center" wrapText="1"/>
    </xf>
    <xf numFmtId="0" fontId="22" fillId="0" borderId="241" xfId="0" applyFont="1" applyFill="1" applyBorder="1" applyAlignment="1" applyProtection="1">
      <alignment horizontal="center" vertical="center" wrapText="1"/>
    </xf>
    <xf numFmtId="0" fontId="12" fillId="16" borderId="125" xfId="0" applyFont="1" applyFill="1" applyBorder="1" applyAlignment="1" applyProtection="1">
      <alignment horizontal="center" vertical="center" wrapText="1"/>
    </xf>
    <xf numFmtId="0" fontId="12" fillId="16" borderId="126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2" fillId="16" borderId="169" xfId="0" applyFont="1" applyFill="1" applyBorder="1" applyAlignment="1" applyProtection="1">
      <alignment horizontal="center" vertical="center"/>
    </xf>
    <xf numFmtId="0" fontId="12" fillId="16" borderId="124" xfId="0" applyFont="1" applyFill="1" applyBorder="1" applyAlignment="1" applyProtection="1">
      <alignment horizontal="center" vertical="center"/>
    </xf>
    <xf numFmtId="0" fontId="23" fillId="15" borderId="117" xfId="0" applyFont="1" applyFill="1" applyBorder="1" applyAlignment="1" applyProtection="1">
      <alignment horizontal="center" vertical="center" wrapText="1"/>
    </xf>
    <xf numFmtId="0" fontId="23" fillId="15" borderId="212" xfId="0" applyFont="1" applyFill="1" applyBorder="1" applyAlignment="1" applyProtection="1">
      <alignment horizontal="center" vertical="center" wrapText="1"/>
    </xf>
    <xf numFmtId="0" fontId="23" fillId="15" borderId="121" xfId="0" applyFont="1" applyFill="1" applyBorder="1" applyAlignment="1" applyProtection="1">
      <alignment horizontal="center" vertical="center" wrapText="1"/>
    </xf>
    <xf numFmtId="0" fontId="23" fillId="15" borderId="218" xfId="0" applyFont="1" applyFill="1" applyBorder="1" applyAlignment="1" applyProtection="1">
      <alignment horizontal="center" vertical="center" wrapText="1"/>
    </xf>
    <xf numFmtId="0" fontId="12" fillId="16" borderId="171" xfId="0" applyFont="1" applyFill="1" applyBorder="1" applyAlignment="1" applyProtection="1">
      <alignment horizontal="center" vertical="center"/>
    </xf>
    <xf numFmtId="0" fontId="12" fillId="16" borderId="120" xfId="0" applyFont="1" applyFill="1" applyBorder="1" applyAlignment="1" applyProtection="1">
      <alignment horizontal="center" vertical="center"/>
    </xf>
    <xf numFmtId="166" fontId="12" fillId="17" borderId="123" xfId="0" applyNumberFormat="1" applyFont="1" applyFill="1" applyBorder="1" applyAlignment="1" applyProtection="1">
      <alignment horizontal="center" vertical="center" wrapText="1"/>
    </xf>
    <xf numFmtId="166" fontId="12" fillId="17" borderId="119" xfId="0" applyNumberFormat="1" applyFont="1" applyFill="1" applyBorder="1" applyAlignment="1" applyProtection="1">
      <alignment horizontal="center" vertical="center" wrapText="1"/>
    </xf>
    <xf numFmtId="166" fontId="12" fillId="17" borderId="118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14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</cellXfs>
  <cellStyles count="3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NARANJA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74083</xdr:rowOff>
    </xdr:from>
    <xdr:to>
      <xdr:col>16</xdr:col>
      <xdr:colOff>230334</xdr:colOff>
      <xdr:row>112</xdr:row>
      <xdr:rowOff>46701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B3D7083-EE8B-4FD3-AB5E-A6D92946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28158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113</xdr:row>
      <xdr:rowOff>63499</xdr:rowOff>
    </xdr:from>
    <xdr:to>
      <xdr:col>8</xdr:col>
      <xdr:colOff>137390</xdr:colOff>
      <xdr:row>163</xdr:row>
      <xdr:rowOff>23326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2886E84-0E65-4AC4-87D4-065E4F56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50" y="1800224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8</xdr:row>
      <xdr:rowOff>0</xdr:rowOff>
    </xdr:from>
    <xdr:to>
      <xdr:col>16</xdr:col>
      <xdr:colOff>243418</xdr:colOff>
      <xdr:row>56</xdr:row>
      <xdr:rowOff>136108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53F485E-2754-4AC5-AD23-0F0994C5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84" y="127000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view="pageBreakPreview" zoomScale="110" zoomScaleNormal="90" zoomScaleSheetLayoutView="110" zoomScalePageLayoutView="90" workbookViewId="0">
      <selection activeCell="U13" sqref="U13:U16"/>
    </sheetView>
  </sheetViews>
  <sheetFormatPr baseColWidth="10" defaultColWidth="11.42578125" defaultRowHeight="12.75" x14ac:dyDescent="0.2"/>
  <cols>
    <col min="1" max="16384" width="11.42578125" style="75"/>
  </cols>
  <sheetData>
    <row r="1" spans="3:10" x14ac:dyDescent="0.2">
      <c r="J1" s="74"/>
    </row>
    <row r="2" spans="3:10" x14ac:dyDescent="0.2">
      <c r="J2" s="74" t="s">
        <v>83</v>
      </c>
    </row>
    <row r="3" spans="3:10" x14ac:dyDescent="0.2">
      <c r="J3" s="74"/>
    </row>
    <row r="5" spans="3:10" x14ac:dyDescent="0.2">
      <c r="C5" s="76"/>
      <c r="D5" s="76"/>
      <c r="E5" s="76"/>
      <c r="F5" s="76"/>
      <c r="G5" s="76"/>
      <c r="H5" s="76"/>
      <c r="I5" s="76"/>
      <c r="J5" s="76"/>
    </row>
    <row r="6" spans="3:10" x14ac:dyDescent="0.2">
      <c r="C6" s="76"/>
      <c r="D6" s="76"/>
      <c r="E6" s="76"/>
      <c r="F6" s="76"/>
      <c r="G6" s="76"/>
      <c r="H6" s="76"/>
      <c r="I6" s="76"/>
      <c r="J6" s="76"/>
    </row>
    <row r="7" spans="3:10" x14ac:dyDescent="0.2">
      <c r="C7" s="76"/>
      <c r="D7" s="76"/>
      <c r="E7" s="76"/>
      <c r="F7" s="76"/>
      <c r="G7" s="76"/>
      <c r="H7" s="76"/>
      <c r="I7" s="76"/>
      <c r="J7" s="76"/>
    </row>
    <row r="8" spans="3:10" x14ac:dyDescent="0.2">
      <c r="C8" s="76"/>
      <c r="D8" s="76"/>
      <c r="E8" s="76"/>
      <c r="F8" s="76"/>
      <c r="G8" s="76"/>
      <c r="H8" s="76"/>
      <c r="I8" s="76"/>
      <c r="J8" s="76"/>
    </row>
    <row r="9" spans="3:10" x14ac:dyDescent="0.2">
      <c r="C9" s="76"/>
      <c r="D9" s="76"/>
      <c r="E9" s="76"/>
      <c r="F9" s="76"/>
      <c r="G9" s="76"/>
      <c r="H9" s="76"/>
      <c r="I9" s="76"/>
      <c r="J9" s="76"/>
    </row>
    <row r="10" spans="3:10" x14ac:dyDescent="0.2">
      <c r="C10" s="76"/>
      <c r="D10" s="76"/>
      <c r="E10" s="76"/>
      <c r="F10" s="76"/>
      <c r="G10" s="76"/>
      <c r="H10" s="76"/>
      <c r="I10" s="76"/>
      <c r="J10" s="76"/>
    </row>
    <row r="11" spans="3:10" x14ac:dyDescent="0.2">
      <c r="C11" s="76"/>
      <c r="D11" s="76"/>
      <c r="E11" s="76"/>
      <c r="F11" s="76"/>
      <c r="G11" s="76"/>
      <c r="H11" s="76"/>
      <c r="I11" s="76"/>
      <c r="J11" s="76"/>
    </row>
    <row r="12" spans="3:10" x14ac:dyDescent="0.2">
      <c r="C12" s="76"/>
      <c r="D12" s="76"/>
      <c r="E12" s="76"/>
      <c r="F12" s="76"/>
      <c r="G12" s="76"/>
      <c r="H12" s="76"/>
      <c r="I12" s="76"/>
      <c r="J12" s="76"/>
    </row>
    <row r="13" spans="3:10" x14ac:dyDescent="0.2">
      <c r="C13" s="76"/>
      <c r="D13" s="76"/>
      <c r="E13" s="76"/>
      <c r="F13" s="76"/>
      <c r="G13" s="76"/>
      <c r="H13" s="76"/>
      <c r="I13" s="76"/>
      <c r="J13" s="76"/>
    </row>
    <row r="14" spans="3:10" x14ac:dyDescent="0.2">
      <c r="C14" s="76"/>
      <c r="D14" s="76"/>
      <c r="E14" s="76"/>
      <c r="F14" s="76"/>
      <c r="G14" s="76"/>
      <c r="H14" s="76"/>
      <c r="I14" s="76"/>
      <c r="J14" s="76"/>
    </row>
    <row r="15" spans="3:10" x14ac:dyDescent="0.2">
      <c r="C15" s="76"/>
      <c r="D15" s="76"/>
      <c r="E15" s="76"/>
      <c r="F15" s="76"/>
      <c r="G15" s="76"/>
      <c r="H15" s="76"/>
      <c r="I15" s="76"/>
      <c r="J15" s="76"/>
    </row>
    <row r="16" spans="3:10" x14ac:dyDescent="0.2">
      <c r="C16" s="76"/>
      <c r="D16" s="76"/>
      <c r="E16" s="76"/>
      <c r="F16" s="76"/>
      <c r="G16" s="76"/>
      <c r="H16" s="76"/>
      <c r="I16" s="76"/>
      <c r="J16" s="76"/>
    </row>
    <row r="17" spans="3:10" x14ac:dyDescent="0.2">
      <c r="C17" s="76"/>
      <c r="D17" s="76"/>
      <c r="E17" s="76"/>
      <c r="F17" s="76"/>
      <c r="G17" s="76"/>
      <c r="H17" s="76"/>
      <c r="I17" s="76"/>
      <c r="J17" s="76"/>
    </row>
    <row r="18" spans="3:10" x14ac:dyDescent="0.2">
      <c r="C18" s="76"/>
      <c r="D18" s="76"/>
      <c r="E18" s="76"/>
      <c r="F18" s="76"/>
      <c r="G18" s="76"/>
      <c r="H18" s="76"/>
      <c r="I18" s="76"/>
      <c r="J18" s="76"/>
    </row>
    <row r="19" spans="3:10" x14ac:dyDescent="0.2">
      <c r="C19" s="76"/>
      <c r="D19" s="76"/>
      <c r="E19" s="76"/>
      <c r="F19" s="76"/>
      <c r="G19" s="76"/>
      <c r="H19" s="76"/>
      <c r="I19" s="76"/>
      <c r="J19" s="76"/>
    </row>
    <row r="20" spans="3:10" x14ac:dyDescent="0.2">
      <c r="C20" s="76"/>
      <c r="D20" s="76"/>
      <c r="E20" s="76"/>
      <c r="F20" s="76"/>
      <c r="G20" s="76"/>
      <c r="H20" s="76"/>
      <c r="I20" s="76"/>
      <c r="J20" s="76"/>
    </row>
    <row r="21" spans="3:10" x14ac:dyDescent="0.2">
      <c r="C21" s="76"/>
      <c r="D21" s="76"/>
      <c r="E21" s="76"/>
      <c r="F21" s="76"/>
      <c r="G21" s="76"/>
      <c r="H21" s="76"/>
      <c r="I21" s="76"/>
      <c r="J21" s="76"/>
    </row>
    <row r="22" spans="3:10" x14ac:dyDescent="0.2">
      <c r="C22" s="76"/>
      <c r="D22" s="76"/>
      <c r="E22" s="76"/>
      <c r="F22" s="76"/>
      <c r="G22" s="76"/>
      <c r="H22" s="76"/>
      <c r="I22" s="76"/>
      <c r="J22" s="76"/>
    </row>
    <row r="23" spans="3:10" x14ac:dyDescent="0.2">
      <c r="C23" s="76"/>
      <c r="D23" s="76"/>
      <c r="E23" s="76"/>
      <c r="F23" s="76"/>
      <c r="G23" s="76"/>
      <c r="H23" s="76"/>
      <c r="I23" s="76"/>
      <c r="J23" s="76"/>
    </row>
    <row r="24" spans="3:10" x14ac:dyDescent="0.2">
      <c r="C24" s="76"/>
      <c r="D24" s="76"/>
      <c r="E24" s="76"/>
      <c r="F24" s="76"/>
      <c r="G24" s="76"/>
      <c r="H24" s="76"/>
      <c r="I24" s="76"/>
      <c r="J24" s="76"/>
    </row>
    <row r="25" spans="3:10" x14ac:dyDescent="0.2">
      <c r="C25" s="76"/>
      <c r="D25" s="76"/>
      <c r="E25" s="76"/>
      <c r="F25" s="76"/>
      <c r="G25" s="76"/>
      <c r="H25" s="76"/>
      <c r="I25" s="76"/>
      <c r="J25" s="76"/>
    </row>
    <row r="26" spans="3:10" x14ac:dyDescent="0.2">
      <c r="C26" s="76"/>
      <c r="D26" s="76"/>
      <c r="E26" s="76"/>
      <c r="F26" s="76"/>
      <c r="G26" s="76"/>
      <c r="H26" s="76"/>
      <c r="I26" s="76"/>
      <c r="J26" s="76"/>
    </row>
    <row r="27" spans="3:10" x14ac:dyDescent="0.2">
      <c r="C27" s="76"/>
      <c r="D27" s="76"/>
      <c r="E27" s="76"/>
      <c r="F27" s="76"/>
      <c r="G27" s="76"/>
      <c r="H27" s="76"/>
      <c r="I27" s="76"/>
      <c r="J27" s="76"/>
    </row>
    <row r="28" spans="3:10" x14ac:dyDescent="0.2">
      <c r="C28" s="76"/>
      <c r="D28" s="76"/>
      <c r="E28" s="76"/>
      <c r="F28" s="76"/>
      <c r="G28" s="76"/>
      <c r="H28" s="76"/>
      <c r="I28" s="76"/>
      <c r="J28" s="76"/>
    </row>
    <row r="29" spans="3:10" x14ac:dyDescent="0.2">
      <c r="C29" s="76"/>
      <c r="D29" s="76"/>
      <c r="E29" s="76"/>
      <c r="F29" s="76"/>
      <c r="G29" s="76"/>
      <c r="H29" s="76"/>
      <c r="I29" s="76"/>
      <c r="J29" s="76"/>
    </row>
    <row r="30" spans="3:10" x14ac:dyDescent="0.2">
      <c r="C30" s="76"/>
      <c r="D30" s="76"/>
      <c r="E30" s="76"/>
      <c r="F30" s="76"/>
      <c r="G30" s="76"/>
      <c r="H30" s="76"/>
      <c r="I30" s="76"/>
      <c r="J30" s="76"/>
    </row>
    <row r="31" spans="3:10" x14ac:dyDescent="0.2">
      <c r="C31" s="76"/>
      <c r="D31" s="76"/>
      <c r="E31" s="76"/>
      <c r="F31" s="76"/>
      <c r="G31" s="76"/>
      <c r="H31" s="76"/>
      <c r="I31" s="76"/>
      <c r="J31" s="76"/>
    </row>
    <row r="32" spans="3:10" x14ac:dyDescent="0.2">
      <c r="C32" s="76"/>
      <c r="D32" s="76"/>
      <c r="E32" s="76"/>
      <c r="F32" s="76"/>
      <c r="G32" s="76"/>
      <c r="H32" s="76"/>
      <c r="I32" s="76"/>
      <c r="J32" s="76"/>
    </row>
    <row r="33" spans="3:10" x14ac:dyDescent="0.2">
      <c r="C33" s="76"/>
      <c r="D33" s="76"/>
      <c r="E33" s="76"/>
      <c r="F33" s="76"/>
      <c r="G33" s="76"/>
      <c r="H33" s="76"/>
      <c r="I33" s="76"/>
      <c r="J33" s="76"/>
    </row>
    <row r="34" spans="3:10" x14ac:dyDescent="0.2">
      <c r="C34" s="76"/>
      <c r="D34" s="76"/>
      <c r="E34" s="76"/>
      <c r="F34" s="76"/>
      <c r="G34" s="76"/>
      <c r="H34" s="76"/>
      <c r="I34" s="76"/>
      <c r="J34" s="76"/>
    </row>
    <row r="35" spans="3:10" x14ac:dyDescent="0.2">
      <c r="C35" s="76"/>
      <c r="D35" s="76"/>
      <c r="E35" s="76"/>
      <c r="F35" s="76"/>
      <c r="G35" s="76"/>
      <c r="H35" s="76"/>
      <c r="I35" s="76"/>
      <c r="J35" s="76"/>
    </row>
    <row r="36" spans="3:10" x14ac:dyDescent="0.2">
      <c r="C36" s="76"/>
      <c r="D36" s="76"/>
      <c r="E36" s="76"/>
      <c r="F36" s="76"/>
      <c r="G36" s="76"/>
      <c r="H36" s="76"/>
      <c r="I36" s="76"/>
      <c r="J36" s="76"/>
    </row>
    <row r="37" spans="3:10" x14ac:dyDescent="0.2">
      <c r="C37" s="76"/>
      <c r="D37" s="76"/>
      <c r="E37" s="76"/>
      <c r="F37" s="76"/>
      <c r="G37" s="76"/>
      <c r="H37" s="76"/>
      <c r="I37" s="76"/>
      <c r="J37" s="76"/>
    </row>
    <row r="38" spans="3:10" x14ac:dyDescent="0.2">
      <c r="C38" s="76"/>
      <c r="D38" s="76"/>
      <c r="E38" s="76"/>
      <c r="F38" s="76"/>
      <c r="G38" s="76"/>
      <c r="H38" s="76"/>
      <c r="I38" s="76"/>
      <c r="J38" s="76"/>
    </row>
    <row r="39" spans="3:10" x14ac:dyDescent="0.2">
      <c r="C39" s="76"/>
      <c r="D39" s="76"/>
      <c r="E39" s="76"/>
      <c r="F39" s="76"/>
      <c r="G39" s="76"/>
      <c r="H39" s="76"/>
      <c r="I39" s="76"/>
      <c r="J39" s="76"/>
    </row>
    <row r="40" spans="3:10" x14ac:dyDescent="0.2">
      <c r="C40" s="76"/>
      <c r="D40" s="76"/>
      <c r="E40" s="76"/>
      <c r="F40" s="76"/>
      <c r="G40" s="76"/>
      <c r="H40" s="76"/>
      <c r="I40" s="76"/>
      <c r="J40" s="76"/>
    </row>
    <row r="41" spans="3:10" x14ac:dyDescent="0.2">
      <c r="C41" s="76"/>
      <c r="D41" s="76"/>
      <c r="E41" s="76"/>
      <c r="F41" s="76"/>
      <c r="G41" s="76"/>
      <c r="H41" s="76"/>
      <c r="I41" s="76"/>
      <c r="J41" s="76"/>
    </row>
    <row r="42" spans="3:10" x14ac:dyDescent="0.2">
      <c r="C42" s="76"/>
      <c r="D42" s="76"/>
      <c r="E42" s="76"/>
      <c r="F42" s="76"/>
      <c r="G42" s="76"/>
      <c r="H42" s="76"/>
      <c r="I42" s="76"/>
      <c r="J42" s="76"/>
    </row>
    <row r="43" spans="3:10" x14ac:dyDescent="0.2">
      <c r="C43" s="76"/>
      <c r="D43" s="76"/>
      <c r="E43" s="76"/>
      <c r="F43" s="76"/>
      <c r="G43" s="76"/>
      <c r="H43" s="76"/>
      <c r="I43" s="76"/>
      <c r="J43" s="76"/>
    </row>
    <row r="44" spans="3:10" x14ac:dyDescent="0.2">
      <c r="C44" s="76"/>
      <c r="D44" s="76"/>
      <c r="E44" s="76"/>
      <c r="F44" s="76"/>
      <c r="G44" s="76"/>
      <c r="H44" s="76"/>
      <c r="I44" s="76"/>
      <c r="J44" s="76"/>
    </row>
    <row r="45" spans="3:10" x14ac:dyDescent="0.2">
      <c r="C45" s="76"/>
      <c r="D45" s="76"/>
      <c r="E45" s="76"/>
      <c r="F45" s="76"/>
      <c r="G45" s="76"/>
      <c r="H45" s="76"/>
      <c r="I45" s="76"/>
      <c r="J45" s="76"/>
    </row>
    <row r="46" spans="3:10" x14ac:dyDescent="0.2">
      <c r="C46" s="76"/>
      <c r="D46" s="76"/>
      <c r="E46" s="76"/>
      <c r="F46" s="76"/>
      <c r="G46" s="76"/>
      <c r="H46" s="76"/>
      <c r="I46" s="76"/>
      <c r="J46" s="76"/>
    </row>
    <row r="47" spans="3:10" x14ac:dyDescent="0.2">
      <c r="C47" s="76"/>
      <c r="D47" s="76"/>
      <c r="E47" s="76"/>
      <c r="F47" s="76"/>
      <c r="G47" s="76"/>
      <c r="H47" s="76"/>
      <c r="I47" s="76"/>
      <c r="J47" s="76"/>
    </row>
    <row r="48" spans="3:10" x14ac:dyDescent="0.2">
      <c r="C48" s="76"/>
      <c r="D48" s="76"/>
      <c r="E48" s="76"/>
      <c r="F48" s="76"/>
      <c r="G48" s="76"/>
      <c r="H48" s="76"/>
      <c r="I48" s="76"/>
      <c r="J48" s="76"/>
    </row>
    <row r="49" spans="3:10" x14ac:dyDescent="0.2">
      <c r="C49" s="76"/>
      <c r="D49" s="76"/>
      <c r="E49" s="76"/>
      <c r="F49" s="76"/>
      <c r="G49" s="76"/>
      <c r="H49" s="76"/>
      <c r="I49" s="76"/>
      <c r="J49" s="76"/>
    </row>
    <row r="50" spans="3:10" x14ac:dyDescent="0.2">
      <c r="C50" s="76"/>
      <c r="D50" s="76"/>
      <c r="E50" s="76"/>
      <c r="F50" s="76"/>
      <c r="G50" s="76"/>
      <c r="H50" s="76"/>
      <c r="I50" s="76"/>
      <c r="J50" s="76"/>
    </row>
    <row r="51" spans="3:10" x14ac:dyDescent="0.2">
      <c r="C51" s="76"/>
      <c r="D51" s="76"/>
      <c r="E51" s="76"/>
      <c r="F51" s="76"/>
      <c r="G51" s="76"/>
      <c r="H51" s="76"/>
      <c r="I51" s="76"/>
      <c r="J51" s="76"/>
    </row>
    <row r="52" spans="3:10" x14ac:dyDescent="0.2">
      <c r="C52" s="76"/>
      <c r="D52" s="76"/>
      <c r="E52" s="76"/>
      <c r="F52" s="76"/>
      <c r="G52" s="76"/>
      <c r="H52" s="76"/>
      <c r="I52" s="76"/>
      <c r="J52" s="76"/>
    </row>
  </sheetData>
  <sheetProtection algorithmName="SHA-512" hashValue="KPGnt0lcF6Ch9MNrvw0jM4jX5fRv6dh77ezv85hucR5UW/2dzS3CNfJsX/MDNLw0mtLJm4UM7oIwh+BkGMlXrw==" saltValue="JdAjcGZ6bw6tWocwbV6/Iw==" spinCount="100000" sheet="1" objects="1" scenarios="1"/>
  <pageMargins left="0.7" right="0.7" top="0.75" bottom="0.75" header="0.3" footer="0.3"/>
  <pageSetup scale="86" orientation="portrait" r:id="rId1"/>
  <rowBreaks count="2" manualBreakCount="2">
    <brk id="57" max="16383" man="1"/>
    <brk id="113" max="16383" man="1"/>
  </rowBreaks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34"/>
  <sheetViews>
    <sheetView showGridLines="0" zoomScale="80" zoomScaleNormal="80" zoomScalePageLayoutView="80" workbookViewId="0">
      <selection activeCell="C38" sqref="C38"/>
    </sheetView>
  </sheetViews>
  <sheetFormatPr baseColWidth="10" defaultColWidth="11.42578125" defaultRowHeight="12.75" x14ac:dyDescent="0.2"/>
  <cols>
    <col min="1" max="9" width="11.42578125" style="86"/>
    <col min="10" max="11" width="13.28515625" style="86" customWidth="1"/>
    <col min="12" max="16384" width="11.42578125" style="86"/>
  </cols>
  <sheetData>
    <row r="1" spans="1:16" x14ac:dyDescent="0.2">
      <c r="J1" s="276"/>
      <c r="K1" s="279"/>
    </row>
    <row r="2" spans="1:16" x14ac:dyDescent="0.2">
      <c r="J2" s="276" t="s">
        <v>201</v>
      </c>
      <c r="K2" s="279"/>
    </row>
    <row r="4" spans="1:16" ht="19.5" customHeight="1" x14ac:dyDescent="0.2">
      <c r="I4" s="277" t="s">
        <v>0</v>
      </c>
      <c r="J4" s="631" t="str">
        <f>+'B) Reajuste Tarifas y Ocupación'!F5</f>
        <v>DELBIENWILL</v>
      </c>
      <c r="K4" s="632"/>
    </row>
    <row r="6" spans="1:16" ht="12.75" customHeight="1" x14ac:dyDescent="0.2">
      <c r="A6" s="278" t="s">
        <v>123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ht="13.5" thickBot="1" x14ac:dyDescent="0.2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ht="15.75" customHeight="1" thickBot="1" x14ac:dyDescent="0.25">
      <c r="A9" s="463" t="s">
        <v>75</v>
      </c>
      <c r="B9" s="465" t="s">
        <v>76</v>
      </c>
      <c r="C9" s="466" t="s">
        <v>140</v>
      </c>
      <c r="D9" s="467" t="s">
        <v>260</v>
      </c>
      <c r="E9" s="87"/>
      <c r="F9" s="87"/>
      <c r="G9" s="87"/>
      <c r="H9" s="87"/>
      <c r="I9" s="87"/>
    </row>
    <row r="10" spans="1:16" x14ac:dyDescent="0.2">
      <c r="A10" s="464">
        <v>53103040100000</v>
      </c>
      <c r="B10" s="468" t="s">
        <v>95</v>
      </c>
      <c r="C10" s="469">
        <v>23964439.792000003</v>
      </c>
      <c r="D10" s="470" t="s">
        <v>267</v>
      </c>
    </row>
    <row r="11" spans="1:16" x14ac:dyDescent="0.2">
      <c r="A11" s="464">
        <v>53103040400000</v>
      </c>
      <c r="B11" s="471" t="s">
        <v>173</v>
      </c>
      <c r="C11" s="472">
        <v>1191667</v>
      </c>
      <c r="D11" s="473" t="s">
        <v>268</v>
      </c>
    </row>
    <row r="12" spans="1:16" x14ac:dyDescent="0.2">
      <c r="A12" s="464">
        <v>53201010100000</v>
      </c>
      <c r="B12" s="471" t="s">
        <v>175</v>
      </c>
      <c r="C12" s="472">
        <v>40000</v>
      </c>
      <c r="D12" s="473" t="s">
        <v>269</v>
      </c>
    </row>
    <row r="13" spans="1:16" x14ac:dyDescent="0.2">
      <c r="A13" s="464">
        <v>53201010100000</v>
      </c>
      <c r="B13" s="471" t="s">
        <v>176</v>
      </c>
      <c r="C13" s="472">
        <v>503000</v>
      </c>
      <c r="D13" s="473" t="s">
        <v>270</v>
      </c>
    </row>
    <row r="14" spans="1:16" x14ac:dyDescent="0.2">
      <c r="A14" s="464">
        <v>53202010100000</v>
      </c>
      <c r="B14" s="471" t="s">
        <v>178</v>
      </c>
      <c r="C14" s="472">
        <v>48000</v>
      </c>
      <c r="D14" s="473" t="s">
        <v>261</v>
      </c>
    </row>
    <row r="15" spans="1:16" x14ac:dyDescent="0.2">
      <c r="A15" s="464">
        <v>53204100100001</v>
      </c>
      <c r="B15" s="471" t="s">
        <v>22</v>
      </c>
      <c r="C15" s="472">
        <v>650000</v>
      </c>
      <c r="D15" s="473" t="s">
        <v>271</v>
      </c>
    </row>
    <row r="16" spans="1:16" x14ac:dyDescent="0.2">
      <c r="A16" s="464">
        <v>53205010100000</v>
      </c>
      <c r="B16" s="471" t="s">
        <v>24</v>
      </c>
      <c r="C16" s="472">
        <f>61600*12</f>
        <v>739200</v>
      </c>
      <c r="D16" s="473" t="s">
        <v>272</v>
      </c>
    </row>
    <row r="17" spans="1:4" x14ac:dyDescent="0.2">
      <c r="A17" s="464">
        <v>53205020100000</v>
      </c>
      <c r="B17" s="471" t="s">
        <v>25</v>
      </c>
      <c r="C17" s="472">
        <f>+((31605+78259+31502+41575+45741+45268)/6)*12</f>
        <v>547900</v>
      </c>
      <c r="D17" s="473" t="s">
        <v>273</v>
      </c>
    </row>
    <row r="18" spans="1:4" x14ac:dyDescent="0.2">
      <c r="A18" s="464">
        <v>53205030100000</v>
      </c>
      <c r="B18" s="471" t="s">
        <v>26</v>
      </c>
      <c r="C18" s="472">
        <f>37000*4</f>
        <v>148000</v>
      </c>
      <c r="D18" s="473" t="s">
        <v>274</v>
      </c>
    </row>
    <row r="19" spans="1:4" x14ac:dyDescent="0.2">
      <c r="A19" s="464">
        <v>53205070100000</v>
      </c>
      <c r="B19" s="471" t="s">
        <v>29</v>
      </c>
      <c r="C19" s="472">
        <v>720000</v>
      </c>
      <c r="D19" s="473" t="s">
        <v>264</v>
      </c>
    </row>
    <row r="20" spans="1:4" x14ac:dyDescent="0.2">
      <c r="A20" s="464">
        <v>53212020100000</v>
      </c>
      <c r="B20" s="471" t="s">
        <v>183</v>
      </c>
      <c r="C20" s="472">
        <v>270000</v>
      </c>
      <c r="D20" s="473" t="s">
        <v>275</v>
      </c>
    </row>
    <row r="21" spans="1:4" x14ac:dyDescent="0.2">
      <c r="A21" s="464">
        <v>53202020100000</v>
      </c>
      <c r="B21" s="471" t="s">
        <v>185</v>
      </c>
      <c r="C21" s="472">
        <f>25000+(8*15000)+(4*12000)</f>
        <v>193000</v>
      </c>
      <c r="D21" s="473" t="s">
        <v>276</v>
      </c>
    </row>
    <row r="22" spans="1:4" x14ac:dyDescent="0.2">
      <c r="A22" s="464">
        <v>53202030000000</v>
      </c>
      <c r="B22" s="471" t="s">
        <v>186</v>
      </c>
      <c r="C22" s="472">
        <f>20000*4</f>
        <v>80000</v>
      </c>
      <c r="D22" s="473" t="s">
        <v>277</v>
      </c>
    </row>
    <row r="23" spans="1:4" x14ac:dyDescent="0.2">
      <c r="A23" s="464">
        <v>53204010000000</v>
      </c>
      <c r="B23" s="471" t="s">
        <v>47</v>
      </c>
      <c r="C23" s="472">
        <v>334834</v>
      </c>
      <c r="D23" s="473" t="s">
        <v>262</v>
      </c>
    </row>
    <row r="24" spans="1:4" x14ac:dyDescent="0.2">
      <c r="A24" s="464">
        <v>53204040200000</v>
      </c>
      <c r="B24" s="471" t="s">
        <v>225</v>
      </c>
      <c r="C24" s="472">
        <v>145000</v>
      </c>
      <c r="D24" s="473" t="s">
        <v>263</v>
      </c>
    </row>
    <row r="25" spans="1:4" x14ac:dyDescent="0.2">
      <c r="A25" s="464">
        <v>53204060000000</v>
      </c>
      <c r="B25" s="471" t="s">
        <v>49</v>
      </c>
      <c r="C25" s="472">
        <v>38000</v>
      </c>
      <c r="D25" s="473" t="s">
        <v>278</v>
      </c>
    </row>
    <row r="26" spans="1:4" x14ac:dyDescent="0.2">
      <c r="A26" s="464">
        <v>53204070000000</v>
      </c>
      <c r="B26" s="471" t="s">
        <v>50</v>
      </c>
      <c r="C26" s="472">
        <v>3253253</v>
      </c>
      <c r="D26" s="473" t="s">
        <v>279</v>
      </c>
    </row>
    <row r="27" spans="1:4" x14ac:dyDescent="0.2">
      <c r="A27" s="464">
        <v>53204080000000</v>
      </c>
      <c r="B27" s="471" t="s">
        <v>51</v>
      </c>
      <c r="C27" s="472">
        <v>50000</v>
      </c>
      <c r="D27" s="473" t="s">
        <v>280</v>
      </c>
    </row>
    <row r="28" spans="1:4" x14ac:dyDescent="0.2">
      <c r="A28" s="464">
        <v>53204020100000</v>
      </c>
      <c r="B28" s="471" t="s">
        <v>180</v>
      </c>
      <c r="C28" s="472">
        <v>1000000</v>
      </c>
      <c r="D28" s="473" t="s">
        <v>281</v>
      </c>
    </row>
    <row r="29" spans="1:4" x14ac:dyDescent="0.2">
      <c r="A29" s="464">
        <v>53208990000000</v>
      </c>
      <c r="B29" s="471" t="s">
        <v>189</v>
      </c>
      <c r="C29" s="472">
        <v>168783</v>
      </c>
      <c r="D29" s="473" t="s">
        <v>282</v>
      </c>
    </row>
    <row r="30" spans="1:4" x14ac:dyDescent="0.2">
      <c r="A30" s="464">
        <v>53210020300000</v>
      </c>
      <c r="B30" s="471" t="s">
        <v>191</v>
      </c>
      <c r="C30" s="472">
        <v>144039</v>
      </c>
      <c r="D30" s="474" t="s">
        <v>283</v>
      </c>
    </row>
    <row r="31" spans="1:4" x14ac:dyDescent="0.2">
      <c r="A31" s="464">
        <v>53210020100000</v>
      </c>
      <c r="B31" s="471" t="s">
        <v>64</v>
      </c>
      <c r="C31" s="472">
        <v>342660.36200000002</v>
      </c>
      <c r="D31" s="473" t="s">
        <v>284</v>
      </c>
    </row>
    <row r="32" spans="1:4" x14ac:dyDescent="0.2">
      <c r="A32" s="464">
        <v>53206990000000</v>
      </c>
      <c r="B32" s="471" t="s">
        <v>194</v>
      </c>
      <c r="C32" s="472">
        <v>60000</v>
      </c>
      <c r="D32" s="473" t="s">
        <v>266</v>
      </c>
    </row>
    <row r="33" spans="1:4" x14ac:dyDescent="0.2">
      <c r="A33" s="464">
        <v>53208030000000</v>
      </c>
      <c r="B33" s="471" t="s">
        <v>104</v>
      </c>
      <c r="C33" s="472">
        <f>+(29000*41)+(29000*20)+(29000+2)+(29000*5.2)+(29000*4)+(29000*10)+(29000*1.5)+(29000*0.5)</f>
        <v>2412802</v>
      </c>
      <c r="D33" s="473" t="s">
        <v>285</v>
      </c>
    </row>
    <row r="34" spans="1:4" ht="13.5" thickBot="1" x14ac:dyDescent="0.25">
      <c r="A34" s="464">
        <v>53206070000000</v>
      </c>
      <c r="B34" s="475" t="s">
        <v>102</v>
      </c>
      <c r="C34" s="476">
        <v>300000</v>
      </c>
      <c r="D34" s="477" t="s">
        <v>265</v>
      </c>
    </row>
  </sheetData>
  <sheetProtection algorithmName="SHA-512" hashValue="1Hn7opT0UVgRd+jz4olBdMFRzOEfjACuWgBCb+H6uB3GBL9TYwSzVscOvRLvx5kGr2OwVdS8lW7R+i8M0etweg==" saltValue="ws8ap119oO0fCWZ1qW/P0w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zoomScalePageLayoutView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84</v>
      </c>
    </row>
    <row r="5" spans="2:11" x14ac:dyDescent="0.2">
      <c r="B5" s="483" t="s">
        <v>163</v>
      </c>
      <c r="C5" s="483"/>
      <c r="D5" s="483"/>
      <c r="E5" s="483"/>
      <c r="F5" s="483"/>
    </row>
    <row r="7" spans="2:11" x14ac:dyDescent="0.2">
      <c r="C7" s="244" t="s">
        <v>149</v>
      </c>
      <c r="D7" s="244"/>
      <c r="E7" s="244"/>
      <c r="F7" s="244"/>
      <c r="G7" s="244"/>
      <c r="H7" s="244"/>
      <c r="I7" s="244"/>
      <c r="J7" s="244"/>
      <c r="K7" s="244"/>
    </row>
    <row r="9" spans="2:11" x14ac:dyDescent="0.2">
      <c r="C9" s="244" t="s">
        <v>150</v>
      </c>
      <c r="D9" s="244"/>
      <c r="E9" s="244"/>
      <c r="F9" s="244"/>
      <c r="G9" s="244"/>
      <c r="H9" s="244"/>
      <c r="I9" s="243"/>
      <c r="J9" s="243"/>
      <c r="K9" s="243"/>
    </row>
    <row r="11" spans="2:11" x14ac:dyDescent="0.2">
      <c r="B11" s="478" t="s">
        <v>164</v>
      </c>
      <c r="C11" s="478"/>
      <c r="D11" s="478"/>
      <c r="E11" s="478"/>
      <c r="F11" s="478"/>
    </row>
    <row r="13" spans="2:11" x14ac:dyDescent="0.2">
      <c r="C13" s="245" t="s">
        <v>151</v>
      </c>
      <c r="D13" s="245"/>
      <c r="E13" s="245"/>
      <c r="F13" s="245"/>
      <c r="G13" s="245"/>
      <c r="H13" s="245"/>
    </row>
    <row r="15" spans="2:11" x14ac:dyDescent="0.2">
      <c r="C15" s="245" t="s">
        <v>152</v>
      </c>
      <c r="D15" s="245"/>
      <c r="E15" s="245"/>
      <c r="F15" s="245"/>
      <c r="G15" s="245"/>
      <c r="H15" s="245"/>
      <c r="I15" s="243"/>
      <c r="J15" s="243"/>
      <c r="K15" s="243"/>
    </row>
    <row r="19" spans="2:16" x14ac:dyDescent="0.2">
      <c r="B19" s="478" t="s">
        <v>165</v>
      </c>
      <c r="C19" s="478"/>
      <c r="D19" s="478"/>
      <c r="E19" s="478"/>
      <c r="F19" s="478"/>
    </row>
    <row r="21" spans="2:16" x14ac:dyDescent="0.2">
      <c r="C21" s="245" t="s">
        <v>153</v>
      </c>
      <c r="D21" s="245"/>
      <c r="E21" s="245"/>
      <c r="F21" s="246"/>
      <c r="G21" s="246"/>
      <c r="H21" s="246"/>
    </row>
    <row r="22" spans="2:16" x14ac:dyDescent="0.2">
      <c r="C22" s="479"/>
      <c r="D22" s="479"/>
      <c r="E22" s="479"/>
      <c r="F22" s="479"/>
      <c r="G22" s="479"/>
      <c r="H22" s="479"/>
      <c r="I22" s="479"/>
      <c r="J22" s="479"/>
      <c r="K22" s="479"/>
    </row>
    <row r="24" spans="2:16" x14ac:dyDescent="0.2">
      <c r="B24" s="478" t="s">
        <v>166</v>
      </c>
      <c r="C24" s="478"/>
      <c r="D24" s="478"/>
      <c r="E24" s="478"/>
      <c r="F24" s="478"/>
    </row>
    <row r="26" spans="2:16" x14ac:dyDescent="0.2">
      <c r="C26" s="247" t="s">
        <v>154</v>
      </c>
      <c r="D26" s="247"/>
      <c r="E26" s="247"/>
      <c r="F26" s="247"/>
      <c r="G26" s="247"/>
      <c r="H26" s="247"/>
      <c r="I26" s="247"/>
      <c r="J26" s="247"/>
    </row>
    <row r="27" spans="2:16" ht="12.75" customHeight="1" x14ac:dyDescent="0.2">
      <c r="C27" s="480" t="s">
        <v>155</v>
      </c>
      <c r="D27" s="480"/>
      <c r="E27" s="480"/>
      <c r="F27" s="480"/>
      <c r="G27" s="480"/>
      <c r="H27" s="480"/>
      <c r="I27" s="480"/>
      <c r="J27" s="480"/>
      <c r="K27" s="480"/>
      <c r="L27" s="480"/>
      <c r="M27" s="480"/>
    </row>
    <row r="28" spans="2:16" ht="12.75" customHeight="1" x14ac:dyDescent="0.2"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</row>
    <row r="29" spans="2:16" ht="12.75" customHeight="1" x14ac:dyDescent="0.2">
      <c r="C29" s="247" t="s">
        <v>156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6"/>
    </row>
    <row r="30" spans="2:16" ht="12.75" customHeight="1" x14ac:dyDescent="0.2"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6"/>
    </row>
    <row r="31" spans="2:16" ht="12.75" customHeight="1" x14ac:dyDescent="0.2">
      <c r="C31" s="251" t="s">
        <v>157</v>
      </c>
      <c r="D31" s="248"/>
      <c r="E31" s="248"/>
      <c r="F31" s="250"/>
      <c r="G31" s="248"/>
      <c r="H31" s="248"/>
      <c r="I31" s="248"/>
      <c r="J31" s="248"/>
      <c r="K31" s="248"/>
      <c r="L31" s="248"/>
      <c r="M31" s="248"/>
      <c r="N31" s="246"/>
      <c r="O31" s="246"/>
      <c r="P31" s="246"/>
    </row>
    <row r="32" spans="2:16" ht="12.75" customHeight="1" x14ac:dyDescent="0.2">
      <c r="C32" s="249"/>
      <c r="D32" s="249"/>
      <c r="E32" s="249"/>
      <c r="F32" s="249"/>
      <c r="G32" s="249"/>
      <c r="H32" s="249"/>
      <c r="I32" s="248"/>
      <c r="J32" s="248"/>
      <c r="K32" s="248"/>
      <c r="L32" s="248"/>
      <c r="M32" s="248"/>
      <c r="N32" s="246"/>
    </row>
    <row r="33" spans="2:19" ht="12.75" customHeight="1" x14ac:dyDescent="0.2">
      <c r="C33" s="481" t="s">
        <v>158</v>
      </c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246"/>
    </row>
    <row r="34" spans="2:19" ht="12.75" customHeight="1" x14ac:dyDescent="0.2">
      <c r="C34" s="190"/>
      <c r="D34" s="190"/>
      <c r="E34" s="190"/>
      <c r="F34" s="190"/>
      <c r="G34" s="190"/>
      <c r="H34" s="190"/>
      <c r="I34" s="247"/>
      <c r="J34" s="247"/>
      <c r="K34" s="247"/>
      <c r="L34" s="247"/>
      <c r="M34" s="247"/>
      <c r="N34" s="246"/>
    </row>
    <row r="35" spans="2:19" ht="12.75" customHeight="1" x14ac:dyDescent="0.2">
      <c r="C35" s="248" t="s">
        <v>159</v>
      </c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6"/>
    </row>
    <row r="36" spans="2:19" ht="12.75" customHeight="1" x14ac:dyDescent="0.2">
      <c r="C36" s="249"/>
      <c r="D36" s="249"/>
      <c r="E36" s="249"/>
      <c r="F36" s="249"/>
      <c r="G36" s="249"/>
      <c r="H36" s="249"/>
      <c r="I36" s="248"/>
      <c r="J36" s="248"/>
      <c r="K36" s="248"/>
      <c r="L36" s="248"/>
      <c r="M36" s="248"/>
      <c r="N36" s="246"/>
    </row>
    <row r="37" spans="2:19" ht="12.75" customHeight="1" x14ac:dyDescent="0.2"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</row>
    <row r="38" spans="2:19" ht="12.75" customHeight="1" x14ac:dyDescent="0.2"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</row>
    <row r="39" spans="2:19" ht="12.75" customHeight="1" x14ac:dyDescent="0.2">
      <c r="B39" s="251" t="s">
        <v>167</v>
      </c>
      <c r="C39" s="247"/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2:19" x14ac:dyDescent="0.2">
      <c r="O40" s="479"/>
      <c r="P40" s="479"/>
      <c r="Q40" s="479"/>
      <c r="R40" s="479"/>
      <c r="S40" s="479"/>
    </row>
    <row r="41" spans="2:19" x14ac:dyDescent="0.2">
      <c r="C41" s="482" t="s">
        <v>160</v>
      </c>
      <c r="D41" s="482"/>
      <c r="E41" s="482"/>
      <c r="F41" s="482"/>
    </row>
    <row r="42" spans="2:19" x14ac:dyDescent="0.2">
      <c r="C42" s="479"/>
      <c r="D42" s="479"/>
      <c r="E42" s="479"/>
      <c r="F42" s="479"/>
      <c r="G42" s="479"/>
      <c r="H42" s="479"/>
      <c r="I42" s="479"/>
      <c r="J42" s="479"/>
    </row>
    <row r="44" spans="2:19" x14ac:dyDescent="0.2">
      <c r="B44" s="478" t="s">
        <v>168</v>
      </c>
      <c r="C44" s="478"/>
      <c r="D44" s="478"/>
      <c r="E44" s="478"/>
      <c r="F44" s="478"/>
    </row>
    <row r="46" spans="2:19" x14ac:dyDescent="0.2">
      <c r="C46" s="252" t="s">
        <v>161</v>
      </c>
      <c r="D46" s="252"/>
      <c r="E46" s="252"/>
      <c r="F46" s="252"/>
      <c r="G46" s="252"/>
      <c r="H46" s="252"/>
      <c r="I46" s="252"/>
      <c r="J46" s="252"/>
      <c r="K46" s="253"/>
      <c r="L46" s="253"/>
      <c r="M46" s="253"/>
    </row>
    <row r="50" spans="2:13" x14ac:dyDescent="0.2">
      <c r="B50" s="478" t="s">
        <v>169</v>
      </c>
      <c r="C50" s="478"/>
      <c r="D50" s="478"/>
      <c r="E50" s="478"/>
      <c r="F50" s="478"/>
    </row>
    <row r="52" spans="2:13" x14ac:dyDescent="0.2">
      <c r="C52" s="247" t="s">
        <v>162</v>
      </c>
      <c r="D52" s="247"/>
      <c r="E52" s="247"/>
      <c r="F52" s="247"/>
      <c r="G52" s="246"/>
      <c r="H52" s="246"/>
      <c r="I52" s="246"/>
      <c r="J52" s="246"/>
      <c r="K52" s="246"/>
      <c r="L52" s="246"/>
      <c r="M52" s="246"/>
    </row>
    <row r="54" spans="2:13" x14ac:dyDescent="0.2">
      <c r="B54" s="246" t="s">
        <v>170</v>
      </c>
      <c r="C54" s="246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tabSelected="1" topLeftCell="C1" zoomScale="90" zoomScaleNormal="90" workbookViewId="0">
      <selection activeCell="I10" sqref="I10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42578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202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195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93" t="s">
        <v>0</v>
      </c>
      <c r="D4" s="493"/>
      <c r="E4" s="494" t="s">
        <v>246</v>
      </c>
      <c r="F4" s="495"/>
      <c r="G4" s="496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5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05" t="s">
        <v>149</v>
      </c>
      <c r="B6" s="505"/>
      <c r="C6" s="505"/>
      <c r="D6" s="505"/>
      <c r="E6" s="4"/>
      <c r="F6" s="4"/>
      <c r="G6" s="9"/>
      <c r="H6" s="25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12" t="s">
        <v>114</v>
      </c>
      <c r="B8" s="313" t="str">
        <f>+N17</f>
        <v>Ingreso por Matrícula</v>
      </c>
      <c r="C8" s="314" t="str">
        <f>+O17</f>
        <v>Ingreso por Mensualidad</v>
      </c>
      <c r="D8" s="314" t="s">
        <v>126</v>
      </c>
      <c r="E8" s="315" t="s">
        <v>82</v>
      </c>
      <c r="F8" s="316" t="s">
        <v>79</v>
      </c>
      <c r="G8" s="317" t="s">
        <v>80</v>
      </c>
      <c r="H8" s="318" t="s">
        <v>107</v>
      </c>
      <c r="I8" s="319" t="s">
        <v>113</v>
      </c>
      <c r="L8" s="65" t="s">
        <v>112</v>
      </c>
      <c r="N8" s="103"/>
    </row>
    <row r="9" spans="1:247" x14ac:dyDescent="0.2">
      <c r="A9" s="320" t="str">
        <f>+'B) Reajuste Tarifas y Ocupación'!A12</f>
        <v>Jardín Infantil Pequeños Colonos</v>
      </c>
      <c r="B9" s="321">
        <f>+N25</f>
        <v>1319900</v>
      </c>
      <c r="C9" s="322">
        <f>+O25</f>
        <v>13199000</v>
      </c>
      <c r="D9" s="321">
        <f>+P25</f>
        <v>0</v>
      </c>
      <c r="E9" s="323">
        <f>+B9+D9+C9</f>
        <v>14518900</v>
      </c>
      <c r="F9" s="324">
        <f>+'C) Costos Directos'!H75</f>
        <v>37344577.820666671</v>
      </c>
      <c r="G9" s="325">
        <f>+'D) Costos Indirectos'!$AP$15*(F9/$F$10)</f>
        <v>3773952.8080000011</v>
      </c>
      <c r="H9" s="326">
        <f>+F9+G9</f>
        <v>41118530.628666669</v>
      </c>
      <c r="I9" s="327">
        <f>E9-H9</f>
        <v>-26599630.628666669</v>
      </c>
      <c r="L9" s="84">
        <f>+G9/$G$10</f>
        <v>1</v>
      </c>
      <c r="N9" s="104"/>
    </row>
    <row r="10" spans="1:247" s="6" customFormat="1" ht="15.75" thickBot="1" x14ac:dyDescent="0.25">
      <c r="A10" s="328" t="s">
        <v>1</v>
      </c>
      <c r="B10" s="329">
        <f t="shared" ref="B10:I10" si="0">SUM(B9:B9)</f>
        <v>1319900</v>
      </c>
      <c r="C10" s="329">
        <f t="shared" si="0"/>
        <v>13199000</v>
      </c>
      <c r="D10" s="329">
        <f t="shared" si="0"/>
        <v>0</v>
      </c>
      <c r="E10" s="330">
        <f t="shared" si="0"/>
        <v>14518900</v>
      </c>
      <c r="F10" s="329">
        <f t="shared" si="0"/>
        <v>37344577.820666671</v>
      </c>
      <c r="G10" s="329">
        <f t="shared" si="0"/>
        <v>3773952.8080000011</v>
      </c>
      <c r="H10" s="329">
        <f t="shared" si="0"/>
        <v>41118530.628666669</v>
      </c>
      <c r="I10" s="331">
        <f t="shared" si="0"/>
        <v>-26599630.628666669</v>
      </c>
      <c r="L10" s="85">
        <f>SUM(L9:L9)</f>
        <v>1</v>
      </c>
      <c r="N10" s="56"/>
      <c r="O10" s="284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85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505" t="s">
        <v>150</v>
      </c>
      <c r="B15" s="505"/>
      <c r="C15" s="505"/>
      <c r="D15" s="505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506" t="s">
        <v>114</v>
      </c>
      <c r="B17" s="508" t="s">
        <v>5</v>
      </c>
      <c r="C17" s="497" t="s">
        <v>2</v>
      </c>
      <c r="D17" s="499" t="s">
        <v>213</v>
      </c>
      <c r="E17" s="500"/>
      <c r="F17" s="500"/>
      <c r="G17" s="500"/>
      <c r="H17" s="501"/>
      <c r="I17" s="502" t="s">
        <v>214</v>
      </c>
      <c r="J17" s="503"/>
      <c r="K17" s="503"/>
      <c r="L17" s="503"/>
      <c r="M17" s="504"/>
      <c r="N17" s="514" t="s">
        <v>89</v>
      </c>
      <c r="O17" s="516" t="s">
        <v>90</v>
      </c>
      <c r="P17" s="512" t="s">
        <v>126</v>
      </c>
      <c r="Q17" s="518" t="s">
        <v>106</v>
      </c>
    </row>
    <row r="18" spans="1:17" s="16" customFormat="1" ht="39" thickBot="1" x14ac:dyDescent="0.25">
      <c r="A18" s="507"/>
      <c r="B18" s="509"/>
      <c r="C18" s="498"/>
      <c r="D18" s="288" t="s">
        <v>86</v>
      </c>
      <c r="E18" s="287" t="s">
        <v>137</v>
      </c>
      <c r="F18" s="287" t="s">
        <v>138</v>
      </c>
      <c r="G18" s="287" t="s">
        <v>87</v>
      </c>
      <c r="H18" s="289" t="s">
        <v>88</v>
      </c>
      <c r="I18" s="288" t="s">
        <v>86</v>
      </c>
      <c r="J18" s="287" t="s">
        <v>137</v>
      </c>
      <c r="K18" s="287" t="s">
        <v>138</v>
      </c>
      <c r="L18" s="287" t="s">
        <v>87</v>
      </c>
      <c r="M18" s="289" t="s">
        <v>88</v>
      </c>
      <c r="N18" s="515"/>
      <c r="O18" s="517"/>
      <c r="P18" s="513"/>
      <c r="Q18" s="519"/>
    </row>
    <row r="19" spans="1:17" ht="12.75" customHeight="1" x14ac:dyDescent="0.2">
      <c r="A19" s="488" t="str">
        <f>+'B) Reajuste Tarifas y Ocupación'!A12</f>
        <v>Jardín Infantil Pequeños Colonos</v>
      </c>
      <c r="B19" s="484" t="str">
        <f>+'B) Reajuste Tarifas y Ocupación'!B12</f>
        <v>Media jornada</v>
      </c>
      <c r="C19" s="292" t="s">
        <v>215</v>
      </c>
      <c r="D19" s="299">
        <f t="shared" ref="D19:F20" si="1">+I19</f>
        <v>66200</v>
      </c>
      <c r="E19" s="293">
        <f t="shared" si="1"/>
        <v>79500</v>
      </c>
      <c r="F19" s="293">
        <f t="shared" si="1"/>
        <v>79500</v>
      </c>
      <c r="G19" s="293">
        <f t="shared" ref="G19:H20" si="2">+L19</f>
        <v>126900</v>
      </c>
      <c r="H19" s="300">
        <f t="shared" si="2"/>
        <v>154000</v>
      </c>
      <c r="I19" s="299">
        <f>+'B) Reajuste Tarifas y Ocupación'!M12</f>
        <v>66200</v>
      </c>
      <c r="J19" s="293">
        <f>+'B) Reajuste Tarifas y Ocupación'!N12</f>
        <v>79500</v>
      </c>
      <c r="K19" s="293">
        <f>+'B) Reajuste Tarifas y Ocupación'!O12</f>
        <v>79500</v>
      </c>
      <c r="L19" s="293">
        <f>+'B) Reajuste Tarifas y Ocupación'!P12</f>
        <v>126900</v>
      </c>
      <c r="M19" s="300">
        <f>+'B) Reajuste Tarifas y Ocupación'!Q12</f>
        <v>154000</v>
      </c>
      <c r="N19" s="305"/>
      <c r="O19" s="294"/>
      <c r="P19" s="308">
        <f>+'B) Reajuste Tarifas y Ocupación'!C12</f>
        <v>66200</v>
      </c>
      <c r="Q19" s="510"/>
    </row>
    <row r="20" spans="1:17" x14ac:dyDescent="0.2">
      <c r="A20" s="489"/>
      <c r="B20" s="485"/>
      <c r="C20" s="286" t="s">
        <v>7</v>
      </c>
      <c r="D20" s="301">
        <f t="shared" si="1"/>
        <v>16</v>
      </c>
      <c r="E20" s="291">
        <f t="shared" si="1"/>
        <v>0</v>
      </c>
      <c r="F20" s="291">
        <f t="shared" si="1"/>
        <v>0</v>
      </c>
      <c r="G20" s="291">
        <f t="shared" si="2"/>
        <v>0</v>
      </c>
      <c r="H20" s="302">
        <f t="shared" si="2"/>
        <v>0</v>
      </c>
      <c r="I20" s="301">
        <f>+'B) Reajuste Tarifas y Ocupación'!C22</f>
        <v>16</v>
      </c>
      <c r="J20" s="291">
        <f>+'B) Reajuste Tarifas y Ocupación'!D22</f>
        <v>0</v>
      </c>
      <c r="K20" s="291">
        <f>+'B) Reajuste Tarifas y Ocupación'!E22</f>
        <v>0</v>
      </c>
      <c r="L20" s="291">
        <f>+'B) Reajuste Tarifas y Ocupación'!F22</f>
        <v>0</v>
      </c>
      <c r="M20" s="302">
        <f>+'B) Reajuste Tarifas y Ocupación'!G22</f>
        <v>0</v>
      </c>
      <c r="N20" s="306"/>
      <c r="O20" s="290"/>
      <c r="P20" s="309">
        <v>0</v>
      </c>
      <c r="Q20" s="511"/>
    </row>
    <row r="21" spans="1:17" ht="13.5" thickBot="1" x14ac:dyDescent="0.25">
      <c r="A21" s="489"/>
      <c r="B21" s="486"/>
      <c r="C21" s="295" t="s">
        <v>9</v>
      </c>
      <c r="D21" s="303">
        <f>D20*D19</f>
        <v>1059200</v>
      </c>
      <c r="E21" s="296">
        <f>E20*E19</f>
        <v>0</v>
      </c>
      <c r="F21" s="296">
        <f t="shared" ref="F21" si="3">F20*F19</f>
        <v>0</v>
      </c>
      <c r="G21" s="296">
        <f t="shared" ref="G21:H21" si="4">G20*G19</f>
        <v>0</v>
      </c>
      <c r="H21" s="304">
        <f t="shared" si="4"/>
        <v>0</v>
      </c>
      <c r="I21" s="371">
        <f>I20*I19*10</f>
        <v>10592000</v>
      </c>
      <c r="J21" s="372">
        <f t="shared" ref="J21:M21" si="5">J20*J19*10</f>
        <v>0</v>
      </c>
      <c r="K21" s="372">
        <f t="shared" ref="K21" si="6">K20*K19*10</f>
        <v>0</v>
      </c>
      <c r="L21" s="372">
        <f t="shared" si="5"/>
        <v>0</v>
      </c>
      <c r="M21" s="373">
        <f t="shared" si="5"/>
        <v>0</v>
      </c>
      <c r="N21" s="307">
        <f>SUM(D21:H21)</f>
        <v>1059200</v>
      </c>
      <c r="O21" s="297">
        <f>SUM(I21:M21)</f>
        <v>10592000</v>
      </c>
      <c r="P21" s="310">
        <f>P20*P19</f>
        <v>0</v>
      </c>
      <c r="Q21" s="311">
        <f>N21+O21+P21</f>
        <v>11651200</v>
      </c>
    </row>
    <row r="22" spans="1:17" ht="12.75" customHeight="1" x14ac:dyDescent="0.2">
      <c r="A22" s="489"/>
      <c r="B22" s="484" t="str">
        <f>+'B) Reajuste Tarifas y Ocupación'!B13</f>
        <v>Doble Jornada</v>
      </c>
      <c r="C22" s="292" t="s">
        <v>215</v>
      </c>
      <c r="D22" s="299">
        <f t="shared" ref="D22:D23" si="7">+I22</f>
        <v>86900</v>
      </c>
      <c r="E22" s="293">
        <f t="shared" ref="E22:E23" si="8">+J22</f>
        <v>104300</v>
      </c>
      <c r="F22" s="293">
        <f t="shared" ref="F22:F23" si="9">+K22</f>
        <v>104300</v>
      </c>
      <c r="G22" s="293">
        <f t="shared" ref="G22:G23" si="10">+L22</f>
        <v>156400</v>
      </c>
      <c r="H22" s="370">
        <f t="shared" ref="H22:H23" si="11">+M22</f>
        <v>187700</v>
      </c>
      <c r="I22" s="299">
        <f>+'B) Reajuste Tarifas y Ocupación'!M13</f>
        <v>86900</v>
      </c>
      <c r="J22" s="293">
        <f>+'B) Reajuste Tarifas y Ocupación'!N13</f>
        <v>104300</v>
      </c>
      <c r="K22" s="293">
        <f>+'B) Reajuste Tarifas y Ocupación'!O13</f>
        <v>104300</v>
      </c>
      <c r="L22" s="293">
        <f>+'B) Reajuste Tarifas y Ocupación'!P13</f>
        <v>156400</v>
      </c>
      <c r="M22" s="300">
        <f>+'B) Reajuste Tarifas y Ocupación'!Q13</f>
        <v>187700</v>
      </c>
      <c r="N22" s="305"/>
      <c r="O22" s="294"/>
      <c r="P22" s="308">
        <f>+'B) Reajuste Tarifas y Ocupación'!C13</f>
        <v>86900</v>
      </c>
      <c r="Q22" s="510"/>
    </row>
    <row r="23" spans="1:17" x14ac:dyDescent="0.2">
      <c r="A23" s="489"/>
      <c r="B23" s="485"/>
      <c r="C23" s="286" t="s">
        <v>7</v>
      </c>
      <c r="D23" s="301">
        <f t="shared" si="7"/>
        <v>3</v>
      </c>
      <c r="E23" s="291">
        <f t="shared" si="8"/>
        <v>0</v>
      </c>
      <c r="F23" s="291">
        <f t="shared" si="9"/>
        <v>0</v>
      </c>
      <c r="G23" s="291">
        <f t="shared" si="10"/>
        <v>0</v>
      </c>
      <c r="H23" s="374">
        <f t="shared" si="11"/>
        <v>0</v>
      </c>
      <c r="I23" s="301">
        <f>+'B) Reajuste Tarifas y Ocupación'!C23</f>
        <v>3</v>
      </c>
      <c r="J23" s="291">
        <f>+'B) Reajuste Tarifas y Ocupación'!D23</f>
        <v>0</v>
      </c>
      <c r="K23" s="291">
        <f>+'B) Reajuste Tarifas y Ocupación'!E23</f>
        <v>0</v>
      </c>
      <c r="L23" s="291">
        <f>+'B) Reajuste Tarifas y Ocupación'!F23</f>
        <v>0</v>
      </c>
      <c r="M23" s="302">
        <f>+'B) Reajuste Tarifas y Ocupación'!G23</f>
        <v>0</v>
      </c>
      <c r="N23" s="306"/>
      <c r="O23" s="290"/>
      <c r="P23" s="309">
        <v>0</v>
      </c>
      <c r="Q23" s="511"/>
    </row>
    <row r="24" spans="1:17" ht="13.5" thickBot="1" x14ac:dyDescent="0.25">
      <c r="A24" s="489"/>
      <c r="B24" s="486"/>
      <c r="C24" s="295" t="s">
        <v>9</v>
      </c>
      <c r="D24" s="371">
        <f>D23*D22</f>
        <v>260700</v>
      </c>
      <c r="E24" s="372">
        <f>E23*E22</f>
        <v>0</v>
      </c>
      <c r="F24" s="372">
        <f t="shared" ref="F24:H24" si="12">F23*F22</f>
        <v>0</v>
      </c>
      <c r="G24" s="372">
        <f t="shared" si="12"/>
        <v>0</v>
      </c>
      <c r="H24" s="333">
        <f t="shared" si="12"/>
        <v>0</v>
      </c>
      <c r="I24" s="371">
        <f>I23*I22*10</f>
        <v>2607000</v>
      </c>
      <c r="J24" s="372">
        <f t="shared" ref="J24:M24" si="13">J23*J22*10</f>
        <v>0</v>
      </c>
      <c r="K24" s="372">
        <f t="shared" si="13"/>
        <v>0</v>
      </c>
      <c r="L24" s="372">
        <f t="shared" si="13"/>
        <v>0</v>
      </c>
      <c r="M24" s="373">
        <f t="shared" si="13"/>
        <v>0</v>
      </c>
      <c r="N24" s="399">
        <f>SUM(D24:H24)</f>
        <v>260700</v>
      </c>
      <c r="O24" s="332">
        <f>SUM(I24:M24)</f>
        <v>2607000</v>
      </c>
      <c r="P24" s="333">
        <f>P23*P22</f>
        <v>0</v>
      </c>
      <c r="Q24" s="334">
        <f>N24+O24+P24</f>
        <v>2867700</v>
      </c>
    </row>
    <row r="25" spans="1:17" s="10" customFormat="1" ht="15.75" thickBot="1" x14ac:dyDescent="0.25">
      <c r="A25" s="490"/>
      <c r="B25" s="487" t="s">
        <v>10</v>
      </c>
      <c r="C25" s="487"/>
      <c r="D25" s="375">
        <f>+D21+D24</f>
        <v>1319900</v>
      </c>
      <c r="E25" s="376">
        <f t="shared" ref="E25:Q25" si="14">+E21+E24</f>
        <v>0</v>
      </c>
      <c r="F25" s="376">
        <f t="shared" si="14"/>
        <v>0</v>
      </c>
      <c r="G25" s="376">
        <f t="shared" si="14"/>
        <v>0</v>
      </c>
      <c r="H25" s="377">
        <f t="shared" si="14"/>
        <v>0</v>
      </c>
      <c r="I25" s="375">
        <f t="shared" si="14"/>
        <v>13199000</v>
      </c>
      <c r="J25" s="376">
        <f t="shared" si="14"/>
        <v>0</v>
      </c>
      <c r="K25" s="376">
        <f t="shared" si="14"/>
        <v>0</v>
      </c>
      <c r="L25" s="376">
        <f t="shared" si="14"/>
        <v>0</v>
      </c>
      <c r="M25" s="377">
        <f t="shared" si="14"/>
        <v>0</v>
      </c>
      <c r="N25" s="375">
        <f>+N21+N24</f>
        <v>1319900</v>
      </c>
      <c r="O25" s="376">
        <f t="shared" si="14"/>
        <v>13199000</v>
      </c>
      <c r="P25" s="376">
        <f t="shared" si="14"/>
        <v>0</v>
      </c>
      <c r="Q25" s="400">
        <f t="shared" si="14"/>
        <v>14518900</v>
      </c>
    </row>
    <row r="26" spans="1:17" ht="15" customHeight="1" thickBot="1" x14ac:dyDescent="0.25">
      <c r="A26" s="491" t="s">
        <v>8</v>
      </c>
      <c r="B26" s="492"/>
      <c r="C26" s="492"/>
      <c r="D26" s="378">
        <f>+D25</f>
        <v>1319900</v>
      </c>
      <c r="E26" s="379">
        <f t="shared" ref="E26:H26" si="15">+E25</f>
        <v>0</v>
      </c>
      <c r="F26" s="379">
        <f t="shared" si="15"/>
        <v>0</v>
      </c>
      <c r="G26" s="379">
        <f t="shared" si="15"/>
        <v>0</v>
      </c>
      <c r="H26" s="380">
        <f t="shared" si="15"/>
        <v>0</v>
      </c>
      <c r="I26" s="378">
        <f t="shared" ref="I26" si="16">+I25</f>
        <v>13199000</v>
      </c>
      <c r="J26" s="379">
        <f t="shared" ref="J26" si="17">+J25</f>
        <v>0</v>
      </c>
      <c r="K26" s="379">
        <f t="shared" ref="K26" si="18">+K25</f>
        <v>0</v>
      </c>
      <c r="L26" s="379">
        <f t="shared" ref="L26" si="19">+L25</f>
        <v>0</v>
      </c>
      <c r="M26" s="380">
        <f t="shared" ref="M26" si="20">+M25</f>
        <v>0</v>
      </c>
      <c r="N26" s="378">
        <f t="shared" ref="N26" si="21">+N25</f>
        <v>1319900</v>
      </c>
      <c r="O26" s="379">
        <f t="shared" ref="O26" si="22">+O25</f>
        <v>13199000</v>
      </c>
      <c r="P26" s="379">
        <f t="shared" ref="P26" si="23">+P25</f>
        <v>0</v>
      </c>
      <c r="Q26" s="398">
        <f t="shared" ref="Q26" si="24">+Q25</f>
        <v>14518900</v>
      </c>
    </row>
  </sheetData>
  <mergeCells count="20">
    <mergeCell ref="Q22:Q23"/>
    <mergeCell ref="P17:P18"/>
    <mergeCell ref="N17:N18"/>
    <mergeCell ref="O17:O18"/>
    <mergeCell ref="Q17:Q18"/>
    <mergeCell ref="Q19:Q20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B22:B24"/>
    <mergeCell ref="B25:C25"/>
    <mergeCell ref="A19:A25"/>
    <mergeCell ref="B19:B21"/>
    <mergeCell ref="A26:C26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3"/>
  <sheetViews>
    <sheetView showGridLines="0" zoomScale="80" zoomScaleNormal="80" workbookViewId="0">
      <selection activeCell="A10" sqref="A10:Q13"/>
    </sheetView>
  </sheetViews>
  <sheetFormatPr baseColWidth="10" defaultColWidth="11.42578125" defaultRowHeight="12.75" x14ac:dyDescent="0.2"/>
  <cols>
    <col min="1" max="1" width="56.42578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42578125" style="46" bestFit="1" customWidth="1"/>
    <col min="6" max="6" width="14.42578125" style="46" customWidth="1"/>
    <col min="7" max="7" width="14.85546875" style="46" customWidth="1"/>
    <col min="8" max="8" width="11.85546875" style="46" bestFit="1" customWidth="1"/>
    <col min="9" max="9" width="14.42578125" style="46" bestFit="1" customWidth="1"/>
    <col min="10" max="10" width="14.42578125" style="46" customWidth="1"/>
    <col min="11" max="12" width="11.85546875" style="46" customWidth="1"/>
    <col min="13" max="13" width="14" style="46" customWidth="1"/>
    <col min="14" max="15" width="14.42578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42578125" style="46" bestFit="1" customWidth="1"/>
    <col min="23" max="23" width="14.42578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203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196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93" t="s">
        <v>0</v>
      </c>
      <c r="D5" s="547"/>
      <c r="E5" s="106"/>
      <c r="F5" s="522" t="str">
        <f>+'A) Resumen Ingresos y Egresos'!E4</f>
        <v>DELBIENWILL</v>
      </c>
      <c r="G5" s="523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06"/>
      <c r="D6" s="106"/>
      <c r="E6" s="106"/>
      <c r="F6" s="109"/>
      <c r="G6" s="109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06"/>
      <c r="D7" s="106"/>
      <c r="E7" s="106"/>
      <c r="F7" s="109"/>
      <c r="G7" s="109"/>
      <c r="R7" s="14"/>
      <c r="S7" s="23"/>
      <c r="T7" s="24"/>
      <c r="V7" s="59"/>
      <c r="W7" s="59"/>
      <c r="IL7" s="4"/>
      <c r="IM7" s="4"/>
      <c r="IN7" s="4"/>
      <c r="IO7" s="4"/>
      <c r="IP7" s="4"/>
      <c r="IQ7" s="4"/>
    </row>
    <row r="8" spans="1:256" s="14" customFormat="1" ht="15.75" x14ac:dyDescent="0.2">
      <c r="A8" s="532" t="s">
        <v>151</v>
      </c>
      <c r="B8" s="532"/>
      <c r="C8" s="532"/>
      <c r="D8" s="532"/>
      <c r="E8" s="107"/>
      <c r="F8" s="109"/>
      <c r="G8" s="10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33" t="s">
        <v>134</v>
      </c>
      <c r="B10" s="527" t="s">
        <v>5</v>
      </c>
      <c r="C10" s="529" t="s">
        <v>139</v>
      </c>
      <c r="D10" s="530"/>
      <c r="E10" s="530"/>
      <c r="F10" s="530"/>
      <c r="G10" s="531"/>
      <c r="H10" s="542" t="s">
        <v>108</v>
      </c>
      <c r="I10" s="543"/>
      <c r="J10" s="543"/>
      <c r="K10" s="543"/>
      <c r="L10" s="544"/>
      <c r="M10" s="539" t="s">
        <v>216</v>
      </c>
      <c r="N10" s="540"/>
      <c r="O10" s="540"/>
      <c r="P10" s="540"/>
      <c r="Q10" s="541"/>
      <c r="R10" s="17"/>
    </row>
    <row r="11" spans="1:256" ht="64.5" thickBot="1" x14ac:dyDescent="0.25">
      <c r="A11" s="534"/>
      <c r="B11" s="528"/>
      <c r="C11" s="88" t="s">
        <v>86</v>
      </c>
      <c r="D11" s="89" t="s">
        <v>137</v>
      </c>
      <c r="E11" s="89" t="s">
        <v>138</v>
      </c>
      <c r="F11" s="89" t="s">
        <v>87</v>
      </c>
      <c r="G11" s="94" t="s">
        <v>88</v>
      </c>
      <c r="H11" s="95" t="s">
        <v>86</v>
      </c>
      <c r="I11" s="96" t="s">
        <v>137</v>
      </c>
      <c r="J11" s="96" t="s">
        <v>138</v>
      </c>
      <c r="K11" s="97" t="s">
        <v>87</v>
      </c>
      <c r="L11" s="98" t="s">
        <v>88</v>
      </c>
      <c r="M11" s="91" t="s">
        <v>86</v>
      </c>
      <c r="N11" s="92" t="s">
        <v>137</v>
      </c>
      <c r="O11" s="92" t="s">
        <v>138</v>
      </c>
      <c r="P11" s="92" t="s">
        <v>87</v>
      </c>
      <c r="Q11" s="93" t="s">
        <v>88</v>
      </c>
      <c r="R11" s="17"/>
    </row>
    <row r="12" spans="1:256" ht="13.5" customHeight="1" x14ac:dyDescent="0.2">
      <c r="A12" s="545" t="s">
        <v>210</v>
      </c>
      <c r="B12" s="388" t="s">
        <v>127</v>
      </c>
      <c r="C12" s="389">
        <v>66200</v>
      </c>
      <c r="D12" s="389">
        <v>79500</v>
      </c>
      <c r="E12" s="389">
        <v>79500</v>
      </c>
      <c r="F12" s="389">
        <v>126900</v>
      </c>
      <c r="G12" s="389">
        <v>154000</v>
      </c>
      <c r="H12" s="390">
        <v>0</v>
      </c>
      <c r="I12" s="338">
        <f>+H12</f>
        <v>0</v>
      </c>
      <c r="J12" s="338">
        <f>+H12</f>
        <v>0</v>
      </c>
      <c r="K12" s="338">
        <f>+H12</f>
        <v>0</v>
      </c>
      <c r="L12" s="391">
        <f>+H12</f>
        <v>0</v>
      </c>
      <c r="M12" s="392">
        <f>CEILING(C12*(1+H12),100)</f>
        <v>66200</v>
      </c>
      <c r="N12" s="342">
        <f>+CEILING(C12*(1.2)*(1+I12),100)</f>
        <v>79500</v>
      </c>
      <c r="O12" s="342">
        <f>+CEILING(C12*(1.2)*(1+J12),100)</f>
        <v>79500</v>
      </c>
      <c r="P12" s="342">
        <f>+CEILING(F12*(1+K12),100)</f>
        <v>126900</v>
      </c>
      <c r="Q12" s="280">
        <f>+CEILING(G12*(1+L12),100)</f>
        <v>154000</v>
      </c>
      <c r="R12" s="77"/>
    </row>
    <row r="13" spans="1:256" ht="13.5" customHeight="1" thickBot="1" x14ac:dyDescent="0.25">
      <c r="A13" s="546"/>
      <c r="B13" s="393" t="s">
        <v>211</v>
      </c>
      <c r="C13" s="394">
        <v>86900</v>
      </c>
      <c r="D13" s="394">
        <v>104300</v>
      </c>
      <c r="E13" s="394">
        <v>104300</v>
      </c>
      <c r="F13" s="394">
        <v>156400</v>
      </c>
      <c r="G13" s="394">
        <v>187700</v>
      </c>
      <c r="H13" s="339">
        <v>0</v>
      </c>
      <c r="I13" s="340">
        <f>+H13</f>
        <v>0</v>
      </c>
      <c r="J13" s="340">
        <f>+H13</f>
        <v>0</v>
      </c>
      <c r="K13" s="340">
        <f>+H13</f>
        <v>0</v>
      </c>
      <c r="L13" s="341">
        <f>+H13</f>
        <v>0</v>
      </c>
      <c r="M13" s="281">
        <f>CEILING(C13*(1+H13),100)</f>
        <v>86900</v>
      </c>
      <c r="N13" s="282">
        <f>+CEILING(C13*(1.2)*(1+I13),100)</f>
        <v>104300</v>
      </c>
      <c r="O13" s="282">
        <f>+CEILING(C13*(1.2)*(1+J13),100)</f>
        <v>104300</v>
      </c>
      <c r="P13" s="282">
        <f>+CEILING(F13*(1+K13),100)</f>
        <v>156400</v>
      </c>
      <c r="Q13" s="283">
        <f>+CEILING(G13*(1+L13),100)</f>
        <v>187700</v>
      </c>
      <c r="R13" s="77"/>
    </row>
    <row r="14" spans="1:256" ht="12.75" customHeight="1" x14ac:dyDescent="0.2">
      <c r="B14" s="46"/>
      <c r="R14" s="46"/>
    </row>
    <row r="17" spans="1:8" x14ac:dyDescent="0.2">
      <c r="D17" s="167"/>
    </row>
    <row r="18" spans="1:8" ht="15.75" x14ac:dyDescent="0.2">
      <c r="A18" s="532" t="s">
        <v>152</v>
      </c>
      <c r="B18" s="532"/>
      <c r="C18" s="532"/>
      <c r="D18" s="532"/>
      <c r="E18" s="532"/>
      <c r="F18" s="532"/>
      <c r="G18" s="14"/>
      <c r="H18" s="14"/>
    </row>
    <row r="19" spans="1:8" ht="13.5" thickBot="1" x14ac:dyDescent="0.25"/>
    <row r="20" spans="1:8" ht="16.5" thickBot="1" x14ac:dyDescent="0.25">
      <c r="A20" s="537" t="s">
        <v>134</v>
      </c>
      <c r="B20" s="535" t="s">
        <v>5</v>
      </c>
      <c r="C20" s="524" t="s">
        <v>217</v>
      </c>
      <c r="D20" s="525"/>
      <c r="E20" s="525"/>
      <c r="F20" s="525"/>
      <c r="G20" s="525"/>
      <c r="H20" s="526"/>
    </row>
    <row r="21" spans="1:8" ht="64.5" thickBot="1" x14ac:dyDescent="0.25">
      <c r="A21" s="538"/>
      <c r="B21" s="536"/>
      <c r="C21" s="99" t="s">
        <v>86</v>
      </c>
      <c r="D21" s="100" t="s">
        <v>137</v>
      </c>
      <c r="E21" s="100" t="s">
        <v>138</v>
      </c>
      <c r="F21" s="100" t="s">
        <v>87</v>
      </c>
      <c r="G21" s="101" t="s">
        <v>88</v>
      </c>
      <c r="H21" s="102" t="s">
        <v>133</v>
      </c>
    </row>
    <row r="22" spans="1:8" ht="20.100000000000001" customHeight="1" x14ac:dyDescent="0.2">
      <c r="A22" s="520" t="str">
        <f>+A12</f>
        <v>Jardín Infantil Pequeños Colonos</v>
      </c>
      <c r="B22" s="336" t="str">
        <f>+B12</f>
        <v>Media jornada</v>
      </c>
      <c r="C22" s="335">
        <v>16</v>
      </c>
      <c r="D22" s="165"/>
      <c r="E22" s="165"/>
      <c r="F22" s="165"/>
      <c r="G22" s="165"/>
      <c r="H22" s="166">
        <f>SUM(C22:G22)</f>
        <v>16</v>
      </c>
    </row>
    <row r="23" spans="1:8" ht="20.100000000000001" customHeight="1" thickBot="1" x14ac:dyDescent="0.25">
      <c r="A23" s="521"/>
      <c r="B23" s="337" t="str">
        <f>+B13</f>
        <v>Doble Jornada</v>
      </c>
      <c r="C23" s="395">
        <v>3</v>
      </c>
      <c r="D23" s="396"/>
      <c r="E23" s="396"/>
      <c r="F23" s="396"/>
      <c r="G23" s="396"/>
      <c r="H23" s="397">
        <f>SUM(C23:G23)</f>
        <v>3</v>
      </c>
    </row>
  </sheetData>
  <mergeCells count="14">
    <mergeCell ref="M10:Q10"/>
    <mergeCell ref="A18:F18"/>
    <mergeCell ref="H10:L10"/>
    <mergeCell ref="A12:A13"/>
    <mergeCell ref="C5:D5"/>
    <mergeCell ref="A22:A23"/>
    <mergeCell ref="F5:G5"/>
    <mergeCell ref="C20:H20"/>
    <mergeCell ref="B10:B11"/>
    <mergeCell ref="C10:G10"/>
    <mergeCell ref="A8:D8"/>
    <mergeCell ref="A10:A11"/>
    <mergeCell ref="B20:B21"/>
    <mergeCell ref="A20:A21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93"/>
  <sheetViews>
    <sheetView showGridLines="0" topLeftCell="C28" zoomScale="80" zoomScaleNormal="80" zoomScalePageLayoutView="120" workbookViewId="0">
      <selection activeCell="I19" sqref="I1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12.85546875" style="4" bestFit="1" customWidth="1"/>
    <col min="10" max="10" width="24.28515625" style="4" customWidth="1"/>
    <col min="11" max="11" width="14.42578125" style="4" customWidth="1"/>
    <col min="12" max="12" width="13.42578125" style="4" customWidth="1"/>
    <col min="13" max="13" width="13.7109375" style="4" customWidth="1"/>
    <col min="14" max="14" width="12.85546875" style="4" bestFit="1" customWidth="1"/>
    <col min="15" max="16384" width="11.42578125" style="4"/>
  </cols>
  <sheetData>
    <row r="1" spans="1:8" x14ac:dyDescent="0.2">
      <c r="C1" s="45"/>
      <c r="D1" s="45" t="s">
        <v>204</v>
      </c>
      <c r="E1" s="45"/>
      <c r="F1" s="45"/>
      <c r="G1" s="45"/>
      <c r="H1" s="45"/>
    </row>
    <row r="2" spans="1:8" x14ac:dyDescent="0.2">
      <c r="C2" s="45"/>
      <c r="D2" s="45" t="s">
        <v>212</v>
      </c>
      <c r="E2" s="45"/>
      <c r="F2" s="45"/>
      <c r="G2" s="45"/>
      <c r="H2" s="45"/>
    </row>
    <row r="3" spans="1:8" x14ac:dyDescent="0.2">
      <c r="C3" s="45"/>
      <c r="E3" s="45"/>
      <c r="F3" s="45"/>
      <c r="G3" s="45"/>
      <c r="H3" s="45"/>
    </row>
    <row r="4" spans="1:8" ht="19.5" customHeight="1" x14ac:dyDescent="0.2">
      <c r="C4" s="254" t="s">
        <v>0</v>
      </c>
      <c r="D4" s="559" t="str">
        <f>+'B) Reajuste Tarifas y Ocupación'!F5</f>
        <v>DELBIENWILL</v>
      </c>
      <c r="E4" s="560"/>
      <c r="F4" s="45"/>
      <c r="G4" s="45"/>
      <c r="H4" s="45"/>
    </row>
    <row r="5" spans="1:8" x14ac:dyDescent="0.2">
      <c r="B5" s="45"/>
      <c r="C5" s="255"/>
      <c r="D5" s="45"/>
      <c r="E5" s="45"/>
      <c r="F5" s="45"/>
      <c r="G5" s="45"/>
      <c r="H5" s="45"/>
    </row>
    <row r="6" spans="1:8" x14ac:dyDescent="0.2">
      <c r="B6" s="45"/>
      <c r="C6" s="255"/>
      <c r="D6" s="45"/>
      <c r="E6" s="45"/>
      <c r="F6" s="45"/>
      <c r="G6" s="45"/>
      <c r="H6" s="45"/>
    </row>
    <row r="7" spans="1:8" x14ac:dyDescent="0.2">
      <c r="C7" s="6"/>
    </row>
    <row r="8" spans="1:8" ht="15.75" x14ac:dyDescent="0.2">
      <c r="A8" s="532" t="s">
        <v>153</v>
      </c>
      <c r="B8" s="532"/>
      <c r="C8" s="532"/>
      <c r="D8" s="255"/>
      <c r="G8" s="4"/>
    </row>
    <row r="10" spans="1:8" ht="12.75" customHeight="1" x14ac:dyDescent="0.2">
      <c r="A10" s="561" t="s">
        <v>114</v>
      </c>
      <c r="B10" s="552" t="s">
        <v>75</v>
      </c>
      <c r="C10" s="550" t="s">
        <v>76</v>
      </c>
      <c r="D10" s="564" t="s">
        <v>77</v>
      </c>
      <c r="E10" s="563" t="s">
        <v>78</v>
      </c>
      <c r="F10" s="563"/>
      <c r="G10" s="563"/>
      <c r="H10" s="548" t="s">
        <v>140</v>
      </c>
    </row>
    <row r="11" spans="1:8" ht="25.5" x14ac:dyDescent="0.2">
      <c r="A11" s="562"/>
      <c r="B11" s="553"/>
      <c r="C11" s="551"/>
      <c r="D11" s="564"/>
      <c r="E11" s="271" t="s">
        <v>67</v>
      </c>
      <c r="F11" s="272" t="s">
        <v>68</v>
      </c>
      <c r="G11" s="273" t="s">
        <v>6</v>
      </c>
      <c r="H11" s="549"/>
    </row>
    <row r="12" spans="1:8" ht="15.75" customHeight="1" x14ac:dyDescent="0.2">
      <c r="A12" s="556" t="str">
        <f>+'B) Reajuste Tarifas y Ocupación'!A12</f>
        <v>Jardín Infantil Pequeños Colonos</v>
      </c>
      <c r="B12" s="434"/>
      <c r="C12" s="435" t="s">
        <v>11</v>
      </c>
      <c r="D12" s="426">
        <f>SUM(D13,D18)</f>
        <v>28822206.458666671</v>
      </c>
      <c r="E12" s="427"/>
      <c r="F12" s="427"/>
      <c r="G12" s="274">
        <f>SUM(G13,G18)</f>
        <v>0</v>
      </c>
      <c r="H12" s="266">
        <f>SUM(H13,H18)</f>
        <v>28822206.458666671</v>
      </c>
    </row>
    <row r="13" spans="1:8" x14ac:dyDescent="0.2">
      <c r="A13" s="557"/>
      <c r="B13" s="436"/>
      <c r="C13" s="437" t="s">
        <v>12</v>
      </c>
      <c r="D13" s="428">
        <f>SUM(D14:D17)</f>
        <v>25156106.458666671</v>
      </c>
      <c r="E13" s="429"/>
      <c r="F13" s="429"/>
      <c r="G13" s="275">
        <f>SUM(G14:G17)</f>
        <v>0</v>
      </c>
      <c r="H13" s="262">
        <f>SUM(H14:H17)</f>
        <v>25156106.458666671</v>
      </c>
    </row>
    <row r="14" spans="1:8" x14ac:dyDescent="0.2">
      <c r="A14" s="557"/>
      <c r="B14" s="438">
        <v>53103040100000</v>
      </c>
      <c r="C14" s="439" t="s">
        <v>95</v>
      </c>
      <c r="D14" s="440">
        <f>+'F) Remuneraciones'!L11</f>
        <v>23964439.792000003</v>
      </c>
      <c r="E14" s="441">
        <v>0</v>
      </c>
      <c r="F14" s="442">
        <v>0</v>
      </c>
      <c r="G14" s="267">
        <f>E14*F14</f>
        <v>0</v>
      </c>
      <c r="H14" s="261">
        <f>D14+G14</f>
        <v>23964439.792000003</v>
      </c>
    </row>
    <row r="15" spans="1:8" x14ac:dyDescent="0.2">
      <c r="A15" s="557"/>
      <c r="B15" s="438">
        <v>53103050000000</v>
      </c>
      <c r="C15" s="439" t="s">
        <v>172</v>
      </c>
      <c r="D15" s="257">
        <v>0</v>
      </c>
      <c r="E15" s="259">
        <v>0</v>
      </c>
      <c r="F15" s="258">
        <v>0</v>
      </c>
      <c r="G15" s="267">
        <f>E15*F15</f>
        <v>0</v>
      </c>
      <c r="H15" s="261">
        <f>D15+G15</f>
        <v>0</v>
      </c>
    </row>
    <row r="16" spans="1:8" x14ac:dyDescent="0.2">
      <c r="A16" s="557"/>
      <c r="B16" s="443">
        <v>53103040400000</v>
      </c>
      <c r="C16" s="444" t="s">
        <v>173</v>
      </c>
      <c r="D16" s="257">
        <f>691666.666666667+500000</f>
        <v>1191666.666666667</v>
      </c>
      <c r="E16" s="259">
        <v>0</v>
      </c>
      <c r="F16" s="258">
        <v>0</v>
      </c>
      <c r="G16" s="267">
        <f>E16*F16</f>
        <v>0</v>
      </c>
      <c r="H16" s="261">
        <f>D16+G16</f>
        <v>1191666.666666667</v>
      </c>
    </row>
    <row r="17" spans="1:9" x14ac:dyDescent="0.2">
      <c r="A17" s="557"/>
      <c r="B17" s="438">
        <v>53103080010000</v>
      </c>
      <c r="C17" s="439" t="s">
        <v>174</v>
      </c>
      <c r="D17" s="257">
        <v>0</v>
      </c>
      <c r="E17" s="259">
        <v>0</v>
      </c>
      <c r="F17" s="258">
        <v>0</v>
      </c>
      <c r="G17" s="267">
        <f>E17*F17</f>
        <v>0</v>
      </c>
      <c r="H17" s="261">
        <f>D17+G17</f>
        <v>0</v>
      </c>
    </row>
    <row r="18" spans="1:9" x14ac:dyDescent="0.2">
      <c r="A18" s="557"/>
      <c r="B18" s="436"/>
      <c r="C18" s="437" t="s">
        <v>16</v>
      </c>
      <c r="D18" s="428">
        <f>SUM(D19:D38)</f>
        <v>3666100</v>
      </c>
      <c r="E18" s="429"/>
      <c r="F18" s="429"/>
      <c r="G18" s="260">
        <f>SUM(G19:G38)</f>
        <v>0</v>
      </c>
      <c r="H18" s="262">
        <f>SUM(H19:H38)</f>
        <v>3666100</v>
      </c>
      <c r="I18" s="284">
        <f>+H18+H45+H47+H56</f>
        <v>9142669.3619999997</v>
      </c>
    </row>
    <row r="19" spans="1:9" x14ac:dyDescent="0.2">
      <c r="A19" s="557"/>
      <c r="B19" s="438">
        <v>53201010100000</v>
      </c>
      <c r="C19" s="445" t="s">
        <v>175</v>
      </c>
      <c r="D19" s="257">
        <v>40000</v>
      </c>
      <c r="E19" s="259">
        <v>0</v>
      </c>
      <c r="F19" s="258">
        <v>0</v>
      </c>
      <c r="G19" s="267">
        <f t="shared" ref="G19:G38" si="0">E19*F19</f>
        <v>0</v>
      </c>
      <c r="H19" s="261">
        <f t="shared" ref="H19:H38" si="1">D19+G19</f>
        <v>40000</v>
      </c>
    </row>
    <row r="20" spans="1:9" x14ac:dyDescent="0.2">
      <c r="A20" s="557"/>
      <c r="B20" s="438">
        <v>53201010100000</v>
      </c>
      <c r="C20" s="445" t="s">
        <v>176</v>
      </c>
      <c r="D20" s="257">
        <v>503000</v>
      </c>
      <c r="E20" s="259">
        <v>0</v>
      </c>
      <c r="F20" s="258">
        <v>0</v>
      </c>
      <c r="G20" s="267">
        <f t="shared" ref="G20:G21" si="2">E20*F20</f>
        <v>0</v>
      </c>
      <c r="H20" s="261">
        <f t="shared" ref="H20:H21" si="3">D20+G20</f>
        <v>503000</v>
      </c>
    </row>
    <row r="21" spans="1:9" x14ac:dyDescent="0.2">
      <c r="A21" s="557"/>
      <c r="B21" s="438">
        <v>53201010100000</v>
      </c>
      <c r="C21" s="445" t="s">
        <v>177</v>
      </c>
      <c r="D21" s="257">
        <v>0</v>
      </c>
      <c r="E21" s="259">
        <v>0</v>
      </c>
      <c r="F21" s="258">
        <v>0</v>
      </c>
      <c r="G21" s="267">
        <f t="shared" si="2"/>
        <v>0</v>
      </c>
      <c r="H21" s="261">
        <f t="shared" si="3"/>
        <v>0</v>
      </c>
    </row>
    <row r="22" spans="1:9" x14ac:dyDescent="0.2">
      <c r="A22" s="557"/>
      <c r="B22" s="438">
        <v>53202010100000</v>
      </c>
      <c r="C22" s="439" t="s">
        <v>178</v>
      </c>
      <c r="D22" s="257">
        <f>4*12000</f>
        <v>48000</v>
      </c>
      <c r="E22" s="259">
        <v>0</v>
      </c>
      <c r="F22" s="258">
        <v>0</v>
      </c>
      <c r="G22" s="267">
        <f t="shared" si="0"/>
        <v>0</v>
      </c>
      <c r="H22" s="261">
        <f t="shared" si="1"/>
        <v>48000</v>
      </c>
    </row>
    <row r="23" spans="1:9" x14ac:dyDescent="0.2">
      <c r="A23" s="557"/>
      <c r="B23" s="438">
        <v>53203010100000</v>
      </c>
      <c r="C23" s="439" t="s">
        <v>19</v>
      </c>
      <c r="D23" s="423">
        <v>0</v>
      </c>
      <c r="E23" s="424">
        <v>0</v>
      </c>
      <c r="F23" s="425">
        <v>0</v>
      </c>
      <c r="G23" s="267">
        <f t="shared" si="0"/>
        <v>0</v>
      </c>
      <c r="H23" s="261">
        <f t="shared" si="1"/>
        <v>0</v>
      </c>
    </row>
    <row r="24" spans="1:9" x14ac:dyDescent="0.2">
      <c r="A24" s="557"/>
      <c r="B24" s="438">
        <v>53203030000000</v>
      </c>
      <c r="C24" s="439" t="s">
        <v>179</v>
      </c>
      <c r="D24" s="423">
        <v>0</v>
      </c>
      <c r="E24" s="424">
        <v>0</v>
      </c>
      <c r="F24" s="425">
        <v>0</v>
      </c>
      <c r="G24" s="267">
        <f t="shared" si="0"/>
        <v>0</v>
      </c>
      <c r="H24" s="261">
        <f t="shared" si="1"/>
        <v>0</v>
      </c>
    </row>
    <row r="25" spans="1:9" x14ac:dyDescent="0.2">
      <c r="A25" s="557"/>
      <c r="B25" s="438">
        <v>53204030000000</v>
      </c>
      <c r="C25" s="439" t="s">
        <v>224</v>
      </c>
      <c r="D25" s="423">
        <v>0</v>
      </c>
      <c r="E25" s="424">
        <v>0</v>
      </c>
      <c r="F25" s="425">
        <v>0</v>
      </c>
      <c r="G25" s="267">
        <f t="shared" si="0"/>
        <v>0</v>
      </c>
      <c r="H25" s="261">
        <f>D25+G25</f>
        <v>0</v>
      </c>
    </row>
    <row r="26" spans="1:9" x14ac:dyDescent="0.2">
      <c r="A26" s="557"/>
      <c r="B26" s="438">
        <v>53204100100001</v>
      </c>
      <c r="C26" s="439" t="s">
        <v>22</v>
      </c>
      <c r="D26" s="423">
        <v>650000</v>
      </c>
      <c r="E26" s="424">
        <v>0</v>
      </c>
      <c r="F26" s="425">
        <v>0</v>
      </c>
      <c r="G26" s="267">
        <f t="shared" si="0"/>
        <v>0</v>
      </c>
      <c r="H26" s="261">
        <f t="shared" si="1"/>
        <v>650000</v>
      </c>
    </row>
    <row r="27" spans="1:9" x14ac:dyDescent="0.2">
      <c r="A27" s="557"/>
      <c r="B27" s="438">
        <v>53204130100000</v>
      </c>
      <c r="C27" s="439" t="s">
        <v>181</v>
      </c>
      <c r="D27" s="423">
        <v>0</v>
      </c>
      <c r="E27" s="424">
        <v>0</v>
      </c>
      <c r="F27" s="425">
        <v>0</v>
      </c>
      <c r="G27" s="267">
        <f t="shared" si="0"/>
        <v>0</v>
      </c>
      <c r="H27" s="261">
        <f t="shared" si="1"/>
        <v>0</v>
      </c>
    </row>
    <row r="28" spans="1:9" x14ac:dyDescent="0.2">
      <c r="A28" s="557"/>
      <c r="B28" s="438">
        <v>53205010100000</v>
      </c>
      <c r="C28" s="439" t="s">
        <v>24</v>
      </c>
      <c r="D28" s="423">
        <v>739200</v>
      </c>
      <c r="E28" s="424">
        <v>0</v>
      </c>
      <c r="F28" s="425">
        <v>0</v>
      </c>
      <c r="G28" s="267">
        <f t="shared" si="0"/>
        <v>0</v>
      </c>
      <c r="H28" s="261">
        <f t="shared" si="1"/>
        <v>739200</v>
      </c>
    </row>
    <row r="29" spans="1:9" x14ac:dyDescent="0.2">
      <c r="A29" s="557"/>
      <c r="B29" s="438">
        <v>53205020100000</v>
      </c>
      <c r="C29" s="439" t="s">
        <v>25</v>
      </c>
      <c r="D29" s="423">
        <v>547900</v>
      </c>
      <c r="E29" s="424">
        <v>0</v>
      </c>
      <c r="F29" s="425">
        <v>0</v>
      </c>
      <c r="G29" s="267">
        <f t="shared" si="0"/>
        <v>0</v>
      </c>
      <c r="H29" s="261">
        <f t="shared" si="1"/>
        <v>547900</v>
      </c>
    </row>
    <row r="30" spans="1:9" x14ac:dyDescent="0.2">
      <c r="A30" s="557"/>
      <c r="B30" s="438">
        <v>53205030100000</v>
      </c>
      <c r="C30" s="439" t="s">
        <v>26</v>
      </c>
      <c r="D30" s="423">
        <v>148000</v>
      </c>
      <c r="E30" s="424">
        <v>0</v>
      </c>
      <c r="F30" s="425">
        <v>0</v>
      </c>
      <c r="G30" s="267">
        <f t="shared" si="0"/>
        <v>0</v>
      </c>
      <c r="H30" s="261">
        <f t="shared" si="1"/>
        <v>148000</v>
      </c>
    </row>
    <row r="31" spans="1:9" x14ac:dyDescent="0.2">
      <c r="A31" s="557"/>
      <c r="B31" s="438">
        <v>53205050100000</v>
      </c>
      <c r="C31" s="439" t="s">
        <v>27</v>
      </c>
      <c r="D31" s="423">
        <v>0</v>
      </c>
      <c r="E31" s="424">
        <v>0</v>
      </c>
      <c r="F31" s="425">
        <v>0</v>
      </c>
      <c r="G31" s="267">
        <f t="shared" si="0"/>
        <v>0</v>
      </c>
      <c r="H31" s="261">
        <f t="shared" si="1"/>
        <v>0</v>
      </c>
    </row>
    <row r="32" spans="1:9" x14ac:dyDescent="0.2">
      <c r="A32" s="557"/>
      <c r="B32" s="438">
        <v>53205070100000</v>
      </c>
      <c r="C32" s="439" t="s">
        <v>29</v>
      </c>
      <c r="D32" s="423">
        <v>720000</v>
      </c>
      <c r="E32" s="424">
        <v>0</v>
      </c>
      <c r="F32" s="425">
        <v>0</v>
      </c>
      <c r="G32" s="267">
        <f t="shared" si="0"/>
        <v>0</v>
      </c>
      <c r="H32" s="261">
        <f t="shared" si="1"/>
        <v>720000</v>
      </c>
    </row>
    <row r="33" spans="1:8" x14ac:dyDescent="0.2">
      <c r="A33" s="557"/>
      <c r="B33" s="438">
        <v>53208010100000</v>
      </c>
      <c r="C33" s="439" t="s">
        <v>30</v>
      </c>
      <c r="D33" s="423">
        <v>0</v>
      </c>
      <c r="E33" s="424">
        <v>0</v>
      </c>
      <c r="F33" s="425">
        <v>0</v>
      </c>
      <c r="G33" s="267">
        <f t="shared" si="0"/>
        <v>0</v>
      </c>
      <c r="H33" s="261">
        <f t="shared" si="1"/>
        <v>0</v>
      </c>
    </row>
    <row r="34" spans="1:8" x14ac:dyDescent="0.2">
      <c r="A34" s="557"/>
      <c r="B34" s="438">
        <v>53208070100001</v>
      </c>
      <c r="C34" s="439" t="s">
        <v>31</v>
      </c>
      <c r="D34" s="257">
        <v>0</v>
      </c>
      <c r="E34" s="259">
        <v>0</v>
      </c>
      <c r="F34" s="258">
        <v>0</v>
      </c>
      <c r="G34" s="267">
        <f t="shared" si="0"/>
        <v>0</v>
      </c>
      <c r="H34" s="261">
        <f t="shared" si="1"/>
        <v>0</v>
      </c>
    </row>
    <row r="35" spans="1:8" x14ac:dyDescent="0.2">
      <c r="A35" s="557"/>
      <c r="B35" s="438">
        <v>53208100100001</v>
      </c>
      <c r="C35" s="439" t="s">
        <v>182</v>
      </c>
      <c r="D35" s="423">
        <v>0</v>
      </c>
      <c r="E35" s="424">
        <v>0</v>
      </c>
      <c r="F35" s="425">
        <v>0</v>
      </c>
      <c r="G35" s="267">
        <f t="shared" si="0"/>
        <v>0</v>
      </c>
      <c r="H35" s="261">
        <f t="shared" si="1"/>
        <v>0</v>
      </c>
    </row>
    <row r="36" spans="1:8" x14ac:dyDescent="0.2">
      <c r="A36" s="557"/>
      <c r="B36" s="438">
        <v>53211030000000</v>
      </c>
      <c r="C36" s="439" t="s">
        <v>32</v>
      </c>
      <c r="D36" s="423">
        <v>0</v>
      </c>
      <c r="E36" s="424">
        <v>0</v>
      </c>
      <c r="F36" s="425">
        <v>0</v>
      </c>
      <c r="G36" s="267">
        <f t="shared" si="0"/>
        <v>0</v>
      </c>
      <c r="H36" s="261">
        <f t="shared" si="1"/>
        <v>0</v>
      </c>
    </row>
    <row r="37" spans="1:8" x14ac:dyDescent="0.2">
      <c r="A37" s="557"/>
      <c r="B37" s="438">
        <v>53212020100000</v>
      </c>
      <c r="C37" s="439" t="s">
        <v>183</v>
      </c>
      <c r="D37" s="423">
        <v>270000</v>
      </c>
      <c r="E37" s="424">
        <v>0</v>
      </c>
      <c r="F37" s="425">
        <v>0</v>
      </c>
      <c r="G37" s="267">
        <f t="shared" si="0"/>
        <v>0</v>
      </c>
      <c r="H37" s="261">
        <f t="shared" si="1"/>
        <v>270000</v>
      </c>
    </row>
    <row r="38" spans="1:8" x14ac:dyDescent="0.2">
      <c r="A38" s="557"/>
      <c r="B38" s="438">
        <v>53214020000000</v>
      </c>
      <c r="C38" s="439" t="s">
        <v>184</v>
      </c>
      <c r="D38" s="257">
        <v>0</v>
      </c>
      <c r="E38" s="259">
        <v>0</v>
      </c>
      <c r="F38" s="258">
        <v>0</v>
      </c>
      <c r="G38" s="267">
        <f t="shared" si="0"/>
        <v>0</v>
      </c>
      <c r="H38" s="261">
        <f t="shared" si="1"/>
        <v>0</v>
      </c>
    </row>
    <row r="39" spans="1:8" ht="15.75" customHeight="1" x14ac:dyDescent="0.2">
      <c r="A39" s="557"/>
      <c r="B39" s="434"/>
      <c r="C39" s="435" t="s">
        <v>34</v>
      </c>
      <c r="D39" s="426">
        <v>0</v>
      </c>
      <c r="E39" s="427"/>
      <c r="F39" s="427"/>
      <c r="G39" s="268">
        <f>SUM(G40,G45,G47,G56,G65,G73)</f>
        <v>444039</v>
      </c>
      <c r="H39" s="263">
        <f>SUM(H40,H45,H47,H56,H65,H73)</f>
        <v>8522371.3619999997</v>
      </c>
    </row>
    <row r="40" spans="1:8" x14ac:dyDescent="0.2">
      <c r="A40" s="557"/>
      <c r="B40" s="436"/>
      <c r="C40" s="437" t="s">
        <v>35</v>
      </c>
      <c r="D40" s="428">
        <f>SUM(D41:D44)</f>
        <v>273000</v>
      </c>
      <c r="E40" s="429"/>
      <c r="F40" s="429"/>
      <c r="G40" s="269">
        <f>SUM(G41:G44)</f>
        <v>0</v>
      </c>
      <c r="H40" s="264">
        <f>SUM(H41:H44)</f>
        <v>273000</v>
      </c>
    </row>
    <row r="41" spans="1:8" x14ac:dyDescent="0.2">
      <c r="A41" s="557"/>
      <c r="B41" s="438">
        <v>53202020100000</v>
      </c>
      <c r="C41" s="439" t="s">
        <v>185</v>
      </c>
      <c r="D41" s="257">
        <v>193000</v>
      </c>
      <c r="E41" s="259">
        <v>0</v>
      </c>
      <c r="F41" s="258">
        <v>0</v>
      </c>
      <c r="G41" s="267">
        <f>E41*F41</f>
        <v>0</v>
      </c>
      <c r="H41" s="261">
        <f t="shared" ref="H41:H74" si="4">D41+G41</f>
        <v>193000</v>
      </c>
    </row>
    <row r="42" spans="1:8" x14ac:dyDescent="0.2">
      <c r="A42" s="557"/>
      <c r="B42" s="438">
        <v>53202030000000</v>
      </c>
      <c r="C42" s="439" t="s">
        <v>186</v>
      </c>
      <c r="D42" s="257">
        <v>80000</v>
      </c>
      <c r="E42" s="259">
        <v>0</v>
      </c>
      <c r="F42" s="258">
        <v>0</v>
      </c>
      <c r="G42" s="267">
        <f t="shared" ref="G42:G74" si="5">E42*F42</f>
        <v>0</v>
      </c>
      <c r="H42" s="261">
        <f t="shared" si="4"/>
        <v>80000</v>
      </c>
    </row>
    <row r="43" spans="1:8" x14ac:dyDescent="0.2">
      <c r="A43" s="557"/>
      <c r="B43" s="438">
        <v>53211020000000</v>
      </c>
      <c r="C43" s="439" t="s">
        <v>41</v>
      </c>
      <c r="D43" s="423">
        <v>0</v>
      </c>
      <c r="E43" s="424">
        <v>0</v>
      </c>
      <c r="F43" s="425">
        <v>0</v>
      </c>
      <c r="G43" s="267">
        <f t="shared" si="5"/>
        <v>0</v>
      </c>
      <c r="H43" s="261">
        <f t="shared" si="4"/>
        <v>0</v>
      </c>
    </row>
    <row r="44" spans="1:8" x14ac:dyDescent="0.2">
      <c r="A44" s="557"/>
      <c r="B44" s="438">
        <v>53101040600000</v>
      </c>
      <c r="C44" s="439" t="s">
        <v>187</v>
      </c>
      <c r="D44" s="423">
        <v>0</v>
      </c>
      <c r="E44" s="424">
        <v>0</v>
      </c>
      <c r="F44" s="425">
        <v>0</v>
      </c>
      <c r="G44" s="267">
        <f t="shared" si="5"/>
        <v>0</v>
      </c>
      <c r="H44" s="261">
        <f t="shared" si="4"/>
        <v>0</v>
      </c>
    </row>
    <row r="45" spans="1:8" x14ac:dyDescent="0.2">
      <c r="A45" s="557"/>
      <c r="B45" s="436"/>
      <c r="C45" s="437" t="s">
        <v>42</v>
      </c>
      <c r="D45" s="428">
        <f>SUM(D46:D46)</f>
        <v>0</v>
      </c>
      <c r="E45" s="429"/>
      <c r="F45" s="429"/>
      <c r="G45" s="269">
        <f>SUM(G46:G46)</f>
        <v>0</v>
      </c>
      <c r="H45" s="264">
        <f>SUM(H46:H46)</f>
        <v>0</v>
      </c>
    </row>
    <row r="46" spans="1:8" x14ac:dyDescent="0.2">
      <c r="A46" s="557"/>
      <c r="B46" s="446">
        <v>53205990000000</v>
      </c>
      <c r="C46" s="439" t="s">
        <v>44</v>
      </c>
      <c r="D46" s="423">
        <v>0</v>
      </c>
      <c r="E46" s="424">
        <v>0</v>
      </c>
      <c r="F46" s="425">
        <v>0</v>
      </c>
      <c r="G46" s="267">
        <f t="shared" si="5"/>
        <v>0</v>
      </c>
      <c r="H46" s="261">
        <f t="shared" si="4"/>
        <v>0</v>
      </c>
    </row>
    <row r="47" spans="1:8" x14ac:dyDescent="0.2">
      <c r="A47" s="557"/>
      <c r="B47" s="436"/>
      <c r="C47" s="437" t="s">
        <v>45</v>
      </c>
      <c r="D47" s="428">
        <f>SUM(D48:D55)</f>
        <v>4821087</v>
      </c>
      <c r="E47" s="429"/>
      <c r="F47" s="429"/>
      <c r="G47" s="260">
        <f>SUM(G48:G55)</f>
        <v>0</v>
      </c>
      <c r="H47" s="262">
        <f>SUM(H48:H55)</f>
        <v>4821087</v>
      </c>
    </row>
    <row r="48" spans="1:8" x14ac:dyDescent="0.2">
      <c r="A48" s="557"/>
      <c r="B48" s="438">
        <v>53204010000000</v>
      </c>
      <c r="C48" s="439" t="s">
        <v>47</v>
      </c>
      <c r="D48" s="423">
        <v>334834</v>
      </c>
      <c r="E48" s="423">
        <v>0</v>
      </c>
      <c r="F48" s="425">
        <v>0</v>
      </c>
      <c r="G48" s="267">
        <f t="shared" si="5"/>
        <v>0</v>
      </c>
      <c r="H48" s="261">
        <f t="shared" si="4"/>
        <v>334834</v>
      </c>
    </row>
    <row r="49" spans="1:8" x14ac:dyDescent="0.2">
      <c r="A49" s="557"/>
      <c r="B49" s="446">
        <v>53204040200000</v>
      </c>
      <c r="C49" s="439" t="s">
        <v>225</v>
      </c>
      <c r="D49" s="423">
        <v>145000</v>
      </c>
      <c r="E49" s="423">
        <v>0</v>
      </c>
      <c r="F49" s="425">
        <v>0</v>
      </c>
      <c r="G49" s="267">
        <f t="shared" si="5"/>
        <v>0</v>
      </c>
      <c r="H49" s="261">
        <f t="shared" si="4"/>
        <v>145000</v>
      </c>
    </row>
    <row r="50" spans="1:8" x14ac:dyDescent="0.2">
      <c r="A50" s="557"/>
      <c r="B50" s="438">
        <v>53204060000000</v>
      </c>
      <c r="C50" s="439" t="s">
        <v>49</v>
      </c>
      <c r="D50" s="423">
        <v>38000</v>
      </c>
      <c r="E50" s="423">
        <v>0</v>
      </c>
      <c r="F50" s="425">
        <v>0</v>
      </c>
      <c r="G50" s="267">
        <f t="shared" si="5"/>
        <v>0</v>
      </c>
      <c r="H50" s="261">
        <f t="shared" si="4"/>
        <v>38000</v>
      </c>
    </row>
    <row r="51" spans="1:8" x14ac:dyDescent="0.2">
      <c r="A51" s="557"/>
      <c r="B51" s="438">
        <v>53204070000000</v>
      </c>
      <c r="C51" s="439" t="s">
        <v>50</v>
      </c>
      <c r="D51" s="423">
        <v>3253253</v>
      </c>
      <c r="E51" s="423">
        <v>0</v>
      </c>
      <c r="F51" s="425">
        <v>0</v>
      </c>
      <c r="G51" s="267">
        <f t="shared" si="5"/>
        <v>0</v>
      </c>
      <c r="H51" s="261">
        <f t="shared" si="4"/>
        <v>3253253</v>
      </c>
    </row>
    <row r="52" spans="1:8" x14ac:dyDescent="0.2">
      <c r="A52" s="557"/>
      <c r="B52" s="438">
        <v>53204080000000</v>
      </c>
      <c r="C52" s="439" t="s">
        <v>51</v>
      </c>
      <c r="D52" s="423">
        <v>50000</v>
      </c>
      <c r="E52" s="423">
        <v>0</v>
      </c>
      <c r="F52" s="425">
        <v>0</v>
      </c>
      <c r="G52" s="267">
        <f t="shared" si="5"/>
        <v>0</v>
      </c>
      <c r="H52" s="261">
        <f t="shared" si="4"/>
        <v>50000</v>
      </c>
    </row>
    <row r="53" spans="1:8" x14ac:dyDescent="0.2">
      <c r="A53" s="557"/>
      <c r="B53" s="438">
        <v>53214010000000</v>
      </c>
      <c r="C53" s="439" t="s">
        <v>52</v>
      </c>
      <c r="D53" s="257">
        <v>0</v>
      </c>
      <c r="E53" s="257">
        <v>0</v>
      </c>
      <c r="F53" s="258">
        <v>0</v>
      </c>
      <c r="G53" s="267">
        <f t="shared" si="5"/>
        <v>0</v>
      </c>
      <c r="H53" s="261">
        <f t="shared" si="4"/>
        <v>0</v>
      </c>
    </row>
    <row r="54" spans="1:8" x14ac:dyDescent="0.2">
      <c r="A54" s="557"/>
      <c r="B54" s="438">
        <v>53214040000000</v>
      </c>
      <c r="C54" s="439" t="s">
        <v>188</v>
      </c>
      <c r="D54" s="257">
        <v>0</v>
      </c>
      <c r="E54" s="257">
        <v>0</v>
      </c>
      <c r="F54" s="258">
        <v>0</v>
      </c>
      <c r="G54" s="267">
        <f t="shared" si="5"/>
        <v>0</v>
      </c>
      <c r="H54" s="261">
        <f t="shared" si="4"/>
        <v>0</v>
      </c>
    </row>
    <row r="55" spans="1:8" x14ac:dyDescent="0.2">
      <c r="A55" s="557"/>
      <c r="B55" s="443">
        <v>53204020100000</v>
      </c>
      <c r="C55" s="439" t="s">
        <v>180</v>
      </c>
      <c r="D55" s="423">
        <v>1000000</v>
      </c>
      <c r="E55" s="423">
        <v>0</v>
      </c>
      <c r="F55" s="425">
        <v>0</v>
      </c>
      <c r="G55" s="267">
        <f t="shared" si="5"/>
        <v>0</v>
      </c>
      <c r="H55" s="261">
        <f t="shared" si="4"/>
        <v>1000000</v>
      </c>
    </row>
    <row r="56" spans="1:8" x14ac:dyDescent="0.2">
      <c r="A56" s="557"/>
      <c r="B56" s="436"/>
      <c r="C56" s="437" t="s">
        <v>55</v>
      </c>
      <c r="D56" s="428">
        <f>SUM(D57:D64)</f>
        <v>511443.36200000002</v>
      </c>
      <c r="E56" s="429"/>
      <c r="F56" s="429"/>
      <c r="G56" s="260">
        <f>SUM(G57:G64)</f>
        <v>144039</v>
      </c>
      <c r="H56" s="262">
        <f>SUM(H57:H64)</f>
        <v>655482.36199999996</v>
      </c>
    </row>
    <row r="57" spans="1:8" x14ac:dyDescent="0.2">
      <c r="A57" s="557"/>
      <c r="B57" s="438">
        <v>53207010000000</v>
      </c>
      <c r="C57" s="439" t="s">
        <v>56</v>
      </c>
      <c r="D57" s="423">
        <v>0</v>
      </c>
      <c r="E57" s="423">
        <v>0</v>
      </c>
      <c r="F57" s="425">
        <v>0</v>
      </c>
      <c r="G57" s="267">
        <f t="shared" si="5"/>
        <v>0</v>
      </c>
      <c r="H57" s="261">
        <f t="shared" si="4"/>
        <v>0</v>
      </c>
    </row>
    <row r="58" spans="1:8" x14ac:dyDescent="0.2">
      <c r="A58" s="557"/>
      <c r="B58" s="438">
        <v>53207020000000</v>
      </c>
      <c r="C58" s="439" t="s">
        <v>57</v>
      </c>
      <c r="D58" s="423">
        <v>0</v>
      </c>
      <c r="E58" s="423">
        <v>0</v>
      </c>
      <c r="F58" s="425">
        <v>0</v>
      </c>
      <c r="G58" s="267">
        <f t="shared" si="5"/>
        <v>0</v>
      </c>
      <c r="H58" s="261">
        <f t="shared" si="4"/>
        <v>0</v>
      </c>
    </row>
    <row r="59" spans="1:8" x14ac:dyDescent="0.2">
      <c r="A59" s="557"/>
      <c r="B59" s="438">
        <v>53208020000000</v>
      </c>
      <c r="C59" s="439" t="s">
        <v>171</v>
      </c>
      <c r="D59" s="423">
        <v>0</v>
      </c>
      <c r="E59" s="423">
        <v>0</v>
      </c>
      <c r="F59" s="425">
        <v>0</v>
      </c>
      <c r="G59" s="267">
        <f t="shared" si="5"/>
        <v>0</v>
      </c>
      <c r="H59" s="261">
        <f t="shared" si="4"/>
        <v>0</v>
      </c>
    </row>
    <row r="60" spans="1:8" x14ac:dyDescent="0.2">
      <c r="A60" s="557"/>
      <c r="B60" s="438">
        <v>53208990000000</v>
      </c>
      <c r="C60" s="439" t="s">
        <v>189</v>
      </c>
      <c r="D60" s="423">
        <v>168783</v>
      </c>
      <c r="E60" s="423">
        <v>0</v>
      </c>
      <c r="F60" s="425">
        <v>0</v>
      </c>
      <c r="G60" s="267">
        <f t="shared" si="5"/>
        <v>0</v>
      </c>
      <c r="H60" s="261">
        <f t="shared" si="4"/>
        <v>168783</v>
      </c>
    </row>
    <row r="61" spans="1:8" x14ac:dyDescent="0.2">
      <c r="A61" s="557"/>
      <c r="B61" s="443">
        <v>53210020300000</v>
      </c>
      <c r="C61" s="439" t="s">
        <v>191</v>
      </c>
      <c r="D61" s="423">
        <v>0</v>
      </c>
      <c r="E61" s="423">
        <v>7581</v>
      </c>
      <c r="F61" s="425">
        <v>19</v>
      </c>
      <c r="G61" s="267">
        <f t="shared" si="5"/>
        <v>144039</v>
      </c>
      <c r="H61" s="261">
        <f t="shared" si="4"/>
        <v>144039</v>
      </c>
    </row>
    <row r="62" spans="1:8" x14ac:dyDescent="0.2">
      <c r="A62" s="557"/>
      <c r="B62" s="438">
        <v>53208990000000</v>
      </c>
      <c r="C62" s="439" t="s">
        <v>192</v>
      </c>
      <c r="D62" s="423">
        <v>0</v>
      </c>
      <c r="E62" s="423">
        <v>0</v>
      </c>
      <c r="F62" s="425">
        <v>0</v>
      </c>
      <c r="G62" s="267">
        <f t="shared" si="5"/>
        <v>0</v>
      </c>
      <c r="H62" s="261">
        <f t="shared" si="4"/>
        <v>0</v>
      </c>
    </row>
    <row r="63" spans="1:8" x14ac:dyDescent="0.2">
      <c r="A63" s="557"/>
      <c r="B63" s="438">
        <v>53209990000000</v>
      </c>
      <c r="C63" s="439" t="s">
        <v>190</v>
      </c>
      <c r="D63" s="423">
        <v>0</v>
      </c>
      <c r="E63" s="423">
        <v>0</v>
      </c>
      <c r="F63" s="425">
        <v>0</v>
      </c>
      <c r="G63" s="267">
        <f t="shared" si="5"/>
        <v>0</v>
      </c>
      <c r="H63" s="261">
        <f t="shared" si="4"/>
        <v>0</v>
      </c>
    </row>
    <row r="64" spans="1:8" x14ac:dyDescent="0.2">
      <c r="A64" s="557"/>
      <c r="B64" s="438">
        <v>53210020100000</v>
      </c>
      <c r="C64" s="439" t="s">
        <v>64</v>
      </c>
      <c r="D64" s="423">
        <v>342660.36200000002</v>
      </c>
      <c r="E64" s="423">
        <v>0</v>
      </c>
      <c r="F64" s="425">
        <v>0</v>
      </c>
      <c r="G64" s="267">
        <f t="shared" si="5"/>
        <v>0</v>
      </c>
      <c r="H64" s="261">
        <f t="shared" si="4"/>
        <v>342660.36200000002</v>
      </c>
    </row>
    <row r="65" spans="1:10" x14ac:dyDescent="0.2">
      <c r="A65" s="557"/>
      <c r="B65" s="436"/>
      <c r="C65" s="437" t="s">
        <v>65</v>
      </c>
      <c r="D65" s="428">
        <f>SUM(D66:D72)</f>
        <v>2472802</v>
      </c>
      <c r="E65" s="429"/>
      <c r="F65" s="429"/>
      <c r="G65" s="260">
        <f>SUM(G66:G72)</f>
        <v>300000</v>
      </c>
      <c r="H65" s="262">
        <f>SUM(H66:H72)</f>
        <v>2772802</v>
      </c>
    </row>
    <row r="66" spans="1:10" x14ac:dyDescent="0.2">
      <c r="A66" s="557"/>
      <c r="B66" s="438">
        <v>53206030000000</v>
      </c>
      <c r="C66" s="439" t="s">
        <v>99</v>
      </c>
      <c r="D66" s="423">
        <v>0</v>
      </c>
      <c r="E66" s="423">
        <v>0</v>
      </c>
      <c r="F66" s="425">
        <v>0</v>
      </c>
      <c r="G66" s="267">
        <f t="shared" si="5"/>
        <v>0</v>
      </c>
      <c r="H66" s="261">
        <f t="shared" si="4"/>
        <v>0</v>
      </c>
    </row>
    <row r="67" spans="1:10" x14ac:dyDescent="0.2">
      <c r="A67" s="557"/>
      <c r="B67" s="438">
        <v>53206040000000</v>
      </c>
      <c r="C67" s="439" t="s">
        <v>100</v>
      </c>
      <c r="D67" s="423">
        <v>0</v>
      </c>
      <c r="E67" s="423">
        <v>0</v>
      </c>
      <c r="F67" s="425">
        <v>0</v>
      </c>
      <c r="G67" s="267">
        <f t="shared" si="5"/>
        <v>0</v>
      </c>
      <c r="H67" s="261">
        <f t="shared" si="4"/>
        <v>0</v>
      </c>
    </row>
    <row r="68" spans="1:10" x14ac:dyDescent="0.2">
      <c r="A68" s="557"/>
      <c r="B68" s="438">
        <v>53206060000000</v>
      </c>
      <c r="C68" s="439" t="s">
        <v>193</v>
      </c>
      <c r="D68" s="423">
        <v>0</v>
      </c>
      <c r="E68" s="423">
        <v>0</v>
      </c>
      <c r="F68" s="425">
        <v>0</v>
      </c>
      <c r="G68" s="267">
        <f t="shared" si="5"/>
        <v>0</v>
      </c>
      <c r="H68" s="261">
        <f t="shared" si="4"/>
        <v>0</v>
      </c>
    </row>
    <row r="69" spans="1:10" x14ac:dyDescent="0.2">
      <c r="A69" s="557"/>
      <c r="B69" s="438">
        <v>53206070000000</v>
      </c>
      <c r="C69" s="439" t="s">
        <v>102</v>
      </c>
      <c r="D69" s="423">
        <v>0</v>
      </c>
      <c r="E69" s="423">
        <v>300000</v>
      </c>
      <c r="F69" s="425">
        <v>1</v>
      </c>
      <c r="G69" s="267">
        <f t="shared" si="5"/>
        <v>300000</v>
      </c>
      <c r="H69" s="261">
        <f t="shared" si="4"/>
        <v>300000</v>
      </c>
    </row>
    <row r="70" spans="1:10" x14ac:dyDescent="0.2">
      <c r="A70" s="557"/>
      <c r="B70" s="438">
        <v>53206990000000</v>
      </c>
      <c r="C70" s="439" t="s">
        <v>194</v>
      </c>
      <c r="D70" s="423">
        <v>60000</v>
      </c>
      <c r="E70" s="423">
        <v>0</v>
      </c>
      <c r="F70" s="425">
        <v>0</v>
      </c>
      <c r="G70" s="267">
        <f t="shared" si="5"/>
        <v>0</v>
      </c>
      <c r="H70" s="261">
        <f t="shared" si="4"/>
        <v>60000</v>
      </c>
    </row>
    <row r="71" spans="1:10" x14ac:dyDescent="0.2">
      <c r="A71" s="557"/>
      <c r="B71" s="438">
        <v>53208030000000</v>
      </c>
      <c r="C71" s="439" t="s">
        <v>104</v>
      </c>
      <c r="D71" s="423">
        <f>+(29000*41)+(29000*20)+(29000+2)+(29000*5.2)+(29000*4)+(29000*10)+(29000*1.5)+(29000*0.5)</f>
        <v>2412802</v>
      </c>
      <c r="E71" s="423">
        <v>0</v>
      </c>
      <c r="F71" s="425">
        <v>0</v>
      </c>
      <c r="G71" s="267">
        <f t="shared" si="5"/>
        <v>0</v>
      </c>
      <c r="H71" s="261">
        <f t="shared" si="4"/>
        <v>2412802</v>
      </c>
    </row>
    <row r="72" spans="1:10" x14ac:dyDescent="0.2">
      <c r="A72" s="557"/>
      <c r="B72" s="438">
        <v>53206990000000</v>
      </c>
      <c r="C72" s="439" t="s">
        <v>226</v>
      </c>
      <c r="D72" s="423">
        <v>0</v>
      </c>
      <c r="E72" s="423">
        <v>0</v>
      </c>
      <c r="F72" s="425">
        <v>0</v>
      </c>
      <c r="G72" s="267">
        <f t="shared" si="5"/>
        <v>0</v>
      </c>
      <c r="H72" s="261">
        <f t="shared" si="4"/>
        <v>0</v>
      </c>
    </row>
    <row r="73" spans="1:10" x14ac:dyDescent="0.2">
      <c r="A73" s="557"/>
      <c r="B73" s="436"/>
      <c r="C73" s="437" t="s">
        <v>66</v>
      </c>
      <c r="D73" s="428">
        <f>SUM(D74:D74)</f>
        <v>0</v>
      </c>
      <c r="E73" s="429"/>
      <c r="F73" s="429"/>
      <c r="G73" s="260">
        <f>SUM(G74:G74)</f>
        <v>0</v>
      </c>
      <c r="H73" s="262">
        <f>SUM(H74:H74)</f>
        <v>0</v>
      </c>
    </row>
    <row r="74" spans="1:10" x14ac:dyDescent="0.2">
      <c r="A74" s="557"/>
      <c r="B74" s="447"/>
      <c r="C74" s="448" t="s">
        <v>227</v>
      </c>
      <c r="D74" s="257">
        <v>0</v>
      </c>
      <c r="E74" s="257">
        <v>0</v>
      </c>
      <c r="F74" s="258">
        <v>0</v>
      </c>
      <c r="G74" s="267">
        <f t="shared" si="5"/>
        <v>0</v>
      </c>
      <c r="H74" s="265">
        <f t="shared" si="4"/>
        <v>0</v>
      </c>
      <c r="I74" s="430" t="s">
        <v>218</v>
      </c>
      <c r="J74" s="431">
        <f>+H72+H71+H70+H69+H68+H67+H66+H64+H63+H62+H61+H60+H59+H58+H57+H55+H52+H51+H50+H49+H48+H46+H44+H43+H37+H36+H35+H33+H32+H31+H30+H29+H28+H27+H26+H25+H24+H23</f>
        <v>11324471.362</v>
      </c>
    </row>
    <row r="75" spans="1:10" collapsed="1" x14ac:dyDescent="0.2">
      <c r="A75" s="558"/>
      <c r="B75" s="449"/>
      <c r="C75" s="450" t="s">
        <v>105</v>
      </c>
      <c r="D75" s="451">
        <f>SUM(D12,D39)</f>
        <v>28822206.458666671</v>
      </c>
      <c r="E75" s="452"/>
      <c r="F75" s="452"/>
      <c r="G75" s="270">
        <f>SUM(G12,G39)</f>
        <v>444039</v>
      </c>
      <c r="H75" s="63">
        <f>SUM(H12,H39)</f>
        <v>37344577.820666671</v>
      </c>
      <c r="I75" s="432" t="s">
        <v>219</v>
      </c>
      <c r="J75" s="433">
        <f>+H76-J74</f>
        <v>26020106.458666671</v>
      </c>
    </row>
    <row r="76" spans="1:10" ht="15.75" customHeight="1" x14ac:dyDescent="0.2">
      <c r="A76" s="554" t="s">
        <v>109</v>
      </c>
      <c r="B76" s="554"/>
      <c r="C76" s="554"/>
      <c r="D76" s="554"/>
      <c r="E76" s="554"/>
      <c r="F76" s="554"/>
      <c r="G76" s="555"/>
      <c r="H76" s="62">
        <f>+H75</f>
        <v>37344577.820666671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mergeCells count="10">
    <mergeCell ref="D4:E4"/>
    <mergeCell ref="A10:A11"/>
    <mergeCell ref="E10:G10"/>
    <mergeCell ref="D10:D11"/>
    <mergeCell ref="H10:H11"/>
    <mergeCell ref="C10:C11"/>
    <mergeCell ref="B10:B11"/>
    <mergeCell ref="A76:G76"/>
    <mergeCell ref="A8:C8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58" zoomScale="90" zoomScaleNormal="90" zoomScalePageLayoutView="90" workbookViewId="0">
      <selection activeCell="I23" sqref="I23"/>
    </sheetView>
  </sheetViews>
  <sheetFormatPr baseColWidth="10" defaultColWidth="11.42578125" defaultRowHeight="12.75" x14ac:dyDescent="0.2"/>
  <cols>
    <col min="1" max="1" width="11.42578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205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197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05" t="s">
        <v>0</v>
      </c>
      <c r="E4" s="169" t="str">
        <f>+'B) Reajuste Tarifas y Ocupación'!F5</f>
        <v>DELBIENWILL</v>
      </c>
      <c r="F4" s="66"/>
      <c r="G4" s="67"/>
      <c r="H4" s="67"/>
      <c r="I4" s="67"/>
      <c r="J4" s="67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06"/>
      <c r="E5" s="109"/>
      <c r="F5" s="109"/>
      <c r="G5" s="109"/>
      <c r="H5" s="109"/>
      <c r="I5" s="109"/>
      <c r="J5" s="10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06"/>
      <c r="E6" s="109"/>
      <c r="F6" s="109"/>
      <c r="G6" s="109"/>
      <c r="H6" s="109"/>
      <c r="I6" s="109"/>
      <c r="J6" s="109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197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9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0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01"/>
    </row>
    <row r="9" spans="1:242" ht="15.75" customHeight="1" x14ac:dyDescent="0.2">
      <c r="A9" s="606" t="s">
        <v>154</v>
      </c>
      <c r="B9" s="606"/>
      <c r="C9" s="606"/>
      <c r="D9" s="606"/>
      <c r="E9" s="606"/>
      <c r="F9" s="606"/>
      <c r="G9" s="606"/>
      <c r="H9" s="606"/>
      <c r="I9" s="108"/>
      <c r="J9" s="108"/>
      <c r="K9" s="108"/>
      <c r="L9" s="108"/>
      <c r="M9" s="574" t="s">
        <v>155</v>
      </c>
      <c r="N9" s="574"/>
      <c r="O9" s="574"/>
      <c r="P9" s="574"/>
      <c r="Q9" s="574"/>
      <c r="R9" s="574"/>
      <c r="S9" s="574"/>
      <c r="U9" s="574" t="s">
        <v>156</v>
      </c>
      <c r="V9" s="574"/>
      <c r="W9" s="574"/>
      <c r="X9" s="146"/>
      <c r="Y9" s="202"/>
      <c r="Z9" s="574" t="s">
        <v>209</v>
      </c>
      <c r="AA9" s="574"/>
      <c r="AB9" s="574"/>
      <c r="AC9" s="574"/>
      <c r="AD9" s="574"/>
      <c r="AE9" s="574"/>
      <c r="AF9" s="146"/>
      <c r="AG9" s="574" t="s">
        <v>158</v>
      </c>
      <c r="AH9" s="574"/>
      <c r="AI9" s="574"/>
      <c r="AJ9" s="574"/>
      <c r="AK9" s="574"/>
      <c r="AL9" s="574"/>
      <c r="AM9" s="40"/>
      <c r="AN9" s="574" t="s">
        <v>159</v>
      </c>
      <c r="AO9" s="574"/>
      <c r="AP9" s="574"/>
      <c r="AQ9" s="574"/>
      <c r="AR9" s="574"/>
      <c r="AS9" s="574"/>
      <c r="AT9" s="201"/>
    </row>
    <row r="10" spans="1:242" ht="13.5" customHeight="1" x14ac:dyDescent="0.2">
      <c r="B10" s="24"/>
      <c r="C10" s="106"/>
      <c r="D10" s="106"/>
      <c r="E10" s="109"/>
      <c r="F10" s="109"/>
      <c r="G10" s="109"/>
      <c r="H10" s="109"/>
      <c r="I10" s="109"/>
      <c r="J10" s="109"/>
      <c r="M10" s="574"/>
      <c r="N10" s="574"/>
      <c r="O10" s="574"/>
      <c r="P10" s="574"/>
      <c r="Q10" s="574"/>
      <c r="R10" s="574"/>
      <c r="S10" s="574"/>
      <c r="U10" s="574"/>
      <c r="V10" s="574"/>
      <c r="W10" s="574"/>
      <c r="Y10" s="200"/>
      <c r="Z10" s="574"/>
      <c r="AA10" s="574"/>
      <c r="AB10" s="574"/>
      <c r="AC10" s="574"/>
      <c r="AD10" s="574"/>
      <c r="AE10" s="574"/>
      <c r="AF10" s="40"/>
      <c r="AG10" s="574"/>
      <c r="AH10" s="574"/>
      <c r="AI10" s="574"/>
      <c r="AJ10" s="574"/>
      <c r="AK10" s="574"/>
      <c r="AL10" s="574"/>
      <c r="AM10" s="40"/>
      <c r="AN10" s="574"/>
      <c r="AO10" s="574"/>
      <c r="AP10" s="574"/>
      <c r="AQ10" s="574"/>
      <c r="AR10" s="574"/>
      <c r="AS10" s="574"/>
      <c r="AT10" s="201"/>
    </row>
    <row r="11" spans="1:242" x14ac:dyDescent="0.2">
      <c r="J11" s="71" t="s">
        <v>4</v>
      </c>
      <c r="K11" s="69">
        <v>0.03</v>
      </c>
      <c r="Y11" s="20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01"/>
    </row>
    <row r="12" spans="1:242" ht="12.75" customHeight="1" thickBot="1" x14ac:dyDescent="0.25">
      <c r="K12" s="40"/>
      <c r="L12" s="40"/>
      <c r="M12" s="626"/>
      <c r="N12" s="626"/>
      <c r="O12" s="626"/>
      <c r="P12" s="626"/>
      <c r="Q12" s="626"/>
      <c r="R12" s="626"/>
      <c r="Y12" s="20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01"/>
    </row>
    <row r="13" spans="1:242" ht="21.75" customHeight="1" x14ac:dyDescent="0.2">
      <c r="A13" s="615" t="s">
        <v>118</v>
      </c>
      <c r="B13" s="616"/>
      <c r="C13" s="619" t="s">
        <v>73</v>
      </c>
      <c r="D13" s="619" t="s">
        <v>74</v>
      </c>
      <c r="E13" s="621" t="s">
        <v>3</v>
      </c>
      <c r="F13" s="621" t="s">
        <v>81</v>
      </c>
      <c r="G13" s="623" t="s">
        <v>220</v>
      </c>
      <c r="H13" s="624"/>
      <c r="I13" s="624"/>
      <c r="J13" s="625"/>
      <c r="K13" s="611" t="s">
        <v>223</v>
      </c>
      <c r="L13" s="38"/>
      <c r="M13" s="588" t="s">
        <v>69</v>
      </c>
      <c r="N13" s="613"/>
      <c r="O13" s="576" t="s">
        <v>70</v>
      </c>
      <c r="P13" s="577"/>
      <c r="Q13" s="614" t="s">
        <v>71</v>
      </c>
      <c r="R13" s="579"/>
      <c r="S13" s="572" t="s">
        <v>146</v>
      </c>
      <c r="U13" s="607" t="s">
        <v>75</v>
      </c>
      <c r="V13" s="609" t="s">
        <v>76</v>
      </c>
      <c r="W13" s="575" t="s">
        <v>143</v>
      </c>
      <c r="Y13" s="200"/>
      <c r="Z13" s="582" t="s">
        <v>69</v>
      </c>
      <c r="AA13" s="583"/>
      <c r="AB13" s="584" t="s">
        <v>70</v>
      </c>
      <c r="AC13" s="585"/>
      <c r="AD13" s="586" t="s">
        <v>71</v>
      </c>
      <c r="AE13" s="587"/>
      <c r="AF13" s="40"/>
      <c r="AG13" s="588" t="s">
        <v>69</v>
      </c>
      <c r="AH13" s="589"/>
      <c r="AI13" s="576" t="s">
        <v>70</v>
      </c>
      <c r="AJ13" s="577"/>
      <c r="AK13" s="578" t="s">
        <v>71</v>
      </c>
      <c r="AL13" s="579"/>
      <c r="AM13" s="40"/>
      <c r="AN13" s="588" t="s">
        <v>69</v>
      </c>
      <c r="AO13" s="589"/>
      <c r="AP13" s="576" t="s">
        <v>70</v>
      </c>
      <c r="AQ13" s="577"/>
      <c r="AR13" s="578" t="s">
        <v>71</v>
      </c>
      <c r="AS13" s="579"/>
      <c r="AT13" s="201"/>
    </row>
    <row r="14" spans="1:242" s="40" customFormat="1" ht="39" thickBot="1" x14ac:dyDescent="0.25">
      <c r="A14" s="617"/>
      <c r="B14" s="618"/>
      <c r="C14" s="620"/>
      <c r="D14" s="620"/>
      <c r="E14" s="622"/>
      <c r="F14" s="622"/>
      <c r="G14" s="130" t="s">
        <v>221</v>
      </c>
      <c r="H14" s="130" t="s">
        <v>116</v>
      </c>
      <c r="I14" s="131" t="s">
        <v>117</v>
      </c>
      <c r="J14" s="132" t="s">
        <v>222</v>
      </c>
      <c r="K14" s="612"/>
      <c r="L14" s="38"/>
      <c r="M14" s="181" t="s">
        <v>36</v>
      </c>
      <c r="N14" s="183" t="s">
        <v>37</v>
      </c>
      <c r="O14" s="191" t="s">
        <v>36</v>
      </c>
      <c r="P14" s="192" t="s">
        <v>37</v>
      </c>
      <c r="Q14" s="184" t="s">
        <v>36</v>
      </c>
      <c r="R14" s="182" t="s">
        <v>37</v>
      </c>
      <c r="S14" s="573"/>
      <c r="U14" s="608"/>
      <c r="V14" s="610"/>
      <c r="W14" s="575"/>
      <c r="Y14" s="200"/>
      <c r="Z14" s="181" t="s">
        <v>36</v>
      </c>
      <c r="AA14" s="183" t="s">
        <v>37</v>
      </c>
      <c r="AB14" s="191" t="s">
        <v>36</v>
      </c>
      <c r="AC14" s="192" t="s">
        <v>37</v>
      </c>
      <c r="AD14" s="184" t="s">
        <v>36</v>
      </c>
      <c r="AE14" s="182" t="s">
        <v>37</v>
      </c>
      <c r="AG14" s="203" t="s">
        <v>36</v>
      </c>
      <c r="AH14" s="204" t="s">
        <v>37</v>
      </c>
      <c r="AI14" s="205" t="s">
        <v>36</v>
      </c>
      <c r="AJ14" s="206" t="s">
        <v>37</v>
      </c>
      <c r="AK14" s="207" t="s">
        <v>36</v>
      </c>
      <c r="AL14" s="208" t="s">
        <v>37</v>
      </c>
      <c r="AN14" s="580" t="s">
        <v>147</v>
      </c>
      <c r="AO14" s="581"/>
      <c r="AP14" s="567" t="s">
        <v>147</v>
      </c>
      <c r="AQ14" s="568"/>
      <c r="AR14" s="569" t="s">
        <v>148</v>
      </c>
      <c r="AS14" s="570"/>
      <c r="AT14" s="201"/>
    </row>
    <row r="15" spans="1:242" s="40" customFormat="1" ht="12.75" customHeight="1" thickBot="1" x14ac:dyDescent="0.25">
      <c r="A15" s="596" t="s">
        <v>142</v>
      </c>
      <c r="B15" s="599" t="s">
        <v>93</v>
      </c>
      <c r="C15" s="453" t="s">
        <v>228</v>
      </c>
      <c r="D15" s="454" t="s">
        <v>229</v>
      </c>
      <c r="E15" s="455" t="s">
        <v>230</v>
      </c>
      <c r="F15" s="456" t="s">
        <v>119</v>
      </c>
      <c r="G15" s="113">
        <v>14213340</v>
      </c>
      <c r="H15" s="113">
        <v>188000</v>
      </c>
      <c r="I15" s="133">
        <v>125736</v>
      </c>
      <c r="J15" s="136">
        <f>SUM(G15:I15)</f>
        <v>14527076</v>
      </c>
      <c r="K15" s="128">
        <f t="shared" ref="K15:K69" si="0">+J15*(1+$K$11)</f>
        <v>14962888.280000001</v>
      </c>
      <c r="L15" s="38"/>
      <c r="M15" s="159">
        <v>0.1</v>
      </c>
      <c r="N15" s="173">
        <f t="shared" ref="N15:N61" si="1">+$K15*M15</f>
        <v>1496288.8280000002</v>
      </c>
      <c r="O15" s="159">
        <v>0.05</v>
      </c>
      <c r="P15" s="188">
        <f t="shared" ref="P15:P61" si="2">+$K15*O15</f>
        <v>748144.41400000011</v>
      </c>
      <c r="Q15" s="185">
        <v>0.85</v>
      </c>
      <c r="R15" s="173">
        <f t="shared" ref="R15:R61" si="3">+$K15*Q15</f>
        <v>12718455.038000001</v>
      </c>
      <c r="S15" s="176">
        <f>+M15+O15+Q15</f>
        <v>1</v>
      </c>
      <c r="U15" s="150"/>
      <c r="V15" s="147" t="s">
        <v>11</v>
      </c>
      <c r="W15" s="153">
        <f>SUM(W16,W20)</f>
        <v>6896439</v>
      </c>
      <c r="Y15" s="200"/>
      <c r="Z15" s="193">
        <f t="shared" ref="Z15:AE15" si="4">+M62</f>
        <v>0.10000000000000002</v>
      </c>
      <c r="AA15" s="195">
        <f t="shared" si="4"/>
        <v>5966416.3160000015</v>
      </c>
      <c r="AB15" s="193">
        <f t="shared" si="4"/>
        <v>5.000000000000001E-2</v>
      </c>
      <c r="AC15" s="196">
        <f t="shared" si="4"/>
        <v>2983208.1580000008</v>
      </c>
      <c r="AD15" s="194">
        <f t="shared" si="4"/>
        <v>0.84999999999999987</v>
      </c>
      <c r="AE15" s="196">
        <f t="shared" si="4"/>
        <v>50714538.685999997</v>
      </c>
      <c r="AG15" s="215">
        <f>+Z15</f>
        <v>0.10000000000000002</v>
      </c>
      <c r="AH15" s="209">
        <f>+AG15*W80</f>
        <v>1581489.3000000003</v>
      </c>
      <c r="AI15" s="216">
        <f>+AB15</f>
        <v>5.000000000000001E-2</v>
      </c>
      <c r="AJ15" s="209">
        <f>+AI15*W80</f>
        <v>790744.65000000014</v>
      </c>
      <c r="AK15" s="217">
        <f>+AD15</f>
        <v>0.84999999999999987</v>
      </c>
      <c r="AL15" s="210">
        <f>+AK15*W80</f>
        <v>13442659.049999997</v>
      </c>
      <c r="AN15" s="565">
        <f>+AH15+AA15</f>
        <v>7547905.6160000023</v>
      </c>
      <c r="AO15" s="566"/>
      <c r="AP15" s="565">
        <f>+AJ15+AC15+K70</f>
        <v>3773952.8080000011</v>
      </c>
      <c r="AQ15" s="566"/>
      <c r="AR15" s="565">
        <f>+AL15+AE15</f>
        <v>64157197.735999994</v>
      </c>
      <c r="AS15" s="571"/>
      <c r="AT15" s="201"/>
    </row>
    <row r="16" spans="1:242" s="40" customFormat="1" x14ac:dyDescent="0.2">
      <c r="A16" s="597"/>
      <c r="B16" s="600"/>
      <c r="C16" s="78" t="s">
        <v>231</v>
      </c>
      <c r="D16" s="219" t="s">
        <v>232</v>
      </c>
      <c r="E16" s="457" t="s">
        <v>233</v>
      </c>
      <c r="F16" s="458" t="s">
        <v>119</v>
      </c>
      <c r="G16" s="114">
        <v>11021208</v>
      </c>
      <c r="H16" s="114">
        <v>188000</v>
      </c>
      <c r="I16" s="134">
        <v>125736</v>
      </c>
      <c r="J16" s="137">
        <f t="shared" ref="J16:J69" si="5">SUM(G16:I16)</f>
        <v>11334944</v>
      </c>
      <c r="K16" s="129">
        <f t="shared" si="0"/>
        <v>11674992.32</v>
      </c>
      <c r="L16" s="38"/>
      <c r="M16" s="171">
        <v>0.1</v>
      </c>
      <c r="N16" s="174">
        <f t="shared" si="1"/>
        <v>1167499.2320000001</v>
      </c>
      <c r="O16" s="171">
        <v>0.05</v>
      </c>
      <c r="P16" s="172">
        <f t="shared" si="2"/>
        <v>583749.61600000004</v>
      </c>
      <c r="Q16" s="186">
        <v>0.85</v>
      </c>
      <c r="R16" s="174">
        <f t="shared" si="3"/>
        <v>9923743.4719999991</v>
      </c>
      <c r="S16" s="177">
        <f t="shared" ref="S16:S61" si="6">+M16+O16+Q16</f>
        <v>1</v>
      </c>
      <c r="U16" s="151"/>
      <c r="V16" s="148" t="s">
        <v>12</v>
      </c>
      <c r="W16" s="154">
        <f>SUM(W17:W19)</f>
        <v>1191626</v>
      </c>
      <c r="Y16" s="200"/>
      <c r="AT16" s="201"/>
    </row>
    <row r="17" spans="1:46" s="40" customFormat="1" ht="12.75" customHeight="1" x14ac:dyDescent="0.2">
      <c r="A17" s="597"/>
      <c r="B17" s="600"/>
      <c r="C17" s="78" t="s">
        <v>234</v>
      </c>
      <c r="D17" s="219" t="s">
        <v>235</v>
      </c>
      <c r="E17" s="457" t="s">
        <v>236</v>
      </c>
      <c r="F17" s="458" t="s">
        <v>119</v>
      </c>
      <c r="G17" s="114">
        <v>7488096</v>
      </c>
      <c r="H17" s="114">
        <v>328000</v>
      </c>
      <c r="I17" s="134">
        <v>125736</v>
      </c>
      <c r="J17" s="137">
        <f t="shared" si="5"/>
        <v>7941832</v>
      </c>
      <c r="K17" s="129">
        <f t="shared" si="0"/>
        <v>8180086.96</v>
      </c>
      <c r="L17" s="38"/>
      <c r="M17" s="171">
        <v>0.1</v>
      </c>
      <c r="N17" s="174">
        <f t="shared" si="1"/>
        <v>818008.696</v>
      </c>
      <c r="O17" s="171">
        <v>0.05</v>
      </c>
      <c r="P17" s="172">
        <f t="shared" si="2"/>
        <v>409004.348</v>
      </c>
      <c r="Q17" s="186">
        <v>0.85</v>
      </c>
      <c r="R17" s="174">
        <f t="shared" si="3"/>
        <v>6953073.9160000002</v>
      </c>
      <c r="S17" s="177">
        <f t="shared" si="6"/>
        <v>1</v>
      </c>
      <c r="U17" s="152">
        <v>53103050000000</v>
      </c>
      <c r="V17" s="149" t="s">
        <v>13</v>
      </c>
      <c r="W17" s="155">
        <v>0</v>
      </c>
      <c r="Y17" s="200"/>
      <c r="AT17" s="201"/>
    </row>
    <row r="18" spans="1:46" s="40" customFormat="1" ht="13.5" customHeight="1" thickBot="1" x14ac:dyDescent="0.25">
      <c r="A18" s="597"/>
      <c r="B18" s="600"/>
      <c r="C18" s="78" t="s">
        <v>237</v>
      </c>
      <c r="D18" s="219" t="s">
        <v>238</v>
      </c>
      <c r="E18" s="457" t="s">
        <v>239</v>
      </c>
      <c r="F18" s="458" t="s">
        <v>119</v>
      </c>
      <c r="G18" s="114">
        <v>7636608</v>
      </c>
      <c r="H18" s="114">
        <v>328000</v>
      </c>
      <c r="I18" s="134">
        <v>125736</v>
      </c>
      <c r="J18" s="137">
        <f t="shared" si="5"/>
        <v>8090344</v>
      </c>
      <c r="K18" s="129">
        <f t="shared" si="0"/>
        <v>8333054.3200000003</v>
      </c>
      <c r="L18" s="38"/>
      <c r="M18" s="171">
        <v>0.1</v>
      </c>
      <c r="N18" s="174">
        <f t="shared" si="1"/>
        <v>833305.43200000003</v>
      </c>
      <c r="O18" s="171">
        <v>0.05</v>
      </c>
      <c r="P18" s="172">
        <f t="shared" si="2"/>
        <v>416652.71600000001</v>
      </c>
      <c r="Q18" s="186">
        <v>0.85</v>
      </c>
      <c r="R18" s="174">
        <f t="shared" si="3"/>
        <v>7083096.1720000003</v>
      </c>
      <c r="S18" s="177">
        <f t="shared" si="6"/>
        <v>1</v>
      </c>
      <c r="U18" s="152">
        <v>53103060000000</v>
      </c>
      <c r="V18" s="149" t="s">
        <v>14</v>
      </c>
      <c r="W18" s="155">
        <v>0</v>
      </c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3"/>
    </row>
    <row r="19" spans="1:46" s="40" customFormat="1" x14ac:dyDescent="0.2">
      <c r="A19" s="597"/>
      <c r="B19" s="600"/>
      <c r="C19" s="78" t="s">
        <v>240</v>
      </c>
      <c r="D19" s="219" t="s">
        <v>241</v>
      </c>
      <c r="E19" s="457" t="s">
        <v>242</v>
      </c>
      <c r="F19" s="458" t="s">
        <v>119</v>
      </c>
      <c r="G19" s="114">
        <v>7488096</v>
      </c>
      <c r="H19" s="114">
        <v>328000</v>
      </c>
      <c r="I19" s="134">
        <v>125736</v>
      </c>
      <c r="J19" s="137">
        <f t="shared" si="5"/>
        <v>7941832</v>
      </c>
      <c r="K19" s="129">
        <f t="shared" si="0"/>
        <v>8180086.96</v>
      </c>
      <c r="L19" s="38"/>
      <c r="M19" s="171">
        <v>0.1</v>
      </c>
      <c r="N19" s="174">
        <f t="shared" si="1"/>
        <v>818008.696</v>
      </c>
      <c r="O19" s="171">
        <v>0.05</v>
      </c>
      <c r="P19" s="172">
        <f t="shared" si="2"/>
        <v>409004.348</v>
      </c>
      <c r="Q19" s="186">
        <v>0.85</v>
      </c>
      <c r="R19" s="174">
        <f t="shared" si="3"/>
        <v>6953073.9160000002</v>
      </c>
      <c r="S19" s="177">
        <f t="shared" si="6"/>
        <v>1</v>
      </c>
      <c r="U19" s="152">
        <v>53103080010000</v>
      </c>
      <c r="V19" s="149" t="s">
        <v>15</v>
      </c>
      <c r="W19" s="155">
        <v>1191626</v>
      </c>
    </row>
    <row r="20" spans="1:46" s="40" customFormat="1" x14ac:dyDescent="0.2">
      <c r="A20" s="597"/>
      <c r="B20" s="600"/>
      <c r="C20" s="78" t="s">
        <v>243</v>
      </c>
      <c r="D20" s="219"/>
      <c r="E20" s="457" t="s">
        <v>244</v>
      </c>
      <c r="F20" s="458" t="s">
        <v>119</v>
      </c>
      <c r="G20" s="114">
        <v>7636608</v>
      </c>
      <c r="H20" s="114">
        <v>328000</v>
      </c>
      <c r="I20" s="134">
        <v>125736</v>
      </c>
      <c r="J20" s="137">
        <f t="shared" si="5"/>
        <v>8090344</v>
      </c>
      <c r="K20" s="129">
        <f t="shared" si="0"/>
        <v>8333054.3200000003</v>
      </c>
      <c r="L20" s="38"/>
      <c r="M20" s="171">
        <v>0.1</v>
      </c>
      <c r="N20" s="174">
        <f t="shared" si="1"/>
        <v>833305.43200000003</v>
      </c>
      <c r="O20" s="171">
        <v>0.05</v>
      </c>
      <c r="P20" s="172">
        <f t="shared" si="2"/>
        <v>416652.71600000001</v>
      </c>
      <c r="Q20" s="186">
        <v>0.85</v>
      </c>
      <c r="R20" s="174">
        <f t="shared" si="3"/>
        <v>7083096.1720000003</v>
      </c>
      <c r="S20" s="177">
        <f t="shared" si="6"/>
        <v>1</v>
      </c>
      <c r="U20" s="151"/>
      <c r="V20" s="148" t="s">
        <v>16</v>
      </c>
      <c r="W20" s="214">
        <f>SUM(W21:W39)</f>
        <v>5704813</v>
      </c>
    </row>
    <row r="21" spans="1:46" s="40" customFormat="1" x14ac:dyDescent="0.2">
      <c r="A21" s="597"/>
      <c r="B21" s="600"/>
      <c r="C21" s="78"/>
      <c r="D21" s="219"/>
      <c r="E21" s="457"/>
      <c r="F21" s="458" t="s">
        <v>119</v>
      </c>
      <c r="G21" s="114">
        <v>0</v>
      </c>
      <c r="H21" s="114">
        <v>0</v>
      </c>
      <c r="I21" s="134">
        <v>0</v>
      </c>
      <c r="J21" s="137">
        <f t="shared" si="5"/>
        <v>0</v>
      </c>
      <c r="K21" s="129">
        <f t="shared" si="0"/>
        <v>0</v>
      </c>
      <c r="L21" s="38"/>
      <c r="M21" s="171">
        <v>0</v>
      </c>
      <c r="N21" s="174">
        <f t="shared" si="1"/>
        <v>0</v>
      </c>
      <c r="O21" s="171">
        <v>0</v>
      </c>
      <c r="P21" s="172">
        <f t="shared" si="2"/>
        <v>0</v>
      </c>
      <c r="Q21" s="186">
        <v>0</v>
      </c>
      <c r="R21" s="174">
        <f t="shared" si="3"/>
        <v>0</v>
      </c>
      <c r="S21" s="177">
        <f t="shared" si="6"/>
        <v>0</v>
      </c>
      <c r="U21" s="152">
        <v>53201010100000</v>
      </c>
      <c r="V21" s="149" t="s">
        <v>17</v>
      </c>
      <c r="W21" s="155">
        <v>0</v>
      </c>
    </row>
    <row r="22" spans="1:46" s="40" customFormat="1" x14ac:dyDescent="0.2">
      <c r="A22" s="597"/>
      <c r="B22" s="600"/>
      <c r="C22" s="78" t="s">
        <v>245</v>
      </c>
      <c r="D22" s="219"/>
      <c r="E22" s="457"/>
      <c r="F22" s="458" t="s">
        <v>286</v>
      </c>
      <c r="G22" s="114"/>
      <c r="H22" s="114">
        <v>0</v>
      </c>
      <c r="I22" s="134">
        <v>0</v>
      </c>
      <c r="J22" s="137">
        <f t="shared" si="5"/>
        <v>0</v>
      </c>
      <c r="K22" s="129">
        <f t="shared" si="0"/>
        <v>0</v>
      </c>
      <c r="L22" s="38"/>
      <c r="M22" s="171">
        <v>0</v>
      </c>
      <c r="N22" s="174">
        <f t="shared" si="1"/>
        <v>0</v>
      </c>
      <c r="O22" s="171">
        <v>0</v>
      </c>
      <c r="P22" s="172">
        <f t="shared" si="2"/>
        <v>0</v>
      </c>
      <c r="Q22" s="186">
        <v>0</v>
      </c>
      <c r="R22" s="174">
        <f t="shared" si="3"/>
        <v>0</v>
      </c>
      <c r="S22" s="177">
        <f t="shared" si="6"/>
        <v>0</v>
      </c>
      <c r="U22" s="152">
        <v>53202010100000</v>
      </c>
      <c r="V22" s="149" t="s">
        <v>18</v>
      </c>
      <c r="W22" s="155">
        <v>0</v>
      </c>
    </row>
    <row r="23" spans="1:46" s="40" customFormat="1" x14ac:dyDescent="0.2">
      <c r="A23" s="597"/>
      <c r="B23" s="600"/>
      <c r="C23" s="78"/>
      <c r="D23" s="219"/>
      <c r="E23" s="457"/>
      <c r="F23" s="458" t="s">
        <v>119</v>
      </c>
      <c r="G23" s="114">
        <v>0</v>
      </c>
      <c r="H23" s="114">
        <v>0</v>
      </c>
      <c r="I23" s="134">
        <v>0</v>
      </c>
      <c r="J23" s="137">
        <f t="shared" si="5"/>
        <v>0</v>
      </c>
      <c r="K23" s="129">
        <f t="shared" si="0"/>
        <v>0</v>
      </c>
      <c r="L23" s="38"/>
      <c r="M23" s="171">
        <v>0</v>
      </c>
      <c r="N23" s="174">
        <f t="shared" si="1"/>
        <v>0</v>
      </c>
      <c r="O23" s="171">
        <v>0</v>
      </c>
      <c r="P23" s="172">
        <f t="shared" si="2"/>
        <v>0</v>
      </c>
      <c r="Q23" s="186">
        <v>0</v>
      </c>
      <c r="R23" s="174">
        <f t="shared" si="3"/>
        <v>0</v>
      </c>
      <c r="S23" s="177">
        <f t="shared" si="6"/>
        <v>0</v>
      </c>
      <c r="U23" s="152">
        <v>53203010100000</v>
      </c>
      <c r="V23" s="149" t="s">
        <v>19</v>
      </c>
      <c r="W23" s="155">
        <v>2372000</v>
      </c>
    </row>
    <row r="24" spans="1:46" s="40" customFormat="1" ht="13.5" thickBot="1" x14ac:dyDescent="0.25">
      <c r="A24" s="597"/>
      <c r="B24" s="601"/>
      <c r="C24" s="459"/>
      <c r="D24" s="222"/>
      <c r="E24" s="460"/>
      <c r="F24" s="461" t="s">
        <v>119</v>
      </c>
      <c r="G24" s="118">
        <v>0</v>
      </c>
      <c r="H24" s="118">
        <v>0</v>
      </c>
      <c r="I24" s="135">
        <v>0</v>
      </c>
      <c r="J24" s="138">
        <f t="shared" si="5"/>
        <v>0</v>
      </c>
      <c r="K24" s="127">
        <f t="shared" si="0"/>
        <v>0</v>
      </c>
      <c r="L24" s="38"/>
      <c r="M24" s="178">
        <v>0</v>
      </c>
      <c r="N24" s="175">
        <f t="shared" si="1"/>
        <v>0</v>
      </c>
      <c r="O24" s="178">
        <v>0</v>
      </c>
      <c r="P24" s="189">
        <f t="shared" si="2"/>
        <v>0</v>
      </c>
      <c r="Q24" s="187">
        <v>0</v>
      </c>
      <c r="R24" s="175">
        <f t="shared" si="3"/>
        <v>0</v>
      </c>
      <c r="S24" s="179">
        <f t="shared" si="6"/>
        <v>0</v>
      </c>
      <c r="U24" s="152">
        <v>53203030000000</v>
      </c>
      <c r="V24" s="149" t="s">
        <v>20</v>
      </c>
      <c r="W24" s="155">
        <v>0</v>
      </c>
    </row>
    <row r="25" spans="1:46" s="40" customFormat="1" ht="12.75" customHeight="1" x14ac:dyDescent="0.2">
      <c r="A25" s="597"/>
      <c r="B25" s="599" t="s">
        <v>92</v>
      </c>
      <c r="C25" s="143" t="s">
        <v>130</v>
      </c>
      <c r="D25" s="119" t="s">
        <v>130</v>
      </c>
      <c r="E25" s="120" t="s">
        <v>136</v>
      </c>
      <c r="F25" s="121" t="s">
        <v>119</v>
      </c>
      <c r="G25" s="113">
        <v>0</v>
      </c>
      <c r="H25" s="113">
        <v>0</v>
      </c>
      <c r="I25" s="133">
        <v>0</v>
      </c>
      <c r="J25" s="136">
        <f t="shared" si="5"/>
        <v>0</v>
      </c>
      <c r="K25" s="128">
        <f t="shared" si="0"/>
        <v>0</v>
      </c>
      <c r="L25" s="38"/>
      <c r="M25" s="159">
        <v>0</v>
      </c>
      <c r="N25" s="173">
        <f t="shared" si="1"/>
        <v>0</v>
      </c>
      <c r="O25" s="159">
        <v>0</v>
      </c>
      <c r="P25" s="188">
        <f t="shared" si="2"/>
        <v>0</v>
      </c>
      <c r="Q25" s="185">
        <v>0</v>
      </c>
      <c r="R25" s="173">
        <f t="shared" si="3"/>
        <v>0</v>
      </c>
      <c r="S25" s="176">
        <f t="shared" si="6"/>
        <v>0</v>
      </c>
      <c r="U25" s="152">
        <v>53204030000000</v>
      </c>
      <c r="V25" s="149" t="s">
        <v>21</v>
      </c>
      <c r="W25" s="155">
        <v>0</v>
      </c>
      <c r="AG25" s="29"/>
    </row>
    <row r="26" spans="1:46" s="40" customFormat="1" ht="12.75" customHeight="1" x14ac:dyDescent="0.2">
      <c r="A26" s="597"/>
      <c r="B26" s="600"/>
      <c r="C26" s="78"/>
      <c r="D26" s="124"/>
      <c r="E26" s="125"/>
      <c r="F26" s="126" t="s">
        <v>119</v>
      </c>
      <c r="G26" s="114">
        <v>0</v>
      </c>
      <c r="H26" s="114">
        <v>0</v>
      </c>
      <c r="I26" s="134">
        <v>0</v>
      </c>
      <c r="J26" s="137">
        <f t="shared" si="5"/>
        <v>0</v>
      </c>
      <c r="K26" s="129">
        <f t="shared" si="0"/>
        <v>0</v>
      </c>
      <c r="L26" s="38"/>
      <c r="M26" s="171">
        <v>0</v>
      </c>
      <c r="N26" s="174">
        <f t="shared" si="1"/>
        <v>0</v>
      </c>
      <c r="O26" s="171">
        <v>0</v>
      </c>
      <c r="P26" s="172">
        <f t="shared" si="2"/>
        <v>0</v>
      </c>
      <c r="Q26" s="186">
        <v>0</v>
      </c>
      <c r="R26" s="174">
        <f t="shared" si="3"/>
        <v>0</v>
      </c>
      <c r="S26" s="177">
        <f t="shared" si="6"/>
        <v>0</v>
      </c>
      <c r="U26" s="152">
        <v>53204100100001</v>
      </c>
      <c r="V26" s="149" t="s">
        <v>22</v>
      </c>
      <c r="W26" s="155">
        <v>950250</v>
      </c>
      <c r="AG26" s="29"/>
    </row>
    <row r="27" spans="1:46" s="40" customFormat="1" ht="12.75" customHeight="1" x14ac:dyDescent="0.2">
      <c r="A27" s="597"/>
      <c r="B27" s="600"/>
      <c r="C27" s="78"/>
      <c r="D27" s="124"/>
      <c r="E27" s="125"/>
      <c r="F27" s="126" t="s">
        <v>119</v>
      </c>
      <c r="G27" s="114">
        <v>0</v>
      </c>
      <c r="H27" s="114">
        <v>0</v>
      </c>
      <c r="I27" s="134">
        <v>0</v>
      </c>
      <c r="J27" s="137">
        <f t="shared" si="5"/>
        <v>0</v>
      </c>
      <c r="K27" s="129">
        <f t="shared" si="0"/>
        <v>0</v>
      </c>
      <c r="L27" s="38"/>
      <c r="M27" s="171">
        <v>0</v>
      </c>
      <c r="N27" s="174">
        <f t="shared" si="1"/>
        <v>0</v>
      </c>
      <c r="O27" s="171">
        <v>0</v>
      </c>
      <c r="P27" s="172">
        <f t="shared" si="2"/>
        <v>0</v>
      </c>
      <c r="Q27" s="186">
        <v>0</v>
      </c>
      <c r="R27" s="174">
        <f t="shared" si="3"/>
        <v>0</v>
      </c>
      <c r="S27" s="177">
        <f t="shared" si="6"/>
        <v>0</v>
      </c>
      <c r="U27" s="152">
        <v>53204130100000</v>
      </c>
      <c r="V27" s="149" t="s">
        <v>23</v>
      </c>
      <c r="W27" s="155">
        <v>70000</v>
      </c>
      <c r="AG27" s="29"/>
    </row>
    <row r="28" spans="1:46" s="40" customFormat="1" ht="12.75" customHeight="1" x14ac:dyDescent="0.2">
      <c r="A28" s="597"/>
      <c r="B28" s="600"/>
      <c r="C28" s="78"/>
      <c r="D28" s="124"/>
      <c r="E28" s="125"/>
      <c r="F28" s="126" t="s">
        <v>119</v>
      </c>
      <c r="G28" s="114">
        <v>0</v>
      </c>
      <c r="H28" s="114">
        <v>0</v>
      </c>
      <c r="I28" s="134">
        <v>0</v>
      </c>
      <c r="J28" s="137">
        <f t="shared" si="5"/>
        <v>0</v>
      </c>
      <c r="K28" s="129">
        <f t="shared" si="0"/>
        <v>0</v>
      </c>
      <c r="L28" s="38"/>
      <c r="M28" s="171">
        <v>0</v>
      </c>
      <c r="N28" s="174">
        <f t="shared" si="1"/>
        <v>0</v>
      </c>
      <c r="O28" s="171">
        <v>0</v>
      </c>
      <c r="P28" s="172">
        <f t="shared" si="2"/>
        <v>0</v>
      </c>
      <c r="Q28" s="186">
        <v>0</v>
      </c>
      <c r="R28" s="174">
        <f t="shared" si="3"/>
        <v>0</v>
      </c>
      <c r="S28" s="177">
        <f t="shared" si="6"/>
        <v>0</v>
      </c>
      <c r="U28" s="152">
        <v>53205010100000</v>
      </c>
      <c r="V28" s="149" t="s">
        <v>24</v>
      </c>
      <c r="W28" s="155">
        <v>0</v>
      </c>
      <c r="AG28" s="29"/>
    </row>
    <row r="29" spans="1:46" s="40" customFormat="1" ht="12.75" customHeight="1" x14ac:dyDescent="0.2">
      <c r="A29" s="597"/>
      <c r="B29" s="600"/>
      <c r="C29" s="78"/>
      <c r="D29" s="124"/>
      <c r="E29" s="125"/>
      <c r="F29" s="126" t="s">
        <v>119</v>
      </c>
      <c r="G29" s="114">
        <v>0</v>
      </c>
      <c r="H29" s="114">
        <v>0</v>
      </c>
      <c r="I29" s="134">
        <v>0</v>
      </c>
      <c r="J29" s="137">
        <f t="shared" si="5"/>
        <v>0</v>
      </c>
      <c r="K29" s="129">
        <f t="shared" si="0"/>
        <v>0</v>
      </c>
      <c r="L29" s="38"/>
      <c r="M29" s="171">
        <v>0</v>
      </c>
      <c r="N29" s="174">
        <f t="shared" si="1"/>
        <v>0</v>
      </c>
      <c r="O29" s="171">
        <v>0</v>
      </c>
      <c r="P29" s="172">
        <f t="shared" si="2"/>
        <v>0</v>
      </c>
      <c r="Q29" s="186">
        <v>0</v>
      </c>
      <c r="R29" s="174">
        <f t="shared" si="3"/>
        <v>0</v>
      </c>
      <c r="S29" s="177">
        <f t="shared" si="6"/>
        <v>0</v>
      </c>
      <c r="U29" s="152">
        <v>53205020100000</v>
      </c>
      <c r="V29" s="149" t="s">
        <v>25</v>
      </c>
      <c r="W29" s="155">
        <v>0</v>
      </c>
      <c r="AG29" s="29"/>
    </row>
    <row r="30" spans="1:46" s="40" customFormat="1" ht="12.75" customHeight="1" x14ac:dyDescent="0.2">
      <c r="A30" s="597"/>
      <c r="B30" s="600"/>
      <c r="C30" s="78"/>
      <c r="D30" s="124"/>
      <c r="E30" s="125"/>
      <c r="F30" s="126" t="s">
        <v>119</v>
      </c>
      <c r="G30" s="114">
        <v>0</v>
      </c>
      <c r="H30" s="114">
        <v>0</v>
      </c>
      <c r="I30" s="134">
        <v>0</v>
      </c>
      <c r="J30" s="137">
        <f t="shared" si="5"/>
        <v>0</v>
      </c>
      <c r="K30" s="129">
        <f t="shared" si="0"/>
        <v>0</v>
      </c>
      <c r="L30" s="38"/>
      <c r="M30" s="171">
        <v>0</v>
      </c>
      <c r="N30" s="174">
        <f t="shared" si="1"/>
        <v>0</v>
      </c>
      <c r="O30" s="171">
        <v>0</v>
      </c>
      <c r="P30" s="172">
        <f t="shared" si="2"/>
        <v>0</v>
      </c>
      <c r="Q30" s="186">
        <v>0</v>
      </c>
      <c r="R30" s="174">
        <f t="shared" si="3"/>
        <v>0</v>
      </c>
      <c r="S30" s="177">
        <f t="shared" si="6"/>
        <v>0</v>
      </c>
      <c r="U30" s="152">
        <v>53205030100000</v>
      </c>
      <c r="V30" s="149" t="s">
        <v>26</v>
      </c>
      <c r="W30" s="155">
        <v>0</v>
      </c>
      <c r="AG30" s="29"/>
    </row>
    <row r="31" spans="1:46" s="40" customFormat="1" ht="12.75" customHeight="1" x14ac:dyDescent="0.2">
      <c r="A31" s="597"/>
      <c r="B31" s="600"/>
      <c r="C31" s="78"/>
      <c r="D31" s="124"/>
      <c r="E31" s="125"/>
      <c r="F31" s="126" t="s">
        <v>119</v>
      </c>
      <c r="G31" s="114">
        <v>0</v>
      </c>
      <c r="H31" s="114">
        <v>0</v>
      </c>
      <c r="I31" s="134">
        <v>0</v>
      </c>
      <c r="J31" s="137">
        <f t="shared" si="5"/>
        <v>0</v>
      </c>
      <c r="K31" s="129">
        <f t="shared" si="0"/>
        <v>0</v>
      </c>
      <c r="L31" s="38"/>
      <c r="M31" s="171">
        <v>0</v>
      </c>
      <c r="N31" s="174">
        <f t="shared" si="1"/>
        <v>0</v>
      </c>
      <c r="O31" s="171">
        <v>0</v>
      </c>
      <c r="P31" s="172">
        <f t="shared" si="2"/>
        <v>0</v>
      </c>
      <c r="Q31" s="186">
        <v>0</v>
      </c>
      <c r="R31" s="174">
        <f t="shared" si="3"/>
        <v>0</v>
      </c>
      <c r="S31" s="177">
        <f t="shared" si="6"/>
        <v>0</v>
      </c>
      <c r="U31" s="152">
        <v>53205050100000</v>
      </c>
      <c r="V31" s="149" t="s">
        <v>27</v>
      </c>
      <c r="W31" s="155">
        <v>250000</v>
      </c>
      <c r="AG31" s="29"/>
    </row>
    <row r="32" spans="1:46" s="40" customFormat="1" ht="12.75" customHeight="1" x14ac:dyDescent="0.2">
      <c r="A32" s="597"/>
      <c r="B32" s="600"/>
      <c r="C32" s="78"/>
      <c r="D32" s="124"/>
      <c r="E32" s="125"/>
      <c r="F32" s="126" t="s">
        <v>119</v>
      </c>
      <c r="G32" s="114">
        <v>0</v>
      </c>
      <c r="H32" s="114">
        <v>0</v>
      </c>
      <c r="I32" s="134">
        <v>0</v>
      </c>
      <c r="J32" s="137">
        <f t="shared" si="5"/>
        <v>0</v>
      </c>
      <c r="K32" s="129">
        <f t="shared" si="0"/>
        <v>0</v>
      </c>
      <c r="L32" s="38"/>
      <c r="M32" s="171">
        <v>0</v>
      </c>
      <c r="N32" s="174">
        <f t="shared" si="1"/>
        <v>0</v>
      </c>
      <c r="O32" s="171">
        <v>0</v>
      </c>
      <c r="P32" s="172">
        <f t="shared" si="2"/>
        <v>0</v>
      </c>
      <c r="Q32" s="186">
        <v>0</v>
      </c>
      <c r="R32" s="174">
        <f t="shared" si="3"/>
        <v>0</v>
      </c>
      <c r="S32" s="177">
        <f t="shared" si="6"/>
        <v>0</v>
      </c>
      <c r="U32" s="152">
        <v>53205060100000</v>
      </c>
      <c r="V32" s="149" t="s">
        <v>28</v>
      </c>
      <c r="W32" s="155">
        <v>0</v>
      </c>
      <c r="AG32" s="29"/>
    </row>
    <row r="33" spans="1:33" s="40" customFormat="1" ht="12.75" customHeight="1" x14ac:dyDescent="0.2">
      <c r="A33" s="597"/>
      <c r="B33" s="600"/>
      <c r="C33" s="78"/>
      <c r="D33" s="124"/>
      <c r="E33" s="125"/>
      <c r="F33" s="126" t="s">
        <v>119</v>
      </c>
      <c r="G33" s="114">
        <v>0</v>
      </c>
      <c r="H33" s="114">
        <v>0</v>
      </c>
      <c r="I33" s="134">
        <v>0</v>
      </c>
      <c r="J33" s="137">
        <f t="shared" si="5"/>
        <v>0</v>
      </c>
      <c r="K33" s="129">
        <f t="shared" si="0"/>
        <v>0</v>
      </c>
      <c r="L33" s="38"/>
      <c r="M33" s="171">
        <v>0</v>
      </c>
      <c r="N33" s="174">
        <f t="shared" si="1"/>
        <v>0</v>
      </c>
      <c r="O33" s="171">
        <v>0</v>
      </c>
      <c r="P33" s="172">
        <f t="shared" si="2"/>
        <v>0</v>
      </c>
      <c r="Q33" s="186">
        <v>0</v>
      </c>
      <c r="R33" s="174">
        <f t="shared" si="3"/>
        <v>0</v>
      </c>
      <c r="S33" s="177">
        <f t="shared" si="6"/>
        <v>0</v>
      </c>
      <c r="U33" s="152">
        <v>53205070100000</v>
      </c>
      <c r="V33" s="149" t="s">
        <v>29</v>
      </c>
      <c r="W33" s="155">
        <v>0</v>
      </c>
      <c r="AG33" s="29"/>
    </row>
    <row r="34" spans="1:33" s="40" customFormat="1" ht="12.75" customHeight="1" thickBot="1" x14ac:dyDescent="0.25">
      <c r="A34" s="597"/>
      <c r="B34" s="601"/>
      <c r="C34" s="144"/>
      <c r="D34" s="115"/>
      <c r="E34" s="116"/>
      <c r="F34" s="117" t="s">
        <v>119</v>
      </c>
      <c r="G34" s="118">
        <v>0</v>
      </c>
      <c r="H34" s="118">
        <v>0</v>
      </c>
      <c r="I34" s="135">
        <v>0</v>
      </c>
      <c r="J34" s="138">
        <f t="shared" si="5"/>
        <v>0</v>
      </c>
      <c r="K34" s="127">
        <f t="shared" si="0"/>
        <v>0</v>
      </c>
      <c r="L34" s="38"/>
      <c r="M34" s="178">
        <v>0</v>
      </c>
      <c r="N34" s="175">
        <f t="shared" si="1"/>
        <v>0</v>
      </c>
      <c r="O34" s="178">
        <v>0</v>
      </c>
      <c r="P34" s="189">
        <f t="shared" si="2"/>
        <v>0</v>
      </c>
      <c r="Q34" s="187">
        <v>0</v>
      </c>
      <c r="R34" s="175">
        <f t="shared" si="3"/>
        <v>0</v>
      </c>
      <c r="S34" s="179">
        <f t="shared" si="6"/>
        <v>0</v>
      </c>
      <c r="U34" s="152">
        <v>53208010100000</v>
      </c>
      <c r="V34" s="149" t="s">
        <v>30</v>
      </c>
      <c r="W34" s="155">
        <v>0</v>
      </c>
      <c r="AG34" s="29"/>
    </row>
    <row r="35" spans="1:33" s="40" customFormat="1" ht="12.75" customHeight="1" x14ac:dyDescent="0.2">
      <c r="A35" s="597"/>
      <c r="B35" s="599" t="s">
        <v>91</v>
      </c>
      <c r="C35" s="143" t="s">
        <v>130</v>
      </c>
      <c r="D35" s="119" t="s">
        <v>130</v>
      </c>
      <c r="E35" s="120" t="s">
        <v>135</v>
      </c>
      <c r="F35" s="121" t="s">
        <v>119</v>
      </c>
      <c r="G35" s="113">
        <v>0</v>
      </c>
      <c r="H35" s="113">
        <v>0</v>
      </c>
      <c r="I35" s="133">
        <v>0</v>
      </c>
      <c r="J35" s="136">
        <f t="shared" si="5"/>
        <v>0</v>
      </c>
      <c r="K35" s="128">
        <f t="shared" si="0"/>
        <v>0</v>
      </c>
      <c r="L35" s="38"/>
      <c r="M35" s="159">
        <v>0</v>
      </c>
      <c r="N35" s="173">
        <f t="shared" si="1"/>
        <v>0</v>
      </c>
      <c r="O35" s="159">
        <v>0.35</v>
      </c>
      <c r="P35" s="188">
        <f t="shared" si="2"/>
        <v>0</v>
      </c>
      <c r="Q35" s="185">
        <v>0</v>
      </c>
      <c r="R35" s="173">
        <f t="shared" si="3"/>
        <v>0</v>
      </c>
      <c r="S35" s="176">
        <f t="shared" si="6"/>
        <v>0.35</v>
      </c>
      <c r="U35" s="152">
        <v>53208070100001</v>
      </c>
      <c r="V35" s="149" t="s">
        <v>31</v>
      </c>
      <c r="W35" s="155">
        <v>1524717</v>
      </c>
      <c r="AG35" s="29"/>
    </row>
    <row r="36" spans="1:33" s="40" customFormat="1" ht="12.75" customHeight="1" x14ac:dyDescent="0.2">
      <c r="A36" s="597"/>
      <c r="B36" s="600"/>
      <c r="C36" s="78"/>
      <c r="D36" s="124"/>
      <c r="E36" s="125"/>
      <c r="F36" s="126" t="s">
        <v>119</v>
      </c>
      <c r="G36" s="114">
        <v>0</v>
      </c>
      <c r="H36" s="114">
        <v>0</v>
      </c>
      <c r="I36" s="134">
        <v>0</v>
      </c>
      <c r="J36" s="137">
        <f t="shared" si="5"/>
        <v>0</v>
      </c>
      <c r="K36" s="129">
        <f t="shared" si="0"/>
        <v>0</v>
      </c>
      <c r="L36" s="38"/>
      <c r="M36" s="171">
        <v>0</v>
      </c>
      <c r="N36" s="174">
        <f t="shared" si="1"/>
        <v>0</v>
      </c>
      <c r="O36" s="171">
        <v>0</v>
      </c>
      <c r="P36" s="172">
        <f t="shared" si="2"/>
        <v>0</v>
      </c>
      <c r="Q36" s="186">
        <v>0</v>
      </c>
      <c r="R36" s="174">
        <f t="shared" si="3"/>
        <v>0</v>
      </c>
      <c r="S36" s="177">
        <f t="shared" si="6"/>
        <v>0</v>
      </c>
      <c r="U36" s="152">
        <v>53208100100001</v>
      </c>
      <c r="V36" s="149" t="s">
        <v>131</v>
      </c>
      <c r="W36" s="155">
        <v>0</v>
      </c>
      <c r="AG36" s="29"/>
    </row>
    <row r="37" spans="1:33" s="40" customFormat="1" ht="12.75" customHeight="1" x14ac:dyDescent="0.2">
      <c r="A37" s="597"/>
      <c r="B37" s="600"/>
      <c r="C37" s="78"/>
      <c r="D37" s="124"/>
      <c r="E37" s="125"/>
      <c r="F37" s="126" t="s">
        <v>119</v>
      </c>
      <c r="G37" s="114">
        <v>0</v>
      </c>
      <c r="H37" s="114">
        <v>0</v>
      </c>
      <c r="I37" s="134">
        <v>0</v>
      </c>
      <c r="J37" s="137">
        <f t="shared" si="5"/>
        <v>0</v>
      </c>
      <c r="K37" s="129">
        <f t="shared" si="0"/>
        <v>0</v>
      </c>
      <c r="L37" s="38"/>
      <c r="M37" s="171">
        <v>0</v>
      </c>
      <c r="N37" s="174">
        <f t="shared" si="1"/>
        <v>0</v>
      </c>
      <c r="O37" s="171">
        <v>0</v>
      </c>
      <c r="P37" s="172">
        <f t="shared" si="2"/>
        <v>0</v>
      </c>
      <c r="Q37" s="186">
        <v>0</v>
      </c>
      <c r="R37" s="174">
        <f t="shared" si="3"/>
        <v>0</v>
      </c>
      <c r="S37" s="177">
        <f t="shared" si="6"/>
        <v>0</v>
      </c>
      <c r="U37" s="152">
        <v>53211030000000</v>
      </c>
      <c r="V37" s="149" t="s">
        <v>32</v>
      </c>
      <c r="W37" s="155">
        <v>0</v>
      </c>
      <c r="AG37" s="29"/>
    </row>
    <row r="38" spans="1:33" s="40" customFormat="1" ht="12.75" customHeight="1" x14ac:dyDescent="0.2">
      <c r="A38" s="597"/>
      <c r="B38" s="600"/>
      <c r="C38" s="78"/>
      <c r="D38" s="124"/>
      <c r="E38" s="125"/>
      <c r="F38" s="126" t="s">
        <v>119</v>
      </c>
      <c r="G38" s="114">
        <v>0</v>
      </c>
      <c r="H38" s="114">
        <v>0</v>
      </c>
      <c r="I38" s="134">
        <v>0</v>
      </c>
      <c r="J38" s="137">
        <f t="shared" si="5"/>
        <v>0</v>
      </c>
      <c r="K38" s="129">
        <f t="shared" si="0"/>
        <v>0</v>
      </c>
      <c r="L38" s="38"/>
      <c r="M38" s="171">
        <v>0</v>
      </c>
      <c r="N38" s="174">
        <f t="shared" si="1"/>
        <v>0</v>
      </c>
      <c r="O38" s="171">
        <v>0</v>
      </c>
      <c r="P38" s="172">
        <f t="shared" si="2"/>
        <v>0</v>
      </c>
      <c r="Q38" s="186">
        <v>0</v>
      </c>
      <c r="R38" s="174">
        <f t="shared" si="3"/>
        <v>0</v>
      </c>
      <c r="S38" s="177">
        <f t="shared" si="6"/>
        <v>0</v>
      </c>
      <c r="U38" s="152">
        <v>53212020100000</v>
      </c>
      <c r="V38" s="149" t="s">
        <v>98</v>
      </c>
      <c r="W38" s="155">
        <v>537846</v>
      </c>
      <c r="AG38" s="29"/>
    </row>
    <row r="39" spans="1:33" s="40" customFormat="1" ht="12.75" customHeight="1" thickBot="1" x14ac:dyDescent="0.25">
      <c r="A39" s="597"/>
      <c r="B39" s="601"/>
      <c r="C39" s="144"/>
      <c r="D39" s="115"/>
      <c r="E39" s="116"/>
      <c r="F39" s="117" t="s">
        <v>119</v>
      </c>
      <c r="G39" s="118">
        <v>0</v>
      </c>
      <c r="H39" s="118">
        <v>0</v>
      </c>
      <c r="I39" s="135">
        <v>0</v>
      </c>
      <c r="J39" s="138">
        <f t="shared" si="5"/>
        <v>0</v>
      </c>
      <c r="K39" s="127">
        <f t="shared" si="0"/>
        <v>0</v>
      </c>
      <c r="L39" s="38"/>
      <c r="M39" s="178">
        <v>0</v>
      </c>
      <c r="N39" s="175">
        <f t="shared" si="1"/>
        <v>0</v>
      </c>
      <c r="O39" s="178">
        <v>0</v>
      </c>
      <c r="P39" s="189">
        <f t="shared" si="2"/>
        <v>0</v>
      </c>
      <c r="Q39" s="187">
        <v>0</v>
      </c>
      <c r="R39" s="175">
        <f t="shared" si="3"/>
        <v>0</v>
      </c>
      <c r="S39" s="179">
        <f t="shared" si="6"/>
        <v>0</v>
      </c>
      <c r="U39" s="152">
        <v>53214020000000</v>
      </c>
      <c r="V39" s="149" t="s">
        <v>33</v>
      </c>
      <c r="W39" s="155">
        <v>0</v>
      </c>
      <c r="AG39" s="29"/>
    </row>
    <row r="40" spans="1:33" s="40" customFormat="1" ht="12.75" customHeight="1" x14ac:dyDescent="0.2">
      <c r="A40" s="597"/>
      <c r="B40" s="602" t="s">
        <v>120</v>
      </c>
      <c r="C40" s="145" t="s">
        <v>130</v>
      </c>
      <c r="D40" s="110" t="s">
        <v>130</v>
      </c>
      <c r="E40" s="111"/>
      <c r="F40" s="112" t="s">
        <v>119</v>
      </c>
      <c r="G40" s="113">
        <v>0</v>
      </c>
      <c r="H40" s="113">
        <v>0</v>
      </c>
      <c r="I40" s="133">
        <v>0</v>
      </c>
      <c r="J40" s="139">
        <f t="shared" ref="J40:J61" si="7">SUM(G40:I40)</f>
        <v>0</v>
      </c>
      <c r="K40" s="141">
        <f t="shared" si="0"/>
        <v>0</v>
      </c>
      <c r="L40" s="38"/>
      <c r="M40" s="159">
        <v>0</v>
      </c>
      <c r="N40" s="173">
        <f t="shared" si="1"/>
        <v>0</v>
      </c>
      <c r="O40" s="159">
        <v>0</v>
      </c>
      <c r="P40" s="188">
        <f t="shared" si="2"/>
        <v>0</v>
      </c>
      <c r="Q40" s="185">
        <v>0</v>
      </c>
      <c r="R40" s="173">
        <f t="shared" si="3"/>
        <v>0</v>
      </c>
      <c r="S40" s="176">
        <f t="shared" si="6"/>
        <v>0</v>
      </c>
      <c r="U40" s="150"/>
      <c r="V40" s="147" t="s">
        <v>34</v>
      </c>
      <c r="W40" s="153">
        <f>SUM(W41,W46,W49,W60,W70,W78)</f>
        <v>8918454</v>
      </c>
      <c r="AG40" s="29"/>
    </row>
    <row r="41" spans="1:33" s="40" customFormat="1" ht="12.75" customHeight="1" x14ac:dyDescent="0.2">
      <c r="A41" s="597"/>
      <c r="B41" s="603"/>
      <c r="C41" s="79"/>
      <c r="D41" s="81"/>
      <c r="E41" s="82"/>
      <c r="F41" s="90" t="s">
        <v>119</v>
      </c>
      <c r="G41" s="114">
        <v>0</v>
      </c>
      <c r="H41" s="114">
        <v>0</v>
      </c>
      <c r="I41" s="134">
        <v>0</v>
      </c>
      <c r="J41" s="140">
        <f t="shared" ref="J41:J48" si="8">SUM(G41:I41)</f>
        <v>0</v>
      </c>
      <c r="K41" s="142">
        <f t="shared" si="0"/>
        <v>0</v>
      </c>
      <c r="L41" s="38"/>
      <c r="M41" s="171">
        <v>0</v>
      </c>
      <c r="N41" s="174">
        <f t="shared" si="1"/>
        <v>0</v>
      </c>
      <c r="O41" s="171">
        <v>0</v>
      </c>
      <c r="P41" s="172">
        <f t="shared" si="2"/>
        <v>0</v>
      </c>
      <c r="Q41" s="186">
        <v>0</v>
      </c>
      <c r="R41" s="174">
        <f t="shared" si="3"/>
        <v>0</v>
      </c>
      <c r="S41" s="177">
        <f t="shared" si="6"/>
        <v>0</v>
      </c>
      <c r="U41" s="151"/>
      <c r="V41" s="148" t="s">
        <v>35</v>
      </c>
      <c r="W41" s="154">
        <f>SUM(W42:W45)</f>
        <v>0</v>
      </c>
      <c r="AG41" s="29"/>
    </row>
    <row r="42" spans="1:33" s="40" customFormat="1" ht="12.75" customHeight="1" x14ac:dyDescent="0.2">
      <c r="A42" s="597"/>
      <c r="B42" s="603"/>
      <c r="C42" s="79"/>
      <c r="D42" s="81"/>
      <c r="E42" s="82"/>
      <c r="F42" s="90" t="s">
        <v>119</v>
      </c>
      <c r="G42" s="114">
        <v>0</v>
      </c>
      <c r="H42" s="114">
        <v>0</v>
      </c>
      <c r="I42" s="134">
        <v>0</v>
      </c>
      <c r="J42" s="140">
        <f t="shared" si="8"/>
        <v>0</v>
      </c>
      <c r="K42" s="142">
        <f t="shared" si="0"/>
        <v>0</v>
      </c>
      <c r="L42" s="38"/>
      <c r="M42" s="171">
        <v>0</v>
      </c>
      <c r="N42" s="174">
        <f t="shared" si="1"/>
        <v>0</v>
      </c>
      <c r="O42" s="171">
        <v>0</v>
      </c>
      <c r="P42" s="172">
        <f t="shared" si="2"/>
        <v>0</v>
      </c>
      <c r="Q42" s="186">
        <v>0</v>
      </c>
      <c r="R42" s="174">
        <f t="shared" si="3"/>
        <v>0</v>
      </c>
      <c r="S42" s="177">
        <f t="shared" si="6"/>
        <v>0</v>
      </c>
      <c r="U42" s="152">
        <v>53202020100000</v>
      </c>
      <c r="V42" s="149" t="s">
        <v>39</v>
      </c>
      <c r="W42" s="155">
        <v>0</v>
      </c>
      <c r="AG42" s="29"/>
    </row>
    <row r="43" spans="1:33" s="40" customFormat="1" ht="12.75" customHeight="1" x14ac:dyDescent="0.2">
      <c r="A43" s="597"/>
      <c r="B43" s="603"/>
      <c r="C43" s="79"/>
      <c r="D43" s="81"/>
      <c r="E43" s="82"/>
      <c r="F43" s="90" t="s">
        <v>119</v>
      </c>
      <c r="G43" s="114">
        <v>0</v>
      </c>
      <c r="H43" s="114">
        <v>0</v>
      </c>
      <c r="I43" s="134">
        <v>0</v>
      </c>
      <c r="J43" s="140">
        <f t="shared" si="8"/>
        <v>0</v>
      </c>
      <c r="K43" s="142">
        <f t="shared" si="0"/>
        <v>0</v>
      </c>
      <c r="L43" s="38"/>
      <c r="M43" s="171">
        <v>0</v>
      </c>
      <c r="N43" s="174">
        <f t="shared" si="1"/>
        <v>0</v>
      </c>
      <c r="O43" s="171">
        <v>0</v>
      </c>
      <c r="P43" s="172">
        <f t="shared" si="2"/>
        <v>0</v>
      </c>
      <c r="Q43" s="186">
        <v>0</v>
      </c>
      <c r="R43" s="174">
        <f t="shared" si="3"/>
        <v>0</v>
      </c>
      <c r="S43" s="177">
        <f t="shared" si="6"/>
        <v>0</v>
      </c>
      <c r="U43" s="152">
        <v>53202030000000</v>
      </c>
      <c r="V43" s="149" t="s">
        <v>40</v>
      </c>
      <c r="W43" s="155">
        <v>0</v>
      </c>
      <c r="AG43" s="29"/>
    </row>
    <row r="44" spans="1:33" s="40" customFormat="1" ht="12.75" customHeight="1" x14ac:dyDescent="0.2">
      <c r="A44" s="597"/>
      <c r="B44" s="603"/>
      <c r="C44" s="79"/>
      <c r="D44" s="81"/>
      <c r="E44" s="82"/>
      <c r="F44" s="90" t="s">
        <v>119</v>
      </c>
      <c r="G44" s="114">
        <v>0</v>
      </c>
      <c r="H44" s="114">
        <v>0</v>
      </c>
      <c r="I44" s="134">
        <v>0</v>
      </c>
      <c r="J44" s="140">
        <f t="shared" si="8"/>
        <v>0</v>
      </c>
      <c r="K44" s="142">
        <f t="shared" si="0"/>
        <v>0</v>
      </c>
      <c r="L44" s="38"/>
      <c r="M44" s="171">
        <v>0</v>
      </c>
      <c r="N44" s="174">
        <f t="shared" si="1"/>
        <v>0</v>
      </c>
      <c r="O44" s="171">
        <v>0</v>
      </c>
      <c r="P44" s="172">
        <f t="shared" si="2"/>
        <v>0</v>
      </c>
      <c r="Q44" s="186">
        <v>0</v>
      </c>
      <c r="R44" s="174">
        <f t="shared" si="3"/>
        <v>0</v>
      </c>
      <c r="S44" s="177">
        <f t="shared" si="6"/>
        <v>0</v>
      </c>
      <c r="U44" s="152">
        <v>53211020000000</v>
      </c>
      <c r="V44" s="149" t="s">
        <v>41</v>
      </c>
      <c r="W44" s="155">
        <v>0</v>
      </c>
      <c r="AG44" s="29"/>
    </row>
    <row r="45" spans="1:33" s="40" customFormat="1" ht="12.75" customHeight="1" x14ac:dyDescent="0.2">
      <c r="A45" s="597"/>
      <c r="B45" s="603"/>
      <c r="C45" s="79"/>
      <c r="D45" s="81"/>
      <c r="E45" s="82"/>
      <c r="F45" s="90" t="s">
        <v>119</v>
      </c>
      <c r="G45" s="114">
        <v>0</v>
      </c>
      <c r="H45" s="114">
        <v>0</v>
      </c>
      <c r="I45" s="134">
        <v>0</v>
      </c>
      <c r="J45" s="140">
        <f t="shared" si="8"/>
        <v>0</v>
      </c>
      <c r="K45" s="142">
        <f t="shared" si="0"/>
        <v>0</v>
      </c>
      <c r="L45" s="38"/>
      <c r="M45" s="171">
        <v>0</v>
      </c>
      <c r="N45" s="174">
        <f t="shared" si="1"/>
        <v>0</v>
      </c>
      <c r="O45" s="171">
        <v>0</v>
      </c>
      <c r="P45" s="172">
        <f t="shared" si="2"/>
        <v>0</v>
      </c>
      <c r="Q45" s="186">
        <v>0</v>
      </c>
      <c r="R45" s="174">
        <f t="shared" si="3"/>
        <v>0</v>
      </c>
      <c r="S45" s="177">
        <f t="shared" si="6"/>
        <v>0</v>
      </c>
      <c r="U45" s="152">
        <v>53101004030000</v>
      </c>
      <c r="V45" s="149" t="s">
        <v>38</v>
      </c>
      <c r="W45" s="155">
        <v>0</v>
      </c>
      <c r="AG45" s="29"/>
    </row>
    <row r="46" spans="1:33" s="40" customFormat="1" ht="12.75" customHeight="1" x14ac:dyDescent="0.2">
      <c r="A46" s="597"/>
      <c r="B46" s="603"/>
      <c r="C46" s="79"/>
      <c r="D46" s="81"/>
      <c r="E46" s="82"/>
      <c r="F46" s="90" t="s">
        <v>119</v>
      </c>
      <c r="G46" s="114">
        <v>0</v>
      </c>
      <c r="H46" s="114">
        <v>0</v>
      </c>
      <c r="I46" s="134">
        <v>0</v>
      </c>
      <c r="J46" s="140">
        <f t="shared" si="8"/>
        <v>0</v>
      </c>
      <c r="K46" s="142">
        <f t="shared" si="0"/>
        <v>0</v>
      </c>
      <c r="L46" s="38"/>
      <c r="M46" s="171">
        <v>0</v>
      </c>
      <c r="N46" s="174">
        <f t="shared" si="1"/>
        <v>0</v>
      </c>
      <c r="O46" s="171">
        <v>0</v>
      </c>
      <c r="P46" s="172">
        <f t="shared" si="2"/>
        <v>0</v>
      </c>
      <c r="Q46" s="186">
        <v>0</v>
      </c>
      <c r="R46" s="174">
        <f t="shared" si="3"/>
        <v>0</v>
      </c>
      <c r="S46" s="177">
        <f t="shared" si="6"/>
        <v>0</v>
      </c>
      <c r="U46" s="151"/>
      <c r="V46" s="148" t="s">
        <v>42</v>
      </c>
      <c r="W46" s="154">
        <f>SUM(W47:W48)</f>
        <v>0</v>
      </c>
      <c r="AG46" s="29"/>
    </row>
    <row r="47" spans="1:33" s="40" customFormat="1" ht="12.75" customHeight="1" x14ac:dyDescent="0.2">
      <c r="A47" s="597"/>
      <c r="B47" s="603"/>
      <c r="C47" s="79"/>
      <c r="D47" s="81"/>
      <c r="E47" s="82"/>
      <c r="F47" s="90" t="s">
        <v>119</v>
      </c>
      <c r="G47" s="114">
        <v>0</v>
      </c>
      <c r="H47" s="114">
        <v>0</v>
      </c>
      <c r="I47" s="134">
        <v>0</v>
      </c>
      <c r="J47" s="140">
        <f t="shared" si="8"/>
        <v>0</v>
      </c>
      <c r="K47" s="142">
        <f t="shared" si="0"/>
        <v>0</v>
      </c>
      <c r="L47" s="38"/>
      <c r="M47" s="171">
        <v>0</v>
      </c>
      <c r="N47" s="174">
        <f t="shared" si="1"/>
        <v>0</v>
      </c>
      <c r="O47" s="171">
        <v>0</v>
      </c>
      <c r="P47" s="172">
        <f t="shared" si="2"/>
        <v>0</v>
      </c>
      <c r="Q47" s="186">
        <v>0</v>
      </c>
      <c r="R47" s="174">
        <f t="shared" si="3"/>
        <v>0</v>
      </c>
      <c r="S47" s="177">
        <f t="shared" si="6"/>
        <v>0</v>
      </c>
      <c r="U47" s="152">
        <v>53205080000000</v>
      </c>
      <c r="V47" s="149" t="s">
        <v>43</v>
      </c>
      <c r="W47" s="155">
        <v>0</v>
      </c>
      <c r="AG47" s="29"/>
    </row>
    <row r="48" spans="1:33" s="40" customFormat="1" ht="12.75" customHeight="1" x14ac:dyDescent="0.2">
      <c r="A48" s="597"/>
      <c r="B48" s="603"/>
      <c r="C48" s="79"/>
      <c r="D48" s="81"/>
      <c r="E48" s="82"/>
      <c r="F48" s="90" t="s">
        <v>119</v>
      </c>
      <c r="G48" s="114">
        <v>0</v>
      </c>
      <c r="H48" s="114">
        <v>0</v>
      </c>
      <c r="I48" s="134">
        <v>0</v>
      </c>
      <c r="J48" s="140">
        <f t="shared" si="8"/>
        <v>0</v>
      </c>
      <c r="K48" s="142">
        <f t="shared" si="0"/>
        <v>0</v>
      </c>
      <c r="L48" s="38"/>
      <c r="M48" s="171">
        <v>0</v>
      </c>
      <c r="N48" s="174">
        <f t="shared" si="1"/>
        <v>0</v>
      </c>
      <c r="O48" s="171">
        <v>0</v>
      </c>
      <c r="P48" s="172">
        <f t="shared" si="2"/>
        <v>0</v>
      </c>
      <c r="Q48" s="186">
        <v>0</v>
      </c>
      <c r="R48" s="174">
        <f t="shared" si="3"/>
        <v>0</v>
      </c>
      <c r="S48" s="177">
        <f t="shared" si="6"/>
        <v>0</v>
      </c>
      <c r="U48" s="152">
        <v>53205990000000</v>
      </c>
      <c r="V48" s="149" t="s">
        <v>44</v>
      </c>
      <c r="W48" s="155">
        <v>0</v>
      </c>
      <c r="AG48" s="29"/>
    </row>
    <row r="49" spans="1:33" s="40" customFormat="1" ht="12.75" customHeight="1" x14ac:dyDescent="0.2">
      <c r="A49" s="597"/>
      <c r="B49" s="604"/>
      <c r="C49" s="79"/>
      <c r="D49" s="81"/>
      <c r="E49" s="82"/>
      <c r="F49" s="90" t="s">
        <v>119</v>
      </c>
      <c r="G49" s="114">
        <v>0</v>
      </c>
      <c r="H49" s="114">
        <v>0</v>
      </c>
      <c r="I49" s="134">
        <v>0</v>
      </c>
      <c r="J49" s="140">
        <f t="shared" si="7"/>
        <v>0</v>
      </c>
      <c r="K49" s="142">
        <f t="shared" si="0"/>
        <v>0</v>
      </c>
      <c r="L49" s="38"/>
      <c r="M49" s="171">
        <v>0</v>
      </c>
      <c r="N49" s="174">
        <f t="shared" si="1"/>
        <v>0</v>
      </c>
      <c r="O49" s="171">
        <v>0</v>
      </c>
      <c r="P49" s="172">
        <f t="shared" si="2"/>
        <v>0</v>
      </c>
      <c r="Q49" s="186">
        <v>0</v>
      </c>
      <c r="R49" s="174">
        <f t="shared" si="3"/>
        <v>0</v>
      </c>
      <c r="S49" s="177">
        <f t="shared" si="6"/>
        <v>0</v>
      </c>
      <c r="U49" s="151"/>
      <c r="V49" s="148" t="s">
        <v>45</v>
      </c>
      <c r="W49" s="154">
        <f>SUM(W50:W59)</f>
        <v>4164695</v>
      </c>
      <c r="AG49" s="29"/>
    </row>
    <row r="50" spans="1:33" s="40" customFormat="1" ht="12.75" customHeight="1" x14ac:dyDescent="0.2">
      <c r="A50" s="597"/>
      <c r="B50" s="603"/>
      <c r="C50" s="79"/>
      <c r="D50" s="81"/>
      <c r="E50" s="82"/>
      <c r="F50" s="90" t="s">
        <v>119</v>
      </c>
      <c r="G50" s="114">
        <v>0</v>
      </c>
      <c r="H50" s="114">
        <v>0</v>
      </c>
      <c r="I50" s="134">
        <v>0</v>
      </c>
      <c r="J50" s="140">
        <f t="shared" ref="J50:J53" si="9">SUM(G50:I50)</f>
        <v>0</v>
      </c>
      <c r="K50" s="142">
        <f t="shared" si="0"/>
        <v>0</v>
      </c>
      <c r="L50" s="38"/>
      <c r="M50" s="171">
        <v>0</v>
      </c>
      <c r="N50" s="174">
        <f t="shared" si="1"/>
        <v>0</v>
      </c>
      <c r="O50" s="171">
        <v>0</v>
      </c>
      <c r="P50" s="172">
        <f t="shared" si="2"/>
        <v>0</v>
      </c>
      <c r="Q50" s="186">
        <v>0</v>
      </c>
      <c r="R50" s="174">
        <f t="shared" si="3"/>
        <v>0</v>
      </c>
      <c r="S50" s="177">
        <f t="shared" si="6"/>
        <v>0</v>
      </c>
      <c r="U50" s="152">
        <v>53203010200000</v>
      </c>
      <c r="V50" s="149" t="s">
        <v>46</v>
      </c>
      <c r="W50" s="155">
        <v>0</v>
      </c>
      <c r="AG50" s="29"/>
    </row>
    <row r="51" spans="1:33" s="40" customFormat="1" ht="12.75" customHeight="1" x14ac:dyDescent="0.2">
      <c r="A51" s="597"/>
      <c r="B51" s="603"/>
      <c r="C51" s="79"/>
      <c r="D51" s="81"/>
      <c r="E51" s="82"/>
      <c r="F51" s="90" t="s">
        <v>119</v>
      </c>
      <c r="G51" s="114">
        <v>0</v>
      </c>
      <c r="H51" s="114">
        <v>0</v>
      </c>
      <c r="I51" s="134">
        <v>0</v>
      </c>
      <c r="J51" s="140">
        <f t="shared" si="9"/>
        <v>0</v>
      </c>
      <c r="K51" s="142">
        <f t="shared" si="0"/>
        <v>0</v>
      </c>
      <c r="L51" s="38"/>
      <c r="M51" s="171">
        <v>0</v>
      </c>
      <c r="N51" s="174">
        <f t="shared" si="1"/>
        <v>0</v>
      </c>
      <c r="O51" s="171">
        <v>0</v>
      </c>
      <c r="P51" s="172">
        <f t="shared" si="2"/>
        <v>0</v>
      </c>
      <c r="Q51" s="186">
        <v>0</v>
      </c>
      <c r="R51" s="174">
        <f t="shared" si="3"/>
        <v>0</v>
      </c>
      <c r="S51" s="177">
        <f t="shared" si="6"/>
        <v>0</v>
      </c>
      <c r="U51" s="152">
        <v>53204010000000</v>
      </c>
      <c r="V51" s="149" t="s">
        <v>47</v>
      </c>
      <c r="W51" s="155">
        <v>1485417</v>
      </c>
      <c r="AG51" s="29"/>
    </row>
    <row r="52" spans="1:33" s="40" customFormat="1" ht="12.75" customHeight="1" x14ac:dyDescent="0.2">
      <c r="A52" s="597"/>
      <c r="B52" s="603"/>
      <c r="C52" s="79"/>
      <c r="D52" s="81"/>
      <c r="E52" s="82"/>
      <c r="F52" s="90" t="s">
        <v>119</v>
      </c>
      <c r="G52" s="114">
        <v>0</v>
      </c>
      <c r="H52" s="114">
        <v>0</v>
      </c>
      <c r="I52" s="134">
        <v>0</v>
      </c>
      <c r="J52" s="140">
        <f t="shared" si="9"/>
        <v>0</v>
      </c>
      <c r="K52" s="142">
        <f t="shared" si="0"/>
        <v>0</v>
      </c>
      <c r="L52" s="38"/>
      <c r="M52" s="171">
        <v>0</v>
      </c>
      <c r="N52" s="174">
        <f t="shared" si="1"/>
        <v>0</v>
      </c>
      <c r="O52" s="171">
        <v>0</v>
      </c>
      <c r="P52" s="172">
        <f t="shared" si="2"/>
        <v>0</v>
      </c>
      <c r="Q52" s="186">
        <v>0</v>
      </c>
      <c r="R52" s="174">
        <f t="shared" si="3"/>
        <v>0</v>
      </c>
      <c r="S52" s="177">
        <f t="shared" si="6"/>
        <v>0</v>
      </c>
      <c r="U52" s="152">
        <v>53204040200000</v>
      </c>
      <c r="V52" s="149" t="s">
        <v>48</v>
      </c>
      <c r="W52" s="155">
        <v>0</v>
      </c>
      <c r="AG52" s="29"/>
    </row>
    <row r="53" spans="1:33" s="40" customFormat="1" ht="12.75" customHeight="1" x14ac:dyDescent="0.2">
      <c r="A53" s="597"/>
      <c r="B53" s="603"/>
      <c r="C53" s="79"/>
      <c r="D53" s="81"/>
      <c r="E53" s="82"/>
      <c r="F53" s="90" t="s">
        <v>119</v>
      </c>
      <c r="G53" s="114">
        <v>0</v>
      </c>
      <c r="H53" s="114">
        <v>0</v>
      </c>
      <c r="I53" s="134">
        <v>0</v>
      </c>
      <c r="J53" s="140">
        <f t="shared" si="9"/>
        <v>0</v>
      </c>
      <c r="K53" s="142">
        <f t="shared" si="0"/>
        <v>0</v>
      </c>
      <c r="L53" s="38"/>
      <c r="M53" s="171">
        <v>0</v>
      </c>
      <c r="N53" s="174">
        <f t="shared" si="1"/>
        <v>0</v>
      </c>
      <c r="O53" s="171">
        <v>0</v>
      </c>
      <c r="P53" s="172">
        <f t="shared" si="2"/>
        <v>0</v>
      </c>
      <c r="Q53" s="186">
        <v>0</v>
      </c>
      <c r="R53" s="174">
        <f t="shared" si="3"/>
        <v>0</v>
      </c>
      <c r="S53" s="177">
        <f t="shared" si="6"/>
        <v>0</v>
      </c>
      <c r="U53" s="152">
        <v>53204060000000</v>
      </c>
      <c r="V53" s="149" t="s">
        <v>49</v>
      </c>
      <c r="W53" s="155">
        <v>200000</v>
      </c>
      <c r="AG53" s="29"/>
    </row>
    <row r="54" spans="1:33" s="40" customFormat="1" ht="12.75" customHeight="1" x14ac:dyDescent="0.2">
      <c r="A54" s="597"/>
      <c r="B54" s="604"/>
      <c r="C54" s="79"/>
      <c r="D54" s="81"/>
      <c r="E54" s="82"/>
      <c r="F54" s="90" t="s">
        <v>119</v>
      </c>
      <c r="G54" s="114">
        <v>0</v>
      </c>
      <c r="H54" s="114">
        <v>0</v>
      </c>
      <c r="I54" s="134">
        <v>0</v>
      </c>
      <c r="J54" s="140">
        <f t="shared" si="7"/>
        <v>0</v>
      </c>
      <c r="K54" s="142">
        <f t="shared" si="0"/>
        <v>0</v>
      </c>
      <c r="L54" s="38"/>
      <c r="M54" s="171">
        <v>0</v>
      </c>
      <c r="N54" s="174">
        <f t="shared" si="1"/>
        <v>0</v>
      </c>
      <c r="O54" s="171">
        <v>0</v>
      </c>
      <c r="P54" s="172">
        <f t="shared" si="2"/>
        <v>0</v>
      </c>
      <c r="Q54" s="186">
        <v>0</v>
      </c>
      <c r="R54" s="174">
        <f t="shared" si="3"/>
        <v>0</v>
      </c>
      <c r="S54" s="177">
        <f t="shared" si="6"/>
        <v>0</v>
      </c>
      <c r="U54" s="152">
        <v>53204070000000</v>
      </c>
      <c r="V54" s="149" t="s">
        <v>50</v>
      </c>
      <c r="W54" s="155">
        <v>922710</v>
      </c>
      <c r="AG54" s="29"/>
    </row>
    <row r="55" spans="1:33" s="40" customFormat="1" ht="12.75" customHeight="1" x14ac:dyDescent="0.2">
      <c r="A55" s="597"/>
      <c r="B55" s="604"/>
      <c r="C55" s="79"/>
      <c r="D55" s="81"/>
      <c r="E55" s="82"/>
      <c r="F55" s="90" t="s">
        <v>119</v>
      </c>
      <c r="G55" s="114">
        <v>0</v>
      </c>
      <c r="H55" s="114">
        <v>0</v>
      </c>
      <c r="I55" s="134">
        <v>0</v>
      </c>
      <c r="J55" s="140">
        <f t="shared" si="7"/>
        <v>0</v>
      </c>
      <c r="K55" s="142">
        <f t="shared" si="0"/>
        <v>0</v>
      </c>
      <c r="L55" s="38"/>
      <c r="M55" s="171">
        <v>0</v>
      </c>
      <c r="N55" s="174">
        <f t="shared" si="1"/>
        <v>0</v>
      </c>
      <c r="O55" s="171">
        <v>0</v>
      </c>
      <c r="P55" s="172">
        <f t="shared" si="2"/>
        <v>0</v>
      </c>
      <c r="Q55" s="186">
        <v>0</v>
      </c>
      <c r="R55" s="174">
        <f t="shared" si="3"/>
        <v>0</v>
      </c>
      <c r="S55" s="177">
        <f t="shared" si="6"/>
        <v>0</v>
      </c>
      <c r="U55" s="152">
        <v>53204080000000</v>
      </c>
      <c r="V55" s="149" t="s">
        <v>51</v>
      </c>
      <c r="W55" s="155">
        <v>80000</v>
      </c>
      <c r="AG55" s="29"/>
    </row>
    <row r="56" spans="1:33" s="40" customFormat="1" ht="12.75" customHeight="1" x14ac:dyDescent="0.2">
      <c r="A56" s="597"/>
      <c r="B56" s="604"/>
      <c r="C56" s="79"/>
      <c r="D56" s="81"/>
      <c r="E56" s="82"/>
      <c r="F56" s="90" t="s">
        <v>119</v>
      </c>
      <c r="G56" s="114">
        <v>0</v>
      </c>
      <c r="H56" s="114">
        <v>0</v>
      </c>
      <c r="I56" s="134">
        <v>0</v>
      </c>
      <c r="J56" s="140">
        <f t="shared" si="7"/>
        <v>0</v>
      </c>
      <c r="K56" s="142">
        <f t="shared" si="0"/>
        <v>0</v>
      </c>
      <c r="L56" s="38"/>
      <c r="M56" s="171">
        <v>0</v>
      </c>
      <c r="N56" s="174">
        <f t="shared" si="1"/>
        <v>0</v>
      </c>
      <c r="O56" s="171">
        <v>0</v>
      </c>
      <c r="P56" s="172">
        <f t="shared" si="2"/>
        <v>0</v>
      </c>
      <c r="Q56" s="186">
        <v>0</v>
      </c>
      <c r="R56" s="174">
        <f t="shared" si="3"/>
        <v>0</v>
      </c>
      <c r="S56" s="177">
        <f t="shared" si="6"/>
        <v>0</v>
      </c>
      <c r="U56" s="152">
        <v>53214010000000</v>
      </c>
      <c r="V56" s="149" t="s">
        <v>52</v>
      </c>
      <c r="W56" s="155">
        <v>500000</v>
      </c>
      <c r="AG56" s="29"/>
    </row>
    <row r="57" spans="1:33" s="40" customFormat="1" ht="12.75" customHeight="1" x14ac:dyDescent="0.2">
      <c r="A57" s="597"/>
      <c r="B57" s="604"/>
      <c r="C57" s="79"/>
      <c r="D57" s="81"/>
      <c r="E57" s="82"/>
      <c r="F57" s="90" t="s">
        <v>119</v>
      </c>
      <c r="G57" s="114">
        <v>0</v>
      </c>
      <c r="H57" s="114">
        <v>0</v>
      </c>
      <c r="I57" s="134">
        <v>0</v>
      </c>
      <c r="J57" s="140">
        <f t="shared" si="7"/>
        <v>0</v>
      </c>
      <c r="K57" s="142">
        <f t="shared" si="0"/>
        <v>0</v>
      </c>
      <c r="L57" s="38"/>
      <c r="M57" s="171">
        <v>0</v>
      </c>
      <c r="N57" s="174">
        <f t="shared" si="1"/>
        <v>0</v>
      </c>
      <c r="O57" s="171">
        <v>0</v>
      </c>
      <c r="P57" s="172">
        <f t="shared" si="2"/>
        <v>0</v>
      </c>
      <c r="Q57" s="186">
        <v>0</v>
      </c>
      <c r="R57" s="174">
        <f t="shared" si="3"/>
        <v>0</v>
      </c>
      <c r="S57" s="177">
        <f t="shared" si="6"/>
        <v>0</v>
      </c>
      <c r="U57" s="152">
        <v>53214040000000</v>
      </c>
      <c r="V57" s="149" t="s">
        <v>132</v>
      </c>
      <c r="W57" s="155">
        <v>976568</v>
      </c>
      <c r="AG57" s="29"/>
    </row>
    <row r="58" spans="1:33" s="40" customFormat="1" ht="12.75" customHeight="1" x14ac:dyDescent="0.2">
      <c r="A58" s="597"/>
      <c r="B58" s="604"/>
      <c r="C58" s="79"/>
      <c r="D58" s="81"/>
      <c r="E58" s="82"/>
      <c r="F58" s="90" t="s">
        <v>119</v>
      </c>
      <c r="G58" s="114">
        <v>0</v>
      </c>
      <c r="H58" s="114">
        <v>0</v>
      </c>
      <c r="I58" s="134">
        <v>0</v>
      </c>
      <c r="J58" s="140">
        <f t="shared" si="7"/>
        <v>0</v>
      </c>
      <c r="K58" s="142">
        <f t="shared" si="0"/>
        <v>0</v>
      </c>
      <c r="L58" s="38"/>
      <c r="M58" s="171">
        <v>0</v>
      </c>
      <c r="N58" s="174">
        <f t="shared" si="1"/>
        <v>0</v>
      </c>
      <c r="O58" s="171">
        <v>0</v>
      </c>
      <c r="P58" s="172">
        <f t="shared" si="2"/>
        <v>0</v>
      </c>
      <c r="Q58" s="186">
        <v>0</v>
      </c>
      <c r="R58" s="174">
        <f t="shared" si="3"/>
        <v>0</v>
      </c>
      <c r="S58" s="177">
        <f t="shared" si="6"/>
        <v>0</v>
      </c>
      <c r="U58" s="152">
        <v>55201010100004</v>
      </c>
      <c r="V58" s="149" t="s">
        <v>53</v>
      </c>
      <c r="W58" s="155">
        <v>0</v>
      </c>
      <c r="AG58" s="29"/>
    </row>
    <row r="59" spans="1:33" s="40" customFormat="1" ht="12.75" customHeight="1" x14ac:dyDescent="0.2">
      <c r="A59" s="597"/>
      <c r="B59" s="604"/>
      <c r="C59" s="79"/>
      <c r="D59" s="81"/>
      <c r="E59" s="82"/>
      <c r="F59" s="90" t="s">
        <v>119</v>
      </c>
      <c r="G59" s="114">
        <v>0</v>
      </c>
      <c r="H59" s="114">
        <v>0</v>
      </c>
      <c r="I59" s="134">
        <v>0</v>
      </c>
      <c r="J59" s="140">
        <f t="shared" si="7"/>
        <v>0</v>
      </c>
      <c r="K59" s="142">
        <f t="shared" si="0"/>
        <v>0</v>
      </c>
      <c r="L59" s="38"/>
      <c r="M59" s="171">
        <v>0</v>
      </c>
      <c r="N59" s="174">
        <f t="shared" si="1"/>
        <v>0</v>
      </c>
      <c r="O59" s="171">
        <v>0</v>
      </c>
      <c r="P59" s="172">
        <f t="shared" si="2"/>
        <v>0</v>
      </c>
      <c r="Q59" s="186">
        <v>0</v>
      </c>
      <c r="R59" s="174">
        <f t="shared" si="3"/>
        <v>0</v>
      </c>
      <c r="S59" s="177">
        <f t="shared" si="6"/>
        <v>0</v>
      </c>
      <c r="U59" s="152">
        <v>55201010100005</v>
      </c>
      <c r="V59" s="149" t="s">
        <v>54</v>
      </c>
      <c r="W59" s="155">
        <v>0</v>
      </c>
      <c r="AG59" s="29"/>
    </row>
    <row r="60" spans="1:33" s="40" customFormat="1" ht="12.75" customHeight="1" x14ac:dyDescent="0.2">
      <c r="A60" s="597"/>
      <c r="B60" s="604"/>
      <c r="C60" s="79"/>
      <c r="D60" s="81"/>
      <c r="E60" s="82"/>
      <c r="F60" s="90" t="s">
        <v>119</v>
      </c>
      <c r="G60" s="114">
        <v>0</v>
      </c>
      <c r="H60" s="114">
        <v>0</v>
      </c>
      <c r="I60" s="134">
        <v>0</v>
      </c>
      <c r="J60" s="140">
        <f t="shared" si="7"/>
        <v>0</v>
      </c>
      <c r="K60" s="142">
        <f t="shared" si="0"/>
        <v>0</v>
      </c>
      <c r="L60" s="38"/>
      <c r="M60" s="171">
        <v>0</v>
      </c>
      <c r="N60" s="174">
        <f t="shared" si="1"/>
        <v>0</v>
      </c>
      <c r="O60" s="171">
        <v>0</v>
      </c>
      <c r="P60" s="172">
        <f t="shared" si="2"/>
        <v>0</v>
      </c>
      <c r="Q60" s="186">
        <v>0</v>
      </c>
      <c r="R60" s="174">
        <f t="shared" si="3"/>
        <v>0</v>
      </c>
      <c r="S60" s="177">
        <f t="shared" si="6"/>
        <v>0</v>
      </c>
      <c r="U60" s="151"/>
      <c r="V60" s="148" t="s">
        <v>55</v>
      </c>
      <c r="W60" s="154">
        <f>SUM(W61:W69)</f>
        <v>1667536</v>
      </c>
      <c r="AG60" s="29"/>
    </row>
    <row r="61" spans="1:33" s="40" customFormat="1" ht="12.75" customHeight="1" thickBot="1" x14ac:dyDescent="0.25">
      <c r="A61" s="598"/>
      <c r="B61" s="605"/>
      <c r="C61" s="144"/>
      <c r="D61" s="115"/>
      <c r="E61" s="116"/>
      <c r="F61" s="117" t="s">
        <v>119</v>
      </c>
      <c r="G61" s="118">
        <v>0</v>
      </c>
      <c r="H61" s="118">
        <v>0</v>
      </c>
      <c r="I61" s="135">
        <v>0</v>
      </c>
      <c r="J61" s="138">
        <f t="shared" si="7"/>
        <v>0</v>
      </c>
      <c r="K61" s="127">
        <f t="shared" si="0"/>
        <v>0</v>
      </c>
      <c r="L61" s="38"/>
      <c r="M61" s="382">
        <v>0</v>
      </c>
      <c r="N61" s="383">
        <f t="shared" si="1"/>
        <v>0</v>
      </c>
      <c r="O61" s="382">
        <v>0</v>
      </c>
      <c r="P61" s="384">
        <f t="shared" si="2"/>
        <v>0</v>
      </c>
      <c r="Q61" s="385">
        <v>0</v>
      </c>
      <c r="R61" s="383">
        <f t="shared" si="3"/>
        <v>0</v>
      </c>
      <c r="S61" s="179">
        <f t="shared" si="6"/>
        <v>0</v>
      </c>
      <c r="U61" s="152">
        <v>53207010000000</v>
      </c>
      <c r="V61" s="149" t="s">
        <v>56</v>
      </c>
      <c r="W61" s="155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381">
        <f>SUM(K15:K61)</f>
        <v>59664163.160000004</v>
      </c>
      <c r="L62" s="29"/>
      <c r="M62" s="386">
        <f>+N62/$K$62</f>
        <v>0.10000000000000002</v>
      </c>
      <c r="N62" s="387">
        <f>SUM(N15:N61)</f>
        <v>5966416.3160000015</v>
      </c>
      <c r="O62" s="386">
        <f>+P62/$K$62</f>
        <v>5.000000000000001E-2</v>
      </c>
      <c r="P62" s="387">
        <f>SUM(P15:P61)</f>
        <v>2983208.1580000008</v>
      </c>
      <c r="Q62" s="386">
        <f>+R62/$K$62</f>
        <v>0.84999999999999987</v>
      </c>
      <c r="R62" s="387">
        <f>SUM(R15:R61)</f>
        <v>50714538.685999997</v>
      </c>
      <c r="S62" s="29"/>
      <c r="U62" s="152">
        <v>53207020000000</v>
      </c>
      <c r="V62" s="149" t="s">
        <v>57</v>
      </c>
      <c r="W62" s="155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3">
        <v>1</v>
      </c>
      <c r="L63" s="29"/>
      <c r="M63" s="29"/>
      <c r="O63" s="29"/>
      <c r="P63" s="29"/>
      <c r="Q63" s="29"/>
      <c r="R63" s="29"/>
      <c r="S63" s="29"/>
      <c r="U63" s="152">
        <v>53208020000000</v>
      </c>
      <c r="V63" s="149" t="s">
        <v>58</v>
      </c>
      <c r="W63" s="155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2">
        <v>53208990000000</v>
      </c>
      <c r="V64" s="149" t="s">
        <v>59</v>
      </c>
      <c r="W64" s="155">
        <v>0</v>
      </c>
      <c r="AG64" s="29"/>
    </row>
    <row r="65" spans="1:33" s="40" customFormat="1" ht="12.75" customHeight="1" x14ac:dyDescent="0.2">
      <c r="A65" s="590" t="s">
        <v>141</v>
      </c>
      <c r="B65" s="593" t="s">
        <v>122</v>
      </c>
      <c r="C65" s="143"/>
      <c r="D65" s="119"/>
      <c r="E65" s="120"/>
      <c r="F65" s="121" t="s">
        <v>121</v>
      </c>
      <c r="G65" s="113">
        <v>0</v>
      </c>
      <c r="H65" s="113">
        <v>0</v>
      </c>
      <c r="I65" s="133">
        <v>0</v>
      </c>
      <c r="J65" s="136">
        <f t="shared" si="5"/>
        <v>0</v>
      </c>
      <c r="K65" s="128">
        <f t="shared" si="0"/>
        <v>0</v>
      </c>
      <c r="L65" s="38"/>
      <c r="M65" s="29"/>
      <c r="N65" s="29"/>
      <c r="O65" s="29"/>
      <c r="P65" s="29"/>
      <c r="Q65" s="29"/>
      <c r="R65" s="29"/>
      <c r="S65" s="29"/>
      <c r="U65" s="152">
        <v>53209010000000</v>
      </c>
      <c r="V65" s="149" t="s">
        <v>60</v>
      </c>
      <c r="W65" s="155">
        <v>0</v>
      </c>
      <c r="AG65" s="29"/>
    </row>
    <row r="66" spans="1:33" s="40" customFormat="1" ht="12.75" customHeight="1" x14ac:dyDescent="0.2">
      <c r="A66" s="591"/>
      <c r="B66" s="594"/>
      <c r="C66" s="80"/>
      <c r="D66" s="122"/>
      <c r="E66" s="123"/>
      <c r="F66" s="83" t="s">
        <v>121</v>
      </c>
      <c r="G66" s="114">
        <v>0</v>
      </c>
      <c r="H66" s="114">
        <v>0</v>
      </c>
      <c r="I66" s="134">
        <v>0</v>
      </c>
      <c r="J66" s="137">
        <f t="shared" si="5"/>
        <v>0</v>
      </c>
      <c r="K66" s="129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2">
        <v>53209040000000</v>
      </c>
      <c r="V66" s="149" t="s">
        <v>61</v>
      </c>
      <c r="W66" s="155">
        <v>0</v>
      </c>
      <c r="AG66" s="29"/>
    </row>
    <row r="67" spans="1:33" s="40" customFormat="1" ht="12.75" customHeight="1" x14ac:dyDescent="0.2">
      <c r="A67" s="591"/>
      <c r="B67" s="594"/>
      <c r="C67" s="80"/>
      <c r="D67" s="122"/>
      <c r="E67" s="123"/>
      <c r="F67" s="83" t="s">
        <v>121</v>
      </c>
      <c r="G67" s="114">
        <v>0</v>
      </c>
      <c r="H67" s="114">
        <v>0</v>
      </c>
      <c r="I67" s="134">
        <v>0</v>
      </c>
      <c r="J67" s="137">
        <f t="shared" si="5"/>
        <v>0</v>
      </c>
      <c r="K67" s="129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2">
        <v>53209050000000</v>
      </c>
      <c r="V67" s="149" t="s">
        <v>62</v>
      </c>
      <c r="W67" s="155">
        <v>1147536</v>
      </c>
      <c r="AG67" s="29"/>
    </row>
    <row r="68" spans="1:33" s="40" customFormat="1" ht="12.75" customHeight="1" x14ac:dyDescent="0.2">
      <c r="A68" s="591"/>
      <c r="B68" s="594"/>
      <c r="C68" s="78"/>
      <c r="D68" s="124"/>
      <c r="E68" s="125"/>
      <c r="F68" s="126" t="s">
        <v>121</v>
      </c>
      <c r="G68" s="114">
        <v>0</v>
      </c>
      <c r="H68" s="114">
        <v>0</v>
      </c>
      <c r="I68" s="134">
        <v>0</v>
      </c>
      <c r="J68" s="137">
        <f t="shared" si="5"/>
        <v>0</v>
      </c>
      <c r="K68" s="129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2">
        <v>53209990000000</v>
      </c>
      <c r="V68" s="149" t="s">
        <v>63</v>
      </c>
      <c r="W68" s="155">
        <v>0</v>
      </c>
      <c r="AG68" s="29"/>
    </row>
    <row r="69" spans="1:33" s="40" customFormat="1" ht="12.75" customHeight="1" thickBot="1" x14ac:dyDescent="0.25">
      <c r="A69" s="592"/>
      <c r="B69" s="595"/>
      <c r="C69" s="144"/>
      <c r="D69" s="115"/>
      <c r="E69" s="116"/>
      <c r="F69" s="117" t="s">
        <v>121</v>
      </c>
      <c r="G69" s="118">
        <v>0</v>
      </c>
      <c r="H69" s="118">
        <v>0</v>
      </c>
      <c r="I69" s="135">
        <v>0</v>
      </c>
      <c r="J69" s="138">
        <f t="shared" si="5"/>
        <v>0</v>
      </c>
      <c r="K69" s="127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2">
        <v>53210020100000</v>
      </c>
      <c r="V69" s="149" t="s">
        <v>64</v>
      </c>
      <c r="W69" s="155">
        <v>520000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2">
        <f>SUM(K65:K69)</f>
        <v>0</v>
      </c>
      <c r="L70" s="38"/>
      <c r="U70" s="151"/>
      <c r="V70" s="148" t="s">
        <v>65</v>
      </c>
      <c r="W70" s="154">
        <f>SUM(W71:W77)</f>
        <v>3086223</v>
      </c>
    </row>
    <row r="71" spans="1:33" x14ac:dyDescent="0.2">
      <c r="K71" s="73">
        <v>1</v>
      </c>
      <c r="L71" s="38"/>
      <c r="M71" s="43"/>
      <c r="O71" s="43"/>
      <c r="Q71" s="43"/>
      <c r="U71" s="152">
        <v>53206030000000</v>
      </c>
      <c r="V71" s="149" t="s">
        <v>99</v>
      </c>
      <c r="W71" s="155">
        <v>0</v>
      </c>
    </row>
    <row r="72" spans="1:33" x14ac:dyDescent="0.2">
      <c r="L72" s="38"/>
      <c r="U72" s="152">
        <v>53206040000000</v>
      </c>
      <c r="V72" s="149" t="s">
        <v>100</v>
      </c>
      <c r="W72" s="155">
        <v>1284550</v>
      </c>
    </row>
    <row r="73" spans="1:33" x14ac:dyDescent="0.2">
      <c r="U73" s="152">
        <v>53206060000000</v>
      </c>
      <c r="V73" s="149" t="s">
        <v>101</v>
      </c>
      <c r="W73" s="155">
        <v>155123</v>
      </c>
    </row>
    <row r="74" spans="1:33" x14ac:dyDescent="0.2">
      <c r="U74" s="152">
        <v>53206070000000</v>
      </c>
      <c r="V74" s="149" t="s">
        <v>102</v>
      </c>
      <c r="W74" s="155">
        <v>0</v>
      </c>
    </row>
    <row r="75" spans="1:33" ht="15.75" customHeight="1" x14ac:dyDescent="0.2">
      <c r="H75" s="146"/>
      <c r="U75" s="152">
        <v>53206990000000</v>
      </c>
      <c r="V75" s="149" t="s">
        <v>103</v>
      </c>
      <c r="W75" s="155">
        <v>1646550</v>
      </c>
    </row>
    <row r="76" spans="1:33" x14ac:dyDescent="0.2">
      <c r="U76" s="152">
        <v>53208030000000</v>
      </c>
      <c r="V76" s="149" t="s">
        <v>104</v>
      </c>
      <c r="W76" s="155">
        <v>0</v>
      </c>
    </row>
    <row r="77" spans="1:33" x14ac:dyDescent="0.2">
      <c r="U77" s="152">
        <v>53212060000000</v>
      </c>
      <c r="V77" s="149" t="s">
        <v>97</v>
      </c>
      <c r="W77" s="155">
        <v>0</v>
      </c>
    </row>
    <row r="78" spans="1:33" x14ac:dyDescent="0.2">
      <c r="U78" s="151"/>
      <c r="V78" s="148" t="s">
        <v>66</v>
      </c>
      <c r="W78" s="154">
        <f>SUM(W79:W79)</f>
        <v>0</v>
      </c>
    </row>
    <row r="79" spans="1:33" x14ac:dyDescent="0.2">
      <c r="U79" s="152">
        <v>53204999000000</v>
      </c>
      <c r="V79" s="149" t="s">
        <v>96</v>
      </c>
      <c r="W79" s="155">
        <v>0</v>
      </c>
    </row>
    <row r="80" spans="1:33" x14ac:dyDescent="0.2">
      <c r="U80" s="156"/>
      <c r="V80" s="157" t="s">
        <v>144</v>
      </c>
      <c r="W80" s="158">
        <f>+W40+W15</f>
        <v>15814893</v>
      </c>
    </row>
    <row r="83" ht="15.75" customHeight="1" x14ac:dyDescent="0.2"/>
    <row r="97" spans="11:12" x14ac:dyDescent="0.2">
      <c r="L97" s="160"/>
    </row>
    <row r="99" spans="11:12" x14ac:dyDescent="0.2">
      <c r="K99" s="168"/>
    </row>
    <row r="101" spans="11:12" x14ac:dyDescent="0.2">
      <c r="K101" s="161"/>
    </row>
  </sheetData>
  <sheetProtection algorithmName="SHA-512" hashValue="vn8cREuUs6jVPd+YF2UOAP5gzOnNj+jGBu01mhEQ+qjLQANfWJYOiX5qX3qXkj2K77DEz7XQ1RLXDyBYA4wZPw==" saltValue="jrz3grUn4mw5F7cQSuZc5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zoomScale="90" zoomScaleNormal="90" zoomScalePageLayoutView="90" workbookViewId="0">
      <selection activeCell="D16" sqref="D16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206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198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06"/>
      <c r="F4" s="106" t="s">
        <v>0</v>
      </c>
      <c r="G4" s="631" t="str">
        <f>+'B) Reajuste Tarifas y Ocupación'!F5</f>
        <v>DELBIENWILL</v>
      </c>
      <c r="H4" s="632"/>
      <c r="I4" s="106"/>
      <c r="J4" s="106"/>
      <c r="K4" s="106"/>
      <c r="L4" s="106"/>
      <c r="M4" s="106"/>
      <c r="N4" s="106"/>
      <c r="O4" s="106"/>
      <c r="P4" s="106"/>
      <c r="Q4" s="106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06"/>
      <c r="F5" s="106"/>
      <c r="G5" s="109"/>
      <c r="H5" s="109"/>
      <c r="I5" s="106"/>
      <c r="J5" s="106"/>
      <c r="K5" s="106"/>
      <c r="L5" s="106"/>
      <c r="M5" s="106"/>
      <c r="N5" s="106"/>
      <c r="O5" s="106"/>
      <c r="P5" s="106"/>
      <c r="Q5" s="106"/>
      <c r="IA5" s="4"/>
      <c r="IB5" s="4"/>
      <c r="IC5" s="4"/>
      <c r="ID5" s="4"/>
      <c r="IE5" s="4"/>
      <c r="IF5" s="4"/>
    </row>
    <row r="6" spans="1:245" s="6" customFormat="1" ht="15.75" x14ac:dyDescent="0.2">
      <c r="A6" s="639" t="s">
        <v>160</v>
      </c>
      <c r="B6" s="639"/>
      <c r="C6" s="639"/>
      <c r="D6" s="639"/>
      <c r="E6" s="108"/>
      <c r="F6" s="106"/>
      <c r="G6" s="109"/>
      <c r="H6" s="109"/>
      <c r="I6" s="106"/>
      <c r="J6" s="106"/>
      <c r="K6" s="106"/>
      <c r="L6" s="106"/>
      <c r="M6" s="106"/>
      <c r="N6" s="106"/>
      <c r="O6" s="106"/>
      <c r="P6" s="106"/>
      <c r="Q6" s="106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40" t="s">
        <v>114</v>
      </c>
      <c r="B8" s="642" t="s">
        <v>5</v>
      </c>
      <c r="C8" s="636" t="s">
        <v>216</v>
      </c>
      <c r="D8" s="637"/>
      <c r="E8" s="637"/>
      <c r="F8" s="637"/>
      <c r="G8" s="638"/>
      <c r="H8" s="633" t="s">
        <v>139</v>
      </c>
      <c r="I8" s="634"/>
      <c r="J8" s="634"/>
      <c r="K8" s="634"/>
      <c r="L8" s="635"/>
      <c r="M8" s="629" t="s">
        <v>124</v>
      </c>
      <c r="N8" s="629"/>
      <c r="O8" s="629"/>
      <c r="P8" s="629"/>
      <c r="Q8" s="630"/>
      <c r="R8" s="629" t="s">
        <v>125</v>
      </c>
      <c r="S8" s="629"/>
      <c r="T8" s="629"/>
      <c r="U8" s="629"/>
      <c r="V8" s="630"/>
    </row>
    <row r="9" spans="1:245" ht="64.5" thickBot="1" x14ac:dyDescent="0.25">
      <c r="A9" s="641" t="e">
        <f>NA()</f>
        <v>#N/A</v>
      </c>
      <c r="B9" s="643" t="e">
        <f>NA()</f>
        <v>#N/A</v>
      </c>
      <c r="C9" s="401" t="s">
        <v>86</v>
      </c>
      <c r="D9" s="402" t="s">
        <v>137</v>
      </c>
      <c r="E9" s="402" t="s">
        <v>138</v>
      </c>
      <c r="F9" s="402" t="s">
        <v>87</v>
      </c>
      <c r="G9" s="403" t="s">
        <v>88</v>
      </c>
      <c r="H9" s="404" t="s">
        <v>86</v>
      </c>
      <c r="I9" s="405" t="s">
        <v>137</v>
      </c>
      <c r="J9" s="405" t="s">
        <v>138</v>
      </c>
      <c r="K9" s="405" t="s">
        <v>87</v>
      </c>
      <c r="L9" s="406" t="s">
        <v>88</v>
      </c>
      <c r="M9" s="407" t="s">
        <v>86</v>
      </c>
      <c r="N9" s="405" t="s">
        <v>137</v>
      </c>
      <c r="O9" s="405" t="s">
        <v>138</v>
      </c>
      <c r="P9" s="405" t="s">
        <v>87</v>
      </c>
      <c r="Q9" s="408" t="s">
        <v>88</v>
      </c>
      <c r="R9" s="409" t="s">
        <v>86</v>
      </c>
      <c r="S9" s="405" t="s">
        <v>137</v>
      </c>
      <c r="T9" s="405" t="s">
        <v>138</v>
      </c>
      <c r="U9" s="405" t="s">
        <v>87</v>
      </c>
      <c r="V9" s="406" t="s">
        <v>88</v>
      </c>
    </row>
    <row r="10" spans="1:245" s="10" customFormat="1" x14ac:dyDescent="0.2">
      <c r="A10" s="627" t="str">
        <f>+'B) Reajuste Tarifas y Ocupación'!A12</f>
        <v>Jardín Infantil Pequeños Colonos</v>
      </c>
      <c r="B10" s="343" t="str">
        <f>+'B) Reajuste Tarifas y Ocupación'!B12</f>
        <v>Media jornada</v>
      </c>
      <c r="C10" s="410">
        <f>+'B) Reajuste Tarifas y Ocupación'!M12</f>
        <v>66200</v>
      </c>
      <c r="D10" s="345">
        <f>+'B) Reajuste Tarifas y Ocupación'!N12</f>
        <v>79500</v>
      </c>
      <c r="E10" s="345">
        <f>+'B) Reajuste Tarifas y Ocupación'!O12</f>
        <v>79500</v>
      </c>
      <c r="F10" s="345">
        <f>+'B) Reajuste Tarifas y Ocupación'!P12</f>
        <v>126900</v>
      </c>
      <c r="G10" s="411">
        <f>+'B) Reajuste Tarifas y Ocupación'!Q12</f>
        <v>154000</v>
      </c>
      <c r="H10" s="412">
        <f>+'B) Reajuste Tarifas y Ocupación'!C12</f>
        <v>66200</v>
      </c>
      <c r="I10" s="350">
        <f>+'B) Reajuste Tarifas y Ocupación'!D12</f>
        <v>79500</v>
      </c>
      <c r="J10" s="350">
        <f>+'B) Reajuste Tarifas y Ocupación'!E12</f>
        <v>79500</v>
      </c>
      <c r="K10" s="350">
        <f>+'B) Reajuste Tarifas y Ocupación'!F12</f>
        <v>126900</v>
      </c>
      <c r="L10" s="417">
        <f>+'B) Reajuste Tarifas y Ocupación'!G12</f>
        <v>154000</v>
      </c>
      <c r="M10" s="415">
        <f t="shared" ref="M10:Q11" si="0">C10-H10</f>
        <v>0</v>
      </c>
      <c r="N10" s="298">
        <f t="shared" si="0"/>
        <v>0</v>
      </c>
      <c r="O10" s="298">
        <f t="shared" si="0"/>
        <v>0</v>
      </c>
      <c r="P10" s="298">
        <f t="shared" si="0"/>
        <v>0</v>
      </c>
      <c r="Q10" s="413">
        <f t="shared" si="0"/>
        <v>0</v>
      </c>
      <c r="R10" s="414">
        <f>+'B) Reajuste Tarifas y Ocupación'!H12</f>
        <v>0</v>
      </c>
      <c r="S10" s="355">
        <f>+'B) Reajuste Tarifas y Ocupación'!I12</f>
        <v>0</v>
      </c>
      <c r="T10" s="355">
        <f>+'B) Reajuste Tarifas y Ocupación'!J12</f>
        <v>0</v>
      </c>
      <c r="U10" s="355">
        <f>+'B) Reajuste Tarifas y Ocupación'!K12</f>
        <v>0</v>
      </c>
      <c r="V10" s="356">
        <f>+'B) Reajuste Tarifas y Ocupación'!L12</f>
        <v>0</v>
      </c>
    </row>
    <row r="11" spans="1:245" s="10" customFormat="1" ht="13.5" thickBot="1" x14ac:dyDescent="0.25">
      <c r="A11" s="628"/>
      <c r="B11" s="344" t="str">
        <f>+'B) Reajuste Tarifas y Ocupación'!B13</f>
        <v>Doble Jornada</v>
      </c>
      <c r="C11" s="347">
        <f>+'B) Reajuste Tarifas y Ocupación'!M13</f>
        <v>86900</v>
      </c>
      <c r="D11" s="348">
        <f>+'B) Reajuste Tarifas y Ocupación'!N13</f>
        <v>104300</v>
      </c>
      <c r="E11" s="348">
        <f>+'B) Reajuste Tarifas y Ocupación'!O13</f>
        <v>104300</v>
      </c>
      <c r="F11" s="348">
        <f>+'B) Reajuste Tarifas y Ocupación'!P13</f>
        <v>156400</v>
      </c>
      <c r="G11" s="162">
        <f>+'B) Reajuste Tarifas y Ocupación'!Q13</f>
        <v>187700</v>
      </c>
      <c r="H11" s="351">
        <f>+'B) Reajuste Tarifas y Ocupación'!C13</f>
        <v>86900</v>
      </c>
      <c r="I11" s="352">
        <f>+'B) Reajuste Tarifas y Ocupación'!D13</f>
        <v>104300</v>
      </c>
      <c r="J11" s="352">
        <f>+'B) Reajuste Tarifas y Ocupación'!E13</f>
        <v>104300</v>
      </c>
      <c r="K11" s="352">
        <f>+'B) Reajuste Tarifas y Ocupación'!F13</f>
        <v>156400</v>
      </c>
      <c r="L11" s="418">
        <f>+'B) Reajuste Tarifas y Ocupación'!G13</f>
        <v>187700</v>
      </c>
      <c r="M11" s="416">
        <f t="shared" si="0"/>
        <v>0</v>
      </c>
      <c r="N11" s="353">
        <f t="shared" si="0"/>
        <v>0</v>
      </c>
      <c r="O11" s="353">
        <f t="shared" si="0"/>
        <v>0</v>
      </c>
      <c r="P11" s="353">
        <f t="shared" si="0"/>
        <v>0</v>
      </c>
      <c r="Q11" s="354">
        <f t="shared" si="0"/>
        <v>0</v>
      </c>
      <c r="R11" s="357">
        <f>+'B) Reajuste Tarifas y Ocupación'!H13</f>
        <v>0</v>
      </c>
      <c r="S11" s="358">
        <f>+'B) Reajuste Tarifas y Ocupación'!I13</f>
        <v>0</v>
      </c>
      <c r="T11" s="358">
        <f>+'B) Reajuste Tarifas y Ocupación'!J13</f>
        <v>0</v>
      </c>
      <c r="U11" s="358">
        <f>+'B) Reajuste Tarifas y Ocupación'!K13</f>
        <v>0</v>
      </c>
      <c r="V11" s="359">
        <f>+'B) Reajuste Tarifas y Ocupación'!L13</f>
        <v>0</v>
      </c>
    </row>
  </sheetData>
  <sheetProtection algorithmName="SHA-512" hashValue="mQe1p2nmI8Bof8r847wvHAjQ6vjgaF77C0vcA+nrYUgeN3uOTxCgZ4MnaX8pilqdN6F/QCkCXkoOZGJafatAaQ==" saltValue="bSi2LVRKDI2+oWu8SHPEiw==" spinCount="100000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30"/>
  <sheetViews>
    <sheetView showGridLines="0" zoomScale="110" zoomScaleNormal="110" zoomScalePageLayoutView="110" workbookViewId="0">
      <selection activeCell="G14" sqref="G14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42578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207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199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05" t="s">
        <v>0</v>
      </c>
      <c r="E4" s="169" t="str">
        <f>+'B) Reajuste Tarifas y Ocupación'!F5</f>
        <v>DELBIENWILL</v>
      </c>
      <c r="F4" s="66"/>
      <c r="G4" s="67"/>
      <c r="H4" s="67"/>
      <c r="I4" s="67"/>
      <c r="J4" s="67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06"/>
      <c r="E5" s="109"/>
      <c r="F5" s="109"/>
      <c r="G5" s="109"/>
      <c r="H5" s="109"/>
      <c r="I5" s="109"/>
      <c r="J5" s="109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06"/>
      <c r="E6" s="109"/>
      <c r="F6" s="109"/>
      <c r="G6" s="109"/>
      <c r="H6" s="109"/>
      <c r="I6" s="109"/>
      <c r="J6" s="109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32" t="s">
        <v>161</v>
      </c>
      <c r="C7" s="532"/>
      <c r="D7" s="532"/>
      <c r="E7" s="532"/>
      <c r="F7" s="107"/>
      <c r="G7" s="107"/>
      <c r="H7" s="107"/>
      <c r="I7" s="107"/>
      <c r="J7" s="109"/>
      <c r="K7" s="68" t="s">
        <v>4</v>
      </c>
      <c r="L7" s="69">
        <v>0.03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60" t="s">
        <v>114</v>
      </c>
      <c r="C9" s="619" t="s">
        <v>73</v>
      </c>
      <c r="D9" s="619" t="s">
        <v>74</v>
      </c>
      <c r="E9" s="621" t="s">
        <v>3</v>
      </c>
      <c r="F9" s="658" t="s">
        <v>81</v>
      </c>
      <c r="G9" s="644" t="s">
        <v>220</v>
      </c>
      <c r="H9" s="645"/>
      <c r="I9" s="645"/>
      <c r="J9" s="646"/>
      <c r="K9" s="647" t="s">
        <v>223</v>
      </c>
      <c r="L9" s="649" t="s">
        <v>115</v>
      </c>
      <c r="O9" s="28"/>
      <c r="P9" s="28"/>
      <c r="Q9" s="28"/>
      <c r="R9" s="28"/>
      <c r="S9" s="28"/>
      <c r="T9" s="28"/>
    </row>
    <row r="10" spans="2:259" ht="39" thickBot="1" x14ac:dyDescent="0.25">
      <c r="B10" s="661"/>
      <c r="C10" s="620"/>
      <c r="D10" s="620"/>
      <c r="E10" s="622"/>
      <c r="F10" s="659"/>
      <c r="G10" s="180" t="s">
        <v>221</v>
      </c>
      <c r="H10" s="70" t="s">
        <v>116</v>
      </c>
      <c r="I10" s="70" t="s">
        <v>117</v>
      </c>
      <c r="J10" s="218" t="s">
        <v>222</v>
      </c>
      <c r="K10" s="648"/>
      <c r="L10" s="650"/>
      <c r="M10" s="30"/>
      <c r="N10" s="60"/>
      <c r="O10" s="60"/>
      <c r="P10" s="21"/>
      <c r="Q10" s="21"/>
      <c r="R10" s="21"/>
      <c r="S10" s="30"/>
      <c r="T10" s="651"/>
      <c r="U10" s="651"/>
      <c r="V10" s="651"/>
      <c r="W10" s="651"/>
      <c r="X10" s="30"/>
    </row>
    <row r="11" spans="2:259" s="2" customFormat="1" x14ac:dyDescent="0.2">
      <c r="B11" s="652" t="str">
        <f>+'B) Reajuste Tarifas y Ocupación'!A12</f>
        <v>Jardín Infantil Pequeños Colonos</v>
      </c>
      <c r="C11" s="220" t="s">
        <v>247</v>
      </c>
      <c r="D11" s="220" t="s">
        <v>248</v>
      </c>
      <c r="E11" s="454" t="s">
        <v>255</v>
      </c>
      <c r="F11" s="462" t="s">
        <v>256</v>
      </c>
      <c r="G11" s="226">
        <f>12*903023</f>
        <v>10836276</v>
      </c>
      <c r="H11" s="221">
        <v>174500</v>
      </c>
      <c r="I11" s="221">
        <f>60752*2*1.2</f>
        <v>145804.79999999999</v>
      </c>
      <c r="J11" s="227">
        <f>SUM(G11:I11)</f>
        <v>11156580.800000001</v>
      </c>
      <c r="K11" s="232">
        <f>+J11*(1+$L$7)</f>
        <v>11491278.224000001</v>
      </c>
      <c r="L11" s="655">
        <f>SUM(K11:K22)</f>
        <v>23964439.792000003</v>
      </c>
      <c r="M11" s="30"/>
      <c r="N11" s="35"/>
      <c r="O11" s="35"/>
      <c r="P11" s="61"/>
      <c r="Q11" s="61"/>
      <c r="R11" s="61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53"/>
      <c r="C12" s="219" t="s">
        <v>249</v>
      </c>
      <c r="D12" s="219" t="s">
        <v>250</v>
      </c>
      <c r="E12" s="219" t="s">
        <v>257</v>
      </c>
      <c r="F12" s="224" t="s">
        <v>256</v>
      </c>
      <c r="G12" s="228">
        <f>12*764575</f>
        <v>9174900</v>
      </c>
      <c r="H12" s="170">
        <v>312512</v>
      </c>
      <c r="I12" s="170">
        <f t="shared" ref="I12:I13" si="0">60752*2*1.2</f>
        <v>145804.79999999999</v>
      </c>
      <c r="J12" s="229">
        <f t="shared" ref="J12:J22" si="1">SUM(G12:I12)</f>
        <v>9633216.8000000007</v>
      </c>
      <c r="K12" s="233">
        <f t="shared" ref="K12:K22" si="2">+J12*(1+$L$7)</f>
        <v>9922213.3040000014</v>
      </c>
      <c r="L12" s="656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53"/>
      <c r="C13" s="219" t="s">
        <v>251</v>
      </c>
      <c r="D13" s="219" t="s">
        <v>252</v>
      </c>
      <c r="E13" s="219" t="s">
        <v>258</v>
      </c>
      <c r="F13" s="224" t="s">
        <v>256</v>
      </c>
      <c r="G13" s="228">
        <f>10*211485</f>
        <v>2114850</v>
      </c>
      <c r="H13" s="170">
        <v>0</v>
      </c>
      <c r="I13" s="170">
        <f t="shared" si="0"/>
        <v>145804.79999999999</v>
      </c>
      <c r="J13" s="229">
        <f t="shared" si="1"/>
        <v>2260654.7999999998</v>
      </c>
      <c r="K13" s="233">
        <f t="shared" si="2"/>
        <v>2328474.4439999997</v>
      </c>
      <c r="L13" s="656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53"/>
      <c r="C14" s="219" t="s">
        <v>253</v>
      </c>
      <c r="D14" s="219" t="s">
        <v>254</v>
      </c>
      <c r="E14" s="219" t="s">
        <v>259</v>
      </c>
      <c r="F14" s="224" t="s">
        <v>256</v>
      </c>
      <c r="G14" s="228">
        <f>3*71998</f>
        <v>215994</v>
      </c>
      <c r="H14" s="170">
        <v>0</v>
      </c>
      <c r="I14" s="170">
        <v>0</v>
      </c>
      <c r="J14" s="229">
        <f t="shared" si="1"/>
        <v>215994</v>
      </c>
      <c r="K14" s="233">
        <f t="shared" si="2"/>
        <v>222473.82</v>
      </c>
      <c r="L14" s="656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53"/>
      <c r="C15" s="219"/>
      <c r="D15" s="219"/>
      <c r="E15" s="219"/>
      <c r="F15" s="224"/>
      <c r="G15" s="228">
        <v>0</v>
      </c>
      <c r="H15" s="170">
        <v>0</v>
      </c>
      <c r="I15" s="170">
        <v>0</v>
      </c>
      <c r="J15" s="229">
        <f t="shared" si="1"/>
        <v>0</v>
      </c>
      <c r="K15" s="233">
        <f t="shared" si="2"/>
        <v>0</v>
      </c>
      <c r="L15" s="656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53"/>
      <c r="C16" s="219"/>
      <c r="D16" s="219"/>
      <c r="E16" s="219"/>
      <c r="F16" s="224"/>
      <c r="G16" s="228">
        <v>0</v>
      </c>
      <c r="H16" s="170">
        <v>0</v>
      </c>
      <c r="I16" s="170">
        <v>0</v>
      </c>
      <c r="J16" s="229">
        <f t="shared" si="1"/>
        <v>0</v>
      </c>
      <c r="K16" s="233">
        <f t="shared" si="2"/>
        <v>0</v>
      </c>
      <c r="L16" s="656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53"/>
      <c r="C17" s="219"/>
      <c r="D17" s="219"/>
      <c r="E17" s="219"/>
      <c r="F17" s="224"/>
      <c r="G17" s="228">
        <v>0</v>
      </c>
      <c r="H17" s="170">
        <v>0</v>
      </c>
      <c r="I17" s="170">
        <v>0</v>
      </c>
      <c r="J17" s="229">
        <f t="shared" si="1"/>
        <v>0</v>
      </c>
      <c r="K17" s="233">
        <f t="shared" si="2"/>
        <v>0</v>
      </c>
      <c r="L17" s="656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53"/>
      <c r="C18" s="219"/>
      <c r="D18" s="219"/>
      <c r="E18" s="219"/>
      <c r="F18" s="224"/>
      <c r="G18" s="228">
        <v>0</v>
      </c>
      <c r="H18" s="170">
        <v>0</v>
      </c>
      <c r="I18" s="170">
        <v>0</v>
      </c>
      <c r="J18" s="229">
        <f>SUM(G18:I18)</f>
        <v>0</v>
      </c>
      <c r="K18" s="233">
        <f>+J18*(1+$L$7)</f>
        <v>0</v>
      </c>
      <c r="L18" s="656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53"/>
      <c r="C19" s="219"/>
      <c r="D19" s="219"/>
      <c r="E19" s="219"/>
      <c r="F19" s="224"/>
      <c r="G19" s="228">
        <v>0</v>
      </c>
      <c r="H19" s="170">
        <v>0</v>
      </c>
      <c r="I19" s="170">
        <v>0</v>
      </c>
      <c r="J19" s="229">
        <f t="shared" ref="J19" si="3">SUM(G19:I19)</f>
        <v>0</v>
      </c>
      <c r="K19" s="233">
        <f t="shared" ref="K19" si="4">+J19*(1+$L$7)</f>
        <v>0</v>
      </c>
      <c r="L19" s="656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53"/>
      <c r="C20" s="219"/>
      <c r="D20" s="219"/>
      <c r="E20" s="219"/>
      <c r="F20" s="224"/>
      <c r="G20" s="228">
        <v>0</v>
      </c>
      <c r="H20" s="170">
        <v>0</v>
      </c>
      <c r="I20" s="170">
        <v>0</v>
      </c>
      <c r="J20" s="229">
        <f t="shared" si="1"/>
        <v>0</v>
      </c>
      <c r="K20" s="233">
        <f t="shared" si="2"/>
        <v>0</v>
      </c>
      <c r="L20" s="656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53"/>
      <c r="C21" s="219"/>
      <c r="D21" s="219"/>
      <c r="E21" s="219"/>
      <c r="F21" s="224"/>
      <c r="G21" s="228">
        <v>0</v>
      </c>
      <c r="H21" s="170">
        <v>0</v>
      </c>
      <c r="I21" s="170">
        <v>0</v>
      </c>
      <c r="J21" s="229">
        <f t="shared" si="1"/>
        <v>0</v>
      </c>
      <c r="K21" s="233">
        <f t="shared" si="2"/>
        <v>0</v>
      </c>
      <c r="L21" s="656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ht="13.5" thickBot="1" x14ac:dyDescent="0.25">
      <c r="B22" s="654"/>
      <c r="C22" s="222"/>
      <c r="D22" s="222"/>
      <c r="E22" s="222"/>
      <c r="F22" s="225"/>
      <c r="G22" s="230">
        <v>0</v>
      </c>
      <c r="H22" s="223">
        <v>0</v>
      </c>
      <c r="I22" s="223">
        <v>0</v>
      </c>
      <c r="J22" s="231">
        <f t="shared" si="1"/>
        <v>0</v>
      </c>
      <c r="K22" s="234">
        <f t="shared" si="2"/>
        <v>0</v>
      </c>
      <c r="L22" s="657"/>
      <c r="M22" s="30"/>
      <c r="N22" s="35"/>
      <c r="O22" s="35"/>
      <c r="P22" s="35"/>
      <c r="Q22" s="35"/>
      <c r="R22" s="35"/>
      <c r="S22" s="36"/>
      <c r="T22" s="35"/>
      <c r="U22" s="35"/>
      <c r="V22" s="35"/>
      <c r="W22" s="35"/>
      <c r="X22" s="37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</row>
    <row r="23" spans="2:259" ht="16.5" thickBot="1" x14ac:dyDescent="0.25">
      <c r="B23" s="27"/>
      <c r="C23" s="46"/>
      <c r="D23" s="46"/>
      <c r="E23" s="47"/>
      <c r="F23" s="47"/>
      <c r="G23" s="47"/>
      <c r="H23" s="47"/>
      <c r="I23" s="47"/>
      <c r="J23" s="41"/>
      <c r="K23" s="235" t="s">
        <v>94</v>
      </c>
      <c r="L23" s="236">
        <f>SUM(L11:L22)</f>
        <v>23964439.792000003</v>
      </c>
      <c r="M23" s="28"/>
      <c r="N23" s="28"/>
      <c r="O23" s="28"/>
      <c r="P23" s="35"/>
      <c r="Q23" s="35"/>
      <c r="R23" s="35"/>
      <c r="S23" s="38"/>
      <c r="T23" s="38"/>
      <c r="U23" s="39"/>
      <c r="V23" s="39"/>
      <c r="W23" s="40"/>
      <c r="X23" s="40"/>
    </row>
    <row r="24" spans="2:259" x14ac:dyDescent="0.2">
      <c r="B24" s="27"/>
      <c r="C24" s="46"/>
      <c r="D24" s="46"/>
      <c r="E24" s="47"/>
      <c r="F24" s="47"/>
      <c r="G24" s="47"/>
      <c r="H24" s="47"/>
      <c r="I24" s="47"/>
      <c r="J24" s="41"/>
      <c r="K24" s="41"/>
      <c r="L24" s="41"/>
      <c r="M24" s="28"/>
      <c r="N24" s="28"/>
      <c r="O24" s="28"/>
      <c r="P24" s="35"/>
      <c r="Q24" s="35"/>
      <c r="R24" s="35"/>
      <c r="S24" s="38"/>
      <c r="T24" s="38"/>
      <c r="U24" s="39"/>
      <c r="V24" s="39"/>
      <c r="W24" s="40"/>
      <c r="X24" s="40"/>
    </row>
    <row r="25" spans="2:259" x14ac:dyDescent="0.2">
      <c r="B25" s="27"/>
      <c r="C25" s="27"/>
      <c r="D25" s="27"/>
      <c r="E25" s="27"/>
      <c r="F25" s="27"/>
      <c r="G25" s="27"/>
      <c r="H25" s="27"/>
      <c r="I25" s="27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/>
      <c r="V25" s="39"/>
      <c r="W25" s="40"/>
      <c r="X25" s="40"/>
    </row>
    <row r="26" spans="2:259" x14ac:dyDescent="0.2">
      <c r="B26" s="27"/>
      <c r="C26" s="27"/>
      <c r="D26" s="27"/>
      <c r="E26" s="27"/>
      <c r="F26" s="27"/>
      <c r="G26" s="27"/>
      <c r="H26" s="27"/>
      <c r="I26" s="27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9"/>
      <c r="V26" s="39"/>
      <c r="W26" s="40"/>
      <c r="X26" s="40"/>
    </row>
    <row r="27" spans="2:259" x14ac:dyDescent="0.2">
      <c r="B27" s="27"/>
      <c r="C27" s="27"/>
      <c r="D27" s="27"/>
      <c r="E27" s="27"/>
      <c r="F27" s="27"/>
      <c r="G27" s="27"/>
      <c r="H27" s="27"/>
      <c r="I27" s="27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  <c r="V27" s="39"/>
      <c r="W27" s="40"/>
      <c r="X27" s="40"/>
    </row>
    <row r="28" spans="2:259" x14ac:dyDescent="0.2"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  <c r="V28" s="39"/>
      <c r="W28" s="40"/>
      <c r="X28" s="40"/>
    </row>
    <row r="29" spans="2:259" x14ac:dyDescent="0.2">
      <c r="B29" s="27"/>
      <c r="C29" s="27"/>
      <c r="D29" s="27"/>
      <c r="E29" s="27"/>
      <c r="F29" s="27"/>
      <c r="G29" s="27"/>
      <c r="H29" s="27"/>
      <c r="I29" s="2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9"/>
      <c r="V29" s="39"/>
      <c r="W29" s="40"/>
      <c r="X29" s="40"/>
    </row>
    <row r="30" spans="2:259" x14ac:dyDescent="0.2">
      <c r="B30" s="27"/>
      <c r="C30" s="27"/>
      <c r="D30" s="27"/>
      <c r="E30" s="27"/>
      <c r="F30" s="27"/>
      <c r="G30" s="27"/>
      <c r="H30" s="27"/>
      <c r="I30" s="27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39"/>
      <c r="W30" s="40"/>
      <c r="X30" s="40"/>
    </row>
  </sheetData>
  <sheetProtection algorithmName="SHA-512" hashValue="fNN0tV5J8Ytsq+RXHZb/qnvAfiS7siVT6yydrh8WgN8lLs2s16ivimykB9Nvvb07vs7VOnkzlp0/MEXHP+lzwg==" saltValue="rJRIgLRvCFZjYxF0NDwA1A==" spinCount="100000" sheet="1" objects="1" scenarios="1"/>
  <mergeCells count="12"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2"/>
    <mergeCell ref="L11:L22"/>
    <mergeCell ref="F9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zoomScale="90" zoomScaleNormal="90" zoomScalePageLayoutView="90" workbookViewId="0">
      <selection activeCell="I24" sqref="I24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42578125" style="4" bestFit="1" customWidth="1"/>
    <col min="14" max="14" width="14.7109375" style="10" customWidth="1"/>
    <col min="15" max="15" width="33.42578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208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200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66" t="str">
        <f>+'B) Reajuste Tarifas y Ocupación'!F5</f>
        <v>DELBIENWILL</v>
      </c>
      <c r="E4" s="495"/>
      <c r="F4" s="667"/>
      <c r="G4" s="255"/>
      <c r="H4" s="255"/>
      <c r="I4" s="255"/>
      <c r="J4" s="255"/>
      <c r="K4" s="255"/>
      <c r="L4" s="255"/>
      <c r="N4" s="255"/>
      <c r="P4" s="255"/>
    </row>
    <row r="5" spans="1:19" x14ac:dyDescent="0.2">
      <c r="A5" s="9"/>
      <c r="B5" s="20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P5" s="255"/>
    </row>
    <row r="6" spans="1:19" x14ac:dyDescent="0.2">
      <c r="A6" s="9"/>
      <c r="B6" s="20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P6" s="255"/>
    </row>
    <row r="7" spans="1:19" ht="12.75" customHeight="1" x14ac:dyDescent="0.2">
      <c r="A7" s="679" t="s">
        <v>128</v>
      </c>
      <c r="B7" s="680"/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1"/>
      <c r="P7" s="64"/>
    </row>
    <row r="8" spans="1:19" x14ac:dyDescent="0.2">
      <c r="A8" s="682"/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4"/>
      <c r="P8" s="64"/>
    </row>
    <row r="9" spans="1:19" x14ac:dyDescent="0.2">
      <c r="A9" s="685"/>
      <c r="B9" s="686"/>
      <c r="C9" s="686"/>
      <c r="D9" s="686"/>
      <c r="E9" s="686"/>
      <c r="F9" s="686"/>
      <c r="G9" s="686"/>
      <c r="H9" s="686"/>
      <c r="I9" s="686"/>
      <c r="J9" s="686"/>
      <c r="K9" s="686"/>
      <c r="L9" s="686"/>
      <c r="M9" s="686"/>
      <c r="N9" s="686"/>
      <c r="O9" s="687"/>
      <c r="P9" s="64"/>
    </row>
    <row r="10" spans="1:19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639" t="s">
        <v>162</v>
      </c>
      <c r="B12" s="639"/>
      <c r="C12" s="639"/>
      <c r="D12" s="639"/>
      <c r="E12" s="256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0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P13" s="255"/>
    </row>
    <row r="14" spans="1:19" ht="20.25" customHeight="1" x14ac:dyDescent="0.2">
      <c r="A14" s="670" t="s">
        <v>134</v>
      </c>
      <c r="B14" s="672" t="s">
        <v>5</v>
      </c>
      <c r="C14" s="502" t="s">
        <v>216</v>
      </c>
      <c r="D14" s="503"/>
      <c r="E14" s="503"/>
      <c r="F14" s="503"/>
      <c r="G14" s="504"/>
      <c r="H14" s="676" t="s">
        <v>145</v>
      </c>
      <c r="I14" s="677"/>
      <c r="J14" s="677"/>
      <c r="K14" s="677"/>
      <c r="L14" s="678"/>
      <c r="M14" s="674" t="s">
        <v>110</v>
      </c>
      <c r="N14" s="675"/>
      <c r="O14" s="668" t="s">
        <v>111</v>
      </c>
      <c r="P14" s="669"/>
      <c r="Q14" s="664" t="s">
        <v>129</v>
      </c>
    </row>
    <row r="15" spans="1:19" ht="70.5" customHeight="1" thickBot="1" x14ac:dyDescent="0.25">
      <c r="A15" s="671"/>
      <c r="B15" s="673"/>
      <c r="C15" s="360" t="s">
        <v>86</v>
      </c>
      <c r="D15" s="361" t="s">
        <v>137</v>
      </c>
      <c r="E15" s="361" t="s">
        <v>138</v>
      </c>
      <c r="F15" s="361" t="s">
        <v>87</v>
      </c>
      <c r="G15" s="362" t="s">
        <v>88</v>
      </c>
      <c r="H15" s="363" t="s">
        <v>86</v>
      </c>
      <c r="I15" s="364" t="s">
        <v>137</v>
      </c>
      <c r="J15" s="364" t="s">
        <v>138</v>
      </c>
      <c r="K15" s="364" t="s">
        <v>87</v>
      </c>
      <c r="L15" s="365" t="s">
        <v>88</v>
      </c>
      <c r="M15" s="366" t="s">
        <v>72</v>
      </c>
      <c r="N15" s="218" t="s">
        <v>85</v>
      </c>
      <c r="O15" s="367" t="s">
        <v>72</v>
      </c>
      <c r="P15" s="218" t="s">
        <v>85</v>
      </c>
      <c r="Q15" s="665"/>
    </row>
    <row r="16" spans="1:19" ht="12.75" customHeight="1" x14ac:dyDescent="0.2">
      <c r="A16" s="662" t="str">
        <f>'B) Reajuste Tarifas y Ocupación'!A12</f>
        <v>Jardín Infantil Pequeños Colonos</v>
      </c>
      <c r="B16" s="419" t="str">
        <f>+'B) Reajuste Tarifas y Ocupación'!B12</f>
        <v>Media jornada</v>
      </c>
      <c r="C16" s="410">
        <f>+'B) Reajuste Tarifas y Ocupación'!M12</f>
        <v>66200</v>
      </c>
      <c r="D16" s="345">
        <f>+'B) Reajuste Tarifas y Ocupación'!N12</f>
        <v>79500</v>
      </c>
      <c r="E16" s="345">
        <f>+'B) Reajuste Tarifas y Ocupación'!O12</f>
        <v>79500</v>
      </c>
      <c r="F16" s="345">
        <f>+'B) Reajuste Tarifas y Ocupación'!P12</f>
        <v>126900</v>
      </c>
      <c r="G16" s="346">
        <f>+'B) Reajuste Tarifas y Ocupación'!Q12</f>
        <v>154000</v>
      </c>
      <c r="H16" s="420">
        <f t="shared" ref="H16:K17" si="0">IFERROR(C16/$Q16,0)</f>
        <v>0</v>
      </c>
      <c r="I16" s="163">
        <f t="shared" si="0"/>
        <v>0</v>
      </c>
      <c r="J16" s="163">
        <f t="shared" si="0"/>
        <v>0</v>
      </c>
      <c r="K16" s="163">
        <f t="shared" si="0"/>
        <v>0</v>
      </c>
      <c r="L16" s="164">
        <f t="shared" ref="L16" si="1">IFERROR(G16/$Q16,0)</f>
        <v>0</v>
      </c>
      <c r="M16" s="421"/>
      <c r="N16" s="237"/>
      <c r="O16" s="421"/>
      <c r="P16" s="237"/>
      <c r="Q16" s="368" t="e">
        <f>AVERAGE(N16,P16)</f>
        <v>#DIV/0!</v>
      </c>
      <c r="R16" s="21"/>
      <c r="S16" s="22"/>
    </row>
    <row r="17" spans="1:19" ht="12.75" customHeight="1" thickBot="1" x14ac:dyDescent="0.25">
      <c r="A17" s="663"/>
      <c r="B17" s="422" t="str">
        <f>+'B) Reajuste Tarifas y Ocupación'!B13</f>
        <v>Doble Jornada</v>
      </c>
      <c r="C17" s="347">
        <f>+'B) Reajuste Tarifas y Ocupación'!M13</f>
        <v>86900</v>
      </c>
      <c r="D17" s="348">
        <f>+'B) Reajuste Tarifas y Ocupación'!N13</f>
        <v>104300</v>
      </c>
      <c r="E17" s="348">
        <f>+'B) Reajuste Tarifas y Ocupación'!O13</f>
        <v>104300</v>
      </c>
      <c r="F17" s="348">
        <f>+'B) Reajuste Tarifas y Ocupación'!P13</f>
        <v>156400</v>
      </c>
      <c r="G17" s="349">
        <f>+'B) Reajuste Tarifas y Ocupación'!Q13</f>
        <v>187700</v>
      </c>
      <c r="H17" s="240">
        <f t="shared" si="0"/>
        <v>0</v>
      </c>
      <c r="I17" s="241">
        <f t="shared" si="0"/>
        <v>0</v>
      </c>
      <c r="J17" s="241">
        <f t="shared" si="0"/>
        <v>0</v>
      </c>
      <c r="K17" s="241">
        <f t="shared" si="0"/>
        <v>0</v>
      </c>
      <c r="L17" s="242">
        <f t="shared" ref="L17" si="2">IFERROR(G17/$Q17,0)</f>
        <v>0</v>
      </c>
      <c r="M17" s="238"/>
      <c r="N17" s="239"/>
      <c r="O17" s="238"/>
      <c r="P17" s="239"/>
      <c r="Q17" s="369" t="e">
        <f>AVERAGE(N17,P17)</f>
        <v>#DIV/0!</v>
      </c>
      <c r="R17" s="21"/>
      <c r="S17" s="22"/>
    </row>
  </sheetData>
  <sheetProtection algorithmName="SHA-512" hashValue="fLcQz8tNPRwSjfiXEEdw1gWkpLw64hTaR1iBmNuqA8pH9wmS4E2j7pn988kyazOnO60gj3tEddXXw1RO7SraMQ==" saltValue="0JyYbLsorxhI5O9R2FUaLQ==" spinCount="100000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2020-09-10T18:33:37Z</cp:lastPrinted>
  <dcterms:created xsi:type="dcterms:W3CDTF">2017-05-11T00:45:10Z</dcterms:created>
  <dcterms:modified xsi:type="dcterms:W3CDTF">2020-12-15T18:56:57Z</dcterms:modified>
</cp:coreProperties>
</file>